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7E625354-7910-4E8B-BDA7-C2ECF70B94C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2789" i="1" l="1"/>
  <c r="BJ2789" i="1"/>
  <c r="BD2789" i="1"/>
  <c r="AP2789" i="1"/>
  <c r="BI2789" i="1" s="1"/>
  <c r="AC2789" i="1" s="1"/>
  <c r="AO2789" i="1"/>
  <c r="BH2789" i="1" s="1"/>
  <c r="AB2789" i="1" s="1"/>
  <c r="AK2789" i="1"/>
  <c r="AJ2789" i="1"/>
  <c r="AH2789" i="1"/>
  <c r="AG2789" i="1"/>
  <c r="AF2789" i="1"/>
  <c r="AE2789" i="1"/>
  <c r="AD2789" i="1"/>
  <c r="Z2789" i="1"/>
  <c r="O2789" i="1"/>
  <c r="BF2789" i="1" s="1"/>
  <c r="L2789" i="1"/>
  <c r="AL2789" i="1" s="1"/>
  <c r="BW2787" i="1"/>
  <c r="BJ2787" i="1"/>
  <c r="BD2787" i="1"/>
  <c r="AP2787" i="1"/>
  <c r="AX2787" i="1" s="1"/>
  <c r="AO2787" i="1"/>
  <c r="AW2787" i="1" s="1"/>
  <c r="AL2787" i="1"/>
  <c r="AK2787" i="1"/>
  <c r="AJ2787" i="1"/>
  <c r="AH2787" i="1"/>
  <c r="AG2787" i="1"/>
  <c r="AF2787" i="1"/>
  <c r="AE2787" i="1"/>
  <c r="AD2787" i="1"/>
  <c r="Z2787" i="1"/>
  <c r="O2787" i="1"/>
  <c r="BF2787" i="1" s="1"/>
  <c r="L2787" i="1"/>
  <c r="M2787" i="1" s="1"/>
  <c r="K2787" i="1"/>
  <c r="BW2785" i="1"/>
  <c r="BJ2785" i="1"/>
  <c r="BD2785" i="1"/>
  <c r="AP2785" i="1"/>
  <c r="AX2785" i="1" s="1"/>
  <c r="AO2785" i="1"/>
  <c r="BH2785" i="1" s="1"/>
  <c r="AB2785" i="1" s="1"/>
  <c r="AK2785" i="1"/>
  <c r="AJ2785" i="1"/>
  <c r="AH2785" i="1"/>
  <c r="AG2785" i="1"/>
  <c r="AF2785" i="1"/>
  <c r="AE2785" i="1"/>
  <c r="AD2785" i="1"/>
  <c r="Z2785" i="1"/>
  <c r="O2785" i="1"/>
  <c r="BF2785" i="1" s="1"/>
  <c r="L2785" i="1"/>
  <c r="AL2785" i="1" s="1"/>
  <c r="J2785" i="1"/>
  <c r="BW2783" i="1"/>
  <c r="BJ2783" i="1"/>
  <c r="BD2783" i="1"/>
  <c r="AP2783" i="1"/>
  <c r="BI2783" i="1" s="1"/>
  <c r="AC2783" i="1" s="1"/>
  <c r="AO2783" i="1"/>
  <c r="AK2783" i="1"/>
  <c r="AJ2783" i="1"/>
  <c r="AH2783" i="1"/>
  <c r="AG2783" i="1"/>
  <c r="AF2783" i="1"/>
  <c r="AE2783" i="1"/>
  <c r="AD2783" i="1"/>
  <c r="Z2783" i="1"/>
  <c r="O2783" i="1"/>
  <c r="BF2783" i="1" s="1"/>
  <c r="L2783" i="1"/>
  <c r="AL2783" i="1" s="1"/>
  <c r="BW2781" i="1"/>
  <c r="M2781" i="1" s="1"/>
  <c r="BJ2781" i="1"/>
  <c r="BI2781" i="1"/>
  <c r="AC2781" i="1" s="1"/>
  <c r="BF2781" i="1"/>
  <c r="BD2781" i="1"/>
  <c r="AP2781" i="1"/>
  <c r="K2781" i="1" s="1"/>
  <c r="AO2781" i="1"/>
  <c r="AW2781" i="1" s="1"/>
  <c r="AK2781" i="1"/>
  <c r="AJ2781" i="1"/>
  <c r="AH2781" i="1"/>
  <c r="AG2781" i="1"/>
  <c r="AF2781" i="1"/>
  <c r="AE2781" i="1"/>
  <c r="AD2781" i="1"/>
  <c r="Z2781" i="1"/>
  <c r="O2781" i="1"/>
  <c r="O2780" i="1" s="1"/>
  <c r="L2781" i="1"/>
  <c r="J2781" i="1"/>
  <c r="F44" i="4"/>
  <c r="I44" i="4" s="1"/>
  <c r="F42" i="4"/>
  <c r="I42" i="4" s="1"/>
  <c r="F41" i="4"/>
  <c r="I41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6" i="3"/>
  <c r="F16" i="3"/>
  <c r="I15" i="3"/>
  <c r="I14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32" i="1"/>
  <c r="BJ2832" i="1"/>
  <c r="BD2832" i="1"/>
  <c r="AP2832" i="1"/>
  <c r="AX2832" i="1" s="1"/>
  <c r="AO2832" i="1"/>
  <c r="BH2832" i="1" s="1"/>
  <c r="AF2832" i="1" s="1"/>
  <c r="AK2832" i="1"/>
  <c r="AJ2832" i="1"/>
  <c r="AH2832" i="1"/>
  <c r="AE2832" i="1"/>
  <c r="AD2832" i="1"/>
  <c r="AC2832" i="1"/>
  <c r="AB2832" i="1"/>
  <c r="Z2832" i="1"/>
  <c r="O2832" i="1"/>
  <c r="BF2832" i="1" s="1"/>
  <c r="L2832" i="1"/>
  <c r="AL2832" i="1" s="1"/>
  <c r="J2832" i="1"/>
  <c r="BW2831" i="1"/>
  <c r="BJ2831" i="1"/>
  <c r="BD2831" i="1"/>
  <c r="AP2831" i="1"/>
  <c r="BI2831" i="1" s="1"/>
  <c r="AG2831" i="1" s="1"/>
  <c r="AO2831" i="1"/>
  <c r="AW2831" i="1" s="1"/>
  <c r="AK2831" i="1"/>
  <c r="AT2830" i="1" s="1"/>
  <c r="AJ2831" i="1"/>
  <c r="AS2830" i="1" s="1"/>
  <c r="AH2831" i="1"/>
  <c r="AE2831" i="1"/>
  <c r="AD2831" i="1"/>
  <c r="AC2831" i="1"/>
  <c r="AB2831" i="1"/>
  <c r="Z2831" i="1"/>
  <c r="O2831" i="1"/>
  <c r="L2831" i="1"/>
  <c r="BW2828" i="1"/>
  <c r="BJ2828" i="1"/>
  <c r="BD2828" i="1"/>
  <c r="AP2828" i="1"/>
  <c r="AO2828" i="1"/>
  <c r="AK2828" i="1"/>
  <c r="AT2827" i="1" s="1"/>
  <c r="AJ2828" i="1"/>
  <c r="AS2827" i="1" s="1"/>
  <c r="AH2828" i="1"/>
  <c r="AG2828" i="1"/>
  <c r="AF2828" i="1"/>
  <c r="AC2828" i="1"/>
  <c r="AB2828" i="1"/>
  <c r="Z2828" i="1"/>
  <c r="O2828" i="1"/>
  <c r="O2827" i="1" s="1"/>
  <c r="O2826" i="1" s="1"/>
  <c r="G94" i="2" s="1"/>
  <c r="L2828" i="1"/>
  <c r="L2827" i="1" s="1"/>
  <c r="L2826" i="1" s="1"/>
  <c r="F94" i="2" s="1"/>
  <c r="BW2825" i="1"/>
  <c r="BU2825" i="1"/>
  <c r="F43" i="4" s="1"/>
  <c r="I43" i="4" s="1"/>
  <c r="BJ2825" i="1"/>
  <c r="BD2825" i="1"/>
  <c r="AP2825" i="1"/>
  <c r="AX2825" i="1" s="1"/>
  <c r="AO2825" i="1"/>
  <c r="BH2825" i="1" s="1"/>
  <c r="AK2825" i="1"/>
  <c r="AT2824" i="1" s="1"/>
  <c r="AJ2825" i="1"/>
  <c r="AS2824" i="1" s="1"/>
  <c r="AH2825" i="1"/>
  <c r="AG2825" i="1"/>
  <c r="AF2825" i="1"/>
  <c r="AE2825" i="1"/>
  <c r="AD2825" i="1"/>
  <c r="AC2825" i="1"/>
  <c r="AB2825" i="1"/>
  <c r="Z2825" i="1"/>
  <c r="O2825" i="1"/>
  <c r="BF2825" i="1" s="1"/>
  <c r="L2825" i="1"/>
  <c r="L2824" i="1" s="1"/>
  <c r="F93" i="2" s="1"/>
  <c r="I93" i="2" s="1"/>
  <c r="BW2823" i="1"/>
  <c r="BS2823" i="1"/>
  <c r="BJ2823" i="1"/>
  <c r="BD2823" i="1"/>
  <c r="AP2823" i="1"/>
  <c r="BI2823" i="1" s="1"/>
  <c r="AO2823" i="1"/>
  <c r="AW2823" i="1" s="1"/>
  <c r="AK2823" i="1"/>
  <c r="AJ2823" i="1"/>
  <c r="AS2822" i="1" s="1"/>
  <c r="AH2823" i="1"/>
  <c r="AG2823" i="1"/>
  <c r="AF2823" i="1"/>
  <c r="AE2823" i="1"/>
  <c r="AD2823" i="1"/>
  <c r="AC2823" i="1"/>
  <c r="AB2823" i="1"/>
  <c r="Z2823" i="1"/>
  <c r="O2823" i="1"/>
  <c r="L2823" i="1"/>
  <c r="AT2822" i="1"/>
  <c r="BW2821" i="1"/>
  <c r="BR2821" i="1"/>
  <c r="BJ2821" i="1"/>
  <c r="BF2821" i="1"/>
  <c r="BD2821" i="1"/>
  <c r="AP2821" i="1"/>
  <c r="AO2821" i="1"/>
  <c r="J2821" i="1" s="1"/>
  <c r="AK2821" i="1"/>
  <c r="AJ2821" i="1"/>
  <c r="AH2821" i="1"/>
  <c r="AG2821" i="1"/>
  <c r="AF2821" i="1"/>
  <c r="AE2821" i="1"/>
  <c r="AD2821" i="1"/>
  <c r="AC2821" i="1"/>
  <c r="AB2821" i="1"/>
  <c r="Z2821" i="1"/>
  <c r="O2821" i="1"/>
  <c r="L2821" i="1"/>
  <c r="AL2821" i="1" s="1"/>
  <c r="BW2820" i="1"/>
  <c r="BR2820" i="1"/>
  <c r="BJ2820" i="1"/>
  <c r="BD2820" i="1"/>
  <c r="AP2820" i="1"/>
  <c r="AX2820" i="1" s="1"/>
  <c r="AO2820" i="1"/>
  <c r="AW2820" i="1" s="1"/>
  <c r="AK2820" i="1"/>
  <c r="AJ2820" i="1"/>
  <c r="AH2820" i="1"/>
  <c r="AG2820" i="1"/>
  <c r="AF2820" i="1"/>
  <c r="AE2820" i="1"/>
  <c r="AD2820" i="1"/>
  <c r="AC2820" i="1"/>
  <c r="AB2820" i="1"/>
  <c r="Z2820" i="1"/>
  <c r="O2820" i="1"/>
  <c r="BF2820" i="1" s="1"/>
  <c r="L2820" i="1"/>
  <c r="AL2820" i="1" s="1"/>
  <c r="BW2818" i="1"/>
  <c r="M2818" i="1" s="1"/>
  <c r="M2817" i="1" s="1"/>
  <c r="BQ2818" i="1"/>
  <c r="F39" i="4" s="1"/>
  <c r="I39" i="4" s="1"/>
  <c r="BJ2818" i="1"/>
  <c r="BD2818" i="1"/>
  <c r="AP2818" i="1"/>
  <c r="AX2818" i="1" s="1"/>
  <c r="AO2818" i="1"/>
  <c r="AW2818" i="1" s="1"/>
  <c r="BC2818" i="1" s="1"/>
  <c r="AK2818" i="1"/>
  <c r="AT2817" i="1" s="1"/>
  <c r="AJ2818" i="1"/>
  <c r="AS2817" i="1" s="1"/>
  <c r="AH2818" i="1"/>
  <c r="AG2818" i="1"/>
  <c r="AF2818" i="1"/>
  <c r="AE2818" i="1"/>
  <c r="AD2818" i="1"/>
  <c r="AC2818" i="1"/>
  <c r="AB2818" i="1"/>
  <c r="Z2818" i="1"/>
  <c r="O2818" i="1"/>
  <c r="O2817" i="1" s="1"/>
  <c r="G90" i="2" s="1"/>
  <c r="L2818" i="1"/>
  <c r="AL2818" i="1" s="1"/>
  <c r="AU2817" i="1" s="1"/>
  <c r="K2818" i="1"/>
  <c r="K2817" i="1" s="1"/>
  <c r="E90" i="2" s="1"/>
  <c r="BW2816" i="1"/>
  <c r="BP2816" i="1"/>
  <c r="BJ2816" i="1"/>
  <c r="BD2816" i="1"/>
  <c r="AW2816" i="1"/>
  <c r="AP2816" i="1"/>
  <c r="AX2816" i="1" s="1"/>
  <c r="AO2816" i="1"/>
  <c r="BH2816" i="1" s="1"/>
  <c r="AK2816" i="1"/>
  <c r="AJ2816" i="1"/>
  <c r="AH2816" i="1"/>
  <c r="AG2816" i="1"/>
  <c r="AF2816" i="1"/>
  <c r="AE2816" i="1"/>
  <c r="AD2816" i="1"/>
  <c r="AC2816" i="1"/>
  <c r="AB2816" i="1"/>
  <c r="Z2816" i="1"/>
  <c r="O2816" i="1"/>
  <c r="L2816" i="1"/>
  <c r="BW2815" i="1"/>
  <c r="BP2815" i="1"/>
  <c r="BJ2815" i="1"/>
  <c r="BD2815" i="1"/>
  <c r="AP2815" i="1"/>
  <c r="AX2815" i="1" s="1"/>
  <c r="AO2815" i="1"/>
  <c r="BH2815" i="1" s="1"/>
  <c r="AK2815" i="1"/>
  <c r="AT2814" i="1" s="1"/>
  <c r="AJ2815" i="1"/>
  <c r="AS2814" i="1" s="1"/>
  <c r="AH2815" i="1"/>
  <c r="AG2815" i="1"/>
  <c r="AF2815" i="1"/>
  <c r="AE2815" i="1"/>
  <c r="AD2815" i="1"/>
  <c r="AC2815" i="1"/>
  <c r="AB2815" i="1"/>
  <c r="Z2815" i="1"/>
  <c r="O2815" i="1"/>
  <c r="BF2815" i="1" s="1"/>
  <c r="L2815" i="1"/>
  <c r="AL2815" i="1" s="1"/>
  <c r="BW2812" i="1"/>
  <c r="BO2812" i="1"/>
  <c r="F37" i="4" s="1"/>
  <c r="I37" i="4" s="1"/>
  <c r="BJ2812" i="1"/>
  <c r="BD2812" i="1"/>
  <c r="AP2812" i="1"/>
  <c r="AX2812" i="1" s="1"/>
  <c r="AO2812" i="1"/>
  <c r="AW2812" i="1" s="1"/>
  <c r="AK2812" i="1"/>
  <c r="AT2811" i="1" s="1"/>
  <c r="AJ2812" i="1"/>
  <c r="AS2811" i="1" s="1"/>
  <c r="AH2812" i="1"/>
  <c r="AG2812" i="1"/>
  <c r="AF2812" i="1"/>
  <c r="AE2812" i="1"/>
  <c r="AD2812" i="1"/>
  <c r="AC2812" i="1"/>
  <c r="AB2812" i="1"/>
  <c r="Z2812" i="1"/>
  <c r="O2812" i="1"/>
  <c r="BF2812" i="1" s="1"/>
  <c r="L2812" i="1"/>
  <c r="L2811" i="1" s="1"/>
  <c r="F88" i="2" s="1"/>
  <c r="I88" i="2" s="1"/>
  <c r="BW2810" i="1"/>
  <c r="BM2810" i="1"/>
  <c r="BJ2810" i="1"/>
  <c r="BD2810" i="1"/>
  <c r="AP2810" i="1"/>
  <c r="AX2810" i="1" s="1"/>
  <c r="AO2810" i="1"/>
  <c r="J2810" i="1" s="1"/>
  <c r="AK2810" i="1"/>
  <c r="AJ2810" i="1"/>
  <c r="AH2810" i="1"/>
  <c r="AG2810" i="1"/>
  <c r="AF2810" i="1"/>
  <c r="AE2810" i="1"/>
  <c r="AD2810" i="1"/>
  <c r="AC2810" i="1"/>
  <c r="AB2810" i="1"/>
  <c r="Z2810" i="1"/>
  <c r="O2810" i="1"/>
  <c r="BF2810" i="1" s="1"/>
  <c r="L2810" i="1"/>
  <c r="AL2810" i="1" s="1"/>
  <c r="BW2809" i="1"/>
  <c r="BM2809" i="1"/>
  <c r="BJ2809" i="1"/>
  <c r="BD2809" i="1"/>
  <c r="AP2809" i="1"/>
  <c r="AX2809" i="1" s="1"/>
  <c r="AO2809" i="1"/>
  <c r="AW2809" i="1" s="1"/>
  <c r="AK2809" i="1"/>
  <c r="AJ2809" i="1"/>
  <c r="AH2809" i="1"/>
  <c r="AG2809" i="1"/>
  <c r="AF2809" i="1"/>
  <c r="AE2809" i="1"/>
  <c r="AD2809" i="1"/>
  <c r="AC2809" i="1"/>
  <c r="AB2809" i="1"/>
  <c r="Z2809" i="1"/>
  <c r="O2809" i="1"/>
  <c r="BF2809" i="1" s="1"/>
  <c r="L2809" i="1"/>
  <c r="BW2806" i="1"/>
  <c r="BJ2806" i="1"/>
  <c r="BD2806" i="1"/>
  <c r="AP2806" i="1"/>
  <c r="AX2806" i="1" s="1"/>
  <c r="AO2806" i="1"/>
  <c r="BH2806" i="1" s="1"/>
  <c r="AK2806" i="1"/>
  <c r="AJ2806" i="1"/>
  <c r="AH2806" i="1"/>
  <c r="AG2806" i="1"/>
  <c r="AF2806" i="1"/>
  <c r="AE2806" i="1"/>
  <c r="AD2806" i="1"/>
  <c r="AC2806" i="1"/>
  <c r="AB2806" i="1"/>
  <c r="Z2806" i="1"/>
  <c r="O2806" i="1"/>
  <c r="BF2806" i="1" s="1"/>
  <c r="L2806" i="1"/>
  <c r="AL2806" i="1" s="1"/>
  <c r="BW2804" i="1"/>
  <c r="BJ2804" i="1"/>
  <c r="Z2804" i="1" s="1"/>
  <c r="BD2804" i="1"/>
  <c r="AP2804" i="1"/>
  <c r="AO2804" i="1"/>
  <c r="AW2804" i="1" s="1"/>
  <c r="AK2804" i="1"/>
  <c r="AJ2804" i="1"/>
  <c r="AH2804" i="1"/>
  <c r="AG2804" i="1"/>
  <c r="AF2804" i="1"/>
  <c r="AE2804" i="1"/>
  <c r="AD2804" i="1"/>
  <c r="AC2804" i="1"/>
  <c r="AB2804" i="1"/>
  <c r="O2804" i="1"/>
  <c r="BF2804" i="1" s="1"/>
  <c r="L2804" i="1"/>
  <c r="BW2803" i="1"/>
  <c r="BJ2803" i="1"/>
  <c r="Z2803" i="1" s="1"/>
  <c r="BD2803" i="1"/>
  <c r="AP2803" i="1"/>
  <c r="BI2803" i="1" s="1"/>
  <c r="AO2803" i="1"/>
  <c r="BH2803" i="1" s="1"/>
  <c r="AK2803" i="1"/>
  <c r="AJ2803" i="1"/>
  <c r="AH2803" i="1"/>
  <c r="AG2803" i="1"/>
  <c r="AF2803" i="1"/>
  <c r="AE2803" i="1"/>
  <c r="AD2803" i="1"/>
  <c r="AC2803" i="1"/>
  <c r="AB2803" i="1"/>
  <c r="O2803" i="1"/>
  <c r="BF2803" i="1" s="1"/>
  <c r="L2803" i="1"/>
  <c r="AL2803" i="1" s="1"/>
  <c r="BW2801" i="1"/>
  <c r="BJ2801" i="1"/>
  <c r="Z2801" i="1" s="1"/>
  <c r="BF2801" i="1"/>
  <c r="BD2801" i="1"/>
  <c r="AP2801" i="1"/>
  <c r="AX2801" i="1" s="1"/>
  <c r="AO2801" i="1"/>
  <c r="BH2801" i="1" s="1"/>
  <c r="AK2801" i="1"/>
  <c r="AJ2801" i="1"/>
  <c r="AH2801" i="1"/>
  <c r="AG2801" i="1"/>
  <c r="AF2801" i="1"/>
  <c r="AE2801" i="1"/>
  <c r="AD2801" i="1"/>
  <c r="AC2801" i="1"/>
  <c r="AB2801" i="1"/>
  <c r="O2801" i="1"/>
  <c r="L2801" i="1"/>
  <c r="AL2801" i="1" s="1"/>
  <c r="K2801" i="1"/>
  <c r="BW2800" i="1"/>
  <c r="BJ2800" i="1"/>
  <c r="Z2800" i="1" s="1"/>
  <c r="BD2800" i="1"/>
  <c r="AP2800" i="1"/>
  <c r="AO2800" i="1"/>
  <c r="AW2800" i="1" s="1"/>
  <c r="AK2800" i="1"/>
  <c r="AJ2800" i="1"/>
  <c r="AH2800" i="1"/>
  <c r="AG2800" i="1"/>
  <c r="AF2800" i="1"/>
  <c r="AE2800" i="1"/>
  <c r="AD2800" i="1"/>
  <c r="AC2800" i="1"/>
  <c r="AB2800" i="1"/>
  <c r="O2800" i="1"/>
  <c r="BF2800" i="1" s="1"/>
  <c r="L2800" i="1"/>
  <c r="BW2796" i="1"/>
  <c r="BJ2796" i="1"/>
  <c r="BD2796" i="1"/>
  <c r="AP2796" i="1"/>
  <c r="K2796" i="1" s="1"/>
  <c r="AO2796" i="1"/>
  <c r="BH2796" i="1" s="1"/>
  <c r="AB2796" i="1" s="1"/>
  <c r="AK2796" i="1"/>
  <c r="AJ2796" i="1"/>
  <c r="AH2796" i="1"/>
  <c r="AG2796" i="1"/>
  <c r="AF2796" i="1"/>
  <c r="AE2796" i="1"/>
  <c r="AD2796" i="1"/>
  <c r="Z2796" i="1"/>
  <c r="O2796" i="1"/>
  <c r="BF2796" i="1" s="1"/>
  <c r="L2796" i="1"/>
  <c r="AL2796" i="1" s="1"/>
  <c r="BW2792" i="1"/>
  <c r="BJ2792" i="1"/>
  <c r="BH2792" i="1"/>
  <c r="AB2792" i="1" s="1"/>
  <c r="BD2792" i="1"/>
  <c r="AP2792" i="1"/>
  <c r="AO2792" i="1"/>
  <c r="J2792" i="1" s="1"/>
  <c r="AL2792" i="1"/>
  <c r="AK2792" i="1"/>
  <c r="AJ2792" i="1"/>
  <c r="AH2792" i="1"/>
  <c r="AG2792" i="1"/>
  <c r="AF2792" i="1"/>
  <c r="AE2792" i="1"/>
  <c r="AD2792" i="1"/>
  <c r="Z2792" i="1"/>
  <c r="O2792" i="1"/>
  <c r="BF2792" i="1" s="1"/>
  <c r="M2792" i="1"/>
  <c r="L2792" i="1"/>
  <c r="AS2780" i="1"/>
  <c r="AU2780" i="1"/>
  <c r="AT2780" i="1"/>
  <c r="BW2779" i="1"/>
  <c r="BJ2779" i="1"/>
  <c r="BD2779" i="1"/>
  <c r="AP2779" i="1"/>
  <c r="AX2779" i="1" s="1"/>
  <c r="AO2779" i="1"/>
  <c r="BH2779" i="1" s="1"/>
  <c r="AB2779" i="1" s="1"/>
  <c r="AK2779" i="1"/>
  <c r="AT2778" i="1" s="1"/>
  <c r="AJ2779" i="1"/>
  <c r="AS2778" i="1" s="1"/>
  <c r="AH2779" i="1"/>
  <c r="AG2779" i="1"/>
  <c r="AF2779" i="1"/>
  <c r="AE2779" i="1"/>
  <c r="AD2779" i="1"/>
  <c r="Z2779" i="1"/>
  <c r="O2779" i="1"/>
  <c r="BF2779" i="1" s="1"/>
  <c r="L2779" i="1"/>
  <c r="AL2779" i="1" s="1"/>
  <c r="AU2778" i="1" s="1"/>
  <c r="J2779" i="1"/>
  <c r="J2778" i="1" s="1"/>
  <c r="D83" i="2" s="1"/>
  <c r="O2778" i="1"/>
  <c r="G83" i="2" s="1"/>
  <c r="BW2777" i="1"/>
  <c r="BJ2777" i="1"/>
  <c r="BD2777" i="1"/>
  <c r="AP2777" i="1"/>
  <c r="BI2777" i="1" s="1"/>
  <c r="AC2777" i="1" s="1"/>
  <c r="AO2777" i="1"/>
  <c r="BH2777" i="1" s="1"/>
  <c r="AB2777" i="1" s="1"/>
  <c r="AK2777" i="1"/>
  <c r="AJ2777" i="1"/>
  <c r="AH2777" i="1"/>
  <c r="AG2777" i="1"/>
  <c r="AF2777" i="1"/>
  <c r="AE2777" i="1"/>
  <c r="AD2777" i="1"/>
  <c r="Z2777" i="1"/>
  <c r="O2777" i="1"/>
  <c r="BF2777" i="1" s="1"/>
  <c r="L2777" i="1"/>
  <c r="AL2777" i="1" s="1"/>
  <c r="BW2775" i="1"/>
  <c r="BJ2775" i="1"/>
  <c r="BD2775" i="1"/>
  <c r="AP2775" i="1"/>
  <c r="BI2775" i="1" s="1"/>
  <c r="AC2775" i="1" s="1"/>
  <c r="AO2775" i="1"/>
  <c r="AK2775" i="1"/>
  <c r="AJ2775" i="1"/>
  <c r="AS2774" i="1" s="1"/>
  <c r="AH2775" i="1"/>
  <c r="AG2775" i="1"/>
  <c r="AF2775" i="1"/>
  <c r="AE2775" i="1"/>
  <c r="AD2775" i="1"/>
  <c r="Z2775" i="1"/>
  <c r="O2775" i="1"/>
  <c r="L2775" i="1"/>
  <c r="L2774" i="1" s="1"/>
  <c r="F82" i="2" s="1"/>
  <c r="I82" i="2" s="1"/>
  <c r="BW2770" i="1"/>
  <c r="BJ2770" i="1"/>
  <c r="BD2770" i="1"/>
  <c r="AW2770" i="1"/>
  <c r="AP2770" i="1"/>
  <c r="AX2770" i="1" s="1"/>
  <c r="AO2770" i="1"/>
  <c r="AK2770" i="1"/>
  <c r="AJ2770" i="1"/>
  <c r="AH2770" i="1"/>
  <c r="AG2770" i="1"/>
  <c r="AF2770" i="1"/>
  <c r="AE2770" i="1"/>
  <c r="AD2770" i="1"/>
  <c r="Z2770" i="1"/>
  <c r="O2770" i="1"/>
  <c r="BF2770" i="1" s="1"/>
  <c r="L2770" i="1"/>
  <c r="BW2766" i="1"/>
  <c r="BJ2766" i="1"/>
  <c r="BD2766" i="1"/>
  <c r="AP2766" i="1"/>
  <c r="BI2766" i="1" s="1"/>
  <c r="AC2766" i="1" s="1"/>
  <c r="AO2766" i="1"/>
  <c r="BH2766" i="1" s="1"/>
  <c r="AB2766" i="1" s="1"/>
  <c r="AK2766" i="1"/>
  <c r="AJ2766" i="1"/>
  <c r="AH2766" i="1"/>
  <c r="AG2766" i="1"/>
  <c r="AF2766" i="1"/>
  <c r="AE2766" i="1"/>
  <c r="AD2766" i="1"/>
  <c r="Z2766" i="1"/>
  <c r="O2766" i="1"/>
  <c r="BF2766" i="1" s="1"/>
  <c r="L2766" i="1"/>
  <c r="K2766" i="1"/>
  <c r="BW2763" i="1"/>
  <c r="BJ2763" i="1"/>
  <c r="BD2763" i="1"/>
  <c r="AP2763" i="1"/>
  <c r="AO2763" i="1"/>
  <c r="AK2763" i="1"/>
  <c r="AJ2763" i="1"/>
  <c r="AH2763" i="1"/>
  <c r="AG2763" i="1"/>
  <c r="AF2763" i="1"/>
  <c r="AE2763" i="1"/>
  <c r="AD2763" i="1"/>
  <c r="Z2763" i="1"/>
  <c r="O2763" i="1"/>
  <c r="BF2763" i="1" s="1"/>
  <c r="L2763" i="1"/>
  <c r="BW2757" i="1"/>
  <c r="BJ2757" i="1"/>
  <c r="BD2757" i="1"/>
  <c r="AP2757" i="1"/>
  <c r="BI2757" i="1" s="1"/>
  <c r="AC2757" i="1" s="1"/>
  <c r="AO2757" i="1"/>
  <c r="AK2757" i="1"/>
  <c r="AJ2757" i="1"/>
  <c r="AH2757" i="1"/>
  <c r="AG2757" i="1"/>
  <c r="AF2757" i="1"/>
  <c r="AE2757" i="1"/>
  <c r="AD2757" i="1"/>
  <c r="Z2757" i="1"/>
  <c r="O2757" i="1"/>
  <c r="L2757" i="1"/>
  <c r="BW2749" i="1"/>
  <c r="BJ2749" i="1"/>
  <c r="BD2749" i="1"/>
  <c r="AP2749" i="1"/>
  <c r="AX2749" i="1" s="1"/>
  <c r="AO2749" i="1"/>
  <c r="AW2749" i="1" s="1"/>
  <c r="AV2749" i="1" s="1"/>
  <c r="AK2749" i="1"/>
  <c r="AT2748" i="1" s="1"/>
  <c r="AJ2749" i="1"/>
  <c r="AS2748" i="1" s="1"/>
  <c r="AH2749" i="1"/>
  <c r="AG2749" i="1"/>
  <c r="AF2749" i="1"/>
  <c r="AE2749" i="1"/>
  <c r="AD2749" i="1"/>
  <c r="Z2749" i="1"/>
  <c r="O2749" i="1"/>
  <c r="O2748" i="1" s="1"/>
  <c r="G80" i="2" s="1"/>
  <c r="L2749" i="1"/>
  <c r="K2749" i="1"/>
  <c r="K2748" i="1" s="1"/>
  <c r="E80" i="2" s="1"/>
  <c r="BW2745" i="1"/>
  <c r="BJ2745" i="1"/>
  <c r="BD2745" i="1"/>
  <c r="AP2745" i="1"/>
  <c r="AX2745" i="1" s="1"/>
  <c r="AO2745" i="1"/>
  <c r="AW2745" i="1" s="1"/>
  <c r="AK2745" i="1"/>
  <c r="AT2744" i="1" s="1"/>
  <c r="AJ2745" i="1"/>
  <c r="AS2744" i="1" s="1"/>
  <c r="AH2745" i="1"/>
  <c r="AG2745" i="1"/>
  <c r="AF2745" i="1"/>
  <c r="AE2745" i="1"/>
  <c r="AD2745" i="1"/>
  <c r="Z2745" i="1"/>
  <c r="O2745" i="1"/>
  <c r="O2744" i="1" s="1"/>
  <c r="G79" i="2" s="1"/>
  <c r="L2745" i="1"/>
  <c r="L2744" i="1" s="1"/>
  <c r="F79" i="2" s="1"/>
  <c r="I79" i="2" s="1"/>
  <c r="BW2741" i="1"/>
  <c r="BJ2741" i="1"/>
  <c r="Z2741" i="1" s="1"/>
  <c r="BD2741" i="1"/>
  <c r="AP2741" i="1"/>
  <c r="AO2741" i="1"/>
  <c r="BH2741" i="1" s="1"/>
  <c r="AK2741" i="1"/>
  <c r="AJ2741" i="1"/>
  <c r="AH2741" i="1"/>
  <c r="AG2741" i="1"/>
  <c r="AF2741" i="1"/>
  <c r="AE2741" i="1"/>
  <c r="AD2741" i="1"/>
  <c r="AC2741" i="1"/>
  <c r="AB2741" i="1"/>
  <c r="O2741" i="1"/>
  <c r="BF2741" i="1" s="1"/>
  <c r="L2741" i="1"/>
  <c r="J2741" i="1"/>
  <c r="BW2739" i="1"/>
  <c r="BJ2739" i="1"/>
  <c r="BD2739" i="1"/>
  <c r="AP2739" i="1"/>
  <c r="AX2739" i="1" s="1"/>
  <c r="AO2739" i="1"/>
  <c r="AW2739" i="1" s="1"/>
  <c r="AK2739" i="1"/>
  <c r="AJ2739" i="1"/>
  <c r="AH2739" i="1"/>
  <c r="AG2739" i="1"/>
  <c r="AF2739" i="1"/>
  <c r="AC2739" i="1"/>
  <c r="AB2739" i="1"/>
  <c r="Z2739" i="1"/>
  <c r="O2739" i="1"/>
  <c r="BF2739" i="1" s="1"/>
  <c r="L2739" i="1"/>
  <c r="AL2739" i="1" s="1"/>
  <c r="BW2736" i="1"/>
  <c r="BJ2736" i="1"/>
  <c r="BD2736" i="1"/>
  <c r="AP2736" i="1"/>
  <c r="AX2736" i="1" s="1"/>
  <c r="AO2736" i="1"/>
  <c r="BH2736" i="1" s="1"/>
  <c r="AD2736" i="1" s="1"/>
  <c r="AK2736" i="1"/>
  <c r="AJ2736" i="1"/>
  <c r="AH2736" i="1"/>
  <c r="AG2736" i="1"/>
  <c r="AF2736" i="1"/>
  <c r="AC2736" i="1"/>
  <c r="AB2736" i="1"/>
  <c r="Z2736" i="1"/>
  <c r="O2736" i="1"/>
  <c r="BF2736" i="1" s="1"/>
  <c r="L2736" i="1"/>
  <c r="AL2736" i="1" s="1"/>
  <c r="AT2735" i="1"/>
  <c r="BW2733" i="1"/>
  <c r="BJ2733" i="1"/>
  <c r="Z2733" i="1" s="1"/>
  <c r="BD2733" i="1"/>
  <c r="AP2733" i="1"/>
  <c r="BI2733" i="1" s="1"/>
  <c r="AO2733" i="1"/>
  <c r="AK2733" i="1"/>
  <c r="AT2732" i="1" s="1"/>
  <c r="AJ2733" i="1"/>
  <c r="AS2732" i="1" s="1"/>
  <c r="AH2733" i="1"/>
  <c r="AG2733" i="1"/>
  <c r="AF2733" i="1"/>
  <c r="AE2733" i="1"/>
  <c r="AD2733" i="1"/>
  <c r="AC2733" i="1"/>
  <c r="AB2733" i="1"/>
  <c r="O2733" i="1"/>
  <c r="BF2733" i="1" s="1"/>
  <c r="L2733" i="1"/>
  <c r="AL2733" i="1" s="1"/>
  <c r="AU2732" i="1" s="1"/>
  <c r="K2733" i="1"/>
  <c r="K2732" i="1" s="1"/>
  <c r="E74" i="2" s="1"/>
  <c r="L2732" i="1"/>
  <c r="F74" i="2" s="1"/>
  <c r="I74" i="2" s="1"/>
  <c r="BW2730" i="1"/>
  <c r="BJ2730" i="1"/>
  <c r="BD2730" i="1"/>
  <c r="AP2730" i="1"/>
  <c r="BI2730" i="1" s="1"/>
  <c r="AC2730" i="1" s="1"/>
  <c r="AO2730" i="1"/>
  <c r="AW2730" i="1" s="1"/>
  <c r="AK2730" i="1"/>
  <c r="AT2729" i="1" s="1"/>
  <c r="AJ2730" i="1"/>
  <c r="AS2729" i="1" s="1"/>
  <c r="AH2730" i="1"/>
  <c r="AG2730" i="1"/>
  <c r="AF2730" i="1"/>
  <c r="AE2730" i="1"/>
  <c r="AD2730" i="1"/>
  <c r="Z2730" i="1"/>
  <c r="O2730" i="1"/>
  <c r="BF2730" i="1" s="1"/>
  <c r="L2730" i="1"/>
  <c r="AL2730" i="1" s="1"/>
  <c r="AU2729" i="1" s="1"/>
  <c r="K2730" i="1"/>
  <c r="K2729" i="1" s="1"/>
  <c r="E73" i="2" s="1"/>
  <c r="BW2726" i="1"/>
  <c r="BJ2726" i="1"/>
  <c r="BD2726" i="1"/>
  <c r="AP2726" i="1"/>
  <c r="AX2726" i="1" s="1"/>
  <c r="AO2726" i="1"/>
  <c r="AW2726" i="1" s="1"/>
  <c r="AK2726" i="1"/>
  <c r="AJ2726" i="1"/>
  <c r="AS2725" i="1" s="1"/>
  <c r="AH2726" i="1"/>
  <c r="AG2726" i="1"/>
  <c r="AF2726" i="1"/>
  <c r="AE2726" i="1"/>
  <c r="AD2726" i="1"/>
  <c r="Z2726" i="1"/>
  <c r="O2726" i="1"/>
  <c r="BF2726" i="1" s="1"/>
  <c r="L2726" i="1"/>
  <c r="AL2726" i="1" s="1"/>
  <c r="AU2725" i="1" s="1"/>
  <c r="K2726" i="1"/>
  <c r="K2725" i="1" s="1"/>
  <c r="E72" i="2" s="1"/>
  <c r="J2726" i="1"/>
  <c r="J2725" i="1" s="1"/>
  <c r="D72" i="2" s="1"/>
  <c r="AT2725" i="1"/>
  <c r="BW2724" i="1"/>
  <c r="BJ2724" i="1"/>
  <c r="BD2724" i="1"/>
  <c r="AP2724" i="1"/>
  <c r="BI2724" i="1" s="1"/>
  <c r="AC2724" i="1" s="1"/>
  <c r="AO2724" i="1"/>
  <c r="AK2724" i="1"/>
  <c r="AJ2724" i="1"/>
  <c r="AH2724" i="1"/>
  <c r="AG2724" i="1"/>
  <c r="AF2724" i="1"/>
  <c r="AE2724" i="1"/>
  <c r="AD2724" i="1"/>
  <c r="Z2724" i="1"/>
  <c r="O2724" i="1"/>
  <c r="BF2724" i="1" s="1"/>
  <c r="L2724" i="1"/>
  <c r="AL2724" i="1" s="1"/>
  <c r="K2724" i="1"/>
  <c r="BW2720" i="1"/>
  <c r="BJ2720" i="1"/>
  <c r="BD2720" i="1"/>
  <c r="AP2720" i="1"/>
  <c r="AO2720" i="1"/>
  <c r="BH2720" i="1" s="1"/>
  <c r="AB2720" i="1" s="1"/>
  <c r="AK2720" i="1"/>
  <c r="AJ2720" i="1"/>
  <c r="AH2720" i="1"/>
  <c r="AG2720" i="1"/>
  <c r="AF2720" i="1"/>
  <c r="AE2720" i="1"/>
  <c r="AD2720" i="1"/>
  <c r="Z2720" i="1"/>
  <c r="O2720" i="1"/>
  <c r="L2720" i="1"/>
  <c r="BW2716" i="1"/>
  <c r="BJ2716" i="1"/>
  <c r="BD2716" i="1"/>
  <c r="AP2716" i="1"/>
  <c r="BI2716" i="1" s="1"/>
  <c r="AC2716" i="1" s="1"/>
  <c r="AO2716" i="1"/>
  <c r="AK2716" i="1"/>
  <c r="AJ2716" i="1"/>
  <c r="AH2716" i="1"/>
  <c r="AG2716" i="1"/>
  <c r="AF2716" i="1"/>
  <c r="AE2716" i="1"/>
  <c r="AD2716" i="1"/>
  <c r="Z2716" i="1"/>
  <c r="O2716" i="1"/>
  <c r="BF2716" i="1" s="1"/>
  <c r="L2716" i="1"/>
  <c r="BW2711" i="1"/>
  <c r="BJ2711" i="1"/>
  <c r="BD2711" i="1"/>
  <c r="AP2711" i="1"/>
  <c r="BI2711" i="1" s="1"/>
  <c r="AC2711" i="1" s="1"/>
  <c r="AO2711" i="1"/>
  <c r="AW2711" i="1" s="1"/>
  <c r="AK2711" i="1"/>
  <c r="AT2710" i="1" s="1"/>
  <c r="AJ2711" i="1"/>
  <c r="AS2710" i="1" s="1"/>
  <c r="AH2711" i="1"/>
  <c r="AG2711" i="1"/>
  <c r="AF2711" i="1"/>
  <c r="AE2711" i="1"/>
  <c r="AD2711" i="1"/>
  <c r="Z2711" i="1"/>
  <c r="O2711" i="1"/>
  <c r="BF2711" i="1" s="1"/>
  <c r="L2711" i="1"/>
  <c r="L2710" i="1" s="1"/>
  <c r="F70" i="2" s="1"/>
  <c r="I70" i="2" s="1"/>
  <c r="BW2709" i="1"/>
  <c r="BJ2709" i="1"/>
  <c r="BD2709" i="1"/>
  <c r="AP2709" i="1"/>
  <c r="BI2709" i="1" s="1"/>
  <c r="AC2709" i="1" s="1"/>
  <c r="AO2709" i="1"/>
  <c r="AW2709" i="1" s="1"/>
  <c r="AK2709" i="1"/>
  <c r="AJ2709" i="1"/>
  <c r="AH2709" i="1"/>
  <c r="AG2709" i="1"/>
  <c r="AF2709" i="1"/>
  <c r="AE2709" i="1"/>
  <c r="AD2709" i="1"/>
  <c r="Z2709" i="1"/>
  <c r="O2709" i="1"/>
  <c r="BF2709" i="1" s="1"/>
  <c r="L2709" i="1"/>
  <c r="J2709" i="1"/>
  <c r="BW2707" i="1"/>
  <c r="BJ2707" i="1"/>
  <c r="BD2707" i="1"/>
  <c r="AP2707" i="1"/>
  <c r="AX2707" i="1" s="1"/>
  <c r="AO2707" i="1"/>
  <c r="AW2707" i="1" s="1"/>
  <c r="AK2707" i="1"/>
  <c r="AJ2707" i="1"/>
  <c r="AH2707" i="1"/>
  <c r="AG2707" i="1"/>
  <c r="AF2707" i="1"/>
  <c r="AE2707" i="1"/>
  <c r="AD2707" i="1"/>
  <c r="Z2707" i="1"/>
  <c r="O2707" i="1"/>
  <c r="BF2707" i="1" s="1"/>
  <c r="L2707" i="1"/>
  <c r="K2707" i="1"/>
  <c r="BW2706" i="1"/>
  <c r="BJ2706" i="1"/>
  <c r="BD2706" i="1"/>
  <c r="AP2706" i="1"/>
  <c r="AX2706" i="1" s="1"/>
  <c r="AO2706" i="1"/>
  <c r="BH2706" i="1" s="1"/>
  <c r="AB2706" i="1" s="1"/>
  <c r="AK2706" i="1"/>
  <c r="AJ2706" i="1"/>
  <c r="AS2705" i="1" s="1"/>
  <c r="AH2706" i="1"/>
  <c r="AG2706" i="1"/>
  <c r="AF2706" i="1"/>
  <c r="AE2706" i="1"/>
  <c r="AD2706" i="1"/>
  <c r="Z2706" i="1"/>
  <c r="O2706" i="1"/>
  <c r="BF2706" i="1" s="1"/>
  <c r="L2706" i="1"/>
  <c r="J2706" i="1"/>
  <c r="BW2703" i="1"/>
  <c r="BJ2703" i="1"/>
  <c r="BD2703" i="1"/>
  <c r="AX2703" i="1"/>
  <c r="AP2703" i="1"/>
  <c r="AO2703" i="1"/>
  <c r="J2703" i="1" s="1"/>
  <c r="AK2703" i="1"/>
  <c r="AJ2703" i="1"/>
  <c r="AH2703" i="1"/>
  <c r="AG2703" i="1"/>
  <c r="AF2703" i="1"/>
  <c r="AE2703" i="1"/>
  <c r="AD2703" i="1"/>
  <c r="Z2703" i="1"/>
  <c r="O2703" i="1"/>
  <c r="BF2703" i="1" s="1"/>
  <c r="L2703" i="1"/>
  <c r="BW2700" i="1"/>
  <c r="BJ2700" i="1"/>
  <c r="BD2700" i="1"/>
  <c r="AP2700" i="1"/>
  <c r="BI2700" i="1" s="1"/>
  <c r="AC2700" i="1" s="1"/>
  <c r="AO2700" i="1"/>
  <c r="AW2700" i="1" s="1"/>
  <c r="AK2700" i="1"/>
  <c r="AT2699" i="1" s="1"/>
  <c r="AJ2700" i="1"/>
  <c r="AH2700" i="1"/>
  <c r="AG2700" i="1"/>
  <c r="AF2700" i="1"/>
  <c r="AE2700" i="1"/>
  <c r="AD2700" i="1"/>
  <c r="Z2700" i="1"/>
  <c r="O2700" i="1"/>
  <c r="BF2700" i="1" s="1"/>
  <c r="L2700" i="1"/>
  <c r="BW2696" i="1"/>
  <c r="BJ2696" i="1"/>
  <c r="BD2696" i="1"/>
  <c r="AP2696" i="1"/>
  <c r="BI2696" i="1" s="1"/>
  <c r="AG2696" i="1" s="1"/>
  <c r="AO2696" i="1"/>
  <c r="AW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BI2695" i="1" s="1"/>
  <c r="AG2695" i="1" s="1"/>
  <c r="AO2695" i="1"/>
  <c r="AW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AX2694" i="1" s="1"/>
  <c r="AV2694" i="1" s="1"/>
  <c r="AO2694" i="1"/>
  <c r="AW2694" i="1" s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BI2693" i="1" s="1"/>
  <c r="AG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J2693" i="1"/>
  <c r="BW2692" i="1"/>
  <c r="BJ2692" i="1"/>
  <c r="BD2692" i="1"/>
  <c r="AP2692" i="1"/>
  <c r="AX2692" i="1" s="1"/>
  <c r="AO2692" i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K2692" i="1"/>
  <c r="BW2691" i="1"/>
  <c r="BJ2691" i="1"/>
  <c r="BD2691" i="1"/>
  <c r="AP2691" i="1"/>
  <c r="AX2691" i="1" s="1"/>
  <c r="AO2691" i="1"/>
  <c r="AW2691" i="1" s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AL2691" i="1" s="1"/>
  <c r="BW2690" i="1"/>
  <c r="BJ2690" i="1"/>
  <c r="BD2690" i="1"/>
  <c r="AP2690" i="1"/>
  <c r="BI2690" i="1" s="1"/>
  <c r="AG2690" i="1" s="1"/>
  <c r="AO2690" i="1"/>
  <c r="AW2690" i="1" s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K2689" i="1"/>
  <c r="BW2688" i="1"/>
  <c r="M2688" i="1" s="1"/>
  <c r="BJ2688" i="1"/>
  <c r="BD2688" i="1"/>
  <c r="AP2688" i="1"/>
  <c r="BI2688" i="1" s="1"/>
  <c r="AG2688" i="1" s="1"/>
  <c r="AO2688" i="1"/>
  <c r="BH2688" i="1" s="1"/>
  <c r="AF2688" i="1" s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AL2688" i="1" s="1"/>
  <c r="BW2687" i="1"/>
  <c r="BJ2687" i="1"/>
  <c r="BD2687" i="1"/>
  <c r="AP2687" i="1"/>
  <c r="AO2687" i="1"/>
  <c r="AW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AL2687" i="1" s="1"/>
  <c r="J2687" i="1"/>
  <c r="BW2686" i="1"/>
  <c r="BJ2686" i="1"/>
  <c r="BD2686" i="1"/>
  <c r="AX2686" i="1"/>
  <c r="AP2686" i="1"/>
  <c r="BI2686" i="1" s="1"/>
  <c r="AG2686" i="1" s="1"/>
  <c r="AO2686" i="1"/>
  <c r="BH2686" i="1" s="1"/>
  <c r="AF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K2686" i="1"/>
  <c r="J2686" i="1"/>
  <c r="BW2685" i="1"/>
  <c r="BJ2685" i="1"/>
  <c r="BD2685" i="1"/>
  <c r="AP2685" i="1"/>
  <c r="K2685" i="1" s="1"/>
  <c r="AO2685" i="1"/>
  <c r="BH2685" i="1" s="1"/>
  <c r="AF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M2685" i="1" s="1"/>
  <c r="BW2684" i="1"/>
  <c r="BJ2684" i="1"/>
  <c r="BD2684" i="1"/>
  <c r="AP2684" i="1"/>
  <c r="AO2684" i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BH2682" i="1" s="1"/>
  <c r="AF2682" i="1" s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K2682" i="1"/>
  <c r="BW2681" i="1"/>
  <c r="BJ2681" i="1"/>
  <c r="BD2681" i="1"/>
  <c r="AP2681" i="1"/>
  <c r="AO2681" i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BI2680" i="1" s="1"/>
  <c r="AG2680" i="1" s="1"/>
  <c r="AO2680" i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AL2680" i="1" s="1"/>
  <c r="BW2679" i="1"/>
  <c r="BJ2679" i="1"/>
  <c r="BD2679" i="1"/>
  <c r="AP2679" i="1"/>
  <c r="BI2679" i="1" s="1"/>
  <c r="AG2679" i="1" s="1"/>
  <c r="AO2679" i="1"/>
  <c r="BH2679" i="1" s="1"/>
  <c r="AF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K2679" i="1"/>
  <c r="BW2678" i="1"/>
  <c r="BJ2678" i="1"/>
  <c r="BD2678" i="1"/>
  <c r="AP2678" i="1"/>
  <c r="AO2678" i="1"/>
  <c r="BH2678" i="1" s="1"/>
  <c r="AF2678" i="1" s="1"/>
  <c r="AL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J2678" i="1"/>
  <c r="BW2677" i="1"/>
  <c r="BJ2677" i="1"/>
  <c r="BD2677" i="1"/>
  <c r="AP2677" i="1"/>
  <c r="BI2677" i="1" s="1"/>
  <c r="AG2677" i="1" s="1"/>
  <c r="AO2677" i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BI2676" i="1" s="1"/>
  <c r="AG2676" i="1" s="1"/>
  <c r="AO2676" i="1"/>
  <c r="BH2676" i="1" s="1"/>
  <c r="AF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K2676" i="1"/>
  <c r="BW2675" i="1"/>
  <c r="BJ2675" i="1"/>
  <c r="BD2675" i="1"/>
  <c r="AP2675" i="1"/>
  <c r="AO2675" i="1"/>
  <c r="AW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BW2674" i="1"/>
  <c r="BJ2674" i="1"/>
  <c r="BD2674" i="1"/>
  <c r="AP2674" i="1"/>
  <c r="BI2674" i="1" s="1"/>
  <c r="AG2674" i="1" s="1"/>
  <c r="AO2674" i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AL2674" i="1" s="1"/>
  <c r="BW2673" i="1"/>
  <c r="BJ2673" i="1"/>
  <c r="BD2673" i="1"/>
  <c r="AP2673" i="1"/>
  <c r="BI2673" i="1" s="1"/>
  <c r="AG2673" i="1" s="1"/>
  <c r="AO2673" i="1"/>
  <c r="BH2673" i="1" s="1"/>
  <c r="AF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K2673" i="1"/>
  <c r="BW2672" i="1"/>
  <c r="BJ2672" i="1"/>
  <c r="BH2672" i="1"/>
  <c r="AF2672" i="1" s="1"/>
  <c r="BD2672" i="1"/>
  <c r="AP2672" i="1"/>
  <c r="AO2672" i="1"/>
  <c r="AW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AL2672" i="1" s="1"/>
  <c r="J2672" i="1"/>
  <c r="BW2671" i="1"/>
  <c r="BJ2671" i="1"/>
  <c r="BD2671" i="1"/>
  <c r="AP2671" i="1"/>
  <c r="BI2671" i="1" s="1"/>
  <c r="AG2671" i="1" s="1"/>
  <c r="AO2671" i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I2670" i="1"/>
  <c r="AG2670" i="1" s="1"/>
  <c r="BD2670" i="1"/>
  <c r="AX2670" i="1"/>
  <c r="AP2670" i="1"/>
  <c r="AO2670" i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K2670" i="1"/>
  <c r="BW2669" i="1"/>
  <c r="BJ2669" i="1"/>
  <c r="BD2669" i="1"/>
  <c r="AP2669" i="1"/>
  <c r="AX2669" i="1" s="1"/>
  <c r="AO2669" i="1"/>
  <c r="BH2669" i="1" s="1"/>
  <c r="AF2669" i="1" s="1"/>
  <c r="AL2669" i="1"/>
  <c r="AK2669" i="1"/>
  <c r="AJ2669" i="1"/>
  <c r="AH2669" i="1"/>
  <c r="AE2669" i="1"/>
  <c r="AD2669" i="1"/>
  <c r="AC2669" i="1"/>
  <c r="AB2669" i="1"/>
  <c r="Z2669" i="1"/>
  <c r="O2669" i="1"/>
  <c r="BF2669" i="1" s="1"/>
  <c r="M2669" i="1"/>
  <c r="L2669" i="1"/>
  <c r="J2669" i="1"/>
  <c r="BW2668" i="1"/>
  <c r="BJ2668" i="1"/>
  <c r="BD2668" i="1"/>
  <c r="AP2668" i="1"/>
  <c r="BI2668" i="1" s="1"/>
  <c r="AG2668" i="1" s="1"/>
  <c r="AO2668" i="1"/>
  <c r="AW2668" i="1" s="1"/>
  <c r="AL2668" i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BW2667" i="1"/>
  <c r="BJ2667" i="1"/>
  <c r="BD2667" i="1"/>
  <c r="AX2667" i="1"/>
  <c r="AP2667" i="1"/>
  <c r="BI2667" i="1" s="1"/>
  <c r="AG2667" i="1" s="1"/>
  <c r="AO2667" i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K2667" i="1"/>
  <c r="BW2666" i="1"/>
  <c r="BJ2666" i="1"/>
  <c r="BD2666" i="1"/>
  <c r="AP2666" i="1"/>
  <c r="AX2666" i="1" s="1"/>
  <c r="AO2666" i="1"/>
  <c r="BH2666" i="1" s="1"/>
  <c r="AF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J2666" i="1"/>
  <c r="BW2665" i="1"/>
  <c r="BJ2665" i="1"/>
  <c r="BD2665" i="1"/>
  <c r="AP2665" i="1"/>
  <c r="BI2665" i="1" s="1"/>
  <c r="AG2665" i="1" s="1"/>
  <c r="AO2665" i="1"/>
  <c r="AW2665" i="1" s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AO2664" i="1"/>
  <c r="AW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K2664" i="1"/>
  <c r="BW2663" i="1"/>
  <c r="BJ2663" i="1"/>
  <c r="BD2663" i="1"/>
  <c r="AP2663" i="1"/>
  <c r="AO2663" i="1"/>
  <c r="BH2663" i="1" s="1"/>
  <c r="AF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BW2662" i="1"/>
  <c r="BJ2662" i="1"/>
  <c r="BD2662" i="1"/>
  <c r="AP2662" i="1"/>
  <c r="BI2662" i="1" s="1"/>
  <c r="AG2662" i="1" s="1"/>
  <c r="AO2662" i="1"/>
  <c r="AW2662" i="1" s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BW2660" i="1"/>
  <c r="BJ2660" i="1"/>
  <c r="BD2660" i="1"/>
  <c r="AP2660" i="1"/>
  <c r="AX2660" i="1" s="1"/>
  <c r="AO2660" i="1"/>
  <c r="BH2660" i="1" s="1"/>
  <c r="AF2660" i="1" s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BW2659" i="1"/>
  <c r="M2659" i="1" s="1"/>
  <c r="BJ2659" i="1"/>
  <c r="BD2659" i="1"/>
  <c r="AP2659" i="1"/>
  <c r="BI2659" i="1" s="1"/>
  <c r="AG2659" i="1" s="1"/>
  <c r="AO2659" i="1"/>
  <c r="AW2659" i="1" s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BI2658" i="1" s="1"/>
  <c r="AG2658" i="1" s="1"/>
  <c r="AO2658" i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K2658" i="1"/>
  <c r="BW2657" i="1"/>
  <c r="BJ2657" i="1"/>
  <c r="BH2657" i="1"/>
  <c r="AF2657" i="1" s="1"/>
  <c r="BD2657" i="1"/>
  <c r="AP2657" i="1"/>
  <c r="AX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BI2656" i="1" s="1"/>
  <c r="AG2656" i="1" s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BI2655" i="1" s="1"/>
  <c r="AG2655" i="1" s="1"/>
  <c r="AO2655" i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K2655" i="1"/>
  <c r="BW2654" i="1"/>
  <c r="BJ2654" i="1"/>
  <c r="BH2654" i="1"/>
  <c r="AF2654" i="1" s="1"/>
  <c r="BD2654" i="1"/>
  <c r="AP2654" i="1"/>
  <c r="AX2654" i="1" s="1"/>
  <c r="AO2654" i="1"/>
  <c r="AW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BI2653" i="1" s="1"/>
  <c r="AG2653" i="1" s="1"/>
  <c r="AO2653" i="1"/>
  <c r="J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BW2652" i="1"/>
  <c r="BJ2652" i="1"/>
  <c r="BD2652" i="1"/>
  <c r="AP2652" i="1"/>
  <c r="BI2652" i="1" s="1"/>
  <c r="AG2652" i="1" s="1"/>
  <c r="AO2652" i="1"/>
  <c r="AW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K2652" i="1"/>
  <c r="BW2651" i="1"/>
  <c r="BJ2651" i="1"/>
  <c r="BH2651" i="1"/>
  <c r="AF2651" i="1" s="1"/>
  <c r="BD2651" i="1"/>
  <c r="AP2651" i="1"/>
  <c r="AX2651" i="1" s="1"/>
  <c r="AO2651" i="1"/>
  <c r="J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BW2650" i="1"/>
  <c r="M2650" i="1" s="1"/>
  <c r="BJ2650" i="1"/>
  <c r="BD2650" i="1"/>
  <c r="AP2650" i="1"/>
  <c r="BI2650" i="1" s="1"/>
  <c r="AG2650" i="1" s="1"/>
  <c r="AO2650" i="1"/>
  <c r="AL2650" i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BW2649" i="1"/>
  <c r="BJ2649" i="1"/>
  <c r="BD2649" i="1"/>
  <c r="AP2649" i="1"/>
  <c r="BI2649" i="1" s="1"/>
  <c r="AG2649" i="1" s="1"/>
  <c r="AO2649" i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AL2649" i="1" s="1"/>
  <c r="BW2648" i="1"/>
  <c r="M2648" i="1" s="1"/>
  <c r="BJ2648" i="1"/>
  <c r="BH2648" i="1"/>
  <c r="AF2648" i="1" s="1"/>
  <c r="BD2648" i="1"/>
  <c r="AW2648" i="1"/>
  <c r="AP2648" i="1"/>
  <c r="AX2648" i="1" s="1"/>
  <c r="AO2648" i="1"/>
  <c r="J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AL2648" i="1" s="1"/>
  <c r="BW2647" i="1"/>
  <c r="BJ2647" i="1"/>
  <c r="BD2647" i="1"/>
  <c r="AP2647" i="1"/>
  <c r="AO2647" i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BW2646" i="1"/>
  <c r="BJ2646" i="1"/>
  <c r="BD2646" i="1"/>
  <c r="AX2646" i="1"/>
  <c r="AP2646" i="1"/>
  <c r="K2646" i="1" s="1"/>
  <c r="AO2646" i="1"/>
  <c r="AW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BW2645" i="1"/>
  <c r="BJ2645" i="1"/>
  <c r="BD2645" i="1"/>
  <c r="AP2645" i="1"/>
  <c r="K2645" i="1" s="1"/>
  <c r="AO2645" i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BW2644" i="1"/>
  <c r="BJ2644" i="1"/>
  <c r="BD2644" i="1"/>
  <c r="AP2644" i="1"/>
  <c r="AX2644" i="1" s="1"/>
  <c r="AO2644" i="1"/>
  <c r="AW2644" i="1" s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K2644" i="1"/>
  <c r="J2644" i="1"/>
  <c r="BW2643" i="1"/>
  <c r="BJ2643" i="1"/>
  <c r="BD2643" i="1"/>
  <c r="AP2643" i="1"/>
  <c r="AX2643" i="1" s="1"/>
  <c r="AO2643" i="1"/>
  <c r="AW2643" i="1" s="1"/>
  <c r="AL2643" i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BW2642" i="1"/>
  <c r="BJ2642" i="1"/>
  <c r="BD2642" i="1"/>
  <c r="AP2642" i="1"/>
  <c r="AO2642" i="1"/>
  <c r="AW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BW2641" i="1"/>
  <c r="BJ2641" i="1"/>
  <c r="BD2641" i="1"/>
  <c r="AP2641" i="1"/>
  <c r="AX2641" i="1" s="1"/>
  <c r="AO2641" i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M2641" i="1" s="1"/>
  <c r="BW2640" i="1"/>
  <c r="BJ2640" i="1"/>
  <c r="BD2640" i="1"/>
  <c r="AP2640" i="1"/>
  <c r="BI2640" i="1" s="1"/>
  <c r="AG2640" i="1" s="1"/>
  <c r="AO2640" i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K2640" i="1"/>
  <c r="BW2639" i="1"/>
  <c r="BJ2639" i="1"/>
  <c r="BD2639" i="1"/>
  <c r="AP2639" i="1"/>
  <c r="AX2639" i="1" s="1"/>
  <c r="AO2639" i="1"/>
  <c r="BH2639" i="1" s="1"/>
  <c r="AF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O2638" i="1"/>
  <c r="BH2638" i="1" s="1"/>
  <c r="AF2638" i="1" s="1"/>
  <c r="AL2638" i="1"/>
  <c r="AK2638" i="1"/>
  <c r="AJ2638" i="1"/>
  <c r="AH2638" i="1"/>
  <c r="AE2638" i="1"/>
  <c r="AD2638" i="1"/>
  <c r="AC2638" i="1"/>
  <c r="AB2638" i="1"/>
  <c r="Z2638" i="1"/>
  <c r="O2638" i="1"/>
  <c r="BF2638" i="1" s="1"/>
  <c r="M2638" i="1"/>
  <c r="L2638" i="1"/>
  <c r="J2638" i="1"/>
  <c r="BW2637" i="1"/>
  <c r="BJ2637" i="1"/>
  <c r="BD2637" i="1"/>
  <c r="AP2637" i="1"/>
  <c r="K2637" i="1" s="1"/>
  <c r="AO2637" i="1"/>
  <c r="AW2637" i="1" s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BW2636" i="1"/>
  <c r="BJ2636" i="1"/>
  <c r="BD2636" i="1"/>
  <c r="AP2636" i="1"/>
  <c r="BI2636" i="1" s="1"/>
  <c r="AG2636" i="1" s="1"/>
  <c r="AO2636" i="1"/>
  <c r="AW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K2636" i="1"/>
  <c r="J2636" i="1"/>
  <c r="BW2635" i="1"/>
  <c r="BJ2635" i="1"/>
  <c r="BD2635" i="1"/>
  <c r="AP2635" i="1"/>
  <c r="AO2635" i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M2635" i="1" s="1"/>
  <c r="BW2634" i="1"/>
  <c r="BJ2634" i="1"/>
  <c r="BD2634" i="1"/>
  <c r="AP2634" i="1"/>
  <c r="BI2634" i="1" s="1"/>
  <c r="AG2634" i="1" s="1"/>
  <c r="AO2634" i="1"/>
  <c r="BH2634" i="1" s="1"/>
  <c r="AF2634" i="1" s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AL2634" i="1" s="1"/>
  <c r="BW2633" i="1"/>
  <c r="BJ2633" i="1"/>
  <c r="BD2633" i="1"/>
  <c r="AP2633" i="1"/>
  <c r="BI2633" i="1" s="1"/>
  <c r="AG2633" i="1" s="1"/>
  <c r="AO2633" i="1"/>
  <c r="AW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J2633" i="1"/>
  <c r="BW2632" i="1"/>
  <c r="BJ2632" i="1"/>
  <c r="BD2632" i="1"/>
  <c r="AP2632" i="1"/>
  <c r="AO2632" i="1"/>
  <c r="AL2632" i="1"/>
  <c r="AK2632" i="1"/>
  <c r="AJ2632" i="1"/>
  <c r="AH2632" i="1"/>
  <c r="AE2632" i="1"/>
  <c r="AD2632" i="1"/>
  <c r="AC2632" i="1"/>
  <c r="AB2632" i="1"/>
  <c r="Z2632" i="1"/>
  <c r="O2632" i="1"/>
  <c r="BF2632" i="1" s="1"/>
  <c r="M2632" i="1"/>
  <c r="L2632" i="1"/>
  <c r="BW2631" i="1"/>
  <c r="BJ2631" i="1"/>
  <c r="BD2631" i="1"/>
  <c r="AP2631" i="1"/>
  <c r="BI2631" i="1" s="1"/>
  <c r="AG2631" i="1" s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AL2631" i="1" s="1"/>
  <c r="BW2630" i="1"/>
  <c r="BJ2630" i="1"/>
  <c r="BD2630" i="1"/>
  <c r="AP2630" i="1"/>
  <c r="AO2630" i="1"/>
  <c r="AW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K2630" i="1"/>
  <c r="BW2629" i="1"/>
  <c r="BJ2629" i="1"/>
  <c r="BD2629" i="1"/>
  <c r="AP2629" i="1"/>
  <c r="AO2629" i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M2629" i="1" s="1"/>
  <c r="K2629" i="1"/>
  <c r="BW2628" i="1"/>
  <c r="BJ2628" i="1"/>
  <c r="BD2628" i="1"/>
  <c r="AP2628" i="1"/>
  <c r="BI2628" i="1" s="1"/>
  <c r="AG2628" i="1" s="1"/>
  <c r="AO2628" i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F2627" i="1"/>
  <c r="BD2627" i="1"/>
  <c r="AX2627" i="1"/>
  <c r="AP2627" i="1"/>
  <c r="BI2627" i="1" s="1"/>
  <c r="AG2627" i="1" s="1"/>
  <c r="AO2627" i="1"/>
  <c r="AW2627" i="1" s="1"/>
  <c r="AK2627" i="1"/>
  <c r="AJ2627" i="1"/>
  <c r="AH2627" i="1"/>
  <c r="AE2627" i="1"/>
  <c r="AD2627" i="1"/>
  <c r="AC2627" i="1"/>
  <c r="AB2627" i="1"/>
  <c r="Z2627" i="1"/>
  <c r="O2627" i="1"/>
  <c r="L2627" i="1"/>
  <c r="AL2627" i="1" s="1"/>
  <c r="K2627" i="1"/>
  <c r="BW2626" i="1"/>
  <c r="BJ2626" i="1"/>
  <c r="BD2626" i="1"/>
  <c r="AP2626" i="1"/>
  <c r="AO2626" i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M2626" i="1" s="1"/>
  <c r="K2626" i="1"/>
  <c r="BW2625" i="1"/>
  <c r="BJ2625" i="1"/>
  <c r="BD2625" i="1"/>
  <c r="AP2625" i="1"/>
  <c r="AO2625" i="1"/>
  <c r="BH2625" i="1" s="1"/>
  <c r="AF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AL2625" i="1" s="1"/>
  <c r="BW2624" i="1"/>
  <c r="BJ2624" i="1"/>
  <c r="BF2624" i="1"/>
  <c r="BD2624" i="1"/>
  <c r="AP2624" i="1"/>
  <c r="AX2624" i="1" s="1"/>
  <c r="AO2624" i="1"/>
  <c r="AW2624" i="1" s="1"/>
  <c r="AK2624" i="1"/>
  <c r="AJ2624" i="1"/>
  <c r="AH2624" i="1"/>
  <c r="AE2624" i="1"/>
  <c r="AD2624" i="1"/>
  <c r="AC2624" i="1"/>
  <c r="AB2624" i="1"/>
  <c r="Z2624" i="1"/>
  <c r="O2624" i="1"/>
  <c r="L2624" i="1"/>
  <c r="AL2624" i="1" s="1"/>
  <c r="J2624" i="1"/>
  <c r="BW2623" i="1"/>
  <c r="M2623" i="1" s="1"/>
  <c r="BJ2623" i="1"/>
  <c r="BD2623" i="1"/>
  <c r="AP2623" i="1"/>
  <c r="AX2623" i="1" s="1"/>
  <c r="AO2623" i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AO2622" i="1"/>
  <c r="BH2622" i="1" s="1"/>
  <c r="AF2622" i="1" s="1"/>
  <c r="AL2622" i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BW2621" i="1"/>
  <c r="BJ2621" i="1"/>
  <c r="BD2621" i="1"/>
  <c r="AW2621" i="1"/>
  <c r="AP2621" i="1"/>
  <c r="BI2621" i="1" s="1"/>
  <c r="AG2621" i="1" s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AL2621" i="1" s="1"/>
  <c r="K2621" i="1"/>
  <c r="J2621" i="1"/>
  <c r="BW2620" i="1"/>
  <c r="BJ2620" i="1"/>
  <c r="BF2620" i="1"/>
  <c r="BD2620" i="1"/>
  <c r="AP2620" i="1"/>
  <c r="AX2620" i="1" s="1"/>
  <c r="AO2620" i="1"/>
  <c r="AL2620" i="1"/>
  <c r="AK2620" i="1"/>
  <c r="AJ2620" i="1"/>
  <c r="AH2620" i="1"/>
  <c r="AE2620" i="1"/>
  <c r="AD2620" i="1"/>
  <c r="AC2620" i="1"/>
  <c r="AB2620" i="1"/>
  <c r="Z2620" i="1"/>
  <c r="O2620" i="1"/>
  <c r="L2620" i="1"/>
  <c r="BW2619" i="1"/>
  <c r="BJ2619" i="1"/>
  <c r="BD2619" i="1"/>
  <c r="AP2619" i="1"/>
  <c r="AO2619" i="1"/>
  <c r="BH2619" i="1" s="1"/>
  <c r="AF2619" i="1" s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BI2618" i="1" s="1"/>
  <c r="AG2618" i="1" s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AL2618" i="1" s="1"/>
  <c r="J2618" i="1"/>
  <c r="BW2617" i="1"/>
  <c r="BJ2617" i="1"/>
  <c r="BD2617" i="1"/>
  <c r="AX2617" i="1"/>
  <c r="AP2617" i="1"/>
  <c r="BI2617" i="1" s="1"/>
  <c r="AG2617" i="1" s="1"/>
  <c r="AO2617" i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AL2617" i="1" s="1"/>
  <c r="K2617" i="1"/>
  <c r="BW2616" i="1"/>
  <c r="M2616" i="1" s="1"/>
  <c r="BJ2616" i="1"/>
  <c r="BD2616" i="1"/>
  <c r="AP2616" i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BI2615" i="1" s="1"/>
  <c r="AG2615" i="1" s="1"/>
  <c r="AO2615" i="1"/>
  <c r="BH2615" i="1" s="1"/>
  <c r="AF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K2615" i="1"/>
  <c r="J2615" i="1"/>
  <c r="BW2614" i="1"/>
  <c r="BJ2614" i="1"/>
  <c r="BD2614" i="1"/>
  <c r="AX2614" i="1"/>
  <c r="AP2614" i="1"/>
  <c r="BI2614" i="1" s="1"/>
  <c r="AG2614" i="1" s="1"/>
  <c r="AO2614" i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AL2614" i="1" s="1"/>
  <c r="BW2613" i="1"/>
  <c r="BJ2613" i="1"/>
  <c r="BD2613" i="1"/>
  <c r="AP2613" i="1"/>
  <c r="AO2613" i="1"/>
  <c r="BH2613" i="1" s="1"/>
  <c r="AF2613" i="1" s="1"/>
  <c r="AK2613" i="1"/>
  <c r="AJ2613" i="1"/>
  <c r="AH2613" i="1"/>
  <c r="AE2613" i="1"/>
  <c r="AD2613" i="1"/>
  <c r="AC2613" i="1"/>
  <c r="AB2613" i="1"/>
  <c r="Z2613" i="1"/>
  <c r="O2613" i="1"/>
  <c r="BF2613" i="1" s="1"/>
  <c r="M2613" i="1"/>
  <c r="L2613" i="1"/>
  <c r="AL2613" i="1" s="1"/>
  <c r="BW2612" i="1"/>
  <c r="BJ2612" i="1"/>
  <c r="BD2612" i="1"/>
  <c r="AP2612" i="1"/>
  <c r="K2612" i="1" s="1"/>
  <c r="AO2612" i="1"/>
  <c r="J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K2611" i="1" s="1"/>
  <c r="AO2611" i="1"/>
  <c r="AL2611" i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BW2610" i="1"/>
  <c r="BJ2610" i="1"/>
  <c r="BD2610" i="1"/>
  <c r="AP2610" i="1"/>
  <c r="AO2610" i="1"/>
  <c r="BH2610" i="1" s="1"/>
  <c r="AF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AL2610" i="1" s="1"/>
  <c r="BW2609" i="1"/>
  <c r="BJ2609" i="1"/>
  <c r="BI2609" i="1"/>
  <c r="AG2609" i="1" s="1"/>
  <c r="BD2609" i="1"/>
  <c r="AP2609" i="1"/>
  <c r="AX2609" i="1" s="1"/>
  <c r="AO2609" i="1"/>
  <c r="J2609" i="1" s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K2609" i="1"/>
  <c r="BW2608" i="1"/>
  <c r="BJ2608" i="1"/>
  <c r="BD2608" i="1"/>
  <c r="AP2608" i="1"/>
  <c r="K2608" i="1" s="1"/>
  <c r="AO2608" i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BW2607" i="1"/>
  <c r="BJ2607" i="1"/>
  <c r="BD2607" i="1"/>
  <c r="AP2607" i="1"/>
  <c r="AX2607" i="1" s="1"/>
  <c r="AO2607" i="1"/>
  <c r="AW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AL2607" i="1" s="1"/>
  <c r="BW2606" i="1"/>
  <c r="BJ2606" i="1"/>
  <c r="BD2606" i="1"/>
  <c r="AP2606" i="1"/>
  <c r="AX2606" i="1" s="1"/>
  <c r="AO2606" i="1"/>
  <c r="AW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AL2606" i="1" s="1"/>
  <c r="BW2605" i="1"/>
  <c r="BJ2605" i="1"/>
  <c r="BD2605" i="1"/>
  <c r="AP2605" i="1"/>
  <c r="AX2605" i="1" s="1"/>
  <c r="AO2605" i="1"/>
  <c r="BH2605" i="1" s="1"/>
  <c r="AF2605" i="1" s="1"/>
  <c r="AL2605" i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BW2604" i="1"/>
  <c r="BJ2604" i="1"/>
  <c r="BD2604" i="1"/>
  <c r="AP2604" i="1"/>
  <c r="AX2604" i="1" s="1"/>
  <c r="AO2604" i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M2604" i="1" s="1"/>
  <c r="BW2603" i="1"/>
  <c r="BJ2603" i="1"/>
  <c r="BD2603" i="1"/>
  <c r="AW2603" i="1"/>
  <c r="AP2603" i="1"/>
  <c r="AX2603" i="1" s="1"/>
  <c r="AO2603" i="1"/>
  <c r="J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AL2603" i="1" s="1"/>
  <c r="K2603" i="1"/>
  <c r="BW2602" i="1"/>
  <c r="BJ2602" i="1"/>
  <c r="BD2602" i="1"/>
  <c r="AP2602" i="1"/>
  <c r="AX2602" i="1" s="1"/>
  <c r="AO2602" i="1"/>
  <c r="AW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K2602" i="1"/>
  <c r="BW2601" i="1"/>
  <c r="BJ2601" i="1"/>
  <c r="BD2601" i="1"/>
  <c r="AP2601" i="1"/>
  <c r="AO2601" i="1"/>
  <c r="AW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AK2600" i="1"/>
  <c r="AJ2600" i="1"/>
  <c r="AH2600" i="1"/>
  <c r="AE2600" i="1"/>
  <c r="AD2600" i="1"/>
  <c r="AC2600" i="1"/>
  <c r="AB2600" i="1"/>
  <c r="Z2600" i="1"/>
  <c r="O2600" i="1"/>
  <c r="L2600" i="1"/>
  <c r="K2600" i="1"/>
  <c r="BW2599" i="1"/>
  <c r="BJ2599" i="1"/>
  <c r="BH2599" i="1"/>
  <c r="AF2599" i="1" s="1"/>
  <c r="BD2599" i="1"/>
  <c r="AP2599" i="1"/>
  <c r="BI2599" i="1" s="1"/>
  <c r="AG2599" i="1" s="1"/>
  <c r="AO2599" i="1"/>
  <c r="AW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AL2599" i="1" s="1"/>
  <c r="BW2598" i="1"/>
  <c r="BJ2598" i="1"/>
  <c r="BD2598" i="1"/>
  <c r="AP2598" i="1"/>
  <c r="BI2598" i="1" s="1"/>
  <c r="AG2598" i="1" s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M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K2597" i="1"/>
  <c r="BW2596" i="1"/>
  <c r="BJ2596" i="1"/>
  <c r="BD2596" i="1"/>
  <c r="AP2596" i="1"/>
  <c r="AO2596" i="1"/>
  <c r="BH2596" i="1" s="1"/>
  <c r="AF2596" i="1" s="1"/>
  <c r="AK2596" i="1"/>
  <c r="AJ2596" i="1"/>
  <c r="AH2596" i="1"/>
  <c r="AE2596" i="1"/>
  <c r="AD2596" i="1"/>
  <c r="AC2596" i="1"/>
  <c r="AB2596" i="1"/>
  <c r="Z2596" i="1"/>
  <c r="O2596" i="1"/>
  <c r="BF2596" i="1" s="1"/>
  <c r="M2596" i="1"/>
  <c r="L2596" i="1"/>
  <c r="AL2596" i="1" s="1"/>
  <c r="J2596" i="1"/>
  <c r="BW2595" i="1"/>
  <c r="M2595" i="1" s="1"/>
  <c r="BJ2595" i="1"/>
  <c r="BD2595" i="1"/>
  <c r="AP2595" i="1"/>
  <c r="AX2595" i="1" s="1"/>
  <c r="AO2595" i="1"/>
  <c r="BH2595" i="1" s="1"/>
  <c r="AK2595" i="1"/>
  <c r="AJ2595" i="1"/>
  <c r="AH2595" i="1"/>
  <c r="AF2595" i="1"/>
  <c r="AE2595" i="1"/>
  <c r="AD2595" i="1"/>
  <c r="AC2595" i="1"/>
  <c r="AB2595" i="1"/>
  <c r="Z2595" i="1"/>
  <c r="O2595" i="1"/>
  <c r="BF2595" i="1" s="1"/>
  <c r="L2595" i="1"/>
  <c r="AL2595" i="1" s="1"/>
  <c r="J2595" i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K2594" i="1"/>
  <c r="BW2593" i="1"/>
  <c r="BJ2593" i="1"/>
  <c r="BD2593" i="1"/>
  <c r="AP2593" i="1"/>
  <c r="AO2593" i="1"/>
  <c r="J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AL2593" i="1" s="1"/>
  <c r="BW2592" i="1"/>
  <c r="BJ2592" i="1"/>
  <c r="BD2592" i="1"/>
  <c r="AP2592" i="1"/>
  <c r="AX2592" i="1" s="1"/>
  <c r="AO2592" i="1"/>
  <c r="J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K2592" i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K2591" i="1"/>
  <c r="BW2590" i="1"/>
  <c r="BJ2590" i="1"/>
  <c r="BF2590" i="1"/>
  <c r="BD2590" i="1"/>
  <c r="AP2590" i="1"/>
  <c r="AO2590" i="1"/>
  <c r="BH2590" i="1" s="1"/>
  <c r="AF2590" i="1" s="1"/>
  <c r="AK2590" i="1"/>
  <c r="AJ2590" i="1"/>
  <c r="AH2590" i="1"/>
  <c r="AE2590" i="1"/>
  <c r="AD2590" i="1"/>
  <c r="AC2590" i="1"/>
  <c r="AB2590" i="1"/>
  <c r="Z2590" i="1"/>
  <c r="O2590" i="1"/>
  <c r="L2590" i="1"/>
  <c r="AL2590" i="1" s="1"/>
  <c r="J2590" i="1"/>
  <c r="BW2589" i="1"/>
  <c r="BJ2589" i="1"/>
  <c r="BD2589" i="1"/>
  <c r="AP2589" i="1"/>
  <c r="AO2589" i="1"/>
  <c r="J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AL2589" i="1" s="1"/>
  <c r="K2589" i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BW2587" i="1"/>
  <c r="BJ2587" i="1"/>
  <c r="BD2587" i="1"/>
  <c r="AP2587" i="1"/>
  <c r="AO2587" i="1"/>
  <c r="BH2587" i="1" s="1"/>
  <c r="AF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BW2586" i="1"/>
  <c r="BJ2586" i="1"/>
  <c r="BD2586" i="1"/>
  <c r="AP2586" i="1"/>
  <c r="AX2586" i="1" s="1"/>
  <c r="AO2586" i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AL2586" i="1" s="1"/>
  <c r="BW2585" i="1"/>
  <c r="BJ2585" i="1"/>
  <c r="BD2585" i="1"/>
  <c r="AP2585" i="1"/>
  <c r="AX2585" i="1" s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K2585" i="1"/>
  <c r="BW2584" i="1"/>
  <c r="BJ2584" i="1"/>
  <c r="BD2584" i="1"/>
  <c r="AP2584" i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M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AL2583" i="1" s="1"/>
  <c r="K2583" i="1"/>
  <c r="J2583" i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K2582" i="1"/>
  <c r="BW2581" i="1"/>
  <c r="BJ2581" i="1"/>
  <c r="BH2581" i="1"/>
  <c r="AF2581" i="1" s="1"/>
  <c r="BD2581" i="1"/>
  <c r="AP2581" i="1"/>
  <c r="AO2581" i="1"/>
  <c r="AW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M2581" i="1" s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K2579" i="1"/>
  <c r="BW2578" i="1"/>
  <c r="BJ2578" i="1"/>
  <c r="BD2578" i="1"/>
  <c r="AP2578" i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AL2578" i="1" s="1"/>
  <c r="J2578" i="1"/>
  <c r="BW2577" i="1"/>
  <c r="BJ2577" i="1"/>
  <c r="BD2577" i="1"/>
  <c r="AP2577" i="1"/>
  <c r="AX2577" i="1" s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M2577" i="1" s="1"/>
  <c r="K2577" i="1"/>
  <c r="BW2576" i="1"/>
  <c r="BJ2576" i="1"/>
  <c r="BD2576" i="1"/>
  <c r="AP2576" i="1"/>
  <c r="AX2576" i="1" s="1"/>
  <c r="AO2576" i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K2576" i="1"/>
  <c r="BW2575" i="1"/>
  <c r="BJ2575" i="1"/>
  <c r="BD2575" i="1"/>
  <c r="AP2575" i="1"/>
  <c r="AO2575" i="1"/>
  <c r="J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AL2575" i="1" s="1"/>
  <c r="BW2574" i="1"/>
  <c r="BJ2574" i="1"/>
  <c r="BD2574" i="1"/>
  <c r="AP2574" i="1"/>
  <c r="AX2574" i="1" s="1"/>
  <c r="AO2574" i="1"/>
  <c r="BH2574" i="1" s="1"/>
  <c r="AF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BW2573" i="1"/>
  <c r="BJ2573" i="1"/>
  <c r="BD2573" i="1"/>
  <c r="AP2573" i="1"/>
  <c r="AX2573" i="1" s="1"/>
  <c r="AO2573" i="1"/>
  <c r="BH2573" i="1" s="1"/>
  <c r="AF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K2573" i="1"/>
  <c r="BW2572" i="1"/>
  <c r="M2572" i="1" s="1"/>
  <c r="BJ2572" i="1"/>
  <c r="BH2572" i="1"/>
  <c r="AF2572" i="1" s="1"/>
  <c r="BD2572" i="1"/>
  <c r="AP2572" i="1"/>
  <c r="AO2572" i="1"/>
  <c r="J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AL2572" i="1" s="1"/>
  <c r="BW2571" i="1"/>
  <c r="BJ2571" i="1"/>
  <c r="BD2571" i="1"/>
  <c r="AP2571" i="1"/>
  <c r="AX2571" i="1" s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M2571" i="1" s="1"/>
  <c r="BW2570" i="1"/>
  <c r="BJ2570" i="1"/>
  <c r="BD2570" i="1"/>
  <c r="AP2570" i="1"/>
  <c r="AX2570" i="1" s="1"/>
  <c r="AO2570" i="1"/>
  <c r="BH2570" i="1" s="1"/>
  <c r="AF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K2570" i="1"/>
  <c r="BW2569" i="1"/>
  <c r="BJ2569" i="1"/>
  <c r="BD2569" i="1"/>
  <c r="AP2569" i="1"/>
  <c r="AO2569" i="1"/>
  <c r="AW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BW2568" i="1"/>
  <c r="BJ2568" i="1"/>
  <c r="BF2568" i="1"/>
  <c r="BD2568" i="1"/>
  <c r="AP2568" i="1"/>
  <c r="AX2568" i="1" s="1"/>
  <c r="AO2568" i="1"/>
  <c r="BH2568" i="1" s="1"/>
  <c r="AF2568" i="1" s="1"/>
  <c r="AL2568" i="1"/>
  <c r="AK2568" i="1"/>
  <c r="AJ2568" i="1"/>
  <c r="AH2568" i="1"/>
  <c r="AE2568" i="1"/>
  <c r="AD2568" i="1"/>
  <c r="AC2568" i="1"/>
  <c r="AB2568" i="1"/>
  <c r="Z2568" i="1"/>
  <c r="O2568" i="1"/>
  <c r="L2568" i="1"/>
  <c r="M2568" i="1" s="1"/>
  <c r="K2568" i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K2567" i="1"/>
  <c r="BW2566" i="1"/>
  <c r="BJ2566" i="1"/>
  <c r="BD2566" i="1"/>
  <c r="AP2566" i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M2566" i="1" s="1"/>
  <c r="J2566" i="1"/>
  <c r="BW2565" i="1"/>
  <c r="BJ2565" i="1"/>
  <c r="BD2565" i="1"/>
  <c r="AP2565" i="1"/>
  <c r="AX2565" i="1" s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AL2565" i="1" s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K2564" i="1"/>
  <c r="BW2563" i="1"/>
  <c r="BJ2563" i="1"/>
  <c r="BD2563" i="1"/>
  <c r="AP2563" i="1"/>
  <c r="AO2563" i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X2562" i="1" s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J2562" i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K2561" i="1"/>
  <c r="BW2560" i="1"/>
  <c r="BJ2560" i="1"/>
  <c r="BD2560" i="1"/>
  <c r="AP2560" i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J2560" i="1"/>
  <c r="BW2559" i="1"/>
  <c r="BJ2559" i="1"/>
  <c r="BD2559" i="1"/>
  <c r="AP2559" i="1"/>
  <c r="AX2559" i="1" s="1"/>
  <c r="AO2559" i="1"/>
  <c r="AW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K2559" i="1"/>
  <c r="J2559" i="1"/>
  <c r="BW2558" i="1"/>
  <c r="BJ2558" i="1"/>
  <c r="BD2558" i="1"/>
  <c r="AW2558" i="1"/>
  <c r="AP2558" i="1"/>
  <c r="AX2558" i="1" s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K2558" i="1"/>
  <c r="BW2557" i="1"/>
  <c r="BJ2557" i="1"/>
  <c r="BD2557" i="1"/>
  <c r="AP2557" i="1"/>
  <c r="AO2557" i="1"/>
  <c r="J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AL2557" i="1" s="1"/>
  <c r="BW2556" i="1"/>
  <c r="BJ2556" i="1"/>
  <c r="BD2556" i="1"/>
  <c r="AP2556" i="1"/>
  <c r="AX2556" i="1" s="1"/>
  <c r="AO2556" i="1"/>
  <c r="J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K2556" i="1"/>
  <c r="BW2555" i="1"/>
  <c r="BJ2555" i="1"/>
  <c r="BD2555" i="1"/>
  <c r="AP2555" i="1"/>
  <c r="AX2555" i="1" s="1"/>
  <c r="AO2555" i="1"/>
  <c r="BH2555" i="1" s="1"/>
  <c r="AF2555" i="1" s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K2555" i="1"/>
  <c r="BW2554" i="1"/>
  <c r="BJ2554" i="1"/>
  <c r="BD2554" i="1"/>
  <c r="AP2554" i="1"/>
  <c r="AO2554" i="1"/>
  <c r="J2554" i="1" s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AL2554" i="1" s="1"/>
  <c r="BW2553" i="1"/>
  <c r="BJ2553" i="1"/>
  <c r="BD2553" i="1"/>
  <c r="AP2553" i="1"/>
  <c r="AX2553" i="1" s="1"/>
  <c r="AO2553" i="1"/>
  <c r="J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AL2553" i="1" s="1"/>
  <c r="BW2552" i="1"/>
  <c r="BJ2552" i="1"/>
  <c r="BD2552" i="1"/>
  <c r="AP2552" i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BW2551" i="1"/>
  <c r="BJ2551" i="1"/>
  <c r="BD2551" i="1"/>
  <c r="AP2551" i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AL2551" i="1" s="1"/>
  <c r="BW2550" i="1"/>
  <c r="BJ2550" i="1"/>
  <c r="BI2550" i="1"/>
  <c r="AG2550" i="1" s="1"/>
  <c r="BD2550" i="1"/>
  <c r="AP2550" i="1"/>
  <c r="AX2550" i="1" s="1"/>
  <c r="AO2550" i="1"/>
  <c r="BH2550" i="1" s="1"/>
  <c r="AF2550" i="1" s="1"/>
  <c r="AL2550" i="1"/>
  <c r="AK2550" i="1"/>
  <c r="AJ2550" i="1"/>
  <c r="AH2550" i="1"/>
  <c r="AE2550" i="1"/>
  <c r="AD2550" i="1"/>
  <c r="AC2550" i="1"/>
  <c r="AB2550" i="1"/>
  <c r="Z2550" i="1"/>
  <c r="O2550" i="1"/>
  <c r="BF2550" i="1" s="1"/>
  <c r="L2550" i="1"/>
  <c r="K2550" i="1"/>
  <c r="J2550" i="1"/>
  <c r="BW2549" i="1"/>
  <c r="BJ2549" i="1"/>
  <c r="BD2549" i="1"/>
  <c r="AP2549" i="1"/>
  <c r="AX2549" i="1" s="1"/>
  <c r="AO2549" i="1"/>
  <c r="BH2549" i="1" s="1"/>
  <c r="AF2549" i="1" s="1"/>
  <c r="AK2549" i="1"/>
  <c r="AJ2549" i="1"/>
  <c r="AH2549" i="1"/>
  <c r="AE2549" i="1"/>
  <c r="AD2549" i="1"/>
  <c r="AC2549" i="1"/>
  <c r="AB2549" i="1"/>
  <c r="Z2549" i="1"/>
  <c r="O2549" i="1"/>
  <c r="BF2549" i="1" s="1"/>
  <c r="L2549" i="1"/>
  <c r="K2549" i="1"/>
  <c r="BW2548" i="1"/>
  <c r="BJ2548" i="1"/>
  <c r="BD2548" i="1"/>
  <c r="AP2548" i="1"/>
  <c r="AO2548" i="1"/>
  <c r="BH2548" i="1" s="1"/>
  <c r="AF2548" i="1" s="1"/>
  <c r="AK2548" i="1"/>
  <c r="AJ2548" i="1"/>
  <c r="AH2548" i="1"/>
  <c r="AE2548" i="1"/>
  <c r="AD2548" i="1"/>
  <c r="AC2548" i="1"/>
  <c r="AB2548" i="1"/>
  <c r="Z2548" i="1"/>
  <c r="O2548" i="1"/>
  <c r="BF2548" i="1" s="1"/>
  <c r="L2548" i="1"/>
  <c r="M2548" i="1" s="1"/>
  <c r="BW2547" i="1"/>
  <c r="BJ2547" i="1"/>
  <c r="BD2547" i="1"/>
  <c r="AP2547" i="1"/>
  <c r="AX2547" i="1" s="1"/>
  <c r="AO2547" i="1"/>
  <c r="BH2547" i="1" s="1"/>
  <c r="AF2547" i="1" s="1"/>
  <c r="AK2547" i="1"/>
  <c r="AJ2547" i="1"/>
  <c r="AH2547" i="1"/>
  <c r="AE2547" i="1"/>
  <c r="AD2547" i="1"/>
  <c r="AC2547" i="1"/>
  <c r="AB2547" i="1"/>
  <c r="Z2547" i="1"/>
  <c r="O2547" i="1"/>
  <c r="BF2547" i="1" s="1"/>
  <c r="L2547" i="1"/>
  <c r="AL2547" i="1" s="1"/>
  <c r="K2547" i="1"/>
  <c r="J2547" i="1"/>
  <c r="BW2546" i="1"/>
  <c r="BJ2546" i="1"/>
  <c r="BD2546" i="1"/>
  <c r="AP2546" i="1"/>
  <c r="AX2546" i="1" s="1"/>
  <c r="AO2546" i="1"/>
  <c r="BH2546" i="1" s="1"/>
  <c r="AF2546" i="1" s="1"/>
  <c r="AK2546" i="1"/>
  <c r="AJ2546" i="1"/>
  <c r="AH2546" i="1"/>
  <c r="AE2546" i="1"/>
  <c r="AD2546" i="1"/>
  <c r="AC2546" i="1"/>
  <c r="AB2546" i="1"/>
  <c r="Z2546" i="1"/>
  <c r="O2546" i="1"/>
  <c r="BF2546" i="1" s="1"/>
  <c r="L2546" i="1"/>
  <c r="K2546" i="1"/>
  <c r="BW2545" i="1"/>
  <c r="M2545" i="1" s="1"/>
  <c r="BJ2545" i="1"/>
  <c r="BF2545" i="1"/>
  <c r="BD2545" i="1"/>
  <c r="AP2545" i="1"/>
  <c r="AO2545" i="1"/>
  <c r="BH2545" i="1" s="1"/>
  <c r="AF2545" i="1" s="1"/>
  <c r="AL2545" i="1"/>
  <c r="AK2545" i="1"/>
  <c r="AJ2545" i="1"/>
  <c r="AH2545" i="1"/>
  <c r="AE2545" i="1"/>
  <c r="AD2545" i="1"/>
  <c r="AC2545" i="1"/>
  <c r="AB2545" i="1"/>
  <c r="Z2545" i="1"/>
  <c r="O2545" i="1"/>
  <c r="L2545" i="1"/>
  <c r="BW2544" i="1"/>
  <c r="BJ2544" i="1"/>
  <c r="BD2544" i="1"/>
  <c r="AP2544" i="1"/>
  <c r="AX2544" i="1" s="1"/>
  <c r="AO2544" i="1"/>
  <c r="BH2544" i="1" s="1"/>
  <c r="AF2544" i="1" s="1"/>
  <c r="AK2544" i="1"/>
  <c r="AJ2544" i="1"/>
  <c r="AH2544" i="1"/>
  <c r="AE2544" i="1"/>
  <c r="AD2544" i="1"/>
  <c r="AC2544" i="1"/>
  <c r="AB2544" i="1"/>
  <c r="Z2544" i="1"/>
  <c r="O2544" i="1"/>
  <c r="BF2544" i="1" s="1"/>
  <c r="L2544" i="1"/>
  <c r="K2544" i="1"/>
  <c r="BW2543" i="1"/>
  <c r="BJ2543" i="1"/>
  <c r="BD2543" i="1"/>
  <c r="AP2543" i="1"/>
  <c r="AX2543" i="1" s="1"/>
  <c r="AO2543" i="1"/>
  <c r="AK2543" i="1"/>
  <c r="AJ2543" i="1"/>
  <c r="AH2543" i="1"/>
  <c r="AE2543" i="1"/>
  <c r="AD2543" i="1"/>
  <c r="AC2543" i="1"/>
  <c r="AB2543" i="1"/>
  <c r="Z2543" i="1"/>
  <c r="O2543" i="1"/>
  <c r="BF2543" i="1" s="1"/>
  <c r="L2543" i="1"/>
  <c r="BW2542" i="1"/>
  <c r="BJ2542" i="1"/>
  <c r="BD2542" i="1"/>
  <c r="AP2542" i="1"/>
  <c r="AO2542" i="1"/>
  <c r="BH2542" i="1" s="1"/>
  <c r="AF2542" i="1" s="1"/>
  <c r="AK2542" i="1"/>
  <c r="AJ2542" i="1"/>
  <c r="AH2542" i="1"/>
  <c r="AE2542" i="1"/>
  <c r="AD2542" i="1"/>
  <c r="AC2542" i="1"/>
  <c r="AB2542" i="1"/>
  <c r="Z2542" i="1"/>
  <c r="O2542" i="1"/>
  <c r="BF2542" i="1" s="1"/>
  <c r="L2542" i="1"/>
  <c r="AL2542" i="1" s="1"/>
  <c r="BW2541" i="1"/>
  <c r="BJ2541" i="1"/>
  <c r="BD2541" i="1"/>
  <c r="AP2541" i="1"/>
  <c r="AX2541" i="1" s="1"/>
  <c r="AO2541" i="1"/>
  <c r="BH2541" i="1" s="1"/>
  <c r="AF2541" i="1" s="1"/>
  <c r="AK2541" i="1"/>
  <c r="AJ2541" i="1"/>
  <c r="AH2541" i="1"/>
  <c r="AE2541" i="1"/>
  <c r="AD2541" i="1"/>
  <c r="AC2541" i="1"/>
  <c r="AB2541" i="1"/>
  <c r="Z2541" i="1"/>
  <c r="O2541" i="1"/>
  <c r="BF2541" i="1" s="1"/>
  <c r="L2541" i="1"/>
  <c r="AL2541" i="1" s="1"/>
  <c r="J2541" i="1"/>
  <c r="BW2540" i="1"/>
  <c r="BJ2540" i="1"/>
  <c r="BD2540" i="1"/>
  <c r="AP2540" i="1"/>
  <c r="AX2540" i="1" s="1"/>
  <c r="AO2540" i="1"/>
  <c r="J2540" i="1" s="1"/>
  <c r="AK2540" i="1"/>
  <c r="AJ2540" i="1"/>
  <c r="AH2540" i="1"/>
  <c r="AE2540" i="1"/>
  <c r="AD2540" i="1"/>
  <c r="AC2540" i="1"/>
  <c r="AB2540" i="1"/>
  <c r="Z2540" i="1"/>
  <c r="O2540" i="1"/>
  <c r="BF2540" i="1" s="1"/>
  <c r="L2540" i="1"/>
  <c r="K2540" i="1"/>
  <c r="BW2539" i="1"/>
  <c r="BJ2539" i="1"/>
  <c r="BD2539" i="1"/>
  <c r="AP2539" i="1"/>
  <c r="AO2539" i="1"/>
  <c r="BH2539" i="1" s="1"/>
  <c r="AF2539" i="1" s="1"/>
  <c r="AL2539" i="1"/>
  <c r="AK2539" i="1"/>
  <c r="AJ2539" i="1"/>
  <c r="AH2539" i="1"/>
  <c r="AE2539" i="1"/>
  <c r="AD2539" i="1"/>
  <c r="AC2539" i="1"/>
  <c r="AB2539" i="1"/>
  <c r="Z2539" i="1"/>
  <c r="O2539" i="1"/>
  <c r="BF2539" i="1" s="1"/>
  <c r="L2539" i="1"/>
  <c r="BW2538" i="1"/>
  <c r="BJ2538" i="1"/>
  <c r="BF2538" i="1"/>
  <c r="BD2538" i="1"/>
  <c r="AP2538" i="1"/>
  <c r="AX2538" i="1" s="1"/>
  <c r="AO2538" i="1"/>
  <c r="BH2538" i="1" s="1"/>
  <c r="AF2538" i="1" s="1"/>
  <c r="AK2538" i="1"/>
  <c r="AJ2538" i="1"/>
  <c r="AH2538" i="1"/>
  <c r="AE2538" i="1"/>
  <c r="AD2538" i="1"/>
  <c r="AC2538" i="1"/>
  <c r="AB2538" i="1"/>
  <c r="Z2538" i="1"/>
  <c r="O2538" i="1"/>
  <c r="L2538" i="1"/>
  <c r="J2538" i="1"/>
  <c r="BW2537" i="1"/>
  <c r="BJ2537" i="1"/>
  <c r="BH2537" i="1"/>
  <c r="BD2537" i="1"/>
  <c r="AP2537" i="1"/>
  <c r="AX2537" i="1" s="1"/>
  <c r="AO2537" i="1"/>
  <c r="AW2537" i="1" s="1"/>
  <c r="AK2537" i="1"/>
  <c r="AJ2537" i="1"/>
  <c r="AH2537" i="1"/>
  <c r="AF2537" i="1"/>
  <c r="AE2537" i="1"/>
  <c r="AD2537" i="1"/>
  <c r="AC2537" i="1"/>
  <c r="AB2537" i="1"/>
  <c r="Z2537" i="1"/>
  <c r="O2537" i="1"/>
  <c r="BF2537" i="1" s="1"/>
  <c r="L2537" i="1"/>
  <c r="J2537" i="1"/>
  <c r="BW2536" i="1"/>
  <c r="BJ2536" i="1"/>
  <c r="BD2536" i="1"/>
  <c r="AP2536" i="1"/>
  <c r="AO2536" i="1"/>
  <c r="BH2536" i="1" s="1"/>
  <c r="AF2536" i="1" s="1"/>
  <c r="AK2536" i="1"/>
  <c r="AJ2536" i="1"/>
  <c r="AH2536" i="1"/>
  <c r="AE2536" i="1"/>
  <c r="AD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AX2535" i="1" s="1"/>
  <c r="AO2535" i="1"/>
  <c r="BH2535" i="1" s="1"/>
  <c r="AF2535" i="1" s="1"/>
  <c r="AK2535" i="1"/>
  <c r="AJ2535" i="1"/>
  <c r="AH2535" i="1"/>
  <c r="AE2535" i="1"/>
  <c r="AD2535" i="1"/>
  <c r="AC2535" i="1"/>
  <c r="AB2535" i="1"/>
  <c r="Z2535" i="1"/>
  <c r="O2535" i="1"/>
  <c r="BF2535" i="1" s="1"/>
  <c r="L2535" i="1"/>
  <c r="K2535" i="1"/>
  <c r="BW2534" i="1"/>
  <c r="BJ2534" i="1"/>
  <c r="BD2534" i="1"/>
  <c r="AP2534" i="1"/>
  <c r="AX2534" i="1" s="1"/>
  <c r="AO2534" i="1"/>
  <c r="BH2534" i="1" s="1"/>
  <c r="AF2534" i="1" s="1"/>
  <c r="AK2534" i="1"/>
  <c r="AJ2534" i="1"/>
  <c r="AH2534" i="1"/>
  <c r="AE2534" i="1"/>
  <c r="AD2534" i="1"/>
  <c r="AC2534" i="1"/>
  <c r="AB2534" i="1"/>
  <c r="Z2534" i="1"/>
  <c r="O2534" i="1"/>
  <c r="BF2534" i="1" s="1"/>
  <c r="L2534" i="1"/>
  <c r="K2534" i="1"/>
  <c r="BW2533" i="1"/>
  <c r="M2533" i="1" s="1"/>
  <c r="BJ2533" i="1"/>
  <c r="BD2533" i="1"/>
  <c r="AW2533" i="1"/>
  <c r="AP2533" i="1"/>
  <c r="AO2533" i="1"/>
  <c r="BH2533" i="1" s="1"/>
  <c r="AK2533" i="1"/>
  <c r="AJ2533" i="1"/>
  <c r="AH2533" i="1"/>
  <c r="AF2533" i="1"/>
  <c r="AE2533" i="1"/>
  <c r="AD2533" i="1"/>
  <c r="AC2533" i="1"/>
  <c r="AB2533" i="1"/>
  <c r="Z2533" i="1"/>
  <c r="O2533" i="1"/>
  <c r="BF2533" i="1" s="1"/>
  <c r="L2533" i="1"/>
  <c r="AL2533" i="1" s="1"/>
  <c r="BW2532" i="1"/>
  <c r="BJ2532" i="1"/>
  <c r="BD2532" i="1"/>
  <c r="AP2532" i="1"/>
  <c r="AX2532" i="1" s="1"/>
  <c r="AO2532" i="1"/>
  <c r="BH2532" i="1" s="1"/>
  <c r="AF2532" i="1" s="1"/>
  <c r="AK2532" i="1"/>
  <c r="AJ2532" i="1"/>
  <c r="AH2532" i="1"/>
  <c r="AE2532" i="1"/>
  <c r="AD2532" i="1"/>
  <c r="AC2532" i="1"/>
  <c r="AB2532" i="1"/>
  <c r="Z2532" i="1"/>
  <c r="O2532" i="1"/>
  <c r="BF2532" i="1" s="1"/>
  <c r="L2532" i="1"/>
  <c r="M2532" i="1" s="1"/>
  <c r="K2532" i="1"/>
  <c r="J2532" i="1"/>
  <c r="BW2531" i="1"/>
  <c r="BJ2531" i="1"/>
  <c r="BD2531" i="1"/>
  <c r="AP2531" i="1"/>
  <c r="AX2531" i="1" s="1"/>
  <c r="AO2531" i="1"/>
  <c r="BH2531" i="1" s="1"/>
  <c r="AF2531" i="1" s="1"/>
  <c r="AK2531" i="1"/>
  <c r="AJ2531" i="1"/>
  <c r="AH2531" i="1"/>
  <c r="AE2531" i="1"/>
  <c r="AD2531" i="1"/>
  <c r="AC2531" i="1"/>
  <c r="AB2531" i="1"/>
  <c r="Z2531" i="1"/>
  <c r="O2531" i="1"/>
  <c r="BF2531" i="1" s="1"/>
  <c r="L2531" i="1"/>
  <c r="K2531" i="1"/>
  <c r="J2531" i="1"/>
  <c r="BW2530" i="1"/>
  <c r="BJ2530" i="1"/>
  <c r="BD2530" i="1"/>
  <c r="AP2530" i="1"/>
  <c r="AX2530" i="1" s="1"/>
  <c r="AO2530" i="1"/>
  <c r="BH2530" i="1" s="1"/>
  <c r="AF2530" i="1" s="1"/>
  <c r="AK2530" i="1"/>
  <c r="AJ2530" i="1"/>
  <c r="AH2530" i="1"/>
  <c r="AE2530" i="1"/>
  <c r="AD2530" i="1"/>
  <c r="AC2530" i="1"/>
  <c r="AB2530" i="1"/>
  <c r="Z2530" i="1"/>
  <c r="O2530" i="1"/>
  <c r="BF2530" i="1" s="1"/>
  <c r="L2530" i="1"/>
  <c r="BW2529" i="1"/>
  <c r="BJ2529" i="1"/>
  <c r="BD2529" i="1"/>
  <c r="AP2529" i="1"/>
  <c r="AX2529" i="1" s="1"/>
  <c r="AO2529" i="1"/>
  <c r="BH2529" i="1" s="1"/>
  <c r="AF2529" i="1" s="1"/>
  <c r="AK2529" i="1"/>
  <c r="AJ2529" i="1"/>
  <c r="AH2529" i="1"/>
  <c r="AE2529" i="1"/>
  <c r="AD2529" i="1"/>
  <c r="AC2529" i="1"/>
  <c r="AB2529" i="1"/>
  <c r="Z2529" i="1"/>
  <c r="O2529" i="1"/>
  <c r="BF2529" i="1" s="1"/>
  <c r="L2529" i="1"/>
  <c r="K2529" i="1"/>
  <c r="BW2528" i="1"/>
  <c r="BJ2528" i="1"/>
  <c r="BD2528" i="1"/>
  <c r="AP2528" i="1"/>
  <c r="AX2528" i="1" s="1"/>
  <c r="AO2528" i="1"/>
  <c r="BH2528" i="1" s="1"/>
  <c r="AF2528" i="1" s="1"/>
  <c r="AK2528" i="1"/>
  <c r="AJ2528" i="1"/>
  <c r="AH2528" i="1"/>
  <c r="AE2528" i="1"/>
  <c r="AD2528" i="1"/>
  <c r="AC2528" i="1"/>
  <c r="AB2528" i="1"/>
  <c r="Z2528" i="1"/>
  <c r="O2528" i="1"/>
  <c r="BF2528" i="1" s="1"/>
  <c r="L2528" i="1"/>
  <c r="AL2528" i="1" s="1"/>
  <c r="K2528" i="1"/>
  <c r="J2528" i="1"/>
  <c r="BW2527" i="1"/>
  <c r="BJ2527" i="1"/>
  <c r="BD2527" i="1"/>
  <c r="AP2527" i="1"/>
  <c r="AX2527" i="1" s="1"/>
  <c r="AO2527" i="1"/>
  <c r="BH2527" i="1" s="1"/>
  <c r="AF2527" i="1" s="1"/>
  <c r="AK2527" i="1"/>
  <c r="AJ2527" i="1"/>
  <c r="AH2527" i="1"/>
  <c r="AE2527" i="1"/>
  <c r="AD2527" i="1"/>
  <c r="AC2527" i="1"/>
  <c r="AB2527" i="1"/>
  <c r="Z2527" i="1"/>
  <c r="O2527" i="1"/>
  <c r="BF2527" i="1" s="1"/>
  <c r="L2527" i="1"/>
  <c r="AL2527" i="1" s="1"/>
  <c r="BW2526" i="1"/>
  <c r="BJ2526" i="1"/>
  <c r="BD2526" i="1"/>
  <c r="AP2526" i="1"/>
  <c r="AX2526" i="1" s="1"/>
  <c r="AO2526" i="1"/>
  <c r="BH2526" i="1" s="1"/>
  <c r="AF2526" i="1" s="1"/>
  <c r="AK2526" i="1"/>
  <c r="AJ2526" i="1"/>
  <c r="AH2526" i="1"/>
  <c r="AE2526" i="1"/>
  <c r="AD2526" i="1"/>
  <c r="AC2526" i="1"/>
  <c r="AB2526" i="1"/>
  <c r="Z2526" i="1"/>
  <c r="O2526" i="1"/>
  <c r="BF2526" i="1" s="1"/>
  <c r="L2526" i="1"/>
  <c r="AL2526" i="1" s="1"/>
  <c r="K2526" i="1"/>
  <c r="BW2525" i="1"/>
  <c r="BJ2525" i="1"/>
  <c r="BH2525" i="1"/>
  <c r="AF2525" i="1" s="1"/>
  <c r="BD2525" i="1"/>
  <c r="AP2525" i="1"/>
  <c r="AX2525" i="1" s="1"/>
  <c r="AO2525" i="1"/>
  <c r="AW2525" i="1" s="1"/>
  <c r="AK2525" i="1"/>
  <c r="AJ2525" i="1"/>
  <c r="AH2525" i="1"/>
  <c r="AE2525" i="1"/>
  <c r="AD2525" i="1"/>
  <c r="AC2525" i="1"/>
  <c r="AB2525" i="1"/>
  <c r="Z2525" i="1"/>
  <c r="O2525" i="1"/>
  <c r="BF2525" i="1" s="1"/>
  <c r="L2525" i="1"/>
  <c r="BW2524" i="1"/>
  <c r="BJ2524" i="1"/>
  <c r="BD2524" i="1"/>
  <c r="AP2524" i="1"/>
  <c r="AO2524" i="1"/>
  <c r="BH2524" i="1" s="1"/>
  <c r="AF2524" i="1" s="1"/>
  <c r="AK2524" i="1"/>
  <c r="AJ2524" i="1"/>
  <c r="AH2524" i="1"/>
  <c r="AE2524" i="1"/>
  <c r="AD2524" i="1"/>
  <c r="AC2524" i="1"/>
  <c r="AB2524" i="1"/>
  <c r="Z2524" i="1"/>
  <c r="O2524" i="1"/>
  <c r="BF2524" i="1" s="1"/>
  <c r="L2524" i="1"/>
  <c r="AL2524" i="1" s="1"/>
  <c r="BW2523" i="1"/>
  <c r="BJ2523" i="1"/>
  <c r="BD2523" i="1"/>
  <c r="AP2523" i="1"/>
  <c r="AX2523" i="1" s="1"/>
  <c r="AO2523" i="1"/>
  <c r="BH2523" i="1" s="1"/>
  <c r="AF2523" i="1" s="1"/>
  <c r="AK2523" i="1"/>
  <c r="AJ2523" i="1"/>
  <c r="AH2523" i="1"/>
  <c r="AE2523" i="1"/>
  <c r="AD2523" i="1"/>
  <c r="AC2523" i="1"/>
  <c r="AB2523" i="1"/>
  <c r="Z2523" i="1"/>
  <c r="O2523" i="1"/>
  <c r="BF2523" i="1" s="1"/>
  <c r="L2523" i="1"/>
  <c r="M2523" i="1" s="1"/>
  <c r="BW2522" i="1"/>
  <c r="BJ2522" i="1"/>
  <c r="BD2522" i="1"/>
  <c r="AP2522" i="1"/>
  <c r="AX2522" i="1" s="1"/>
  <c r="AO2522" i="1"/>
  <c r="AK2522" i="1"/>
  <c r="AJ2522" i="1"/>
  <c r="AH2522" i="1"/>
  <c r="AE2522" i="1"/>
  <c r="AD2522" i="1"/>
  <c r="AC2522" i="1"/>
  <c r="AB2522" i="1"/>
  <c r="Z2522" i="1"/>
  <c r="O2522" i="1"/>
  <c r="BF2522" i="1" s="1"/>
  <c r="L2522" i="1"/>
  <c r="AL2522" i="1" s="1"/>
  <c r="K2522" i="1"/>
  <c r="BW2521" i="1"/>
  <c r="BJ2521" i="1"/>
  <c r="BD2521" i="1"/>
  <c r="AP2521" i="1"/>
  <c r="AX2521" i="1" s="1"/>
  <c r="AO2521" i="1"/>
  <c r="AK2521" i="1"/>
  <c r="AJ2521" i="1"/>
  <c r="AH2521" i="1"/>
  <c r="AE2521" i="1"/>
  <c r="AD2521" i="1"/>
  <c r="AC2521" i="1"/>
  <c r="AB2521" i="1"/>
  <c r="Z2521" i="1"/>
  <c r="O2521" i="1"/>
  <c r="BF2521" i="1" s="1"/>
  <c r="L2521" i="1"/>
  <c r="AL2521" i="1" s="1"/>
  <c r="K2521" i="1"/>
  <c r="BW2520" i="1"/>
  <c r="BJ2520" i="1"/>
  <c r="BD2520" i="1"/>
  <c r="AP2520" i="1"/>
  <c r="AX2520" i="1" s="1"/>
  <c r="AO2520" i="1"/>
  <c r="BH2520" i="1" s="1"/>
  <c r="AF2520" i="1" s="1"/>
  <c r="AK2520" i="1"/>
  <c r="AJ2520" i="1"/>
  <c r="AH2520" i="1"/>
  <c r="AE2520" i="1"/>
  <c r="AD2520" i="1"/>
  <c r="AC2520" i="1"/>
  <c r="AB2520" i="1"/>
  <c r="Z2520" i="1"/>
  <c r="O2520" i="1"/>
  <c r="BF2520" i="1" s="1"/>
  <c r="L2520" i="1"/>
  <c r="K2520" i="1"/>
  <c r="BW2519" i="1"/>
  <c r="BJ2519" i="1"/>
  <c r="BD2519" i="1"/>
  <c r="AP2519" i="1"/>
  <c r="AO2519" i="1"/>
  <c r="BH2519" i="1" s="1"/>
  <c r="AF2519" i="1" s="1"/>
  <c r="AK2519" i="1"/>
  <c r="AJ2519" i="1"/>
  <c r="AH2519" i="1"/>
  <c r="AE2519" i="1"/>
  <c r="AD2519" i="1"/>
  <c r="AC2519" i="1"/>
  <c r="AB2519" i="1"/>
  <c r="Z2519" i="1"/>
  <c r="O2519" i="1"/>
  <c r="BF2519" i="1" s="1"/>
  <c r="L2519" i="1"/>
  <c r="AL2519" i="1" s="1"/>
  <c r="J2519" i="1"/>
  <c r="BW2518" i="1"/>
  <c r="BJ2518" i="1"/>
  <c r="BD2518" i="1"/>
  <c r="AP2518" i="1"/>
  <c r="AX2518" i="1" s="1"/>
  <c r="AO2518" i="1"/>
  <c r="BH2518" i="1" s="1"/>
  <c r="AK2518" i="1"/>
  <c r="AJ2518" i="1"/>
  <c r="AH2518" i="1"/>
  <c r="AF2518" i="1"/>
  <c r="AE2518" i="1"/>
  <c r="AD2518" i="1"/>
  <c r="AC2518" i="1"/>
  <c r="AB2518" i="1"/>
  <c r="Z2518" i="1"/>
  <c r="O2518" i="1"/>
  <c r="BF2518" i="1" s="1"/>
  <c r="L2518" i="1"/>
  <c r="J2518" i="1"/>
  <c r="BW2515" i="1"/>
  <c r="BJ2515" i="1"/>
  <c r="BD2515" i="1"/>
  <c r="AP2515" i="1"/>
  <c r="BI2515" i="1" s="1"/>
  <c r="AO2515" i="1"/>
  <c r="AW2515" i="1" s="1"/>
  <c r="AK2515" i="1"/>
  <c r="AJ2515" i="1"/>
  <c r="AH2515" i="1"/>
  <c r="AG2515" i="1"/>
  <c r="AF2515" i="1"/>
  <c r="AE2515" i="1"/>
  <c r="AD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BI2514" i="1" s="1"/>
  <c r="AE2514" i="1" s="1"/>
  <c r="AO2514" i="1"/>
  <c r="AL2514" i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M2514" i="1" s="1"/>
  <c r="BW2512" i="1"/>
  <c r="BJ2512" i="1"/>
  <c r="BD2512" i="1"/>
  <c r="AP2512" i="1"/>
  <c r="AX2512" i="1" s="1"/>
  <c r="AO2512" i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K2512" i="1"/>
  <c r="BW2511" i="1"/>
  <c r="BJ2511" i="1"/>
  <c r="Z2511" i="1" s="1"/>
  <c r="BD2511" i="1"/>
  <c r="AP2511" i="1"/>
  <c r="AX2511" i="1" s="1"/>
  <c r="AO2511" i="1"/>
  <c r="AW2511" i="1" s="1"/>
  <c r="AK2511" i="1"/>
  <c r="AJ2511" i="1"/>
  <c r="AH2511" i="1"/>
  <c r="AG2511" i="1"/>
  <c r="AF2511" i="1"/>
  <c r="AE2511" i="1"/>
  <c r="AD2511" i="1"/>
  <c r="AC2511" i="1"/>
  <c r="AB2511" i="1"/>
  <c r="O2511" i="1"/>
  <c r="BF2511" i="1" s="1"/>
  <c r="L2511" i="1"/>
  <c r="AL2511" i="1" s="1"/>
  <c r="BW2510" i="1"/>
  <c r="BJ2510" i="1"/>
  <c r="BD2510" i="1"/>
  <c r="AX2510" i="1"/>
  <c r="AP2510" i="1"/>
  <c r="BI2510" i="1" s="1"/>
  <c r="AE2510" i="1" s="1"/>
  <c r="AO2510" i="1"/>
  <c r="AL2510" i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BW2509" i="1"/>
  <c r="BJ2509" i="1"/>
  <c r="BH2509" i="1"/>
  <c r="AD2509" i="1" s="1"/>
  <c r="BD2509" i="1"/>
  <c r="AP2509" i="1"/>
  <c r="BI2509" i="1" s="1"/>
  <c r="AE2509" i="1" s="1"/>
  <c r="AO2509" i="1"/>
  <c r="AW2509" i="1" s="1"/>
  <c r="AK2509" i="1"/>
  <c r="AJ2509" i="1"/>
  <c r="AH2509" i="1"/>
  <c r="AG2509" i="1"/>
  <c r="AF2509" i="1"/>
  <c r="AC2509" i="1"/>
  <c r="AB2509" i="1"/>
  <c r="Z2509" i="1"/>
  <c r="O2509" i="1"/>
  <c r="BF2509" i="1" s="1"/>
  <c r="L2509" i="1"/>
  <c r="AL2509" i="1" s="1"/>
  <c r="K2509" i="1"/>
  <c r="J2509" i="1"/>
  <c r="BW2507" i="1"/>
  <c r="BJ2507" i="1"/>
  <c r="BD2507" i="1"/>
  <c r="AP2507" i="1"/>
  <c r="AX2507" i="1" s="1"/>
  <c r="AO2507" i="1"/>
  <c r="AW2507" i="1" s="1"/>
  <c r="AK2507" i="1"/>
  <c r="AJ2507" i="1"/>
  <c r="AH2507" i="1"/>
  <c r="AG2507" i="1"/>
  <c r="AF2507" i="1"/>
  <c r="AC2507" i="1"/>
  <c r="AB2507" i="1"/>
  <c r="Z2507" i="1"/>
  <c r="O2507" i="1"/>
  <c r="BF2507" i="1" s="1"/>
  <c r="L2507" i="1"/>
  <c r="AL2507" i="1" s="1"/>
  <c r="BW2506" i="1"/>
  <c r="BJ2506" i="1"/>
  <c r="BD2506" i="1"/>
  <c r="AP2506" i="1"/>
  <c r="BI2506" i="1" s="1"/>
  <c r="AE2506" i="1" s="1"/>
  <c r="AO2506" i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5" i="1"/>
  <c r="BJ2505" i="1"/>
  <c r="BD2505" i="1"/>
  <c r="AP2505" i="1"/>
  <c r="K2505" i="1" s="1"/>
  <c r="AO2505" i="1"/>
  <c r="BH2505" i="1" s="1"/>
  <c r="AD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AL2505" i="1" s="1"/>
  <c r="BW2503" i="1"/>
  <c r="BJ2503" i="1"/>
  <c r="BD2503" i="1"/>
  <c r="AP2503" i="1"/>
  <c r="AX2503" i="1" s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2" i="1"/>
  <c r="BJ2502" i="1"/>
  <c r="BD2502" i="1"/>
  <c r="AX2502" i="1"/>
  <c r="AP2502" i="1"/>
  <c r="BI2502" i="1" s="1"/>
  <c r="AE2502" i="1" s="1"/>
  <c r="AO2502" i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AL2502" i="1" s="1"/>
  <c r="BW2501" i="1"/>
  <c r="BJ2501" i="1"/>
  <c r="BD2501" i="1"/>
  <c r="AP2501" i="1"/>
  <c r="BI2501" i="1" s="1"/>
  <c r="AE2501" i="1" s="1"/>
  <c r="AO2501" i="1"/>
  <c r="BH2501" i="1" s="1"/>
  <c r="AD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K2501" i="1"/>
  <c r="J2501" i="1"/>
  <c r="BW2500" i="1"/>
  <c r="BJ2500" i="1"/>
  <c r="BD2500" i="1"/>
  <c r="AP2500" i="1"/>
  <c r="AX2500" i="1" s="1"/>
  <c r="AO2500" i="1"/>
  <c r="AW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AL2500" i="1" s="1"/>
  <c r="BW2499" i="1"/>
  <c r="BJ2499" i="1"/>
  <c r="BD2499" i="1"/>
  <c r="AP2499" i="1"/>
  <c r="BI2499" i="1" s="1"/>
  <c r="AE2499" i="1" s="1"/>
  <c r="AO2499" i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7" i="1"/>
  <c r="BJ2497" i="1"/>
  <c r="BD2497" i="1"/>
  <c r="AP2497" i="1"/>
  <c r="BI2497" i="1" s="1"/>
  <c r="AE2497" i="1" s="1"/>
  <c r="AO2497" i="1"/>
  <c r="BH2497" i="1" s="1"/>
  <c r="AD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AL2497" i="1" s="1"/>
  <c r="K2497" i="1"/>
  <c r="BW2496" i="1"/>
  <c r="BJ2496" i="1"/>
  <c r="BD2496" i="1"/>
  <c r="AP2496" i="1"/>
  <c r="AO2496" i="1"/>
  <c r="AW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AL2496" i="1" s="1"/>
  <c r="J2496" i="1"/>
  <c r="BW2495" i="1"/>
  <c r="BJ2495" i="1"/>
  <c r="BD2495" i="1"/>
  <c r="AP2495" i="1"/>
  <c r="BI2495" i="1" s="1"/>
  <c r="AE2495" i="1" s="1"/>
  <c r="AO2495" i="1"/>
  <c r="AK2495" i="1"/>
  <c r="AJ2495" i="1"/>
  <c r="AH2495" i="1"/>
  <c r="AG2495" i="1"/>
  <c r="AF2495" i="1"/>
  <c r="AC2495" i="1"/>
  <c r="AB2495" i="1"/>
  <c r="Z2495" i="1"/>
  <c r="O2495" i="1"/>
  <c r="BF2495" i="1" s="1"/>
  <c r="L2495" i="1"/>
  <c r="AL2495" i="1" s="1"/>
  <c r="BW2494" i="1"/>
  <c r="BJ2494" i="1"/>
  <c r="BI2494" i="1"/>
  <c r="AE2494" i="1" s="1"/>
  <c r="BD2494" i="1"/>
  <c r="AP2494" i="1"/>
  <c r="AX2494" i="1" s="1"/>
  <c r="AO2494" i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AL2494" i="1" s="1"/>
  <c r="K2494" i="1"/>
  <c r="J2494" i="1"/>
  <c r="BW2493" i="1"/>
  <c r="BJ2493" i="1"/>
  <c r="BD2493" i="1"/>
  <c r="AP2493" i="1"/>
  <c r="AO2493" i="1"/>
  <c r="AW2493" i="1" s="1"/>
  <c r="AK2493" i="1"/>
  <c r="AJ2493" i="1"/>
  <c r="AH2493" i="1"/>
  <c r="AG2493" i="1"/>
  <c r="AF2493" i="1"/>
  <c r="AC2493" i="1"/>
  <c r="AB2493" i="1"/>
  <c r="Z2493" i="1"/>
  <c r="O2493" i="1"/>
  <c r="BF2493" i="1" s="1"/>
  <c r="L2493" i="1"/>
  <c r="BW2492" i="1"/>
  <c r="BJ2492" i="1"/>
  <c r="BD2492" i="1"/>
  <c r="AP2492" i="1"/>
  <c r="BI2492" i="1" s="1"/>
  <c r="AE2492" i="1" s="1"/>
  <c r="AO2492" i="1"/>
  <c r="AW2492" i="1" s="1"/>
  <c r="AK2492" i="1"/>
  <c r="AJ2492" i="1"/>
  <c r="AH2492" i="1"/>
  <c r="AG2492" i="1"/>
  <c r="AF2492" i="1"/>
  <c r="AC2492" i="1"/>
  <c r="AB2492" i="1"/>
  <c r="Z2492" i="1"/>
  <c r="O2492" i="1"/>
  <c r="BF2492" i="1" s="1"/>
  <c r="L2492" i="1"/>
  <c r="AL2492" i="1" s="1"/>
  <c r="BW2491" i="1"/>
  <c r="BJ2491" i="1"/>
  <c r="BD2491" i="1"/>
  <c r="AP2491" i="1"/>
  <c r="AX2491" i="1" s="1"/>
  <c r="AO2491" i="1"/>
  <c r="BH2491" i="1" s="1"/>
  <c r="AD2491" i="1" s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AL2491" i="1" s="1"/>
  <c r="BW2490" i="1"/>
  <c r="BJ2490" i="1"/>
  <c r="BD2490" i="1"/>
  <c r="AP2490" i="1"/>
  <c r="AX2490" i="1" s="1"/>
  <c r="AO2490" i="1"/>
  <c r="AW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K2490" i="1"/>
  <c r="J2490" i="1"/>
  <c r="BW2489" i="1"/>
  <c r="BJ2489" i="1"/>
  <c r="BD2489" i="1"/>
  <c r="AP2489" i="1"/>
  <c r="AO2489" i="1"/>
  <c r="AW2489" i="1" s="1"/>
  <c r="AK2489" i="1"/>
  <c r="AJ2489" i="1"/>
  <c r="AH2489" i="1"/>
  <c r="AG2489" i="1"/>
  <c r="AF2489" i="1"/>
  <c r="AC2489" i="1"/>
  <c r="AB2489" i="1"/>
  <c r="Z2489" i="1"/>
  <c r="O2489" i="1"/>
  <c r="BF2489" i="1" s="1"/>
  <c r="L2489" i="1"/>
  <c r="AL2489" i="1" s="1"/>
  <c r="BW2488" i="1"/>
  <c r="BJ2488" i="1"/>
  <c r="BD2488" i="1"/>
  <c r="AP2488" i="1"/>
  <c r="BI2488" i="1" s="1"/>
  <c r="AE2488" i="1" s="1"/>
  <c r="AO2488" i="1"/>
  <c r="J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AL2488" i="1" s="1"/>
  <c r="K2488" i="1"/>
  <c r="BW2487" i="1"/>
  <c r="BJ2487" i="1"/>
  <c r="BD2487" i="1"/>
  <c r="AP2487" i="1"/>
  <c r="BI2487" i="1" s="1"/>
  <c r="AE2487" i="1" s="1"/>
  <c r="AO2487" i="1"/>
  <c r="AW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K2487" i="1"/>
  <c r="BW2485" i="1"/>
  <c r="BJ2485" i="1"/>
  <c r="BD2485" i="1"/>
  <c r="AP2485" i="1"/>
  <c r="AO2485" i="1"/>
  <c r="J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AL2485" i="1" s="1"/>
  <c r="BW2483" i="1"/>
  <c r="BJ2483" i="1"/>
  <c r="BD2483" i="1"/>
  <c r="AP2483" i="1"/>
  <c r="K2483" i="1" s="1"/>
  <c r="AO2483" i="1"/>
  <c r="J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BW2481" i="1"/>
  <c r="BJ2481" i="1"/>
  <c r="BD2481" i="1"/>
  <c r="AP2481" i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J2481" i="1"/>
  <c r="BW2479" i="1"/>
  <c r="BJ2479" i="1"/>
  <c r="BD2479" i="1"/>
  <c r="AP2479" i="1"/>
  <c r="AX2479" i="1" s="1"/>
  <c r="AO2479" i="1"/>
  <c r="BH2479" i="1" s="1"/>
  <c r="AD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AL2479" i="1" s="1"/>
  <c r="BW2477" i="1"/>
  <c r="BJ2477" i="1"/>
  <c r="BD2477" i="1"/>
  <c r="AP2477" i="1"/>
  <c r="K2477" i="1" s="1"/>
  <c r="AO2477" i="1"/>
  <c r="AW2477" i="1" s="1"/>
  <c r="AK2477" i="1"/>
  <c r="AJ2477" i="1"/>
  <c r="AH2477" i="1"/>
  <c r="AG2477" i="1"/>
  <c r="AF2477" i="1"/>
  <c r="AC2477" i="1"/>
  <c r="AB2477" i="1"/>
  <c r="Z2477" i="1"/>
  <c r="O2477" i="1"/>
  <c r="BF2477" i="1" s="1"/>
  <c r="L2477" i="1"/>
  <c r="BW2476" i="1"/>
  <c r="BJ2476" i="1"/>
  <c r="BD2476" i="1"/>
  <c r="AP2476" i="1"/>
  <c r="BI2476" i="1" s="1"/>
  <c r="AE2476" i="1" s="1"/>
  <c r="AO2476" i="1"/>
  <c r="AW2476" i="1" s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4" i="1"/>
  <c r="BJ2474" i="1"/>
  <c r="BD2474" i="1"/>
  <c r="AP2474" i="1"/>
  <c r="AO2474" i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AL2474" i="1" s="1"/>
  <c r="BW2473" i="1"/>
  <c r="BJ2473" i="1"/>
  <c r="BD2473" i="1"/>
  <c r="AP2473" i="1"/>
  <c r="AO2473" i="1"/>
  <c r="BH2473" i="1" s="1"/>
  <c r="AD2473" i="1" s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K2473" i="1"/>
  <c r="J2473" i="1"/>
  <c r="BW2472" i="1"/>
  <c r="M2472" i="1" s="1"/>
  <c r="BJ2472" i="1"/>
  <c r="BD2472" i="1"/>
  <c r="AP2472" i="1"/>
  <c r="BI2472" i="1" s="1"/>
  <c r="AE2472" i="1" s="1"/>
  <c r="AO2472" i="1"/>
  <c r="AW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AL2472" i="1" s="1"/>
  <c r="K2472" i="1"/>
  <c r="J2472" i="1"/>
  <c r="BW2471" i="1"/>
  <c r="BJ2471" i="1"/>
  <c r="BD2471" i="1"/>
  <c r="AP2471" i="1"/>
  <c r="AO2471" i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AL2471" i="1" s="1"/>
  <c r="BW2470" i="1"/>
  <c r="BJ2470" i="1"/>
  <c r="BD2470" i="1"/>
  <c r="AP2470" i="1"/>
  <c r="AX2470" i="1" s="1"/>
  <c r="AO2470" i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M2470" i="1" s="1"/>
  <c r="J2470" i="1"/>
  <c r="BW2469" i="1"/>
  <c r="BJ2469" i="1"/>
  <c r="BD2469" i="1"/>
  <c r="AX2469" i="1"/>
  <c r="AP2469" i="1"/>
  <c r="BI2469" i="1" s="1"/>
  <c r="AE2469" i="1" s="1"/>
  <c r="AO2469" i="1"/>
  <c r="AW2469" i="1" s="1"/>
  <c r="AK2469" i="1"/>
  <c r="AJ2469" i="1"/>
  <c r="AH2469" i="1"/>
  <c r="AG2469" i="1"/>
  <c r="AF2469" i="1"/>
  <c r="AC2469" i="1"/>
  <c r="AB2469" i="1"/>
  <c r="Z2469" i="1"/>
  <c r="O2469" i="1"/>
  <c r="BF2469" i="1" s="1"/>
  <c r="L2469" i="1"/>
  <c r="K2469" i="1"/>
  <c r="BW2467" i="1"/>
  <c r="BJ2467" i="1"/>
  <c r="BD2467" i="1"/>
  <c r="AX2467" i="1"/>
  <c r="AP2467" i="1"/>
  <c r="AO2467" i="1"/>
  <c r="AW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AL2467" i="1" s="1"/>
  <c r="BW2466" i="1"/>
  <c r="BJ2466" i="1"/>
  <c r="BD2466" i="1"/>
  <c r="AP2466" i="1"/>
  <c r="AX2466" i="1" s="1"/>
  <c r="AO2466" i="1"/>
  <c r="BH2466" i="1" s="1"/>
  <c r="AD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K2466" i="1"/>
  <c r="BW2464" i="1"/>
  <c r="BJ2464" i="1"/>
  <c r="BD2464" i="1"/>
  <c r="AP2464" i="1"/>
  <c r="AO2464" i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AL2464" i="1" s="1"/>
  <c r="BW2463" i="1"/>
  <c r="BJ2463" i="1"/>
  <c r="BD2463" i="1"/>
  <c r="AP2463" i="1"/>
  <c r="AX2463" i="1" s="1"/>
  <c r="AO2463" i="1"/>
  <c r="J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AL2463" i="1" s="1"/>
  <c r="BW2462" i="1"/>
  <c r="BJ2462" i="1"/>
  <c r="BD2462" i="1"/>
  <c r="AP2462" i="1"/>
  <c r="K2462" i="1" s="1"/>
  <c r="AO2462" i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AL2462" i="1" s="1"/>
  <c r="BW2461" i="1"/>
  <c r="BJ2461" i="1"/>
  <c r="BD2461" i="1"/>
  <c r="AP2461" i="1"/>
  <c r="AX2461" i="1" s="1"/>
  <c r="AO2461" i="1"/>
  <c r="BH2461" i="1" s="1"/>
  <c r="AD2461" i="1" s="1"/>
  <c r="AK2461" i="1"/>
  <c r="AJ2461" i="1"/>
  <c r="AH2461" i="1"/>
  <c r="AG2461" i="1"/>
  <c r="AF2461" i="1"/>
  <c r="AC2461" i="1"/>
  <c r="AB2461" i="1"/>
  <c r="Z2461" i="1"/>
  <c r="O2461" i="1"/>
  <c r="BF2461" i="1" s="1"/>
  <c r="L2461" i="1"/>
  <c r="K2461" i="1"/>
  <c r="J2461" i="1"/>
  <c r="BW2460" i="1"/>
  <c r="BJ2460" i="1"/>
  <c r="BD2460" i="1"/>
  <c r="AP2460" i="1"/>
  <c r="AO2460" i="1"/>
  <c r="AW2460" i="1" s="1"/>
  <c r="AK2460" i="1"/>
  <c r="AJ2460" i="1"/>
  <c r="AH2460" i="1"/>
  <c r="AG2460" i="1"/>
  <c r="AF2460" i="1"/>
  <c r="AC2460" i="1"/>
  <c r="AB2460" i="1"/>
  <c r="Z2460" i="1"/>
  <c r="O2460" i="1"/>
  <c r="BF2460" i="1" s="1"/>
  <c r="M2460" i="1"/>
  <c r="L2460" i="1"/>
  <c r="AL2460" i="1" s="1"/>
  <c r="J2460" i="1"/>
  <c r="BW2459" i="1"/>
  <c r="BJ2459" i="1"/>
  <c r="BD2459" i="1"/>
  <c r="AP2459" i="1"/>
  <c r="BI2459" i="1" s="1"/>
  <c r="AE2459" i="1" s="1"/>
  <c r="AO2459" i="1"/>
  <c r="BH2459" i="1" s="1"/>
  <c r="AD2459" i="1" s="1"/>
  <c r="AK2459" i="1"/>
  <c r="AJ2459" i="1"/>
  <c r="AH2459" i="1"/>
  <c r="AG2459" i="1"/>
  <c r="AF2459" i="1"/>
  <c r="AC2459" i="1"/>
  <c r="AB2459" i="1"/>
  <c r="Z2459" i="1"/>
  <c r="O2459" i="1"/>
  <c r="BF2459" i="1" s="1"/>
  <c r="L2459" i="1"/>
  <c r="AL2459" i="1" s="1"/>
  <c r="K2459" i="1"/>
  <c r="BW2458" i="1"/>
  <c r="BJ2458" i="1"/>
  <c r="BD2458" i="1"/>
  <c r="AP2458" i="1"/>
  <c r="AX2458" i="1" s="1"/>
  <c r="AO2458" i="1"/>
  <c r="BH2458" i="1" s="1"/>
  <c r="AD2458" i="1" s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K2458" i="1"/>
  <c r="J2458" i="1"/>
  <c r="BW2457" i="1"/>
  <c r="BJ2457" i="1"/>
  <c r="BD2457" i="1"/>
  <c r="AP2457" i="1"/>
  <c r="AO2457" i="1"/>
  <c r="AW2457" i="1" s="1"/>
  <c r="AK2457" i="1"/>
  <c r="AJ2457" i="1"/>
  <c r="AH2457" i="1"/>
  <c r="AG2457" i="1"/>
  <c r="AF2457" i="1"/>
  <c r="AC2457" i="1"/>
  <c r="AB2457" i="1"/>
  <c r="Z2457" i="1"/>
  <c r="O2457" i="1"/>
  <c r="BF2457" i="1" s="1"/>
  <c r="L2457" i="1"/>
  <c r="BW2456" i="1"/>
  <c r="BJ2456" i="1"/>
  <c r="BD2456" i="1"/>
  <c r="AX2456" i="1"/>
  <c r="AP2456" i="1"/>
  <c r="BI2456" i="1" s="1"/>
  <c r="AE2456" i="1" s="1"/>
  <c r="AO2456" i="1"/>
  <c r="BH2456" i="1" s="1"/>
  <c r="AD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AL2456" i="1" s="1"/>
  <c r="K2456" i="1"/>
  <c r="BW2455" i="1"/>
  <c r="BJ2455" i="1"/>
  <c r="BD2455" i="1"/>
  <c r="AP2455" i="1"/>
  <c r="AX2455" i="1" s="1"/>
  <c r="AO2455" i="1"/>
  <c r="BH2455" i="1" s="1"/>
  <c r="AD2455" i="1" s="1"/>
  <c r="AK2455" i="1"/>
  <c r="AJ2455" i="1"/>
  <c r="AH2455" i="1"/>
  <c r="AG2455" i="1"/>
  <c r="AF2455" i="1"/>
  <c r="AC2455" i="1"/>
  <c r="AB2455" i="1"/>
  <c r="Z2455" i="1"/>
  <c r="O2455" i="1"/>
  <c r="BF2455" i="1" s="1"/>
  <c r="L2455" i="1"/>
  <c r="K2455" i="1"/>
  <c r="J2455" i="1"/>
  <c r="BW2454" i="1"/>
  <c r="BJ2454" i="1"/>
  <c r="BD2454" i="1"/>
  <c r="AP2454" i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3" i="1"/>
  <c r="BJ2453" i="1"/>
  <c r="BD2453" i="1"/>
  <c r="AP2453" i="1"/>
  <c r="BI2453" i="1" s="1"/>
  <c r="AE2453" i="1" s="1"/>
  <c r="AO2453" i="1"/>
  <c r="BH2453" i="1" s="1"/>
  <c r="AD2453" i="1" s="1"/>
  <c r="AK2453" i="1"/>
  <c r="AJ2453" i="1"/>
  <c r="AH2453" i="1"/>
  <c r="AG2453" i="1"/>
  <c r="AF2453" i="1"/>
  <c r="AC2453" i="1"/>
  <c r="AB2453" i="1"/>
  <c r="Z2453" i="1"/>
  <c r="O2453" i="1"/>
  <c r="BF2453" i="1" s="1"/>
  <c r="L2453" i="1"/>
  <c r="AL2453" i="1" s="1"/>
  <c r="K2453" i="1"/>
  <c r="BW2452" i="1"/>
  <c r="BJ2452" i="1"/>
  <c r="BD2452" i="1"/>
  <c r="AP2452" i="1"/>
  <c r="AO2452" i="1"/>
  <c r="BH2452" i="1" s="1"/>
  <c r="AD2452" i="1" s="1"/>
  <c r="AK2452" i="1"/>
  <c r="AJ2452" i="1"/>
  <c r="AH2452" i="1"/>
  <c r="AG2452" i="1"/>
  <c r="AF2452" i="1"/>
  <c r="AC2452" i="1"/>
  <c r="AB2452" i="1"/>
  <c r="Z2452" i="1"/>
  <c r="O2452" i="1"/>
  <c r="BF2452" i="1" s="1"/>
  <c r="L2452" i="1"/>
  <c r="K2452" i="1"/>
  <c r="J2452" i="1"/>
  <c r="BW2451" i="1"/>
  <c r="BJ2451" i="1"/>
  <c r="BD2451" i="1"/>
  <c r="AP2451" i="1"/>
  <c r="AO2451" i="1"/>
  <c r="AW2451" i="1" s="1"/>
  <c r="AK2451" i="1"/>
  <c r="AJ2451" i="1"/>
  <c r="AH2451" i="1"/>
  <c r="AG2451" i="1"/>
  <c r="AF2451" i="1"/>
  <c r="AC2451" i="1"/>
  <c r="AB2451" i="1"/>
  <c r="Z2451" i="1"/>
  <c r="O2451" i="1"/>
  <c r="BF2451" i="1" s="1"/>
  <c r="L2451" i="1"/>
  <c r="BW2449" i="1"/>
  <c r="BJ2449" i="1"/>
  <c r="BD2449" i="1"/>
  <c r="AP2449" i="1"/>
  <c r="K2449" i="1" s="1"/>
  <c r="AO2449" i="1"/>
  <c r="BH2449" i="1" s="1"/>
  <c r="AD2449" i="1" s="1"/>
  <c r="AK2449" i="1"/>
  <c r="AJ2449" i="1"/>
  <c r="AH2449" i="1"/>
  <c r="AG2449" i="1"/>
  <c r="AF2449" i="1"/>
  <c r="AC2449" i="1"/>
  <c r="AB2449" i="1"/>
  <c r="Z2449" i="1"/>
  <c r="O2449" i="1"/>
  <c r="BF2449" i="1" s="1"/>
  <c r="L2449" i="1"/>
  <c r="AL2449" i="1" s="1"/>
  <c r="BW2447" i="1"/>
  <c r="BJ2447" i="1"/>
  <c r="BD2447" i="1"/>
  <c r="AP2447" i="1"/>
  <c r="AX2447" i="1" s="1"/>
  <c r="AO2447" i="1"/>
  <c r="BH2447" i="1" s="1"/>
  <c r="AD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K2447" i="1"/>
  <c r="BW2446" i="1"/>
  <c r="BJ2446" i="1"/>
  <c r="BD2446" i="1"/>
  <c r="AP2446" i="1"/>
  <c r="AO2446" i="1"/>
  <c r="AW2446" i="1" s="1"/>
  <c r="AK2446" i="1"/>
  <c r="AJ2446" i="1"/>
  <c r="AH2446" i="1"/>
  <c r="AG2446" i="1"/>
  <c r="AF2446" i="1"/>
  <c r="AE2446" i="1"/>
  <c r="AD2446" i="1"/>
  <c r="AC2446" i="1"/>
  <c r="AB2446" i="1"/>
  <c r="Z2446" i="1"/>
  <c r="O2446" i="1"/>
  <c r="BF2446" i="1" s="1"/>
  <c r="L2446" i="1"/>
  <c r="AL2446" i="1" s="1"/>
  <c r="BW2445" i="1"/>
  <c r="BJ2445" i="1"/>
  <c r="BD2445" i="1"/>
  <c r="AP2445" i="1"/>
  <c r="BI2445" i="1" s="1"/>
  <c r="AE2445" i="1" s="1"/>
  <c r="AO2445" i="1"/>
  <c r="AW2445" i="1" s="1"/>
  <c r="AK2445" i="1"/>
  <c r="AJ2445" i="1"/>
  <c r="AH2445" i="1"/>
  <c r="AG2445" i="1"/>
  <c r="AF2445" i="1"/>
  <c r="AC2445" i="1"/>
  <c r="AB2445" i="1"/>
  <c r="Z2445" i="1"/>
  <c r="O2445" i="1"/>
  <c r="BF2445" i="1" s="1"/>
  <c r="L2445" i="1"/>
  <c r="AL2445" i="1" s="1"/>
  <c r="BW2444" i="1"/>
  <c r="BJ2444" i="1"/>
  <c r="BI2444" i="1"/>
  <c r="AE2444" i="1" s="1"/>
  <c r="BD2444" i="1"/>
  <c r="AP2444" i="1"/>
  <c r="AX2444" i="1" s="1"/>
  <c r="AO2444" i="1"/>
  <c r="BH2444" i="1" s="1"/>
  <c r="AD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K2444" i="1"/>
  <c r="BW2443" i="1"/>
  <c r="BJ2443" i="1"/>
  <c r="BD2443" i="1"/>
  <c r="AP2443" i="1"/>
  <c r="AO2443" i="1"/>
  <c r="AW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AL2443" i="1" s="1"/>
  <c r="BW2442" i="1"/>
  <c r="BJ2442" i="1"/>
  <c r="Z2442" i="1" s="1"/>
  <c r="BI2442" i="1"/>
  <c r="BD2442" i="1"/>
  <c r="AP2442" i="1"/>
  <c r="AX2442" i="1" s="1"/>
  <c r="AO2442" i="1"/>
  <c r="BH2442" i="1" s="1"/>
  <c r="AK2442" i="1"/>
  <c r="AJ2442" i="1"/>
  <c r="AH2442" i="1"/>
  <c r="AG2442" i="1"/>
  <c r="AF2442" i="1"/>
  <c r="AE2442" i="1"/>
  <c r="AD2442" i="1"/>
  <c r="AC2442" i="1"/>
  <c r="AB2442" i="1"/>
  <c r="O2442" i="1"/>
  <c r="BF2442" i="1" s="1"/>
  <c r="L2442" i="1"/>
  <c r="AL2442" i="1" s="1"/>
  <c r="K2442" i="1"/>
  <c r="BW2440" i="1"/>
  <c r="BJ2440" i="1"/>
  <c r="BD2440" i="1"/>
  <c r="AP2440" i="1"/>
  <c r="AX2440" i="1" s="1"/>
  <c r="AO2440" i="1"/>
  <c r="BH2440" i="1" s="1"/>
  <c r="AD2440" i="1" s="1"/>
  <c r="AK2440" i="1"/>
  <c r="AJ2440" i="1"/>
  <c r="AH2440" i="1"/>
  <c r="AG2440" i="1"/>
  <c r="AF2440" i="1"/>
  <c r="AC2440" i="1"/>
  <c r="AB2440" i="1"/>
  <c r="Z2440" i="1"/>
  <c r="O2440" i="1"/>
  <c r="BF2440" i="1" s="1"/>
  <c r="L2440" i="1"/>
  <c r="BW2439" i="1"/>
  <c r="BJ2439" i="1"/>
  <c r="BD2439" i="1"/>
  <c r="AP2439" i="1"/>
  <c r="AO2439" i="1"/>
  <c r="AW2439" i="1" s="1"/>
  <c r="AL2439" i="1"/>
  <c r="AK2439" i="1"/>
  <c r="AJ2439" i="1"/>
  <c r="AH2439" i="1"/>
  <c r="AG2439" i="1"/>
  <c r="AF2439" i="1"/>
  <c r="AC2439" i="1"/>
  <c r="AB2439" i="1"/>
  <c r="Z2439" i="1"/>
  <c r="O2439" i="1"/>
  <c r="BF2439" i="1" s="1"/>
  <c r="L2439" i="1"/>
  <c r="J2439" i="1"/>
  <c r="BW2437" i="1"/>
  <c r="BJ2437" i="1"/>
  <c r="BD2437" i="1"/>
  <c r="AX2437" i="1"/>
  <c r="AP2437" i="1"/>
  <c r="BI2437" i="1" s="1"/>
  <c r="AO2437" i="1"/>
  <c r="BH2437" i="1" s="1"/>
  <c r="AD2437" i="1" s="1"/>
  <c r="AK2437" i="1"/>
  <c r="AJ2437" i="1"/>
  <c r="AH2437" i="1"/>
  <c r="AG2437" i="1"/>
  <c r="AF2437" i="1"/>
  <c r="AE2437" i="1"/>
  <c r="AC2437" i="1"/>
  <c r="AB2437" i="1"/>
  <c r="Z2437" i="1"/>
  <c r="O2437" i="1"/>
  <c r="BF2437" i="1" s="1"/>
  <c r="L2437" i="1"/>
  <c r="AL2437" i="1" s="1"/>
  <c r="K2437" i="1"/>
  <c r="BW2435" i="1"/>
  <c r="BJ2435" i="1"/>
  <c r="BD2435" i="1"/>
  <c r="AP2435" i="1"/>
  <c r="AX2435" i="1" s="1"/>
  <c r="AO2435" i="1"/>
  <c r="BH2435" i="1" s="1"/>
  <c r="AD2435" i="1" s="1"/>
  <c r="AK2435" i="1"/>
  <c r="AJ2435" i="1"/>
  <c r="AH2435" i="1"/>
  <c r="AG2435" i="1"/>
  <c r="AF2435" i="1"/>
  <c r="AC2435" i="1"/>
  <c r="AB2435" i="1"/>
  <c r="Z2435" i="1"/>
  <c r="O2435" i="1"/>
  <c r="BF2435" i="1" s="1"/>
  <c r="L2435" i="1"/>
  <c r="K2435" i="1"/>
  <c r="BW2433" i="1"/>
  <c r="M2433" i="1" s="1"/>
  <c r="BJ2433" i="1"/>
  <c r="BD2433" i="1"/>
  <c r="AP2433" i="1"/>
  <c r="AO2433" i="1"/>
  <c r="AW2433" i="1" s="1"/>
  <c r="AK2433" i="1"/>
  <c r="AJ2433" i="1"/>
  <c r="AH2433" i="1"/>
  <c r="AG2433" i="1"/>
  <c r="AF2433" i="1"/>
  <c r="AC2433" i="1"/>
  <c r="AB2433" i="1"/>
  <c r="Z2433" i="1"/>
  <c r="O2433" i="1"/>
  <c r="BF2433" i="1" s="1"/>
  <c r="L2433" i="1"/>
  <c r="AL2433" i="1" s="1"/>
  <c r="J2433" i="1"/>
  <c r="BW2431" i="1"/>
  <c r="BJ2431" i="1"/>
  <c r="BD2431" i="1"/>
  <c r="AP2431" i="1"/>
  <c r="K2431" i="1" s="1"/>
  <c r="AO2431" i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AL2431" i="1" s="1"/>
  <c r="BW2429" i="1"/>
  <c r="BJ2429" i="1"/>
  <c r="BD2429" i="1"/>
  <c r="AP2429" i="1"/>
  <c r="AO2429" i="1"/>
  <c r="BH2429" i="1" s="1"/>
  <c r="AD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K2429" i="1"/>
  <c r="BW2427" i="1"/>
  <c r="BJ2427" i="1"/>
  <c r="BD2427" i="1"/>
  <c r="AP2427" i="1"/>
  <c r="AO2427" i="1"/>
  <c r="AW2427" i="1" s="1"/>
  <c r="AK2427" i="1"/>
  <c r="AJ2427" i="1"/>
  <c r="AH2427" i="1"/>
  <c r="AG2427" i="1"/>
  <c r="AF2427" i="1"/>
  <c r="AC2427" i="1"/>
  <c r="AB2427" i="1"/>
  <c r="Z2427" i="1"/>
  <c r="O2427" i="1"/>
  <c r="BF2427" i="1" s="1"/>
  <c r="L2427" i="1"/>
  <c r="AL2427" i="1" s="1"/>
  <c r="BW2425" i="1"/>
  <c r="BJ2425" i="1"/>
  <c r="BD2425" i="1"/>
  <c r="AP2425" i="1"/>
  <c r="BI2425" i="1" s="1"/>
  <c r="AE2425" i="1" s="1"/>
  <c r="AO2425" i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K2425" i="1"/>
  <c r="BW2423" i="1"/>
  <c r="BJ2423" i="1"/>
  <c r="BD2423" i="1"/>
  <c r="AP2423" i="1"/>
  <c r="K2423" i="1" s="1"/>
  <c r="AO2423" i="1"/>
  <c r="BH2423" i="1" s="1"/>
  <c r="AD2423" i="1" s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BW2421" i="1"/>
  <c r="BJ2421" i="1"/>
  <c r="BD2421" i="1"/>
  <c r="AP2421" i="1"/>
  <c r="AO2421" i="1"/>
  <c r="AW2421" i="1" s="1"/>
  <c r="AK2421" i="1"/>
  <c r="AJ2421" i="1"/>
  <c r="AH2421" i="1"/>
  <c r="AG2421" i="1"/>
  <c r="AF2421" i="1"/>
  <c r="AC2421" i="1"/>
  <c r="AB2421" i="1"/>
  <c r="Z2421" i="1"/>
  <c r="O2421" i="1"/>
  <c r="BF2421" i="1" s="1"/>
  <c r="L2421" i="1"/>
  <c r="BW2420" i="1"/>
  <c r="BJ2420" i="1"/>
  <c r="BD2420" i="1"/>
  <c r="AP2420" i="1"/>
  <c r="AO2420" i="1"/>
  <c r="AW2420" i="1" s="1"/>
  <c r="AK2420" i="1"/>
  <c r="AJ2420" i="1"/>
  <c r="AH2420" i="1"/>
  <c r="AG2420" i="1"/>
  <c r="AF2420" i="1"/>
  <c r="AC2420" i="1"/>
  <c r="AB2420" i="1"/>
  <c r="Z2420" i="1"/>
  <c r="O2420" i="1"/>
  <c r="BF2420" i="1" s="1"/>
  <c r="L2420" i="1"/>
  <c r="BW2419" i="1"/>
  <c r="BJ2419" i="1"/>
  <c r="BD2419" i="1"/>
  <c r="AP2419" i="1"/>
  <c r="BI2419" i="1" s="1"/>
  <c r="AE2419" i="1" s="1"/>
  <c r="AO2419" i="1"/>
  <c r="BH2419" i="1" s="1"/>
  <c r="AD2419" i="1" s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BW2417" i="1"/>
  <c r="BJ2417" i="1"/>
  <c r="BD2417" i="1"/>
  <c r="AP2417" i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AL2417" i="1" s="1"/>
  <c r="BW2416" i="1"/>
  <c r="BJ2416" i="1"/>
  <c r="BD2416" i="1"/>
  <c r="AP2416" i="1"/>
  <c r="BI2416" i="1" s="1"/>
  <c r="AE2416" i="1" s="1"/>
  <c r="AO2416" i="1"/>
  <c r="AW2416" i="1" s="1"/>
  <c r="AK2416" i="1"/>
  <c r="AJ2416" i="1"/>
  <c r="AH2416" i="1"/>
  <c r="AG2416" i="1"/>
  <c r="AF2416" i="1"/>
  <c r="AC2416" i="1"/>
  <c r="AB2416" i="1"/>
  <c r="Z2416" i="1"/>
  <c r="O2416" i="1"/>
  <c r="BF2416" i="1" s="1"/>
  <c r="L2416" i="1"/>
  <c r="BW2415" i="1"/>
  <c r="BJ2415" i="1"/>
  <c r="BD2415" i="1"/>
  <c r="AP2415" i="1"/>
  <c r="BI2415" i="1" s="1"/>
  <c r="AE2415" i="1" s="1"/>
  <c r="AO2415" i="1"/>
  <c r="BH2415" i="1" s="1"/>
  <c r="AD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K2415" i="1"/>
  <c r="BW2414" i="1"/>
  <c r="BJ2414" i="1"/>
  <c r="BD2414" i="1"/>
  <c r="AP2414" i="1"/>
  <c r="AO2414" i="1"/>
  <c r="AW2414" i="1" s="1"/>
  <c r="AK2414" i="1"/>
  <c r="AJ2414" i="1"/>
  <c r="AH2414" i="1"/>
  <c r="AG2414" i="1"/>
  <c r="AF2414" i="1"/>
  <c r="AC2414" i="1"/>
  <c r="AB2414" i="1"/>
  <c r="Z2414" i="1"/>
  <c r="O2414" i="1"/>
  <c r="BF2414" i="1" s="1"/>
  <c r="L2414" i="1"/>
  <c r="AL2414" i="1" s="1"/>
  <c r="J2414" i="1"/>
  <c r="BW2412" i="1"/>
  <c r="BJ2412" i="1"/>
  <c r="BD2412" i="1"/>
  <c r="AP2412" i="1"/>
  <c r="AO2412" i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K2412" i="1"/>
  <c r="BW2410" i="1"/>
  <c r="BJ2410" i="1"/>
  <c r="BD2410" i="1"/>
  <c r="AP2410" i="1"/>
  <c r="AO2410" i="1"/>
  <c r="BH2410" i="1" s="1"/>
  <c r="AD2410" i="1" s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BW2408" i="1"/>
  <c r="BJ2408" i="1"/>
  <c r="BD2408" i="1"/>
  <c r="AP2408" i="1"/>
  <c r="AO2408" i="1"/>
  <c r="AW2408" i="1" s="1"/>
  <c r="AK2408" i="1"/>
  <c r="AJ2408" i="1"/>
  <c r="AH2408" i="1"/>
  <c r="AG2408" i="1"/>
  <c r="AF2408" i="1"/>
  <c r="AC2408" i="1"/>
  <c r="AB2408" i="1"/>
  <c r="Z2408" i="1"/>
  <c r="O2408" i="1"/>
  <c r="BF2408" i="1" s="1"/>
  <c r="L2408" i="1"/>
  <c r="J2408" i="1"/>
  <c r="BW2406" i="1"/>
  <c r="BJ2406" i="1"/>
  <c r="BD2406" i="1"/>
  <c r="AW2406" i="1"/>
  <c r="AP2406" i="1"/>
  <c r="BI2406" i="1" s="1"/>
  <c r="AE2406" i="1" s="1"/>
  <c r="AO2406" i="1"/>
  <c r="BH2406" i="1" s="1"/>
  <c r="AD2406" i="1" s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K2406" i="1"/>
  <c r="J2406" i="1"/>
  <c r="BW2404" i="1"/>
  <c r="BJ2404" i="1"/>
  <c r="BD2404" i="1"/>
  <c r="AP2404" i="1"/>
  <c r="BI2404" i="1" s="1"/>
  <c r="AE2404" i="1" s="1"/>
  <c r="AO2404" i="1"/>
  <c r="AW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BW2403" i="1"/>
  <c r="BJ2403" i="1"/>
  <c r="BD2403" i="1"/>
  <c r="AP2403" i="1"/>
  <c r="AO2403" i="1"/>
  <c r="AW2403" i="1" s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2" i="1"/>
  <c r="BJ2402" i="1"/>
  <c r="BD2402" i="1"/>
  <c r="AP2402" i="1"/>
  <c r="BI2402" i="1" s="1"/>
  <c r="AE2402" i="1" s="1"/>
  <c r="AO2402" i="1"/>
  <c r="J2402" i="1" s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K2402" i="1"/>
  <c r="BW2401" i="1"/>
  <c r="BJ2401" i="1"/>
  <c r="BD2401" i="1"/>
  <c r="AP2401" i="1"/>
  <c r="AO2401" i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400" i="1"/>
  <c r="BJ2400" i="1"/>
  <c r="BD2400" i="1"/>
  <c r="AP2400" i="1"/>
  <c r="BI2400" i="1" s="1"/>
  <c r="AE2400" i="1" s="1"/>
  <c r="AO2400" i="1"/>
  <c r="J2400" i="1" s="1"/>
  <c r="AL2400" i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K2400" i="1"/>
  <c r="BW2398" i="1"/>
  <c r="BJ2398" i="1"/>
  <c r="BD2398" i="1"/>
  <c r="AP2398" i="1"/>
  <c r="AX2398" i="1" s="1"/>
  <c r="AO2398" i="1"/>
  <c r="AW2398" i="1" s="1"/>
  <c r="AK2398" i="1"/>
  <c r="AJ2398" i="1"/>
  <c r="AH2398" i="1"/>
  <c r="AG2398" i="1"/>
  <c r="AF2398" i="1"/>
  <c r="AC2398" i="1"/>
  <c r="AB2398" i="1"/>
  <c r="Z2398" i="1"/>
  <c r="O2398" i="1"/>
  <c r="BF2398" i="1" s="1"/>
  <c r="M2398" i="1"/>
  <c r="L2398" i="1"/>
  <c r="AL2398" i="1" s="1"/>
  <c r="BW2397" i="1"/>
  <c r="BJ2397" i="1"/>
  <c r="Z2397" i="1" s="1"/>
  <c r="BD2397" i="1"/>
  <c r="AP2397" i="1"/>
  <c r="BI2397" i="1" s="1"/>
  <c r="AO2397" i="1"/>
  <c r="BH2397" i="1" s="1"/>
  <c r="AK2397" i="1"/>
  <c r="AJ2397" i="1"/>
  <c r="AH2397" i="1"/>
  <c r="AG2397" i="1"/>
  <c r="AF2397" i="1"/>
  <c r="AE2397" i="1"/>
  <c r="AD2397" i="1"/>
  <c r="AC2397" i="1"/>
  <c r="AB2397" i="1"/>
  <c r="O2397" i="1"/>
  <c r="BF2397" i="1" s="1"/>
  <c r="L2397" i="1"/>
  <c r="BW2396" i="1"/>
  <c r="BJ2396" i="1"/>
  <c r="BD2396" i="1"/>
  <c r="AW2396" i="1"/>
  <c r="AP2396" i="1"/>
  <c r="AO2396" i="1"/>
  <c r="BH2396" i="1" s="1"/>
  <c r="AD2396" i="1" s="1"/>
  <c r="AK2396" i="1"/>
  <c r="AJ2396" i="1"/>
  <c r="AH2396" i="1"/>
  <c r="AG2396" i="1"/>
  <c r="AF2396" i="1"/>
  <c r="AC2396" i="1"/>
  <c r="AB2396" i="1"/>
  <c r="Z2396" i="1"/>
  <c r="O2396" i="1"/>
  <c r="BF2396" i="1" s="1"/>
  <c r="L2396" i="1"/>
  <c r="AL2396" i="1" s="1"/>
  <c r="J2396" i="1"/>
  <c r="BW2395" i="1"/>
  <c r="BJ2395" i="1"/>
  <c r="BD2395" i="1"/>
  <c r="AP2395" i="1"/>
  <c r="AX2395" i="1" s="1"/>
  <c r="AO2395" i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BW2394" i="1"/>
  <c r="BJ2394" i="1"/>
  <c r="Z2394" i="1" s="1"/>
  <c r="BD2394" i="1"/>
  <c r="AP2394" i="1"/>
  <c r="K2394" i="1" s="1"/>
  <c r="AO2394" i="1"/>
  <c r="AW2394" i="1" s="1"/>
  <c r="AK2394" i="1"/>
  <c r="AJ2394" i="1"/>
  <c r="AH2394" i="1"/>
  <c r="AG2394" i="1"/>
  <c r="AF2394" i="1"/>
  <c r="AE2394" i="1"/>
  <c r="AD2394" i="1"/>
  <c r="AC2394" i="1"/>
  <c r="AB2394" i="1"/>
  <c r="O2394" i="1"/>
  <c r="BF2394" i="1" s="1"/>
  <c r="L2394" i="1"/>
  <c r="AL2394" i="1" s="1"/>
  <c r="BW2392" i="1"/>
  <c r="BJ2392" i="1"/>
  <c r="BD2392" i="1"/>
  <c r="AP2392" i="1"/>
  <c r="AO2392" i="1"/>
  <c r="AK2392" i="1"/>
  <c r="AJ2392" i="1"/>
  <c r="AH2392" i="1"/>
  <c r="AG2392" i="1"/>
  <c r="AF2392" i="1"/>
  <c r="AC2392" i="1"/>
  <c r="AB2392" i="1"/>
  <c r="Z2392" i="1"/>
  <c r="O2392" i="1"/>
  <c r="BF2392" i="1" s="1"/>
  <c r="L2392" i="1"/>
  <c r="AL2392" i="1" s="1"/>
  <c r="BW2390" i="1"/>
  <c r="BJ2390" i="1"/>
  <c r="BD2390" i="1"/>
  <c r="AP2390" i="1"/>
  <c r="AX2390" i="1" s="1"/>
  <c r="AO2390" i="1"/>
  <c r="AW2390" i="1" s="1"/>
  <c r="AK2390" i="1"/>
  <c r="AJ2390" i="1"/>
  <c r="AH2390" i="1"/>
  <c r="AG2390" i="1"/>
  <c r="AF2390" i="1"/>
  <c r="AC2390" i="1"/>
  <c r="AB2390" i="1"/>
  <c r="Z2390" i="1"/>
  <c r="O2390" i="1"/>
  <c r="BF2390" i="1" s="1"/>
  <c r="L2390" i="1"/>
  <c r="AL2390" i="1" s="1"/>
  <c r="BW2388" i="1"/>
  <c r="BJ2388" i="1"/>
  <c r="BD2388" i="1"/>
  <c r="AP2388" i="1"/>
  <c r="AX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K2388" i="1"/>
  <c r="J2388" i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5" i="1"/>
  <c r="BJ2385" i="1"/>
  <c r="Z2385" i="1" s="1"/>
  <c r="BD2385" i="1"/>
  <c r="AP2385" i="1"/>
  <c r="K2385" i="1" s="1"/>
  <c r="AO2385" i="1"/>
  <c r="AW2385" i="1" s="1"/>
  <c r="AK2385" i="1"/>
  <c r="AJ2385" i="1"/>
  <c r="AH2385" i="1"/>
  <c r="AG2385" i="1"/>
  <c r="AF2385" i="1"/>
  <c r="AE2385" i="1"/>
  <c r="AD2385" i="1"/>
  <c r="AC2385" i="1"/>
  <c r="AB2385" i="1"/>
  <c r="O2385" i="1"/>
  <c r="BF2385" i="1" s="1"/>
  <c r="L2385" i="1"/>
  <c r="AL2385" i="1" s="1"/>
  <c r="BW2384" i="1"/>
  <c r="BJ2384" i="1"/>
  <c r="BD2384" i="1"/>
  <c r="AP2384" i="1"/>
  <c r="BI2384" i="1" s="1"/>
  <c r="AE2384" i="1" s="1"/>
  <c r="AO2384" i="1"/>
  <c r="AW2384" i="1" s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K2384" i="1"/>
  <c r="J2384" i="1"/>
  <c r="BW2383" i="1"/>
  <c r="BJ2383" i="1"/>
  <c r="BD2383" i="1"/>
  <c r="AP2383" i="1"/>
  <c r="AO2383" i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2" i="1"/>
  <c r="BJ2382" i="1"/>
  <c r="BD2382" i="1"/>
  <c r="AP2382" i="1"/>
  <c r="BI2382" i="1" s="1"/>
  <c r="AE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K2382" i="1"/>
  <c r="J2382" i="1"/>
  <c r="BW2381" i="1"/>
  <c r="BJ2381" i="1"/>
  <c r="BD2381" i="1"/>
  <c r="AP2381" i="1"/>
  <c r="AO2381" i="1"/>
  <c r="AW2381" i="1" s="1"/>
  <c r="AK2381" i="1"/>
  <c r="AJ2381" i="1"/>
  <c r="AH2381" i="1"/>
  <c r="AG2381" i="1"/>
  <c r="AF2381" i="1"/>
  <c r="AC2381" i="1"/>
  <c r="AB2381" i="1"/>
  <c r="Z2381" i="1"/>
  <c r="O2381" i="1"/>
  <c r="BF2381" i="1" s="1"/>
  <c r="L2381" i="1"/>
  <c r="AL2381" i="1" s="1"/>
  <c r="K2381" i="1"/>
  <c r="J2381" i="1"/>
  <c r="BW2379" i="1"/>
  <c r="BJ2379" i="1"/>
  <c r="BD2379" i="1"/>
  <c r="AP2379" i="1"/>
  <c r="AO2379" i="1"/>
  <c r="AK2379" i="1"/>
  <c r="AJ2379" i="1"/>
  <c r="AH2379" i="1"/>
  <c r="AG2379" i="1"/>
  <c r="AF2379" i="1"/>
  <c r="AC2379" i="1"/>
  <c r="AB2379" i="1"/>
  <c r="Z2379" i="1"/>
  <c r="O2379" i="1"/>
  <c r="BF2379" i="1" s="1"/>
  <c r="L2379" i="1"/>
  <c r="AL2379" i="1" s="1"/>
  <c r="BW2377" i="1"/>
  <c r="BJ2377" i="1"/>
  <c r="BD2377" i="1"/>
  <c r="AP2377" i="1"/>
  <c r="AX2377" i="1" s="1"/>
  <c r="AO2377" i="1"/>
  <c r="AW2377" i="1" s="1"/>
  <c r="AK2377" i="1"/>
  <c r="AJ2377" i="1"/>
  <c r="AH2377" i="1"/>
  <c r="AG2377" i="1"/>
  <c r="AF2377" i="1"/>
  <c r="AC2377" i="1"/>
  <c r="AB2377" i="1"/>
  <c r="Z2377" i="1"/>
  <c r="O2377" i="1"/>
  <c r="BF2377" i="1" s="1"/>
  <c r="L2377" i="1"/>
  <c r="AL2377" i="1" s="1"/>
  <c r="J2377" i="1"/>
  <c r="BW2376" i="1"/>
  <c r="BJ2376" i="1"/>
  <c r="BD2376" i="1"/>
  <c r="AP2376" i="1"/>
  <c r="BI2376" i="1" s="1"/>
  <c r="AE2376" i="1" s="1"/>
  <c r="AO2376" i="1"/>
  <c r="AK2376" i="1"/>
  <c r="AJ2376" i="1"/>
  <c r="AH2376" i="1"/>
  <c r="AG2376" i="1"/>
  <c r="AF2376" i="1"/>
  <c r="AC2376" i="1"/>
  <c r="AB2376" i="1"/>
  <c r="Z2376" i="1"/>
  <c r="O2376" i="1"/>
  <c r="BF2376" i="1" s="1"/>
  <c r="L2376" i="1"/>
  <c r="AL2376" i="1" s="1"/>
  <c r="K2376" i="1"/>
  <c r="J2376" i="1"/>
  <c r="BW2375" i="1"/>
  <c r="BJ2375" i="1"/>
  <c r="BD2375" i="1"/>
  <c r="AP2375" i="1"/>
  <c r="AO2375" i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AL2375" i="1" s="1"/>
  <c r="BW2374" i="1"/>
  <c r="BJ2374" i="1"/>
  <c r="BD2374" i="1"/>
  <c r="AP2374" i="1"/>
  <c r="BI2374" i="1" s="1"/>
  <c r="AE2374" i="1" s="1"/>
  <c r="AO2374" i="1"/>
  <c r="AW2374" i="1" s="1"/>
  <c r="AK2374" i="1"/>
  <c r="AJ2374" i="1"/>
  <c r="AH2374" i="1"/>
  <c r="AG2374" i="1"/>
  <c r="AF2374" i="1"/>
  <c r="AC2374" i="1"/>
  <c r="AB2374" i="1"/>
  <c r="Z2374" i="1"/>
  <c r="O2374" i="1"/>
  <c r="BF2374" i="1" s="1"/>
  <c r="L2374" i="1"/>
  <c r="AL2374" i="1" s="1"/>
  <c r="J2374" i="1"/>
  <c r="BW2373" i="1"/>
  <c r="BJ2373" i="1"/>
  <c r="BD2373" i="1"/>
  <c r="AP2373" i="1"/>
  <c r="AX2373" i="1" s="1"/>
  <c r="AO2373" i="1"/>
  <c r="AW2373" i="1" s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K2373" i="1"/>
  <c r="J2373" i="1"/>
  <c r="BW2372" i="1"/>
  <c r="BJ2372" i="1"/>
  <c r="BD2372" i="1"/>
  <c r="AP2372" i="1"/>
  <c r="AO2372" i="1"/>
  <c r="AK2372" i="1"/>
  <c r="AJ2372" i="1"/>
  <c r="AH2372" i="1"/>
  <c r="AG2372" i="1"/>
  <c r="AF2372" i="1"/>
  <c r="AC2372" i="1"/>
  <c r="AB2372" i="1"/>
  <c r="Z2372" i="1"/>
  <c r="O2372" i="1"/>
  <c r="BF2372" i="1" s="1"/>
  <c r="L2372" i="1"/>
  <c r="AL2372" i="1" s="1"/>
  <c r="BW2371" i="1"/>
  <c r="BJ2371" i="1"/>
  <c r="BD2371" i="1"/>
  <c r="AP2371" i="1"/>
  <c r="AO2371" i="1"/>
  <c r="AW2371" i="1" s="1"/>
  <c r="AK2371" i="1"/>
  <c r="AJ2371" i="1"/>
  <c r="AH2371" i="1"/>
  <c r="AG2371" i="1"/>
  <c r="AF2371" i="1"/>
  <c r="AC2371" i="1"/>
  <c r="AB2371" i="1"/>
  <c r="Z2371" i="1"/>
  <c r="O2371" i="1"/>
  <c r="BF2371" i="1" s="1"/>
  <c r="L2371" i="1"/>
  <c r="AL2371" i="1" s="1"/>
  <c r="K2371" i="1"/>
  <c r="BW2369" i="1"/>
  <c r="BJ2369" i="1"/>
  <c r="BD2369" i="1"/>
  <c r="AX2369" i="1"/>
  <c r="AP2369" i="1"/>
  <c r="BI2369" i="1" s="1"/>
  <c r="AE2369" i="1" s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AL2369" i="1" s="1"/>
  <c r="K2369" i="1"/>
  <c r="BW2367" i="1"/>
  <c r="BJ2367" i="1"/>
  <c r="BD2367" i="1"/>
  <c r="AP2367" i="1"/>
  <c r="AO2367" i="1"/>
  <c r="AK2367" i="1"/>
  <c r="AJ2367" i="1"/>
  <c r="AH2367" i="1"/>
  <c r="AG2367" i="1"/>
  <c r="AF2367" i="1"/>
  <c r="AC2367" i="1"/>
  <c r="AB2367" i="1"/>
  <c r="Z2367" i="1"/>
  <c r="O2367" i="1"/>
  <c r="BF2367" i="1" s="1"/>
  <c r="L2367" i="1"/>
  <c r="AL2367" i="1" s="1"/>
  <c r="BW2364" i="1"/>
  <c r="BJ2364" i="1"/>
  <c r="BH2364" i="1"/>
  <c r="AD2364" i="1" s="1"/>
  <c r="BD2364" i="1"/>
  <c r="AP2364" i="1"/>
  <c r="BI2364" i="1" s="1"/>
  <c r="AE2364" i="1" s="1"/>
  <c r="AO2364" i="1"/>
  <c r="AW2364" i="1" s="1"/>
  <c r="AK2364" i="1"/>
  <c r="AJ2364" i="1"/>
  <c r="AH2364" i="1"/>
  <c r="AG2364" i="1"/>
  <c r="AF2364" i="1"/>
  <c r="AC2364" i="1"/>
  <c r="AB2364" i="1"/>
  <c r="Z2364" i="1"/>
  <c r="O2364" i="1"/>
  <c r="BF2364" i="1" s="1"/>
  <c r="L2364" i="1"/>
  <c r="AL2364" i="1" s="1"/>
  <c r="K2364" i="1"/>
  <c r="BW2361" i="1"/>
  <c r="BJ2361" i="1"/>
  <c r="BD2361" i="1"/>
  <c r="AP2361" i="1"/>
  <c r="BI2361" i="1" s="1"/>
  <c r="AE2361" i="1" s="1"/>
  <c r="AO2361" i="1"/>
  <c r="AW2361" i="1" s="1"/>
  <c r="AK2361" i="1"/>
  <c r="AJ2361" i="1"/>
  <c r="AH2361" i="1"/>
  <c r="AG2361" i="1"/>
  <c r="AF2361" i="1"/>
  <c r="AC2361" i="1"/>
  <c r="AB2361" i="1"/>
  <c r="Z2361" i="1"/>
  <c r="O2361" i="1"/>
  <c r="BF2361" i="1" s="1"/>
  <c r="L2361" i="1"/>
  <c r="AL2361" i="1" s="1"/>
  <c r="K2361" i="1"/>
  <c r="J2361" i="1"/>
  <c r="BW2359" i="1"/>
  <c r="BJ2359" i="1"/>
  <c r="BD2359" i="1"/>
  <c r="AP2359" i="1"/>
  <c r="AO2359" i="1"/>
  <c r="AK2359" i="1"/>
  <c r="AJ2359" i="1"/>
  <c r="AH2359" i="1"/>
  <c r="AG2359" i="1"/>
  <c r="AF2359" i="1"/>
  <c r="AC2359" i="1"/>
  <c r="AB2359" i="1"/>
  <c r="Z2359" i="1"/>
  <c r="O2359" i="1"/>
  <c r="BF2359" i="1" s="1"/>
  <c r="L2359" i="1"/>
  <c r="AL2359" i="1" s="1"/>
  <c r="BW2357" i="1"/>
  <c r="BJ2357" i="1"/>
  <c r="BD2357" i="1"/>
  <c r="AP2357" i="1"/>
  <c r="BI2357" i="1" s="1"/>
  <c r="AE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AL2357" i="1" s="1"/>
  <c r="K2357" i="1"/>
  <c r="J2357" i="1"/>
  <c r="BW2355" i="1"/>
  <c r="BJ2355" i="1"/>
  <c r="BD2355" i="1"/>
  <c r="AP2355" i="1"/>
  <c r="BI2355" i="1" s="1"/>
  <c r="AE2355" i="1" s="1"/>
  <c r="AO2355" i="1"/>
  <c r="AW2355" i="1" s="1"/>
  <c r="AK2355" i="1"/>
  <c r="AJ2355" i="1"/>
  <c r="AH2355" i="1"/>
  <c r="AG2355" i="1"/>
  <c r="AF2355" i="1"/>
  <c r="AC2355" i="1"/>
  <c r="AB2355" i="1"/>
  <c r="Z2355" i="1"/>
  <c r="O2355" i="1"/>
  <c r="BF2355" i="1" s="1"/>
  <c r="L2355" i="1"/>
  <c r="AL2355" i="1" s="1"/>
  <c r="K2355" i="1"/>
  <c r="J2355" i="1"/>
  <c r="BW2353" i="1"/>
  <c r="BJ2353" i="1"/>
  <c r="BD2353" i="1"/>
  <c r="AP2353" i="1"/>
  <c r="AO2353" i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AL2353" i="1" s="1"/>
  <c r="BW2352" i="1"/>
  <c r="BJ2352" i="1"/>
  <c r="BD2352" i="1"/>
  <c r="AP2352" i="1"/>
  <c r="AX2352" i="1" s="1"/>
  <c r="AO2352" i="1"/>
  <c r="AW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AL2352" i="1" s="1"/>
  <c r="K2352" i="1"/>
  <c r="BW2351" i="1"/>
  <c r="BJ2351" i="1"/>
  <c r="BD2351" i="1"/>
  <c r="AP2351" i="1"/>
  <c r="BI2351" i="1" s="1"/>
  <c r="AE2351" i="1" s="1"/>
  <c r="AO2351" i="1"/>
  <c r="AW2351" i="1" s="1"/>
  <c r="AK2351" i="1"/>
  <c r="AJ2351" i="1"/>
  <c r="AH2351" i="1"/>
  <c r="AG2351" i="1"/>
  <c r="AF2351" i="1"/>
  <c r="AC2351" i="1"/>
  <c r="AB2351" i="1"/>
  <c r="Z2351" i="1"/>
  <c r="O2351" i="1"/>
  <c r="BF2351" i="1" s="1"/>
  <c r="L2351" i="1"/>
  <c r="AL2351" i="1" s="1"/>
  <c r="K2351" i="1"/>
  <c r="J2351" i="1"/>
  <c r="BW2350" i="1"/>
  <c r="BJ2350" i="1"/>
  <c r="BD2350" i="1"/>
  <c r="AP2350" i="1"/>
  <c r="AX2350" i="1" s="1"/>
  <c r="AO2350" i="1"/>
  <c r="AK2350" i="1"/>
  <c r="AJ2350" i="1"/>
  <c r="AH2350" i="1"/>
  <c r="AG2350" i="1"/>
  <c r="AF2350" i="1"/>
  <c r="AC2350" i="1"/>
  <c r="AB2350" i="1"/>
  <c r="Z2350" i="1"/>
  <c r="O2350" i="1"/>
  <c r="L2350" i="1"/>
  <c r="AL2350" i="1" s="1"/>
  <c r="BW2348" i="1"/>
  <c r="BJ2348" i="1"/>
  <c r="BD2348" i="1"/>
  <c r="AP2348" i="1"/>
  <c r="K2348" i="1" s="1"/>
  <c r="AO2348" i="1"/>
  <c r="AW2348" i="1" s="1"/>
  <c r="AK2348" i="1"/>
  <c r="AJ2348" i="1"/>
  <c r="AH2348" i="1"/>
  <c r="AG2348" i="1"/>
  <c r="AF2348" i="1"/>
  <c r="AC2348" i="1"/>
  <c r="AB2348" i="1"/>
  <c r="Z2348" i="1"/>
  <c r="O2348" i="1"/>
  <c r="BF2348" i="1" s="1"/>
  <c r="L2348" i="1"/>
  <c r="J2348" i="1"/>
  <c r="BW2346" i="1"/>
  <c r="BJ2346" i="1"/>
  <c r="BD2346" i="1"/>
  <c r="AP2346" i="1"/>
  <c r="AX2346" i="1" s="1"/>
  <c r="AO2346" i="1"/>
  <c r="AW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AL2346" i="1" s="1"/>
  <c r="K2346" i="1"/>
  <c r="J2346" i="1"/>
  <c r="BW2344" i="1"/>
  <c r="BJ2344" i="1"/>
  <c r="Z2344" i="1" s="1"/>
  <c r="BD2344" i="1"/>
  <c r="AP2344" i="1"/>
  <c r="BI2344" i="1" s="1"/>
  <c r="AO2344" i="1"/>
  <c r="AW2344" i="1" s="1"/>
  <c r="AK2344" i="1"/>
  <c r="AJ2344" i="1"/>
  <c r="AH2344" i="1"/>
  <c r="AG2344" i="1"/>
  <c r="AF2344" i="1"/>
  <c r="AE2344" i="1"/>
  <c r="AD2344" i="1"/>
  <c r="AC2344" i="1"/>
  <c r="AB2344" i="1"/>
  <c r="O2344" i="1"/>
  <c r="BF2344" i="1" s="1"/>
  <c r="L2344" i="1"/>
  <c r="AL2344" i="1" s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AL2343" i="1" s="1"/>
  <c r="BW2342" i="1"/>
  <c r="BJ2342" i="1"/>
  <c r="BD2342" i="1"/>
  <c r="AP2342" i="1"/>
  <c r="AO2342" i="1"/>
  <c r="AW2342" i="1" s="1"/>
  <c r="AK2342" i="1"/>
  <c r="AJ2342" i="1"/>
  <c r="AH2342" i="1"/>
  <c r="AG2342" i="1"/>
  <c r="AF2342" i="1"/>
  <c r="AC2342" i="1"/>
  <c r="AB2342" i="1"/>
  <c r="Z2342" i="1"/>
  <c r="O2342" i="1"/>
  <c r="BF2342" i="1" s="1"/>
  <c r="L2342" i="1"/>
  <c r="K2342" i="1"/>
  <c r="BW2341" i="1"/>
  <c r="BJ2341" i="1"/>
  <c r="BD2341" i="1"/>
  <c r="AP2341" i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AL2341" i="1" s="1"/>
  <c r="BW2339" i="1"/>
  <c r="BJ2339" i="1"/>
  <c r="BD2339" i="1"/>
  <c r="AP2339" i="1"/>
  <c r="AX2339" i="1" s="1"/>
  <c r="AO2339" i="1"/>
  <c r="AK2339" i="1"/>
  <c r="AJ2339" i="1"/>
  <c r="AH2339" i="1"/>
  <c r="AG2339" i="1"/>
  <c r="AF2339" i="1"/>
  <c r="AC2339" i="1"/>
  <c r="AB2339" i="1"/>
  <c r="Z2339" i="1"/>
  <c r="O2339" i="1"/>
  <c r="BF2339" i="1" s="1"/>
  <c r="L2339" i="1"/>
  <c r="BW2338" i="1"/>
  <c r="BJ2338" i="1"/>
  <c r="BD2338" i="1"/>
  <c r="AP2338" i="1"/>
  <c r="BI2338" i="1" s="1"/>
  <c r="AE2338" i="1" s="1"/>
  <c r="AO2338" i="1"/>
  <c r="J2338" i="1" s="1"/>
  <c r="AK2338" i="1"/>
  <c r="AJ2338" i="1"/>
  <c r="AH2338" i="1"/>
  <c r="AG2338" i="1"/>
  <c r="AF2338" i="1"/>
  <c r="AC2338" i="1"/>
  <c r="AB2338" i="1"/>
  <c r="Z2338" i="1"/>
  <c r="O2338" i="1"/>
  <c r="BF2338" i="1" s="1"/>
  <c r="L2338" i="1"/>
  <c r="BW2336" i="1"/>
  <c r="BJ2336" i="1"/>
  <c r="BD2336" i="1"/>
  <c r="AP2336" i="1"/>
  <c r="AO2336" i="1"/>
  <c r="AK2336" i="1"/>
  <c r="AJ2336" i="1"/>
  <c r="AH2336" i="1"/>
  <c r="AG2336" i="1"/>
  <c r="AF2336" i="1"/>
  <c r="AC2336" i="1"/>
  <c r="AB2336" i="1"/>
  <c r="Z2336" i="1"/>
  <c r="O2336" i="1"/>
  <c r="BF2336" i="1" s="1"/>
  <c r="L2336" i="1"/>
  <c r="K2336" i="1"/>
  <c r="J2336" i="1"/>
  <c r="BW2334" i="1"/>
  <c r="BJ2334" i="1"/>
  <c r="BD2334" i="1"/>
  <c r="AP2334" i="1"/>
  <c r="AO2334" i="1"/>
  <c r="AW2334" i="1" s="1"/>
  <c r="AK2334" i="1"/>
  <c r="AJ2334" i="1"/>
  <c r="AH2334" i="1"/>
  <c r="AG2334" i="1"/>
  <c r="AF2334" i="1"/>
  <c r="AC2334" i="1"/>
  <c r="AB2334" i="1"/>
  <c r="Z2334" i="1"/>
  <c r="O2334" i="1"/>
  <c r="BF2334" i="1" s="1"/>
  <c r="L2334" i="1"/>
  <c r="BW2332" i="1"/>
  <c r="BJ2332" i="1"/>
  <c r="BD2332" i="1"/>
  <c r="AP2332" i="1"/>
  <c r="AX2332" i="1" s="1"/>
  <c r="AO2332" i="1"/>
  <c r="AW2332" i="1" s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K2332" i="1"/>
  <c r="BW2330" i="1"/>
  <c r="BJ2330" i="1"/>
  <c r="BD2330" i="1"/>
  <c r="AP2330" i="1"/>
  <c r="AX2330" i="1" s="1"/>
  <c r="AO2330" i="1"/>
  <c r="AW2330" i="1" s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BW2329" i="1"/>
  <c r="BJ2329" i="1"/>
  <c r="BD2329" i="1"/>
  <c r="AX2329" i="1"/>
  <c r="BC2329" i="1" s="1"/>
  <c r="AP2329" i="1"/>
  <c r="AO2329" i="1"/>
  <c r="AW2329" i="1" s="1"/>
  <c r="AK2329" i="1"/>
  <c r="AJ2329" i="1"/>
  <c r="AH2329" i="1"/>
  <c r="AG2329" i="1"/>
  <c r="AF2329" i="1"/>
  <c r="AC2329" i="1"/>
  <c r="AB2329" i="1"/>
  <c r="Z2329" i="1"/>
  <c r="O2329" i="1"/>
  <c r="BF2329" i="1" s="1"/>
  <c r="L2329" i="1"/>
  <c r="J2329" i="1"/>
  <c r="BW2326" i="1"/>
  <c r="BJ2326" i="1"/>
  <c r="BD2326" i="1"/>
  <c r="AP2326" i="1"/>
  <c r="AO2326" i="1"/>
  <c r="AK2326" i="1"/>
  <c r="AJ2326" i="1"/>
  <c r="AH2326" i="1"/>
  <c r="AG2326" i="1"/>
  <c r="AF2326" i="1"/>
  <c r="AC2326" i="1"/>
  <c r="AB2326" i="1"/>
  <c r="Z2326" i="1"/>
  <c r="O2326" i="1"/>
  <c r="BF2326" i="1" s="1"/>
  <c r="L2326" i="1"/>
  <c r="BW2324" i="1"/>
  <c r="BJ2324" i="1"/>
  <c r="BD2324" i="1"/>
  <c r="AP2324" i="1"/>
  <c r="AO2324" i="1"/>
  <c r="AW2324" i="1" s="1"/>
  <c r="AK2324" i="1"/>
  <c r="AJ2324" i="1"/>
  <c r="AH2324" i="1"/>
  <c r="AG2324" i="1"/>
  <c r="AF2324" i="1"/>
  <c r="AC2324" i="1"/>
  <c r="AB2324" i="1"/>
  <c r="Z2324" i="1"/>
  <c r="O2324" i="1"/>
  <c r="BF2324" i="1" s="1"/>
  <c r="L2324" i="1"/>
  <c r="BW2322" i="1"/>
  <c r="BJ2322" i="1"/>
  <c r="BD2322" i="1"/>
  <c r="AP2322" i="1"/>
  <c r="AX2322" i="1" s="1"/>
  <c r="AO2322" i="1"/>
  <c r="AK2322" i="1"/>
  <c r="AJ2322" i="1"/>
  <c r="AH2322" i="1"/>
  <c r="AG2322" i="1"/>
  <c r="AF2322" i="1"/>
  <c r="AC2322" i="1"/>
  <c r="AB2322" i="1"/>
  <c r="Z2322" i="1"/>
  <c r="O2322" i="1"/>
  <c r="BF2322" i="1" s="1"/>
  <c r="L2322" i="1"/>
  <c r="BW2320" i="1"/>
  <c r="BJ2320" i="1"/>
  <c r="BD2320" i="1"/>
  <c r="AP2320" i="1"/>
  <c r="BI2320" i="1" s="1"/>
  <c r="AE2320" i="1" s="1"/>
  <c r="AO2320" i="1"/>
  <c r="AK2320" i="1"/>
  <c r="AJ2320" i="1"/>
  <c r="AH2320" i="1"/>
  <c r="AG2320" i="1"/>
  <c r="AF2320" i="1"/>
  <c r="AC2320" i="1"/>
  <c r="AB2320" i="1"/>
  <c r="Z2320" i="1"/>
  <c r="O2320" i="1"/>
  <c r="BF2320" i="1" s="1"/>
  <c r="L2320" i="1"/>
  <c r="K2320" i="1"/>
  <c r="J2320" i="1"/>
  <c r="BW2319" i="1"/>
  <c r="BJ2319" i="1"/>
  <c r="BD2319" i="1"/>
  <c r="AP2319" i="1"/>
  <c r="AO2319" i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K2319" i="1"/>
  <c r="J2319" i="1"/>
  <c r="BW2318" i="1"/>
  <c r="BJ2318" i="1"/>
  <c r="BD2318" i="1"/>
  <c r="AP2318" i="1"/>
  <c r="AX2318" i="1" s="1"/>
  <c r="AO2318" i="1"/>
  <c r="AW2318" i="1" s="1"/>
  <c r="AK2318" i="1"/>
  <c r="AJ2318" i="1"/>
  <c r="AH2318" i="1"/>
  <c r="AG2318" i="1"/>
  <c r="AF2318" i="1"/>
  <c r="AC2318" i="1"/>
  <c r="AB2318" i="1"/>
  <c r="Z2318" i="1"/>
  <c r="O2318" i="1"/>
  <c r="BF2318" i="1" s="1"/>
  <c r="L2318" i="1"/>
  <c r="BW2317" i="1"/>
  <c r="BJ2317" i="1"/>
  <c r="BD2317" i="1"/>
  <c r="AP2317" i="1"/>
  <c r="BI2317" i="1" s="1"/>
  <c r="AE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K2317" i="1"/>
  <c r="BW2316" i="1"/>
  <c r="BJ2316" i="1"/>
  <c r="BH2316" i="1"/>
  <c r="AD2316" i="1" s="1"/>
  <c r="BD2316" i="1"/>
  <c r="AP2316" i="1"/>
  <c r="AX2316" i="1" s="1"/>
  <c r="AO2316" i="1"/>
  <c r="AW2316" i="1" s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BW2314" i="1"/>
  <c r="BJ2314" i="1"/>
  <c r="BD2314" i="1"/>
  <c r="AP2314" i="1"/>
  <c r="AX2314" i="1" s="1"/>
  <c r="AO2314" i="1"/>
  <c r="AW2314" i="1" s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BW2312" i="1"/>
  <c r="BJ2312" i="1"/>
  <c r="BD2312" i="1"/>
  <c r="AP2312" i="1"/>
  <c r="AX2312" i="1" s="1"/>
  <c r="AO2312" i="1"/>
  <c r="AW2312" i="1" s="1"/>
  <c r="AK2312" i="1"/>
  <c r="AJ2312" i="1"/>
  <c r="AH2312" i="1"/>
  <c r="AG2312" i="1"/>
  <c r="AF2312" i="1"/>
  <c r="AC2312" i="1"/>
  <c r="AB2312" i="1"/>
  <c r="Z2312" i="1"/>
  <c r="O2312" i="1"/>
  <c r="BF2312" i="1" s="1"/>
  <c r="L2312" i="1"/>
  <c r="AL2312" i="1" s="1"/>
  <c r="BW2310" i="1"/>
  <c r="BJ2310" i="1"/>
  <c r="BD2310" i="1"/>
  <c r="AP2310" i="1"/>
  <c r="AX2310" i="1" s="1"/>
  <c r="AO2310" i="1"/>
  <c r="AW2310" i="1" s="1"/>
  <c r="AK2310" i="1"/>
  <c r="AJ2310" i="1"/>
  <c r="AH2310" i="1"/>
  <c r="AG2310" i="1"/>
  <c r="AF2310" i="1"/>
  <c r="AC2310" i="1"/>
  <c r="AB2310" i="1"/>
  <c r="Z2310" i="1"/>
  <c r="O2310" i="1"/>
  <c r="BF2310" i="1" s="1"/>
  <c r="L2310" i="1"/>
  <c r="K2310" i="1"/>
  <c r="BW2308" i="1"/>
  <c r="BJ2308" i="1"/>
  <c r="BD2308" i="1"/>
  <c r="AP2308" i="1"/>
  <c r="AX2308" i="1" s="1"/>
  <c r="AO2308" i="1"/>
  <c r="AW2308" i="1" s="1"/>
  <c r="AK2308" i="1"/>
  <c r="AJ2308" i="1"/>
  <c r="AH2308" i="1"/>
  <c r="AG2308" i="1"/>
  <c r="AF2308" i="1"/>
  <c r="AC2308" i="1"/>
  <c r="AB2308" i="1"/>
  <c r="Z2308" i="1"/>
  <c r="O2308" i="1"/>
  <c r="BF2308" i="1" s="1"/>
  <c r="L2308" i="1"/>
  <c r="AL2308" i="1" s="1"/>
  <c r="J2308" i="1"/>
  <c r="BW2306" i="1"/>
  <c r="BJ2306" i="1"/>
  <c r="BD2306" i="1"/>
  <c r="AP2306" i="1"/>
  <c r="BI2306" i="1" s="1"/>
  <c r="AE2306" i="1" s="1"/>
  <c r="AO2306" i="1"/>
  <c r="AW2306" i="1" s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K2306" i="1"/>
  <c r="BW2305" i="1"/>
  <c r="BJ2305" i="1"/>
  <c r="BD2305" i="1"/>
  <c r="AP2305" i="1"/>
  <c r="AX2305" i="1" s="1"/>
  <c r="AO2305" i="1"/>
  <c r="BH2305" i="1" s="1"/>
  <c r="AD2305" i="1" s="1"/>
  <c r="AK2305" i="1"/>
  <c r="AJ2305" i="1"/>
  <c r="AH2305" i="1"/>
  <c r="AG2305" i="1"/>
  <c r="AF2305" i="1"/>
  <c r="AC2305" i="1"/>
  <c r="AB2305" i="1"/>
  <c r="Z2305" i="1"/>
  <c r="O2305" i="1"/>
  <c r="BF2305" i="1" s="1"/>
  <c r="L2305" i="1"/>
  <c r="AL2305" i="1" s="1"/>
  <c r="J2305" i="1"/>
  <c r="BW2304" i="1"/>
  <c r="BJ2304" i="1"/>
  <c r="BD2304" i="1"/>
  <c r="AP2304" i="1"/>
  <c r="AX2304" i="1" s="1"/>
  <c r="AO2304" i="1"/>
  <c r="AK2304" i="1"/>
  <c r="AJ2304" i="1"/>
  <c r="AH2304" i="1"/>
  <c r="AG2304" i="1"/>
  <c r="AF2304" i="1"/>
  <c r="AC2304" i="1"/>
  <c r="AB2304" i="1"/>
  <c r="Z2304" i="1"/>
  <c r="O2304" i="1"/>
  <c r="BF2304" i="1" s="1"/>
  <c r="L2304" i="1"/>
  <c r="AL2304" i="1" s="1"/>
  <c r="K2304" i="1"/>
  <c r="BW2303" i="1"/>
  <c r="BJ2303" i="1"/>
  <c r="BD2303" i="1"/>
  <c r="AP2303" i="1"/>
  <c r="BI2303" i="1" s="1"/>
  <c r="AE2303" i="1" s="1"/>
  <c r="AO2303" i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K2303" i="1"/>
  <c r="BW2301" i="1"/>
  <c r="BJ2301" i="1"/>
  <c r="BD2301" i="1"/>
  <c r="AP2301" i="1"/>
  <c r="AO2301" i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300" i="1"/>
  <c r="BJ2300" i="1"/>
  <c r="BD2300" i="1"/>
  <c r="AP2300" i="1"/>
  <c r="BI2300" i="1" s="1"/>
  <c r="AE2300" i="1" s="1"/>
  <c r="AO2300" i="1"/>
  <c r="AW2300" i="1" s="1"/>
  <c r="AK2300" i="1"/>
  <c r="AJ2300" i="1"/>
  <c r="AH2300" i="1"/>
  <c r="AG2300" i="1"/>
  <c r="AF2300" i="1"/>
  <c r="AC2300" i="1"/>
  <c r="AB2300" i="1"/>
  <c r="Z2300" i="1"/>
  <c r="O2300" i="1"/>
  <c r="BF2300" i="1" s="1"/>
  <c r="L2300" i="1"/>
  <c r="AL2300" i="1" s="1"/>
  <c r="K2300" i="1"/>
  <c r="BW2297" i="1"/>
  <c r="BJ2297" i="1"/>
  <c r="BD2297" i="1"/>
  <c r="AP2297" i="1"/>
  <c r="BI2297" i="1" s="1"/>
  <c r="AE2297" i="1" s="1"/>
  <c r="AO2297" i="1"/>
  <c r="AW2297" i="1" s="1"/>
  <c r="AK2297" i="1"/>
  <c r="AJ2297" i="1"/>
  <c r="AH2297" i="1"/>
  <c r="AG2297" i="1"/>
  <c r="AF2297" i="1"/>
  <c r="AC2297" i="1"/>
  <c r="AB2297" i="1"/>
  <c r="Z2297" i="1"/>
  <c r="O2297" i="1"/>
  <c r="BF2297" i="1" s="1"/>
  <c r="L2297" i="1"/>
  <c r="AL2297" i="1" s="1"/>
  <c r="BW2295" i="1"/>
  <c r="BJ2295" i="1"/>
  <c r="BD2295" i="1"/>
  <c r="AP2295" i="1"/>
  <c r="AX2295" i="1" s="1"/>
  <c r="AO2295" i="1"/>
  <c r="AW2295" i="1" s="1"/>
  <c r="AK2295" i="1"/>
  <c r="AJ2295" i="1"/>
  <c r="AH2295" i="1"/>
  <c r="AG2295" i="1"/>
  <c r="AF2295" i="1"/>
  <c r="AC2295" i="1"/>
  <c r="AB2295" i="1"/>
  <c r="Z2295" i="1"/>
  <c r="O2295" i="1"/>
  <c r="BF2295" i="1" s="1"/>
  <c r="L2295" i="1"/>
  <c r="AL2295" i="1" s="1"/>
  <c r="J2295" i="1"/>
  <c r="BW2292" i="1"/>
  <c r="BJ2292" i="1"/>
  <c r="BD2292" i="1"/>
  <c r="AP2292" i="1"/>
  <c r="AX2292" i="1" s="1"/>
  <c r="AO2292" i="1"/>
  <c r="AW2292" i="1" s="1"/>
  <c r="AK2292" i="1"/>
  <c r="AJ2292" i="1"/>
  <c r="AH2292" i="1"/>
  <c r="AG2292" i="1"/>
  <c r="AF2292" i="1"/>
  <c r="AC2292" i="1"/>
  <c r="AB2292" i="1"/>
  <c r="Z2292" i="1"/>
  <c r="O2292" i="1"/>
  <c r="BF2292" i="1" s="1"/>
  <c r="L2292" i="1"/>
  <c r="AL2292" i="1" s="1"/>
  <c r="BW2290" i="1"/>
  <c r="BJ2290" i="1"/>
  <c r="BD2290" i="1"/>
  <c r="AP2290" i="1"/>
  <c r="K2290" i="1" s="1"/>
  <c r="AO2290" i="1"/>
  <c r="AW2290" i="1" s="1"/>
  <c r="AK2290" i="1"/>
  <c r="AJ2290" i="1"/>
  <c r="AH2290" i="1"/>
  <c r="AG2290" i="1"/>
  <c r="AF2290" i="1"/>
  <c r="AC2290" i="1"/>
  <c r="AB2290" i="1"/>
  <c r="Z2290" i="1"/>
  <c r="O2290" i="1"/>
  <c r="BF2290" i="1" s="1"/>
  <c r="L2290" i="1"/>
  <c r="BW2289" i="1"/>
  <c r="BJ2289" i="1"/>
  <c r="BD2289" i="1"/>
  <c r="AW2289" i="1"/>
  <c r="AP2289" i="1"/>
  <c r="AX2289" i="1" s="1"/>
  <c r="AO2289" i="1"/>
  <c r="BH2289" i="1" s="1"/>
  <c r="AD2289" i="1" s="1"/>
  <c r="AK2289" i="1"/>
  <c r="AJ2289" i="1"/>
  <c r="AH2289" i="1"/>
  <c r="AG2289" i="1"/>
  <c r="AF2289" i="1"/>
  <c r="AC2289" i="1"/>
  <c r="AB2289" i="1"/>
  <c r="Z2289" i="1"/>
  <c r="O2289" i="1"/>
  <c r="BF2289" i="1" s="1"/>
  <c r="L2289" i="1"/>
  <c r="AL2289" i="1" s="1"/>
  <c r="J2289" i="1"/>
  <c r="BW2288" i="1"/>
  <c r="BJ2288" i="1"/>
  <c r="BD2288" i="1"/>
  <c r="AP2288" i="1"/>
  <c r="AX2288" i="1" s="1"/>
  <c r="AO2288" i="1"/>
  <c r="AK2288" i="1"/>
  <c r="AJ2288" i="1"/>
  <c r="AH2288" i="1"/>
  <c r="AG2288" i="1"/>
  <c r="AF2288" i="1"/>
  <c r="AC2288" i="1"/>
  <c r="AB2288" i="1"/>
  <c r="Z2288" i="1"/>
  <c r="O2288" i="1"/>
  <c r="BF2288" i="1" s="1"/>
  <c r="L2288" i="1"/>
  <c r="AL2288" i="1" s="1"/>
  <c r="K2288" i="1"/>
  <c r="BW2287" i="1"/>
  <c r="BJ2287" i="1"/>
  <c r="BD2287" i="1"/>
  <c r="AP2287" i="1"/>
  <c r="BI2287" i="1" s="1"/>
  <c r="AE2287" i="1" s="1"/>
  <c r="AO2287" i="1"/>
  <c r="AL2287" i="1"/>
  <c r="AK2287" i="1"/>
  <c r="AJ2287" i="1"/>
  <c r="AH2287" i="1"/>
  <c r="AG2287" i="1"/>
  <c r="AF2287" i="1"/>
  <c r="AC2287" i="1"/>
  <c r="AB2287" i="1"/>
  <c r="Z2287" i="1"/>
  <c r="O2287" i="1"/>
  <c r="BF2287" i="1" s="1"/>
  <c r="L2287" i="1"/>
  <c r="K2287" i="1"/>
  <c r="BW2281" i="1"/>
  <c r="BJ2281" i="1"/>
  <c r="BD2281" i="1"/>
  <c r="AP2281" i="1"/>
  <c r="AO2281" i="1"/>
  <c r="AK2281" i="1"/>
  <c r="AJ2281" i="1"/>
  <c r="AH2281" i="1"/>
  <c r="AG2281" i="1"/>
  <c r="AF2281" i="1"/>
  <c r="AC2281" i="1"/>
  <c r="AB2281" i="1"/>
  <c r="Z2281" i="1"/>
  <c r="O2281" i="1"/>
  <c r="BF2281" i="1" s="1"/>
  <c r="L2281" i="1"/>
  <c r="AL2281" i="1" s="1"/>
  <c r="BW2278" i="1"/>
  <c r="BJ2278" i="1"/>
  <c r="BD2278" i="1"/>
  <c r="AP2278" i="1"/>
  <c r="BI2278" i="1" s="1"/>
  <c r="AE2278" i="1" s="1"/>
  <c r="AO2278" i="1"/>
  <c r="AK2278" i="1"/>
  <c r="AJ2278" i="1"/>
  <c r="AH2278" i="1"/>
  <c r="AG2278" i="1"/>
  <c r="AF2278" i="1"/>
  <c r="AC2278" i="1"/>
  <c r="AB2278" i="1"/>
  <c r="Z2278" i="1"/>
  <c r="O2278" i="1"/>
  <c r="BF2278" i="1" s="1"/>
  <c r="L2278" i="1"/>
  <c r="AL2278" i="1" s="1"/>
  <c r="BW2276" i="1"/>
  <c r="BJ2276" i="1"/>
  <c r="BD2276" i="1"/>
  <c r="AP2276" i="1"/>
  <c r="BI2276" i="1" s="1"/>
  <c r="AE2276" i="1" s="1"/>
  <c r="AO2276" i="1"/>
  <c r="AW2276" i="1" s="1"/>
  <c r="AK2276" i="1"/>
  <c r="AJ2276" i="1"/>
  <c r="AH2276" i="1"/>
  <c r="AG2276" i="1"/>
  <c r="AF2276" i="1"/>
  <c r="AC2276" i="1"/>
  <c r="AB2276" i="1"/>
  <c r="Z2276" i="1"/>
  <c r="O2276" i="1"/>
  <c r="BF2276" i="1" s="1"/>
  <c r="L2276" i="1"/>
  <c r="AL2276" i="1" s="1"/>
  <c r="K2276" i="1"/>
  <c r="J2276" i="1"/>
  <c r="BW2274" i="1"/>
  <c r="BJ2274" i="1"/>
  <c r="BD2274" i="1"/>
  <c r="AP2274" i="1"/>
  <c r="AX2274" i="1" s="1"/>
  <c r="AO2274" i="1"/>
  <c r="AW2274" i="1" s="1"/>
  <c r="AK2274" i="1"/>
  <c r="AJ2274" i="1"/>
  <c r="AH2274" i="1"/>
  <c r="AG2274" i="1"/>
  <c r="AF2274" i="1"/>
  <c r="AC2274" i="1"/>
  <c r="AB2274" i="1"/>
  <c r="Z2274" i="1"/>
  <c r="O2274" i="1"/>
  <c r="BF2274" i="1" s="1"/>
  <c r="L2274" i="1"/>
  <c r="AL2274" i="1" s="1"/>
  <c r="J2274" i="1"/>
  <c r="BW2272" i="1"/>
  <c r="BJ2272" i="1"/>
  <c r="BD2272" i="1"/>
  <c r="AP2272" i="1"/>
  <c r="BI2272" i="1" s="1"/>
  <c r="AE2272" i="1" s="1"/>
  <c r="AO2272" i="1"/>
  <c r="AW2272" i="1" s="1"/>
  <c r="AK2272" i="1"/>
  <c r="AJ2272" i="1"/>
  <c r="AH2272" i="1"/>
  <c r="AG2272" i="1"/>
  <c r="AF2272" i="1"/>
  <c r="AC2272" i="1"/>
  <c r="AB2272" i="1"/>
  <c r="Z2272" i="1"/>
  <c r="O2272" i="1"/>
  <c r="BF2272" i="1" s="1"/>
  <c r="L2272" i="1"/>
  <c r="AL2272" i="1" s="1"/>
  <c r="K2272" i="1"/>
  <c r="J2272" i="1"/>
  <c r="BW2271" i="1"/>
  <c r="BJ2271" i="1"/>
  <c r="BD2271" i="1"/>
  <c r="AX2271" i="1"/>
  <c r="AP2271" i="1"/>
  <c r="BI2271" i="1" s="1"/>
  <c r="AE2271" i="1" s="1"/>
  <c r="AO2271" i="1"/>
  <c r="AW2271" i="1" s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M2271" i="1" s="1"/>
  <c r="K2271" i="1"/>
  <c r="BW2266" i="1"/>
  <c r="BJ2266" i="1"/>
  <c r="BD2266" i="1"/>
  <c r="AP2266" i="1"/>
  <c r="AX2266" i="1" s="1"/>
  <c r="AO2266" i="1"/>
  <c r="AK2266" i="1"/>
  <c r="AJ2266" i="1"/>
  <c r="AH2266" i="1"/>
  <c r="AG2266" i="1"/>
  <c r="AF2266" i="1"/>
  <c r="AC2266" i="1"/>
  <c r="AB2266" i="1"/>
  <c r="Z2266" i="1"/>
  <c r="O2266" i="1"/>
  <c r="L2266" i="1"/>
  <c r="AL2266" i="1" s="1"/>
  <c r="BW2257" i="1"/>
  <c r="BJ2257" i="1"/>
  <c r="BI2257" i="1"/>
  <c r="BD2257" i="1"/>
  <c r="AP2257" i="1"/>
  <c r="K2257" i="1" s="1"/>
  <c r="AO2257" i="1"/>
  <c r="AK2257" i="1"/>
  <c r="AJ2257" i="1"/>
  <c r="AH2257" i="1"/>
  <c r="AG2257" i="1"/>
  <c r="AF2257" i="1"/>
  <c r="AE2257" i="1"/>
  <c r="AC2257" i="1"/>
  <c r="AB2257" i="1"/>
  <c r="Z2257" i="1"/>
  <c r="O2257" i="1"/>
  <c r="BF2257" i="1" s="1"/>
  <c r="L2257" i="1"/>
  <c r="AL2257" i="1" s="1"/>
  <c r="BW2254" i="1"/>
  <c r="BJ2254" i="1"/>
  <c r="BD2254" i="1"/>
  <c r="AP2254" i="1"/>
  <c r="AX2254" i="1" s="1"/>
  <c r="AO2254" i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AL2254" i="1" s="1"/>
  <c r="K2254" i="1"/>
  <c r="BW2252" i="1"/>
  <c r="BJ2252" i="1"/>
  <c r="BD2252" i="1"/>
  <c r="AP2252" i="1"/>
  <c r="AO2252" i="1"/>
  <c r="AK2252" i="1"/>
  <c r="AJ2252" i="1"/>
  <c r="AH2252" i="1"/>
  <c r="AG2252" i="1"/>
  <c r="AF2252" i="1"/>
  <c r="AC2252" i="1"/>
  <c r="AB2252" i="1"/>
  <c r="Z2252" i="1"/>
  <c r="O2252" i="1"/>
  <c r="BF2252" i="1" s="1"/>
  <c r="L2252" i="1"/>
  <c r="AL2252" i="1" s="1"/>
  <c r="BW2250" i="1"/>
  <c r="BJ2250" i="1"/>
  <c r="BD2250" i="1"/>
  <c r="AP2250" i="1"/>
  <c r="BI2250" i="1" s="1"/>
  <c r="AE2250" i="1" s="1"/>
  <c r="AO2250" i="1"/>
  <c r="AW2250" i="1" s="1"/>
  <c r="AK2250" i="1"/>
  <c r="AJ2250" i="1"/>
  <c r="AH2250" i="1"/>
  <c r="AG2250" i="1"/>
  <c r="AF2250" i="1"/>
  <c r="AC2250" i="1"/>
  <c r="AB2250" i="1"/>
  <c r="Z2250" i="1"/>
  <c r="O2250" i="1"/>
  <c r="BF2250" i="1" s="1"/>
  <c r="L2250" i="1"/>
  <c r="BW2248" i="1"/>
  <c r="BJ2248" i="1"/>
  <c r="BD2248" i="1"/>
  <c r="AP2248" i="1"/>
  <c r="BI2248" i="1" s="1"/>
  <c r="AE2248" i="1" s="1"/>
  <c r="AO2248" i="1"/>
  <c r="AW2248" i="1" s="1"/>
  <c r="AK2248" i="1"/>
  <c r="AJ2248" i="1"/>
  <c r="AH2248" i="1"/>
  <c r="AG2248" i="1"/>
  <c r="AF2248" i="1"/>
  <c r="AC2248" i="1"/>
  <c r="AB2248" i="1"/>
  <c r="Z2248" i="1"/>
  <c r="O2248" i="1"/>
  <c r="BF2248" i="1" s="1"/>
  <c r="L2248" i="1"/>
  <c r="BW2246" i="1"/>
  <c r="BJ2246" i="1"/>
  <c r="BD2246" i="1"/>
  <c r="AP2246" i="1"/>
  <c r="AX2246" i="1" s="1"/>
  <c r="AO2246" i="1"/>
  <c r="AK2246" i="1"/>
  <c r="AJ2246" i="1"/>
  <c r="AH2246" i="1"/>
  <c r="AG2246" i="1"/>
  <c r="AF2246" i="1"/>
  <c r="AC2246" i="1"/>
  <c r="AB2246" i="1"/>
  <c r="Z2246" i="1"/>
  <c r="O2246" i="1"/>
  <c r="BF2246" i="1" s="1"/>
  <c r="L2246" i="1"/>
  <c r="BW2245" i="1"/>
  <c r="BJ2245" i="1"/>
  <c r="BD2245" i="1"/>
  <c r="AX2245" i="1"/>
  <c r="AP2245" i="1"/>
  <c r="BI2245" i="1" s="1"/>
  <c r="AE2245" i="1" s="1"/>
  <c r="AO2245" i="1"/>
  <c r="AW2245" i="1" s="1"/>
  <c r="AK2245" i="1"/>
  <c r="AJ2245" i="1"/>
  <c r="AH2245" i="1"/>
  <c r="AG2245" i="1"/>
  <c r="AF2245" i="1"/>
  <c r="AC2245" i="1"/>
  <c r="AB2245" i="1"/>
  <c r="Z2245" i="1"/>
  <c r="O2245" i="1"/>
  <c r="BF2245" i="1" s="1"/>
  <c r="L2245" i="1"/>
  <c r="K2245" i="1"/>
  <c r="J2245" i="1"/>
  <c r="BW2244" i="1"/>
  <c r="BJ2244" i="1"/>
  <c r="BD2244" i="1"/>
  <c r="AP2244" i="1"/>
  <c r="BI2244" i="1" s="1"/>
  <c r="AE2244" i="1" s="1"/>
  <c r="AO2244" i="1"/>
  <c r="AW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K2244" i="1"/>
  <c r="J2244" i="1"/>
  <c r="BW2243" i="1"/>
  <c r="BJ2243" i="1"/>
  <c r="BD2243" i="1"/>
  <c r="AP2243" i="1"/>
  <c r="AX2243" i="1" s="1"/>
  <c r="AO2243" i="1"/>
  <c r="BH2243" i="1" s="1"/>
  <c r="AD2243" i="1" s="1"/>
  <c r="AK2243" i="1"/>
  <c r="AJ2243" i="1"/>
  <c r="AH2243" i="1"/>
  <c r="AG2243" i="1"/>
  <c r="AF2243" i="1"/>
  <c r="AC2243" i="1"/>
  <c r="AB2243" i="1"/>
  <c r="Z2243" i="1"/>
  <c r="O2243" i="1"/>
  <c r="BF2243" i="1" s="1"/>
  <c r="L2243" i="1"/>
  <c r="J2243" i="1"/>
  <c r="BW2242" i="1"/>
  <c r="BJ2242" i="1"/>
  <c r="BD2242" i="1"/>
  <c r="AP2242" i="1"/>
  <c r="BI2242" i="1" s="1"/>
  <c r="AE2242" i="1" s="1"/>
  <c r="AO2242" i="1"/>
  <c r="AW2242" i="1" s="1"/>
  <c r="AK2242" i="1"/>
  <c r="AJ2242" i="1"/>
  <c r="AH2242" i="1"/>
  <c r="AG2242" i="1"/>
  <c r="AF2242" i="1"/>
  <c r="AC2242" i="1"/>
  <c r="AB2242" i="1"/>
  <c r="Z2242" i="1"/>
  <c r="O2242" i="1"/>
  <c r="BF2242" i="1" s="1"/>
  <c r="L2242" i="1"/>
  <c r="K2242" i="1"/>
  <c r="J2242" i="1"/>
  <c r="BW2240" i="1"/>
  <c r="BJ2240" i="1"/>
  <c r="BD2240" i="1"/>
  <c r="AP2240" i="1"/>
  <c r="BI2240" i="1" s="1"/>
  <c r="AE2240" i="1" s="1"/>
  <c r="AO2240" i="1"/>
  <c r="AW2240" i="1" s="1"/>
  <c r="AK2240" i="1"/>
  <c r="AJ2240" i="1"/>
  <c r="AH2240" i="1"/>
  <c r="AG2240" i="1"/>
  <c r="AF2240" i="1"/>
  <c r="AC2240" i="1"/>
  <c r="AB2240" i="1"/>
  <c r="Z2240" i="1"/>
  <c r="O2240" i="1"/>
  <c r="BF2240" i="1" s="1"/>
  <c r="L2240" i="1"/>
  <c r="K2240" i="1"/>
  <c r="J2240" i="1"/>
  <c r="BW2235" i="1"/>
  <c r="BJ2235" i="1"/>
  <c r="BD2235" i="1"/>
  <c r="AP2235" i="1"/>
  <c r="AX2235" i="1" s="1"/>
  <c r="AO2235" i="1"/>
  <c r="BH2235" i="1" s="1"/>
  <c r="AD2235" i="1" s="1"/>
  <c r="AK2235" i="1"/>
  <c r="AJ2235" i="1"/>
  <c r="AH2235" i="1"/>
  <c r="AG2235" i="1"/>
  <c r="AF2235" i="1"/>
  <c r="AC2235" i="1"/>
  <c r="AB2235" i="1"/>
  <c r="Z2235" i="1"/>
  <c r="O2235" i="1"/>
  <c r="BF2235" i="1" s="1"/>
  <c r="L2235" i="1"/>
  <c r="BW2233" i="1"/>
  <c r="BJ2233" i="1"/>
  <c r="BD2233" i="1"/>
  <c r="AP2233" i="1"/>
  <c r="AX2233" i="1" s="1"/>
  <c r="AO2233" i="1"/>
  <c r="AW2233" i="1" s="1"/>
  <c r="AK2233" i="1"/>
  <c r="AJ2233" i="1"/>
  <c r="AH2233" i="1"/>
  <c r="AG2233" i="1"/>
  <c r="AF2233" i="1"/>
  <c r="AC2233" i="1"/>
  <c r="AB2233" i="1"/>
  <c r="Z2233" i="1"/>
  <c r="O2233" i="1"/>
  <c r="BF2233" i="1" s="1"/>
  <c r="L2233" i="1"/>
  <c r="K2233" i="1"/>
  <c r="J2233" i="1"/>
  <c r="BW2228" i="1"/>
  <c r="BJ2228" i="1"/>
  <c r="BD2228" i="1"/>
  <c r="AP2228" i="1"/>
  <c r="BI2228" i="1" s="1"/>
  <c r="AE2228" i="1" s="1"/>
  <c r="AO2228" i="1"/>
  <c r="AW2228" i="1" s="1"/>
  <c r="AK2228" i="1"/>
  <c r="AJ2228" i="1"/>
  <c r="AH2228" i="1"/>
  <c r="AG2228" i="1"/>
  <c r="AF2228" i="1"/>
  <c r="AC2228" i="1"/>
  <c r="AB2228" i="1"/>
  <c r="Z2228" i="1"/>
  <c r="O2228" i="1"/>
  <c r="BF2228" i="1" s="1"/>
  <c r="L2228" i="1"/>
  <c r="AL2228" i="1" s="1"/>
  <c r="K2228" i="1"/>
  <c r="J2228" i="1"/>
  <c r="BW2226" i="1"/>
  <c r="BJ2226" i="1"/>
  <c r="BD2226" i="1"/>
  <c r="AP2226" i="1"/>
  <c r="AX2226" i="1" s="1"/>
  <c r="AO2226" i="1"/>
  <c r="BH2226" i="1" s="1"/>
  <c r="AD2226" i="1" s="1"/>
  <c r="AK2226" i="1"/>
  <c r="AJ2226" i="1"/>
  <c r="AH2226" i="1"/>
  <c r="AG2226" i="1"/>
  <c r="AF2226" i="1"/>
  <c r="AC2226" i="1"/>
  <c r="AB2226" i="1"/>
  <c r="Z2226" i="1"/>
  <c r="O2226" i="1"/>
  <c r="BF2226" i="1" s="1"/>
  <c r="L2226" i="1"/>
  <c r="BW2224" i="1"/>
  <c r="BJ2224" i="1"/>
  <c r="Z2224" i="1" s="1"/>
  <c r="BD2224" i="1"/>
  <c r="AP2224" i="1"/>
  <c r="AX2224" i="1" s="1"/>
  <c r="AO2224" i="1"/>
  <c r="J2224" i="1" s="1"/>
  <c r="AK2224" i="1"/>
  <c r="AJ2224" i="1"/>
  <c r="AH2224" i="1"/>
  <c r="AG2224" i="1"/>
  <c r="AF2224" i="1"/>
  <c r="AE2224" i="1"/>
  <c r="AD2224" i="1"/>
  <c r="AC2224" i="1"/>
  <c r="AB2224" i="1"/>
  <c r="O2224" i="1"/>
  <c r="BF2224" i="1" s="1"/>
  <c r="L2224" i="1"/>
  <c r="BW2223" i="1"/>
  <c r="BJ2223" i="1"/>
  <c r="BD2223" i="1"/>
  <c r="AP2223" i="1"/>
  <c r="AX2223" i="1" s="1"/>
  <c r="AO2223" i="1"/>
  <c r="AK2223" i="1"/>
  <c r="AJ2223" i="1"/>
  <c r="AH2223" i="1"/>
  <c r="AG2223" i="1"/>
  <c r="AF2223" i="1"/>
  <c r="AC2223" i="1"/>
  <c r="AB2223" i="1"/>
  <c r="Z2223" i="1"/>
  <c r="O2223" i="1"/>
  <c r="BF2223" i="1" s="1"/>
  <c r="L2223" i="1"/>
  <c r="K2223" i="1"/>
  <c r="BW2222" i="1"/>
  <c r="BJ2222" i="1"/>
  <c r="BD2222" i="1"/>
  <c r="AP2222" i="1"/>
  <c r="AO2222" i="1"/>
  <c r="AW2222" i="1" s="1"/>
  <c r="AK2222" i="1"/>
  <c r="AJ2222" i="1"/>
  <c r="AH2222" i="1"/>
  <c r="AG2222" i="1"/>
  <c r="AF2222" i="1"/>
  <c r="AC2222" i="1"/>
  <c r="AB2222" i="1"/>
  <c r="Z2222" i="1"/>
  <c r="O2222" i="1"/>
  <c r="L2222" i="1"/>
  <c r="J2222" i="1"/>
  <c r="BW2220" i="1"/>
  <c r="BJ2220" i="1"/>
  <c r="Z2220" i="1" s="1"/>
  <c r="BD2220" i="1"/>
  <c r="AP2220" i="1"/>
  <c r="AX2220" i="1" s="1"/>
  <c r="AO2220" i="1"/>
  <c r="AW2220" i="1" s="1"/>
  <c r="AK2220" i="1"/>
  <c r="AJ2220" i="1"/>
  <c r="AH2220" i="1"/>
  <c r="AG2220" i="1"/>
  <c r="AF2220" i="1"/>
  <c r="AE2220" i="1"/>
  <c r="AD2220" i="1"/>
  <c r="AC2220" i="1"/>
  <c r="AB2220" i="1"/>
  <c r="O2220" i="1"/>
  <c r="BF2220" i="1" s="1"/>
  <c r="L2220" i="1"/>
  <c r="AL2220" i="1" s="1"/>
  <c r="J2220" i="1"/>
  <c r="BW2217" i="1"/>
  <c r="BJ2217" i="1"/>
  <c r="BD2217" i="1"/>
  <c r="AP2217" i="1"/>
  <c r="AX2217" i="1" s="1"/>
  <c r="AO2217" i="1"/>
  <c r="BH2217" i="1" s="1"/>
  <c r="AD2217" i="1" s="1"/>
  <c r="AK2217" i="1"/>
  <c r="AJ2217" i="1"/>
  <c r="AH2217" i="1"/>
  <c r="AG2217" i="1"/>
  <c r="AF2217" i="1"/>
  <c r="AC2217" i="1"/>
  <c r="AB2217" i="1"/>
  <c r="Z2217" i="1"/>
  <c r="O2217" i="1"/>
  <c r="BF2217" i="1" s="1"/>
  <c r="L2217" i="1"/>
  <c r="BW2215" i="1"/>
  <c r="BJ2215" i="1"/>
  <c r="Z2215" i="1" s="1"/>
  <c r="BD2215" i="1"/>
  <c r="AP2215" i="1"/>
  <c r="AX2215" i="1" s="1"/>
  <c r="AO2215" i="1"/>
  <c r="J2215" i="1" s="1"/>
  <c r="AK2215" i="1"/>
  <c r="AJ2215" i="1"/>
  <c r="AH2215" i="1"/>
  <c r="AG2215" i="1"/>
  <c r="AF2215" i="1"/>
  <c r="AE2215" i="1"/>
  <c r="AD2215" i="1"/>
  <c r="AC2215" i="1"/>
  <c r="AB2215" i="1"/>
  <c r="O2215" i="1"/>
  <c r="BF2215" i="1" s="1"/>
  <c r="L2215" i="1"/>
  <c r="BW2214" i="1"/>
  <c r="BJ2214" i="1"/>
  <c r="BD2214" i="1"/>
  <c r="AP2214" i="1"/>
  <c r="AX2214" i="1" s="1"/>
  <c r="AO2214" i="1"/>
  <c r="AK2214" i="1"/>
  <c r="AJ2214" i="1"/>
  <c r="AH2214" i="1"/>
  <c r="AG2214" i="1"/>
  <c r="AF2214" i="1"/>
  <c r="AC2214" i="1"/>
  <c r="AB2214" i="1"/>
  <c r="Z2214" i="1"/>
  <c r="O2214" i="1"/>
  <c r="BF2214" i="1" s="1"/>
  <c r="L2214" i="1"/>
  <c r="J2214" i="1"/>
  <c r="BW2213" i="1"/>
  <c r="BJ2213" i="1"/>
  <c r="BD2213" i="1"/>
  <c r="AP2213" i="1"/>
  <c r="AO2213" i="1"/>
  <c r="AW2213" i="1" s="1"/>
  <c r="AK2213" i="1"/>
  <c r="AJ2213" i="1"/>
  <c r="AH2213" i="1"/>
  <c r="AG2213" i="1"/>
  <c r="AF2213" i="1"/>
  <c r="AC2213" i="1"/>
  <c r="AB2213" i="1"/>
  <c r="Z2213" i="1"/>
  <c r="O2213" i="1"/>
  <c r="L2213" i="1"/>
  <c r="BW2209" i="1"/>
  <c r="BJ2209" i="1"/>
  <c r="BD2209" i="1"/>
  <c r="AP2209" i="1"/>
  <c r="AO2209" i="1"/>
  <c r="AW2209" i="1" s="1"/>
  <c r="AK2209" i="1"/>
  <c r="AJ2209" i="1"/>
  <c r="AH2209" i="1"/>
  <c r="AG2209" i="1"/>
  <c r="AF2209" i="1"/>
  <c r="AC2209" i="1"/>
  <c r="AB2209" i="1"/>
  <c r="Z2209" i="1"/>
  <c r="O2209" i="1"/>
  <c r="BF2209" i="1" s="1"/>
  <c r="L2209" i="1"/>
  <c r="AL2209" i="1" s="1"/>
  <c r="K2209" i="1"/>
  <c r="J2209" i="1"/>
  <c r="BW2207" i="1"/>
  <c r="BJ2207" i="1"/>
  <c r="BD2207" i="1"/>
  <c r="AP2207" i="1"/>
  <c r="BI2207" i="1" s="1"/>
  <c r="AE2207" i="1" s="1"/>
  <c r="AO2207" i="1"/>
  <c r="AW2207" i="1" s="1"/>
  <c r="AK2207" i="1"/>
  <c r="AJ2207" i="1"/>
  <c r="AH2207" i="1"/>
  <c r="AG2207" i="1"/>
  <c r="AF2207" i="1"/>
  <c r="AC2207" i="1"/>
  <c r="AB2207" i="1"/>
  <c r="Z2207" i="1"/>
  <c r="O2207" i="1"/>
  <c r="BF2207" i="1" s="1"/>
  <c r="L2207" i="1"/>
  <c r="BW2137" i="1"/>
  <c r="BJ2137" i="1"/>
  <c r="BD2137" i="1"/>
  <c r="AP2137" i="1"/>
  <c r="AO2137" i="1"/>
  <c r="AK2137" i="1"/>
  <c r="AJ2137" i="1"/>
  <c r="AH2137" i="1"/>
  <c r="AG2137" i="1"/>
  <c r="AF2137" i="1"/>
  <c r="AC2137" i="1"/>
  <c r="AB2137" i="1"/>
  <c r="Z2137" i="1"/>
  <c r="O2137" i="1"/>
  <c r="L2137" i="1"/>
  <c r="AL2137" i="1" s="1"/>
  <c r="BW2135" i="1"/>
  <c r="BJ2135" i="1"/>
  <c r="Z2135" i="1" s="1"/>
  <c r="BD2135" i="1"/>
  <c r="AP2135" i="1"/>
  <c r="AO2135" i="1"/>
  <c r="AK2135" i="1"/>
  <c r="AJ2135" i="1"/>
  <c r="AH2135" i="1"/>
  <c r="AG2135" i="1"/>
  <c r="AF2135" i="1"/>
  <c r="AE2135" i="1"/>
  <c r="AD2135" i="1"/>
  <c r="AC2135" i="1"/>
  <c r="AB2135" i="1"/>
  <c r="O2135" i="1"/>
  <c r="BF2135" i="1" s="1"/>
  <c r="L2135" i="1"/>
  <c r="AL2135" i="1" s="1"/>
  <c r="BW2132" i="1"/>
  <c r="BJ2132" i="1"/>
  <c r="BD2132" i="1"/>
  <c r="AP2132" i="1"/>
  <c r="K2132" i="1" s="1"/>
  <c r="AO2132" i="1"/>
  <c r="BH2132" i="1" s="1"/>
  <c r="AD2132" i="1" s="1"/>
  <c r="AK2132" i="1"/>
  <c r="AJ2132" i="1"/>
  <c r="AH2132" i="1"/>
  <c r="AG2132" i="1"/>
  <c r="AF2132" i="1"/>
  <c r="AC2132" i="1"/>
  <c r="AB2132" i="1"/>
  <c r="Z2132" i="1"/>
  <c r="O2132" i="1"/>
  <c r="BF2132" i="1" s="1"/>
  <c r="L2132" i="1"/>
  <c r="AL2132" i="1" s="1"/>
  <c r="BW2130" i="1"/>
  <c r="BJ2130" i="1"/>
  <c r="BD2130" i="1"/>
  <c r="AP2130" i="1"/>
  <c r="AX2130" i="1" s="1"/>
  <c r="AO2130" i="1"/>
  <c r="BH2130" i="1" s="1"/>
  <c r="AD2130" i="1" s="1"/>
  <c r="AK2130" i="1"/>
  <c r="AJ2130" i="1"/>
  <c r="AH2130" i="1"/>
  <c r="AG2130" i="1"/>
  <c r="AF2130" i="1"/>
  <c r="AC2130" i="1"/>
  <c r="AB2130" i="1"/>
  <c r="Z2130" i="1"/>
  <c r="O2130" i="1"/>
  <c r="BF2130" i="1" s="1"/>
  <c r="L2130" i="1"/>
  <c r="K2130" i="1"/>
  <c r="J2130" i="1"/>
  <c r="BW2110" i="1"/>
  <c r="BJ2110" i="1"/>
  <c r="BD2110" i="1"/>
  <c r="AP2110" i="1"/>
  <c r="AO2110" i="1"/>
  <c r="AK2110" i="1"/>
  <c r="AJ2110" i="1"/>
  <c r="AH2110" i="1"/>
  <c r="AG2110" i="1"/>
  <c r="AF2110" i="1"/>
  <c r="AC2110" i="1"/>
  <c r="AB2110" i="1"/>
  <c r="Z2110" i="1"/>
  <c r="O2110" i="1"/>
  <c r="L2110" i="1"/>
  <c r="AL2110" i="1" s="1"/>
  <c r="BW2090" i="1"/>
  <c r="BJ2090" i="1"/>
  <c r="BD2090" i="1"/>
  <c r="AP2090" i="1"/>
  <c r="AX2090" i="1" s="1"/>
  <c r="AO2090" i="1"/>
  <c r="J2090" i="1" s="1"/>
  <c r="AK2090" i="1"/>
  <c r="AJ2090" i="1"/>
  <c r="AH2090" i="1"/>
  <c r="AG2090" i="1"/>
  <c r="AF2090" i="1"/>
  <c r="AC2090" i="1"/>
  <c r="AB2090" i="1"/>
  <c r="Z2090" i="1"/>
  <c r="O2090" i="1"/>
  <c r="BF2090" i="1" s="1"/>
  <c r="L2090" i="1"/>
  <c r="AL2090" i="1" s="1"/>
  <c r="K2090" i="1"/>
  <c r="BW2088" i="1"/>
  <c r="BJ2088" i="1"/>
  <c r="Z2088" i="1" s="1"/>
  <c r="BD2088" i="1"/>
  <c r="AP2088" i="1"/>
  <c r="K2088" i="1" s="1"/>
  <c r="AO2088" i="1"/>
  <c r="AK2088" i="1"/>
  <c r="AJ2088" i="1"/>
  <c r="AH2088" i="1"/>
  <c r="AG2088" i="1"/>
  <c r="AF2088" i="1"/>
  <c r="AE2088" i="1"/>
  <c r="AD2088" i="1"/>
  <c r="AC2088" i="1"/>
  <c r="AB2088" i="1"/>
  <c r="O2088" i="1"/>
  <c r="BF2088" i="1" s="1"/>
  <c r="M2088" i="1"/>
  <c r="L2088" i="1"/>
  <c r="AL2088" i="1" s="1"/>
  <c r="BW2086" i="1"/>
  <c r="BJ2086" i="1"/>
  <c r="BI2086" i="1"/>
  <c r="AE2086" i="1" s="1"/>
  <c r="BD2086" i="1"/>
  <c r="AP2086" i="1"/>
  <c r="AX2086" i="1" s="1"/>
  <c r="AO2086" i="1"/>
  <c r="J2086" i="1" s="1"/>
  <c r="AK2086" i="1"/>
  <c r="AJ2086" i="1"/>
  <c r="AH2086" i="1"/>
  <c r="AG2086" i="1"/>
  <c r="AF2086" i="1"/>
  <c r="AC2086" i="1"/>
  <c r="AB2086" i="1"/>
  <c r="Z2086" i="1"/>
  <c r="O2086" i="1"/>
  <c r="BF2086" i="1" s="1"/>
  <c r="L2086" i="1"/>
  <c r="K2086" i="1"/>
  <c r="BW2084" i="1"/>
  <c r="BJ2084" i="1"/>
  <c r="BD2084" i="1"/>
  <c r="AP2084" i="1"/>
  <c r="AO2084" i="1"/>
  <c r="AK2084" i="1"/>
  <c r="AJ2084" i="1"/>
  <c r="AH2084" i="1"/>
  <c r="AG2084" i="1"/>
  <c r="AF2084" i="1"/>
  <c r="AC2084" i="1"/>
  <c r="AB2084" i="1"/>
  <c r="Z2084" i="1"/>
  <c r="O2084" i="1"/>
  <c r="BF2084" i="1" s="1"/>
  <c r="L2084" i="1"/>
  <c r="BW2082" i="1"/>
  <c r="BJ2082" i="1"/>
  <c r="BD2082" i="1"/>
  <c r="AP2082" i="1"/>
  <c r="AO2082" i="1"/>
  <c r="BH2082" i="1" s="1"/>
  <c r="AD2082" i="1" s="1"/>
  <c r="AK2082" i="1"/>
  <c r="AJ2082" i="1"/>
  <c r="AH2082" i="1"/>
  <c r="AG2082" i="1"/>
  <c r="AF2082" i="1"/>
  <c r="AC2082" i="1"/>
  <c r="AB2082" i="1"/>
  <c r="Z2082" i="1"/>
  <c r="O2082" i="1"/>
  <c r="BF2082" i="1" s="1"/>
  <c r="L2082" i="1"/>
  <c r="AL2082" i="1" s="1"/>
  <c r="K2082" i="1"/>
  <c r="J2082" i="1"/>
  <c r="BW2079" i="1"/>
  <c r="BJ2079" i="1"/>
  <c r="BD2079" i="1"/>
  <c r="AP2079" i="1"/>
  <c r="AX2079" i="1" s="1"/>
  <c r="AO2079" i="1"/>
  <c r="AW2079" i="1" s="1"/>
  <c r="AK2079" i="1"/>
  <c r="AJ2079" i="1"/>
  <c r="AH2079" i="1"/>
  <c r="AG2079" i="1"/>
  <c r="AF2079" i="1"/>
  <c r="AC2079" i="1"/>
  <c r="AB2079" i="1"/>
  <c r="Z2079" i="1"/>
  <c r="O2079" i="1"/>
  <c r="BF2079" i="1" s="1"/>
  <c r="L2079" i="1"/>
  <c r="K2079" i="1"/>
  <c r="J2079" i="1"/>
  <c r="BW2061" i="1"/>
  <c r="BJ2061" i="1"/>
  <c r="BD2061" i="1"/>
  <c r="AP2061" i="1"/>
  <c r="AO2061" i="1"/>
  <c r="AK2061" i="1"/>
  <c r="AJ2061" i="1"/>
  <c r="AH2061" i="1"/>
  <c r="AG2061" i="1"/>
  <c r="AF2061" i="1"/>
  <c r="AC2061" i="1"/>
  <c r="AB2061" i="1"/>
  <c r="Z2061" i="1"/>
  <c r="O2061" i="1"/>
  <c r="BF2061" i="1" s="1"/>
  <c r="L2061" i="1"/>
  <c r="AL2061" i="1" s="1"/>
  <c r="BW2058" i="1"/>
  <c r="BJ2058" i="1"/>
  <c r="BH2058" i="1"/>
  <c r="AD2058" i="1" s="1"/>
  <c r="BD2058" i="1"/>
  <c r="AP2058" i="1"/>
  <c r="K2058" i="1" s="1"/>
  <c r="AO2058" i="1"/>
  <c r="AW2058" i="1" s="1"/>
  <c r="AK2058" i="1"/>
  <c r="AJ2058" i="1"/>
  <c r="AH2058" i="1"/>
  <c r="AG2058" i="1"/>
  <c r="AF2058" i="1"/>
  <c r="AC2058" i="1"/>
  <c r="AB2058" i="1"/>
  <c r="Z2058" i="1"/>
  <c r="O2058" i="1"/>
  <c r="BF2058" i="1" s="1"/>
  <c r="L2058" i="1"/>
  <c r="J2058" i="1"/>
  <c r="BW2055" i="1"/>
  <c r="BJ2055" i="1"/>
  <c r="BD2055" i="1"/>
  <c r="AP2055" i="1"/>
  <c r="AX2055" i="1" s="1"/>
  <c r="AO2055" i="1"/>
  <c r="BH2055" i="1" s="1"/>
  <c r="AD2055" i="1" s="1"/>
  <c r="AK2055" i="1"/>
  <c r="AJ2055" i="1"/>
  <c r="AH2055" i="1"/>
  <c r="AG2055" i="1"/>
  <c r="AF2055" i="1"/>
  <c r="AC2055" i="1"/>
  <c r="AB2055" i="1"/>
  <c r="Z2055" i="1"/>
  <c r="O2055" i="1"/>
  <c r="BF2055" i="1" s="1"/>
  <c r="L2055" i="1"/>
  <c r="K2055" i="1"/>
  <c r="J2055" i="1"/>
  <c r="BW2051" i="1"/>
  <c r="BJ2051" i="1"/>
  <c r="BD2051" i="1"/>
  <c r="AP2051" i="1"/>
  <c r="AO2051" i="1"/>
  <c r="AK2051" i="1"/>
  <c r="AJ2051" i="1"/>
  <c r="AH2051" i="1"/>
  <c r="AG2051" i="1"/>
  <c r="AF2051" i="1"/>
  <c r="AC2051" i="1"/>
  <c r="AB2051" i="1"/>
  <c r="Z2051" i="1"/>
  <c r="O2051" i="1"/>
  <c r="BF2051" i="1" s="1"/>
  <c r="L2051" i="1"/>
  <c r="BW2047" i="1"/>
  <c r="BJ2047" i="1"/>
  <c r="BD2047" i="1"/>
  <c r="AP2047" i="1"/>
  <c r="K2047" i="1" s="1"/>
  <c r="AO2047" i="1"/>
  <c r="BH2047" i="1" s="1"/>
  <c r="AD2047" i="1" s="1"/>
  <c r="AK2047" i="1"/>
  <c r="AJ2047" i="1"/>
  <c r="AH2047" i="1"/>
  <c r="AG2047" i="1"/>
  <c r="AF2047" i="1"/>
  <c r="AC2047" i="1"/>
  <c r="AB2047" i="1"/>
  <c r="Z2047" i="1"/>
  <c r="O2047" i="1"/>
  <c r="BF2047" i="1" s="1"/>
  <c r="L2047" i="1"/>
  <c r="M2047" i="1" s="1"/>
  <c r="BW2044" i="1"/>
  <c r="BJ2044" i="1"/>
  <c r="BD2044" i="1"/>
  <c r="AW2044" i="1"/>
  <c r="AP2044" i="1"/>
  <c r="AX2044" i="1" s="1"/>
  <c r="AO2044" i="1"/>
  <c r="BH2044" i="1" s="1"/>
  <c r="AD2044" i="1" s="1"/>
  <c r="AK2044" i="1"/>
  <c r="AJ2044" i="1"/>
  <c r="AH2044" i="1"/>
  <c r="AG2044" i="1"/>
  <c r="AF2044" i="1"/>
  <c r="AC2044" i="1"/>
  <c r="AB2044" i="1"/>
  <c r="Z2044" i="1"/>
  <c r="O2044" i="1"/>
  <c r="BF2044" i="1" s="1"/>
  <c r="L2044" i="1"/>
  <c r="K2044" i="1"/>
  <c r="J2044" i="1"/>
  <c r="BW2036" i="1"/>
  <c r="BJ2036" i="1"/>
  <c r="BD2036" i="1"/>
  <c r="AP2036" i="1"/>
  <c r="AO2036" i="1"/>
  <c r="AK2036" i="1"/>
  <c r="AJ2036" i="1"/>
  <c r="AH2036" i="1"/>
  <c r="AG2036" i="1"/>
  <c r="AF2036" i="1"/>
  <c r="AC2036" i="1"/>
  <c r="AB2036" i="1"/>
  <c r="Z2036" i="1"/>
  <c r="O2036" i="1"/>
  <c r="BF2036" i="1" s="1"/>
  <c r="L2036" i="1"/>
  <c r="M2036" i="1" s="1"/>
  <c r="BW2026" i="1"/>
  <c r="BJ2026" i="1"/>
  <c r="BD2026" i="1"/>
  <c r="AP2026" i="1"/>
  <c r="BI2026" i="1" s="1"/>
  <c r="AE2026" i="1" s="1"/>
  <c r="AO2026" i="1"/>
  <c r="AK2026" i="1"/>
  <c r="AJ2026" i="1"/>
  <c r="AH2026" i="1"/>
  <c r="AG2026" i="1"/>
  <c r="AF2026" i="1"/>
  <c r="AC2026" i="1"/>
  <c r="AB2026" i="1"/>
  <c r="Z2026" i="1"/>
  <c r="O2026" i="1"/>
  <c r="BF2026" i="1" s="1"/>
  <c r="L2026" i="1"/>
  <c r="AL2026" i="1" s="1"/>
  <c r="K2026" i="1"/>
  <c r="J2026" i="1"/>
  <c r="BW2024" i="1"/>
  <c r="BJ2024" i="1"/>
  <c r="Z2024" i="1" s="1"/>
  <c r="BD2024" i="1"/>
  <c r="AP2024" i="1"/>
  <c r="K2024" i="1" s="1"/>
  <c r="AO2024" i="1"/>
  <c r="AW2024" i="1" s="1"/>
  <c r="AK2024" i="1"/>
  <c r="AJ2024" i="1"/>
  <c r="AH2024" i="1"/>
  <c r="AG2024" i="1"/>
  <c r="AF2024" i="1"/>
  <c r="AE2024" i="1"/>
  <c r="AD2024" i="1"/>
  <c r="AC2024" i="1"/>
  <c r="AB2024" i="1"/>
  <c r="O2024" i="1"/>
  <c r="BF2024" i="1" s="1"/>
  <c r="L2024" i="1"/>
  <c r="AL2024" i="1" s="1"/>
  <c r="J2024" i="1"/>
  <c r="BW2021" i="1"/>
  <c r="BJ2021" i="1"/>
  <c r="BD2021" i="1"/>
  <c r="AP2021" i="1"/>
  <c r="AX2021" i="1" s="1"/>
  <c r="AO2021" i="1"/>
  <c r="BH2021" i="1" s="1"/>
  <c r="AD2021" i="1" s="1"/>
  <c r="AK2021" i="1"/>
  <c r="AJ2021" i="1"/>
  <c r="AH2021" i="1"/>
  <c r="AG2021" i="1"/>
  <c r="AF2021" i="1"/>
  <c r="AC2021" i="1"/>
  <c r="AB2021" i="1"/>
  <c r="Z2021" i="1"/>
  <c r="O2021" i="1"/>
  <c r="BF2021" i="1" s="1"/>
  <c r="L2021" i="1"/>
  <c r="K2021" i="1"/>
  <c r="J2021" i="1"/>
  <c r="BW2013" i="1"/>
  <c r="M2013" i="1" s="1"/>
  <c r="BJ2013" i="1"/>
  <c r="BD2013" i="1"/>
  <c r="AP2013" i="1"/>
  <c r="AO2013" i="1"/>
  <c r="AK2013" i="1"/>
  <c r="AJ2013" i="1"/>
  <c r="AH2013" i="1"/>
  <c r="AG2013" i="1"/>
  <c r="AF2013" i="1"/>
  <c r="AC2013" i="1"/>
  <c r="AB2013" i="1"/>
  <c r="Z2013" i="1"/>
  <c r="O2013" i="1"/>
  <c r="BF2013" i="1" s="1"/>
  <c r="L2013" i="1"/>
  <c r="AL2013" i="1" s="1"/>
  <c r="BW2010" i="1"/>
  <c r="BJ2010" i="1"/>
  <c r="BD2010" i="1"/>
  <c r="AP2010" i="1"/>
  <c r="BI2010" i="1" s="1"/>
  <c r="AE2010" i="1" s="1"/>
  <c r="AO2010" i="1"/>
  <c r="AK2010" i="1"/>
  <c r="AJ2010" i="1"/>
  <c r="AH2010" i="1"/>
  <c r="AG2010" i="1"/>
  <c r="AF2010" i="1"/>
  <c r="AC2010" i="1"/>
  <c r="AB2010" i="1"/>
  <c r="Z2010" i="1"/>
  <c r="O2010" i="1"/>
  <c r="BF2010" i="1" s="1"/>
  <c r="L2010" i="1"/>
  <c r="AL2010" i="1" s="1"/>
  <c r="K2010" i="1"/>
  <c r="BW2003" i="1"/>
  <c r="BJ2003" i="1"/>
  <c r="BI2003" i="1"/>
  <c r="AE2003" i="1" s="1"/>
  <c r="BD2003" i="1"/>
  <c r="AP2003" i="1"/>
  <c r="AX2003" i="1" s="1"/>
  <c r="AO2003" i="1"/>
  <c r="BH2003" i="1" s="1"/>
  <c r="AD2003" i="1" s="1"/>
  <c r="AK2003" i="1"/>
  <c r="AJ2003" i="1"/>
  <c r="AH2003" i="1"/>
  <c r="AG2003" i="1"/>
  <c r="AF2003" i="1"/>
  <c r="AC2003" i="1"/>
  <c r="AB2003" i="1"/>
  <c r="Z2003" i="1"/>
  <c r="O2003" i="1"/>
  <c r="BF2003" i="1" s="1"/>
  <c r="L2003" i="1"/>
  <c r="K2003" i="1"/>
  <c r="J2003" i="1"/>
  <c r="BW1995" i="1"/>
  <c r="BJ1995" i="1"/>
  <c r="BD1995" i="1"/>
  <c r="AP1995" i="1"/>
  <c r="AO1995" i="1"/>
  <c r="AK1995" i="1"/>
  <c r="AJ1995" i="1"/>
  <c r="AH1995" i="1"/>
  <c r="AG1995" i="1"/>
  <c r="AF1995" i="1"/>
  <c r="AC1995" i="1"/>
  <c r="AB1995" i="1"/>
  <c r="Z1995" i="1"/>
  <c r="O1995" i="1"/>
  <c r="BF1995" i="1" s="1"/>
  <c r="L1995" i="1"/>
  <c r="BW1993" i="1"/>
  <c r="BJ1993" i="1"/>
  <c r="BD1993" i="1"/>
  <c r="AP1993" i="1"/>
  <c r="K1993" i="1" s="1"/>
  <c r="AO1993" i="1"/>
  <c r="BH1993" i="1" s="1"/>
  <c r="AD1993" i="1" s="1"/>
  <c r="AK1993" i="1"/>
  <c r="AJ1993" i="1"/>
  <c r="AH1993" i="1"/>
  <c r="AG1993" i="1"/>
  <c r="AF1993" i="1"/>
  <c r="AC1993" i="1"/>
  <c r="AB1993" i="1"/>
  <c r="Z1993" i="1"/>
  <c r="O1993" i="1"/>
  <c r="BF1993" i="1" s="1"/>
  <c r="L1993" i="1"/>
  <c r="AL1993" i="1" s="1"/>
  <c r="J1993" i="1"/>
  <c r="BW1991" i="1"/>
  <c r="BJ1991" i="1"/>
  <c r="Z1991" i="1" s="1"/>
  <c r="BF1991" i="1"/>
  <c r="BD1991" i="1"/>
  <c r="AP1991" i="1"/>
  <c r="AX1991" i="1" s="1"/>
  <c r="AO1991" i="1"/>
  <c r="AW1991" i="1" s="1"/>
  <c r="AK1991" i="1"/>
  <c r="AJ1991" i="1"/>
  <c r="AH1991" i="1"/>
  <c r="AG1991" i="1"/>
  <c r="AF1991" i="1"/>
  <c r="AE1991" i="1"/>
  <c r="AD1991" i="1"/>
  <c r="AC1991" i="1"/>
  <c r="AB1991" i="1"/>
  <c r="O1991" i="1"/>
  <c r="L1991" i="1"/>
  <c r="AL1991" i="1" s="1"/>
  <c r="J1991" i="1"/>
  <c r="BW1988" i="1"/>
  <c r="BJ1988" i="1"/>
  <c r="BD1988" i="1"/>
  <c r="AP1988" i="1"/>
  <c r="AX1988" i="1" s="1"/>
  <c r="AO1988" i="1"/>
  <c r="BH1988" i="1" s="1"/>
  <c r="AD1988" i="1" s="1"/>
  <c r="AK1988" i="1"/>
  <c r="AJ1988" i="1"/>
  <c r="AH1988" i="1"/>
  <c r="AG1988" i="1"/>
  <c r="AF1988" i="1"/>
  <c r="AC1988" i="1"/>
  <c r="AB1988" i="1"/>
  <c r="Z1988" i="1"/>
  <c r="O1988" i="1"/>
  <c r="BF1988" i="1" s="1"/>
  <c r="L1988" i="1"/>
  <c r="K1988" i="1"/>
  <c r="J1988" i="1"/>
  <c r="BW1985" i="1"/>
  <c r="BJ1985" i="1"/>
  <c r="BD1985" i="1"/>
  <c r="AP1985" i="1"/>
  <c r="AO1985" i="1"/>
  <c r="AK1985" i="1"/>
  <c r="AJ1985" i="1"/>
  <c r="AH1985" i="1"/>
  <c r="AG1985" i="1"/>
  <c r="AF1985" i="1"/>
  <c r="AC1985" i="1"/>
  <c r="AB1985" i="1"/>
  <c r="Z1985" i="1"/>
  <c r="O1985" i="1"/>
  <c r="BF1985" i="1" s="1"/>
  <c r="L1985" i="1"/>
  <c r="AL1985" i="1" s="1"/>
  <c r="BW1982" i="1"/>
  <c r="BJ1982" i="1"/>
  <c r="BD1982" i="1"/>
  <c r="AP1982" i="1"/>
  <c r="BI1982" i="1" s="1"/>
  <c r="AE1982" i="1" s="1"/>
  <c r="AO1982" i="1"/>
  <c r="J1982" i="1" s="1"/>
  <c r="AL1982" i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K1982" i="1"/>
  <c r="BW1979" i="1"/>
  <c r="BJ1979" i="1"/>
  <c r="BD1979" i="1"/>
  <c r="AP1979" i="1"/>
  <c r="AX1979" i="1" s="1"/>
  <c r="AO1979" i="1"/>
  <c r="AW1979" i="1" s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K1979" i="1"/>
  <c r="J1979" i="1"/>
  <c r="BW1976" i="1"/>
  <c r="BJ1976" i="1"/>
  <c r="BD1976" i="1"/>
  <c r="AP1976" i="1"/>
  <c r="AO1976" i="1"/>
  <c r="AK1976" i="1"/>
  <c r="AJ1976" i="1"/>
  <c r="AH1976" i="1"/>
  <c r="AG1976" i="1"/>
  <c r="AF1976" i="1"/>
  <c r="AC1976" i="1"/>
  <c r="AB1976" i="1"/>
  <c r="Z1976" i="1"/>
  <c r="O1976" i="1"/>
  <c r="BF1976" i="1" s="1"/>
  <c r="L1976" i="1"/>
  <c r="AL1976" i="1" s="1"/>
  <c r="BW1973" i="1"/>
  <c r="BJ1973" i="1"/>
  <c r="BD1973" i="1"/>
  <c r="AP1973" i="1"/>
  <c r="K1973" i="1" s="1"/>
  <c r="AO1973" i="1"/>
  <c r="AK1973" i="1"/>
  <c r="AJ1973" i="1"/>
  <c r="AH1973" i="1"/>
  <c r="AG1973" i="1"/>
  <c r="AF1973" i="1"/>
  <c r="AC1973" i="1"/>
  <c r="AB1973" i="1"/>
  <c r="Z1973" i="1"/>
  <c r="O1973" i="1"/>
  <c r="BF1973" i="1" s="1"/>
  <c r="L1973" i="1"/>
  <c r="AL1973" i="1" s="1"/>
  <c r="BW1970" i="1"/>
  <c r="BJ1970" i="1"/>
  <c r="BD1970" i="1"/>
  <c r="AP1970" i="1"/>
  <c r="AX1970" i="1" s="1"/>
  <c r="AO1970" i="1"/>
  <c r="AW1970" i="1" s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BW1967" i="1"/>
  <c r="BJ1967" i="1"/>
  <c r="BD1967" i="1"/>
  <c r="AP1967" i="1"/>
  <c r="AO1967" i="1"/>
  <c r="AK1967" i="1"/>
  <c r="AJ1967" i="1"/>
  <c r="AH1967" i="1"/>
  <c r="AG1967" i="1"/>
  <c r="AF1967" i="1"/>
  <c r="AC1967" i="1"/>
  <c r="AB1967" i="1"/>
  <c r="Z1967" i="1"/>
  <c r="O1967" i="1"/>
  <c r="BF1967" i="1" s="1"/>
  <c r="L1967" i="1"/>
  <c r="BW1963" i="1"/>
  <c r="BJ1963" i="1"/>
  <c r="BD1963" i="1"/>
  <c r="AP1963" i="1"/>
  <c r="AX1963" i="1" s="1"/>
  <c r="AO1963" i="1"/>
  <c r="BH1963" i="1" s="1"/>
  <c r="AD1963" i="1" s="1"/>
  <c r="AK1963" i="1"/>
  <c r="AJ1963" i="1"/>
  <c r="AH1963" i="1"/>
  <c r="AG1963" i="1"/>
  <c r="AF1963" i="1"/>
  <c r="AC1963" i="1"/>
  <c r="AB1963" i="1"/>
  <c r="Z1963" i="1"/>
  <c r="O1963" i="1"/>
  <c r="BF1963" i="1" s="1"/>
  <c r="L1963" i="1"/>
  <c r="AL1963" i="1" s="1"/>
  <c r="BW1960" i="1"/>
  <c r="BJ1960" i="1"/>
  <c r="BH1960" i="1"/>
  <c r="AD1960" i="1" s="1"/>
  <c r="BD1960" i="1"/>
  <c r="AP1960" i="1"/>
  <c r="AX1960" i="1" s="1"/>
  <c r="AO1960" i="1"/>
  <c r="AW1960" i="1" s="1"/>
  <c r="AK1960" i="1"/>
  <c r="AJ1960" i="1"/>
  <c r="AH1960" i="1"/>
  <c r="AG1960" i="1"/>
  <c r="AF1960" i="1"/>
  <c r="AC1960" i="1"/>
  <c r="AB1960" i="1"/>
  <c r="Z1960" i="1"/>
  <c r="O1960" i="1"/>
  <c r="BF1960" i="1" s="1"/>
  <c r="L1960" i="1"/>
  <c r="BW1956" i="1"/>
  <c r="BJ1956" i="1"/>
  <c r="BD1956" i="1"/>
  <c r="AP1956" i="1"/>
  <c r="K1956" i="1" s="1"/>
  <c r="AO1956" i="1"/>
  <c r="AK1956" i="1"/>
  <c r="AJ1956" i="1"/>
  <c r="AH1956" i="1"/>
  <c r="AG1956" i="1"/>
  <c r="AF1956" i="1"/>
  <c r="AC1956" i="1"/>
  <c r="AB1956" i="1"/>
  <c r="Z1956" i="1"/>
  <c r="O1956" i="1"/>
  <c r="BF1956" i="1" s="1"/>
  <c r="L1956" i="1"/>
  <c r="AL1956" i="1" s="1"/>
  <c r="BW1951" i="1"/>
  <c r="BJ1951" i="1"/>
  <c r="BD1951" i="1"/>
  <c r="AP1951" i="1"/>
  <c r="AX1951" i="1" s="1"/>
  <c r="AO1951" i="1"/>
  <c r="J1951" i="1" s="1"/>
  <c r="AL1951" i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BW1950" i="1"/>
  <c r="BJ1950" i="1"/>
  <c r="BD1950" i="1"/>
  <c r="AP1950" i="1"/>
  <c r="AX1950" i="1" s="1"/>
  <c r="AO1950" i="1"/>
  <c r="AW1950" i="1" s="1"/>
  <c r="AK1950" i="1"/>
  <c r="AJ1950" i="1"/>
  <c r="AH1950" i="1"/>
  <c r="AG1950" i="1"/>
  <c r="AF1950" i="1"/>
  <c r="AC1950" i="1"/>
  <c r="AB1950" i="1"/>
  <c r="Z1950" i="1"/>
  <c r="O1950" i="1"/>
  <c r="BF1950" i="1" s="1"/>
  <c r="L1950" i="1"/>
  <c r="BW1948" i="1"/>
  <c r="BJ1948" i="1"/>
  <c r="BD1948" i="1"/>
  <c r="AP1948" i="1"/>
  <c r="BI1948" i="1" s="1"/>
  <c r="AE1948" i="1" s="1"/>
  <c r="AO1948" i="1"/>
  <c r="AL1948" i="1"/>
  <c r="AK1948" i="1"/>
  <c r="AJ1948" i="1"/>
  <c r="AH1948" i="1"/>
  <c r="AG1948" i="1"/>
  <c r="AF1948" i="1"/>
  <c r="AC1948" i="1"/>
  <c r="AB1948" i="1"/>
  <c r="Z1948" i="1"/>
  <c r="O1948" i="1"/>
  <c r="BF1948" i="1" s="1"/>
  <c r="L1948" i="1"/>
  <c r="K1948" i="1"/>
  <c r="BW1946" i="1"/>
  <c r="BJ1946" i="1"/>
  <c r="BD1946" i="1"/>
  <c r="AP1946" i="1"/>
  <c r="K1946" i="1" s="1"/>
  <c r="AO1946" i="1"/>
  <c r="BH1946" i="1" s="1"/>
  <c r="AD1946" i="1" s="1"/>
  <c r="AK1946" i="1"/>
  <c r="AJ1946" i="1"/>
  <c r="AH1946" i="1"/>
  <c r="AG1946" i="1"/>
  <c r="AF1946" i="1"/>
  <c r="AC1946" i="1"/>
  <c r="AB1946" i="1"/>
  <c r="Z1946" i="1"/>
  <c r="O1946" i="1"/>
  <c r="BF1946" i="1" s="1"/>
  <c r="L1946" i="1"/>
  <c r="BW1944" i="1"/>
  <c r="BJ1944" i="1"/>
  <c r="BD1944" i="1"/>
  <c r="AP1944" i="1"/>
  <c r="K1944" i="1" s="1"/>
  <c r="AO1944" i="1"/>
  <c r="AK1944" i="1"/>
  <c r="AJ1944" i="1"/>
  <c r="AH1944" i="1"/>
  <c r="AG1944" i="1"/>
  <c r="AF1944" i="1"/>
  <c r="AC1944" i="1"/>
  <c r="AB1944" i="1"/>
  <c r="Z1944" i="1"/>
  <c r="O1944" i="1"/>
  <c r="BF1944" i="1" s="1"/>
  <c r="L1944" i="1"/>
  <c r="BW1942" i="1"/>
  <c r="BJ1942" i="1"/>
  <c r="BD1942" i="1"/>
  <c r="AP1942" i="1"/>
  <c r="K1942" i="1" s="1"/>
  <c r="AO1942" i="1"/>
  <c r="AK1942" i="1"/>
  <c r="AJ1942" i="1"/>
  <c r="AH1942" i="1"/>
  <c r="AG1942" i="1"/>
  <c r="AF1942" i="1"/>
  <c r="AC1942" i="1"/>
  <c r="AB1942" i="1"/>
  <c r="Z1942" i="1"/>
  <c r="O1942" i="1"/>
  <c r="BF1942" i="1" s="1"/>
  <c r="L1942" i="1"/>
  <c r="M1942" i="1" s="1"/>
  <c r="BW1932" i="1"/>
  <c r="BJ1932" i="1"/>
  <c r="BD1932" i="1"/>
  <c r="AP1932" i="1"/>
  <c r="AO1932" i="1"/>
  <c r="BH1932" i="1" s="1"/>
  <c r="AD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W1930" i="1" s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K1930" i="1"/>
  <c r="BW1928" i="1"/>
  <c r="BJ1928" i="1"/>
  <c r="BI1928" i="1"/>
  <c r="AE1928" i="1" s="1"/>
  <c r="BD1928" i="1"/>
  <c r="AX1928" i="1"/>
  <c r="AP1928" i="1"/>
  <c r="K1928" i="1" s="1"/>
  <c r="AO1928" i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BW1926" i="1"/>
  <c r="BJ1926" i="1"/>
  <c r="BD1926" i="1"/>
  <c r="AP1926" i="1"/>
  <c r="AX1926" i="1" s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4" i="1"/>
  <c r="BJ1924" i="1"/>
  <c r="BD1924" i="1"/>
  <c r="AP1924" i="1"/>
  <c r="AX1924" i="1" s="1"/>
  <c r="AO1924" i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2" i="1"/>
  <c r="BJ1922" i="1"/>
  <c r="BD1922" i="1"/>
  <c r="AX1922" i="1"/>
  <c r="AP1922" i="1"/>
  <c r="BI1922" i="1" s="1"/>
  <c r="AE1922" i="1" s="1"/>
  <c r="AO1922" i="1"/>
  <c r="AL1922" i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BW1920" i="1"/>
  <c r="BJ1920" i="1"/>
  <c r="BF1920" i="1"/>
  <c r="BD1920" i="1"/>
  <c r="AP1920" i="1"/>
  <c r="AX1920" i="1" s="1"/>
  <c r="AO1920" i="1"/>
  <c r="BH1920" i="1" s="1"/>
  <c r="AD1920" i="1" s="1"/>
  <c r="AL1920" i="1"/>
  <c r="AK1920" i="1"/>
  <c r="AJ1920" i="1"/>
  <c r="AH1920" i="1"/>
  <c r="AG1920" i="1"/>
  <c r="AF1920" i="1"/>
  <c r="AC1920" i="1"/>
  <c r="AB1920" i="1"/>
  <c r="Z1920" i="1"/>
  <c r="O1920" i="1"/>
  <c r="L1920" i="1"/>
  <c r="J1920" i="1"/>
  <c r="BW1918" i="1"/>
  <c r="BJ1918" i="1"/>
  <c r="BD1918" i="1"/>
  <c r="AP1918" i="1"/>
  <c r="AX1918" i="1" s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K1918" i="1"/>
  <c r="J1918" i="1"/>
  <c r="BW1917" i="1"/>
  <c r="BJ1917" i="1"/>
  <c r="BD1917" i="1"/>
  <c r="AP1917" i="1"/>
  <c r="K1917" i="1" s="1"/>
  <c r="AO1917" i="1"/>
  <c r="AL1917" i="1"/>
  <c r="AK1917" i="1"/>
  <c r="AJ1917" i="1"/>
  <c r="AH1917" i="1"/>
  <c r="AG1917" i="1"/>
  <c r="AF1917" i="1"/>
  <c r="AC1917" i="1"/>
  <c r="AB1917" i="1"/>
  <c r="Z1917" i="1"/>
  <c r="O1917" i="1"/>
  <c r="BF1917" i="1" s="1"/>
  <c r="L1917" i="1"/>
  <c r="BW1915" i="1"/>
  <c r="BJ1915" i="1"/>
  <c r="BD1915" i="1"/>
  <c r="AW1915" i="1"/>
  <c r="AP1915" i="1"/>
  <c r="AO1915" i="1"/>
  <c r="BH1915" i="1" s="1"/>
  <c r="AD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J1915" i="1"/>
  <c r="BW1913" i="1"/>
  <c r="BJ1913" i="1"/>
  <c r="BD1913" i="1"/>
  <c r="AP1913" i="1"/>
  <c r="AX1913" i="1" s="1"/>
  <c r="AO1913" i="1"/>
  <c r="AW1913" i="1" s="1"/>
  <c r="AK1913" i="1"/>
  <c r="AJ1913" i="1"/>
  <c r="AH1913" i="1"/>
  <c r="AG1913" i="1"/>
  <c r="AF1913" i="1"/>
  <c r="AC1913" i="1"/>
  <c r="AB1913" i="1"/>
  <c r="Z1913" i="1"/>
  <c r="O1913" i="1"/>
  <c r="BF1913" i="1" s="1"/>
  <c r="M1913" i="1"/>
  <c r="L1913" i="1"/>
  <c r="AL1913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J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AL1910" i="1" s="1"/>
  <c r="K1910" i="1"/>
  <c r="BW1909" i="1"/>
  <c r="BJ1909" i="1"/>
  <c r="BD1909" i="1"/>
  <c r="AP1909" i="1"/>
  <c r="AX1909" i="1" s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K1909" i="1"/>
  <c r="J1909" i="1"/>
  <c r="BW1908" i="1"/>
  <c r="BJ1908" i="1"/>
  <c r="BD1908" i="1"/>
  <c r="AP1908" i="1"/>
  <c r="K1908" i="1" s="1"/>
  <c r="AO1908" i="1"/>
  <c r="AK1908" i="1"/>
  <c r="AJ1908" i="1"/>
  <c r="AH1908" i="1"/>
  <c r="AG1908" i="1"/>
  <c r="AF1908" i="1"/>
  <c r="AC1908" i="1"/>
  <c r="AB1908" i="1"/>
  <c r="Z1908" i="1"/>
  <c r="O1908" i="1"/>
  <c r="BF1908" i="1" s="1"/>
  <c r="L1908" i="1"/>
  <c r="AL1908" i="1" s="1"/>
  <c r="BW1907" i="1"/>
  <c r="BJ1907" i="1"/>
  <c r="BD1907" i="1"/>
  <c r="AP1907" i="1"/>
  <c r="AO1907" i="1"/>
  <c r="BH1907" i="1" s="1"/>
  <c r="AD1907" i="1" s="1"/>
  <c r="AK1907" i="1"/>
  <c r="AJ1907" i="1"/>
  <c r="AH1907" i="1"/>
  <c r="AG1907" i="1"/>
  <c r="AF1907" i="1"/>
  <c r="AC1907" i="1"/>
  <c r="AB1907" i="1"/>
  <c r="Z1907" i="1"/>
  <c r="O1907" i="1"/>
  <c r="BF1907" i="1" s="1"/>
  <c r="L1907" i="1"/>
  <c r="AL1907" i="1" s="1"/>
  <c r="J1907" i="1"/>
  <c r="BW1906" i="1"/>
  <c r="BJ1906" i="1"/>
  <c r="BD1906" i="1"/>
  <c r="AP1906" i="1"/>
  <c r="AX1906" i="1" s="1"/>
  <c r="AO1906" i="1"/>
  <c r="AW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AL1906" i="1" s="1"/>
  <c r="BW1905" i="1"/>
  <c r="BJ1905" i="1"/>
  <c r="BD1905" i="1"/>
  <c r="AP1905" i="1"/>
  <c r="AX1905" i="1" s="1"/>
  <c r="AO1905" i="1"/>
  <c r="AW1905" i="1" s="1"/>
  <c r="AK1905" i="1"/>
  <c r="AJ1905" i="1"/>
  <c r="AH1905" i="1"/>
  <c r="AG1905" i="1"/>
  <c r="AF1905" i="1"/>
  <c r="AC1905" i="1"/>
  <c r="AB1905" i="1"/>
  <c r="Z1905" i="1"/>
  <c r="O1905" i="1"/>
  <c r="BF1905" i="1" s="1"/>
  <c r="L1905" i="1"/>
  <c r="M1905" i="1" s="1"/>
  <c r="K1905" i="1"/>
  <c r="BW1904" i="1"/>
  <c r="M1904" i="1" s="1"/>
  <c r="BJ1904" i="1"/>
  <c r="BD1904" i="1"/>
  <c r="AW1904" i="1"/>
  <c r="AP1904" i="1"/>
  <c r="AX1904" i="1" s="1"/>
  <c r="AO1904" i="1"/>
  <c r="BH1904" i="1" s="1"/>
  <c r="AD1904" i="1" s="1"/>
  <c r="AL1904" i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J1904" i="1"/>
  <c r="BW1903" i="1"/>
  <c r="BJ1903" i="1"/>
  <c r="BD1903" i="1"/>
  <c r="AP1903" i="1"/>
  <c r="K1903" i="1" s="1"/>
  <c r="AO1903" i="1"/>
  <c r="J1903" i="1" s="1"/>
  <c r="AK1903" i="1"/>
  <c r="AJ1903" i="1"/>
  <c r="AH1903" i="1"/>
  <c r="AG1903" i="1"/>
  <c r="AF1903" i="1"/>
  <c r="AC1903" i="1"/>
  <c r="AB1903" i="1"/>
  <c r="Z1903" i="1"/>
  <c r="O1903" i="1"/>
  <c r="BF1903" i="1" s="1"/>
  <c r="L1903" i="1"/>
  <c r="BW1902" i="1"/>
  <c r="BJ1902" i="1"/>
  <c r="BH1902" i="1"/>
  <c r="AD1902" i="1" s="1"/>
  <c r="BD1902" i="1"/>
  <c r="AP1902" i="1"/>
  <c r="AX1902" i="1" s="1"/>
  <c r="AO1902" i="1"/>
  <c r="AW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1" i="1"/>
  <c r="BJ1901" i="1"/>
  <c r="BD1901" i="1"/>
  <c r="AP1901" i="1"/>
  <c r="AX1901" i="1" s="1"/>
  <c r="AO1901" i="1"/>
  <c r="AK1901" i="1"/>
  <c r="AJ1901" i="1"/>
  <c r="AH1901" i="1"/>
  <c r="AG1901" i="1"/>
  <c r="AF1901" i="1"/>
  <c r="AC1901" i="1"/>
  <c r="AB1901" i="1"/>
  <c r="Z1901" i="1"/>
  <c r="O1901" i="1"/>
  <c r="BF1901" i="1" s="1"/>
  <c r="L1901" i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K1900" i="1"/>
  <c r="BW1899" i="1"/>
  <c r="BJ1899" i="1"/>
  <c r="BD1899" i="1"/>
  <c r="AW1899" i="1"/>
  <c r="AP1899" i="1"/>
  <c r="AO1899" i="1"/>
  <c r="BH1899" i="1" s="1"/>
  <c r="AD1899" i="1" s="1"/>
  <c r="AK1899" i="1"/>
  <c r="AJ1899" i="1"/>
  <c r="AH1899" i="1"/>
  <c r="AG1899" i="1"/>
  <c r="AF1899" i="1"/>
  <c r="AC1899" i="1"/>
  <c r="AB1899" i="1"/>
  <c r="Z1899" i="1"/>
  <c r="O1899" i="1"/>
  <c r="BF1899" i="1" s="1"/>
  <c r="L1899" i="1"/>
  <c r="AL1899" i="1" s="1"/>
  <c r="BW1898" i="1"/>
  <c r="BJ1898" i="1"/>
  <c r="BD1898" i="1"/>
  <c r="AP1898" i="1"/>
  <c r="AX1898" i="1" s="1"/>
  <c r="AO1898" i="1"/>
  <c r="J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AL1898" i="1" s="1"/>
  <c r="K1898" i="1"/>
  <c r="BW1897" i="1"/>
  <c r="BJ1897" i="1"/>
  <c r="BD1897" i="1"/>
  <c r="AP1897" i="1"/>
  <c r="AX1897" i="1" s="1"/>
  <c r="AO1897" i="1"/>
  <c r="BH1897" i="1" s="1"/>
  <c r="AD1897" i="1" s="1"/>
  <c r="AK1897" i="1"/>
  <c r="AJ1897" i="1"/>
  <c r="AH1897" i="1"/>
  <c r="AG1897" i="1"/>
  <c r="AF1897" i="1"/>
  <c r="AC1897" i="1"/>
  <c r="AB1897" i="1"/>
  <c r="Z1897" i="1"/>
  <c r="O1897" i="1"/>
  <c r="BF1897" i="1" s="1"/>
  <c r="L1897" i="1"/>
  <c r="K1897" i="1"/>
  <c r="BW1896" i="1"/>
  <c r="BJ1896" i="1"/>
  <c r="BD1896" i="1"/>
  <c r="AP1896" i="1"/>
  <c r="AO1896" i="1"/>
  <c r="AW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J1896" i="1"/>
  <c r="BW1895" i="1"/>
  <c r="BJ1895" i="1"/>
  <c r="BD1895" i="1"/>
  <c r="AP1895" i="1"/>
  <c r="AX1895" i="1" s="1"/>
  <c r="AO1895" i="1"/>
  <c r="AK1895" i="1"/>
  <c r="AJ1895" i="1"/>
  <c r="AH1895" i="1"/>
  <c r="AG1895" i="1"/>
  <c r="AF1895" i="1"/>
  <c r="AC1895" i="1"/>
  <c r="AB1895" i="1"/>
  <c r="Z1895" i="1"/>
  <c r="O1895" i="1"/>
  <c r="BF1895" i="1" s="1"/>
  <c r="L1895" i="1"/>
  <c r="K1895" i="1"/>
  <c r="J1895" i="1"/>
  <c r="BW1894" i="1"/>
  <c r="BJ1894" i="1"/>
  <c r="BD1894" i="1"/>
  <c r="AP1894" i="1"/>
  <c r="AX1894" i="1" s="1"/>
  <c r="AO1894" i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K1894" i="1"/>
  <c r="BW1893" i="1"/>
  <c r="BJ1893" i="1"/>
  <c r="BH1893" i="1"/>
  <c r="AD1893" i="1" s="1"/>
  <c r="BD1893" i="1"/>
  <c r="AW1893" i="1"/>
  <c r="AP1893" i="1"/>
  <c r="AO1893" i="1"/>
  <c r="AK1893" i="1"/>
  <c r="AJ1893" i="1"/>
  <c r="AH1893" i="1"/>
  <c r="AG1893" i="1"/>
  <c r="AF1893" i="1"/>
  <c r="AC1893" i="1"/>
  <c r="AB1893" i="1"/>
  <c r="Z1893" i="1"/>
  <c r="O1893" i="1"/>
  <c r="BF1893" i="1" s="1"/>
  <c r="L1893" i="1"/>
  <c r="AL1893" i="1" s="1"/>
  <c r="J1893" i="1"/>
  <c r="BW1892" i="1"/>
  <c r="BJ1892" i="1"/>
  <c r="BD1892" i="1"/>
  <c r="AP1892" i="1"/>
  <c r="AX1892" i="1" s="1"/>
  <c r="AO1892" i="1"/>
  <c r="AW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AL1892" i="1" s="1"/>
  <c r="J1892" i="1"/>
  <c r="BW1891" i="1"/>
  <c r="BJ1891" i="1"/>
  <c r="BI1891" i="1"/>
  <c r="AE1891" i="1" s="1"/>
  <c r="BD1891" i="1"/>
  <c r="AP1891" i="1"/>
  <c r="AX1891" i="1" s="1"/>
  <c r="AO1891" i="1"/>
  <c r="BH1891" i="1" s="1"/>
  <c r="AD1891" i="1" s="1"/>
  <c r="AK1891" i="1"/>
  <c r="AJ1891" i="1"/>
  <c r="AH1891" i="1"/>
  <c r="AG1891" i="1"/>
  <c r="AF1891" i="1"/>
  <c r="AC1891" i="1"/>
  <c r="AB1891" i="1"/>
  <c r="Z1891" i="1"/>
  <c r="O1891" i="1"/>
  <c r="BF1891" i="1" s="1"/>
  <c r="L1891" i="1"/>
  <c r="K1891" i="1"/>
  <c r="BW1890" i="1"/>
  <c r="BJ1890" i="1"/>
  <c r="BD1890" i="1"/>
  <c r="AP1890" i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O1888" i="1"/>
  <c r="AK1888" i="1"/>
  <c r="AJ1888" i="1"/>
  <c r="AH1888" i="1"/>
  <c r="AG1888" i="1"/>
  <c r="AF1888" i="1"/>
  <c r="AE1888" i="1"/>
  <c r="AD1888" i="1"/>
  <c r="AC1888" i="1"/>
  <c r="AB1888" i="1"/>
  <c r="Z1888" i="1"/>
  <c r="O1888" i="1"/>
  <c r="BF1888" i="1" s="1"/>
  <c r="L1888" i="1"/>
  <c r="AL1888" i="1" s="1"/>
  <c r="J1888" i="1"/>
  <c r="BW1887" i="1"/>
  <c r="BJ1887" i="1"/>
  <c r="BD1887" i="1"/>
  <c r="AP1887" i="1"/>
  <c r="AX1887" i="1" s="1"/>
  <c r="AO1887" i="1"/>
  <c r="AK1887" i="1"/>
  <c r="AJ1887" i="1"/>
  <c r="AH1887" i="1"/>
  <c r="AG1887" i="1"/>
  <c r="AF1887" i="1"/>
  <c r="AC1887" i="1"/>
  <c r="AB1887" i="1"/>
  <c r="Z1887" i="1"/>
  <c r="O1887" i="1"/>
  <c r="BF1887" i="1" s="1"/>
  <c r="L1887" i="1"/>
  <c r="AL1887" i="1" s="1"/>
  <c r="J1887" i="1"/>
  <c r="BW1885" i="1"/>
  <c r="BJ1885" i="1"/>
  <c r="BD1885" i="1"/>
  <c r="AP1885" i="1"/>
  <c r="AX1885" i="1" s="1"/>
  <c r="AO1885" i="1"/>
  <c r="BH1885" i="1" s="1"/>
  <c r="AD1885" i="1" s="1"/>
  <c r="AK1885" i="1"/>
  <c r="AJ1885" i="1"/>
  <c r="AH1885" i="1"/>
  <c r="AG1885" i="1"/>
  <c r="AF1885" i="1"/>
  <c r="AC1885" i="1"/>
  <c r="AB1885" i="1"/>
  <c r="Z1885" i="1"/>
  <c r="O1885" i="1"/>
  <c r="BF1885" i="1" s="1"/>
  <c r="L1885" i="1"/>
  <c r="K1885" i="1"/>
  <c r="BW1883" i="1"/>
  <c r="BJ1883" i="1"/>
  <c r="BD1883" i="1"/>
  <c r="AP1883" i="1"/>
  <c r="AO1883" i="1"/>
  <c r="BH1883" i="1" s="1"/>
  <c r="AD1883" i="1" s="1"/>
  <c r="AK1883" i="1"/>
  <c r="AJ1883" i="1"/>
  <c r="AH1883" i="1"/>
  <c r="AG1883" i="1"/>
  <c r="AF1883" i="1"/>
  <c r="AC1883" i="1"/>
  <c r="AB1883" i="1"/>
  <c r="Z1883" i="1"/>
  <c r="O1883" i="1"/>
  <c r="BF1883" i="1" s="1"/>
  <c r="L1883" i="1"/>
  <c r="AL1883" i="1" s="1"/>
  <c r="BW1881" i="1"/>
  <c r="BJ1881" i="1"/>
  <c r="BD1881" i="1"/>
  <c r="AP1881" i="1"/>
  <c r="AX1881" i="1" s="1"/>
  <c r="AO1881" i="1"/>
  <c r="BH1881" i="1" s="1"/>
  <c r="AD1881" i="1" s="1"/>
  <c r="AK1881" i="1"/>
  <c r="AJ1881" i="1"/>
  <c r="AH1881" i="1"/>
  <c r="AG1881" i="1"/>
  <c r="AF1881" i="1"/>
  <c r="AC1881" i="1"/>
  <c r="AB1881" i="1"/>
  <c r="Z1881" i="1"/>
  <c r="O1881" i="1"/>
  <c r="BF1881" i="1" s="1"/>
  <c r="L1881" i="1"/>
  <c r="BW1879" i="1"/>
  <c r="BJ1879" i="1"/>
  <c r="BD1879" i="1"/>
  <c r="AP1879" i="1"/>
  <c r="AX1879" i="1" s="1"/>
  <c r="AO1879" i="1"/>
  <c r="BH1879" i="1" s="1"/>
  <c r="AD1879" i="1" s="1"/>
  <c r="AK1879" i="1"/>
  <c r="AJ1879" i="1"/>
  <c r="AH1879" i="1"/>
  <c r="AG1879" i="1"/>
  <c r="AF1879" i="1"/>
  <c r="AC1879" i="1"/>
  <c r="AB1879" i="1"/>
  <c r="Z1879" i="1"/>
  <c r="O1879" i="1"/>
  <c r="BF1879" i="1" s="1"/>
  <c r="L1879" i="1"/>
  <c r="K1879" i="1"/>
  <c r="BW1877" i="1"/>
  <c r="BJ1877" i="1"/>
  <c r="BH1877" i="1"/>
  <c r="AD1877" i="1" s="1"/>
  <c r="BD1877" i="1"/>
  <c r="AP1877" i="1"/>
  <c r="AO1877" i="1"/>
  <c r="AW1877" i="1" s="1"/>
  <c r="AK1877" i="1"/>
  <c r="AJ1877" i="1"/>
  <c r="AH1877" i="1"/>
  <c r="AG1877" i="1"/>
  <c r="AF1877" i="1"/>
  <c r="AC1877" i="1"/>
  <c r="AB1877" i="1"/>
  <c r="Z1877" i="1"/>
  <c r="O1877" i="1"/>
  <c r="BF1877" i="1" s="1"/>
  <c r="L1877" i="1"/>
  <c r="AL1877" i="1" s="1"/>
  <c r="BW1875" i="1"/>
  <c r="BJ1875" i="1"/>
  <c r="BD1875" i="1"/>
  <c r="AP1875" i="1"/>
  <c r="AX1875" i="1" s="1"/>
  <c r="AO1875" i="1"/>
  <c r="J1875" i="1" s="1"/>
  <c r="AK1875" i="1"/>
  <c r="AJ1875" i="1"/>
  <c r="AH1875" i="1"/>
  <c r="AG1875" i="1"/>
  <c r="AF1875" i="1"/>
  <c r="AC1875" i="1"/>
  <c r="AB1875" i="1"/>
  <c r="Z1875" i="1"/>
  <c r="O1875" i="1"/>
  <c r="BF1875" i="1" s="1"/>
  <c r="L1875" i="1"/>
  <c r="K1875" i="1"/>
  <c r="BW1873" i="1"/>
  <c r="BJ1873" i="1"/>
  <c r="BD1873" i="1"/>
  <c r="AP1873" i="1"/>
  <c r="AX1873" i="1" s="1"/>
  <c r="AO1873" i="1"/>
  <c r="BH1873" i="1" s="1"/>
  <c r="AD1873" i="1" s="1"/>
  <c r="AK1873" i="1"/>
  <c r="AJ1873" i="1"/>
  <c r="AH1873" i="1"/>
  <c r="AG1873" i="1"/>
  <c r="AF1873" i="1"/>
  <c r="AC1873" i="1"/>
  <c r="AB1873" i="1"/>
  <c r="Z1873" i="1"/>
  <c r="O1873" i="1"/>
  <c r="BF1873" i="1" s="1"/>
  <c r="L1873" i="1"/>
  <c r="BW1871" i="1"/>
  <c r="BJ1871" i="1"/>
  <c r="BD1871" i="1"/>
  <c r="AP1871" i="1"/>
  <c r="AO1871" i="1"/>
  <c r="BH1871" i="1" s="1"/>
  <c r="AD1871" i="1" s="1"/>
  <c r="AK1871" i="1"/>
  <c r="AJ1871" i="1"/>
  <c r="AH1871" i="1"/>
  <c r="AG1871" i="1"/>
  <c r="AF1871" i="1"/>
  <c r="AC1871" i="1"/>
  <c r="AB1871" i="1"/>
  <c r="Z1871" i="1"/>
  <c r="O1871" i="1"/>
  <c r="BF1871" i="1" s="1"/>
  <c r="L1871" i="1"/>
  <c r="AL1871" i="1" s="1"/>
  <c r="BW1869" i="1"/>
  <c r="BJ1869" i="1"/>
  <c r="BI1869" i="1"/>
  <c r="AE1869" i="1" s="1"/>
  <c r="BD1869" i="1"/>
  <c r="AP1869" i="1"/>
  <c r="AX1869" i="1" s="1"/>
  <c r="AO1869" i="1"/>
  <c r="AW1869" i="1" s="1"/>
  <c r="AK1869" i="1"/>
  <c r="AJ1869" i="1"/>
  <c r="AH1869" i="1"/>
  <c r="AG1869" i="1"/>
  <c r="AF1869" i="1"/>
  <c r="AC1869" i="1"/>
  <c r="AB1869" i="1"/>
  <c r="Z1869" i="1"/>
  <c r="O1869" i="1"/>
  <c r="BF1869" i="1" s="1"/>
  <c r="L1869" i="1"/>
  <c r="K1869" i="1"/>
  <c r="J1869" i="1"/>
  <c r="BW1867" i="1"/>
  <c r="BJ1867" i="1"/>
  <c r="BD1867" i="1"/>
  <c r="AW1867" i="1"/>
  <c r="AP1867" i="1"/>
  <c r="AO1867" i="1"/>
  <c r="BH1867" i="1" s="1"/>
  <c r="AD1867" i="1" s="1"/>
  <c r="AK1867" i="1"/>
  <c r="AJ1867" i="1"/>
  <c r="AH1867" i="1"/>
  <c r="AG1867" i="1"/>
  <c r="AF1867" i="1"/>
  <c r="AC1867" i="1"/>
  <c r="AB1867" i="1"/>
  <c r="Z1867" i="1"/>
  <c r="O1867" i="1"/>
  <c r="BF1867" i="1" s="1"/>
  <c r="L1867" i="1"/>
  <c r="K1867" i="1"/>
  <c r="BW1865" i="1"/>
  <c r="BJ1865" i="1"/>
  <c r="BD1865" i="1"/>
  <c r="AP1865" i="1"/>
  <c r="AO1865" i="1"/>
  <c r="BH1865" i="1" s="1"/>
  <c r="AD1865" i="1" s="1"/>
  <c r="AK1865" i="1"/>
  <c r="AJ1865" i="1"/>
  <c r="AH1865" i="1"/>
  <c r="AG1865" i="1"/>
  <c r="AF1865" i="1"/>
  <c r="AC1865" i="1"/>
  <c r="AB1865" i="1"/>
  <c r="Z1865" i="1"/>
  <c r="O1865" i="1"/>
  <c r="BF1865" i="1" s="1"/>
  <c r="L1865" i="1"/>
  <c r="AL1865" i="1" s="1"/>
  <c r="BW1863" i="1"/>
  <c r="BJ1863" i="1"/>
  <c r="BD1863" i="1"/>
  <c r="AP1863" i="1"/>
  <c r="AX1863" i="1" s="1"/>
  <c r="AO1863" i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AL1863" i="1" s="1"/>
  <c r="K1863" i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59" i="1"/>
  <c r="BJ1859" i="1"/>
  <c r="BD1859" i="1"/>
  <c r="AP1859" i="1"/>
  <c r="AO1859" i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K1858" i="1"/>
  <c r="J1858" i="1"/>
  <c r="BW1857" i="1"/>
  <c r="BJ1857" i="1"/>
  <c r="BI1857" i="1"/>
  <c r="AE1857" i="1" s="1"/>
  <c r="BD1857" i="1"/>
  <c r="AP1857" i="1"/>
  <c r="AX1857" i="1" s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K1857" i="1"/>
  <c r="BW1856" i="1"/>
  <c r="BJ1856" i="1"/>
  <c r="BD1856" i="1"/>
  <c r="AP1856" i="1"/>
  <c r="AO1856" i="1"/>
  <c r="J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AL1856" i="1" s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M1855" i="1"/>
  <c r="L1855" i="1"/>
  <c r="AL1855" i="1" s="1"/>
  <c r="J1855" i="1"/>
  <c r="BW1854" i="1"/>
  <c r="BJ1854" i="1"/>
  <c r="BD1854" i="1"/>
  <c r="AP1854" i="1"/>
  <c r="AX1854" i="1" s="1"/>
  <c r="AO1854" i="1"/>
  <c r="BH1854" i="1" s="1"/>
  <c r="AD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K1854" i="1"/>
  <c r="BW1853" i="1"/>
  <c r="BJ1853" i="1"/>
  <c r="BD1853" i="1"/>
  <c r="AP1853" i="1"/>
  <c r="AO1853" i="1"/>
  <c r="AW1853" i="1" s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AL1853" i="1" s="1"/>
  <c r="J1853" i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K1852" i="1"/>
  <c r="BW1851" i="1"/>
  <c r="BJ1851" i="1"/>
  <c r="BD1851" i="1"/>
  <c r="AW1851" i="1"/>
  <c r="AP1851" i="1"/>
  <c r="AX1851" i="1" s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K1851" i="1"/>
  <c r="BW1850" i="1"/>
  <c r="BJ1850" i="1"/>
  <c r="BD1850" i="1"/>
  <c r="AP1850" i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AL1850" i="1" s="1"/>
  <c r="BW1849" i="1"/>
  <c r="BJ1849" i="1"/>
  <c r="BD1849" i="1"/>
  <c r="AP1849" i="1"/>
  <c r="AX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AL1849" i="1" s="1"/>
  <c r="K1849" i="1"/>
  <c r="BW1848" i="1"/>
  <c r="BJ1848" i="1"/>
  <c r="BD1848" i="1"/>
  <c r="AP1848" i="1"/>
  <c r="AX1848" i="1" s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BW1847" i="1"/>
  <c r="BJ1847" i="1"/>
  <c r="BD1847" i="1"/>
  <c r="AP1847" i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I1846" i="1"/>
  <c r="AE1846" i="1" s="1"/>
  <c r="BD1846" i="1"/>
  <c r="AW1846" i="1"/>
  <c r="BC1846" i="1" s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K1846" i="1"/>
  <c r="J1846" i="1"/>
  <c r="BW1845" i="1"/>
  <c r="BJ1845" i="1"/>
  <c r="BD1845" i="1"/>
  <c r="AP1845" i="1"/>
  <c r="AX1845" i="1" s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K1845" i="1"/>
  <c r="BW1844" i="1"/>
  <c r="BJ1844" i="1"/>
  <c r="BD1844" i="1"/>
  <c r="AP1844" i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BF1844" i="1" s="1"/>
  <c r="L1844" i="1"/>
  <c r="AL1844" i="1" s="1"/>
  <c r="BW1843" i="1"/>
  <c r="BJ1843" i="1"/>
  <c r="BI1843" i="1"/>
  <c r="AE1843" i="1" s="1"/>
  <c r="BD1843" i="1"/>
  <c r="AP1843" i="1"/>
  <c r="AX1843" i="1" s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X1842" i="1" s="1"/>
  <c r="AO1842" i="1"/>
  <c r="BH1842" i="1" s="1"/>
  <c r="AD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BW1841" i="1"/>
  <c r="BJ1841" i="1"/>
  <c r="BH1841" i="1"/>
  <c r="AD1841" i="1" s="1"/>
  <c r="BD1841" i="1"/>
  <c r="AP1841" i="1"/>
  <c r="AO1841" i="1"/>
  <c r="AW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J1841" i="1"/>
  <c r="BW1840" i="1"/>
  <c r="BJ1840" i="1"/>
  <c r="BD1840" i="1"/>
  <c r="AP1840" i="1"/>
  <c r="AX1840" i="1" s="1"/>
  <c r="AO1840" i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AL1840" i="1" s="1"/>
  <c r="K1840" i="1"/>
  <c r="J1840" i="1"/>
  <c r="BW1839" i="1"/>
  <c r="BJ1839" i="1"/>
  <c r="BD1839" i="1"/>
  <c r="AP1839" i="1"/>
  <c r="AX1839" i="1" s="1"/>
  <c r="AO1839" i="1"/>
  <c r="BH1839" i="1" s="1"/>
  <c r="AD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K1839" i="1"/>
  <c r="BW1838" i="1"/>
  <c r="BJ1838" i="1"/>
  <c r="BD1838" i="1"/>
  <c r="AP1838" i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AL1838" i="1" s="1"/>
  <c r="BW1837" i="1"/>
  <c r="BJ1837" i="1"/>
  <c r="BD1837" i="1"/>
  <c r="AW1837" i="1"/>
  <c r="BC1837" i="1" s="1"/>
  <c r="AP1837" i="1"/>
  <c r="AX1837" i="1" s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M1837" i="1" s="1"/>
  <c r="BW1836" i="1"/>
  <c r="BJ1836" i="1"/>
  <c r="BD1836" i="1"/>
  <c r="AP1836" i="1"/>
  <c r="AX1836" i="1" s="1"/>
  <c r="AO1836" i="1"/>
  <c r="BH1836" i="1" s="1"/>
  <c r="AD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K1836" i="1"/>
  <c r="BW1835" i="1"/>
  <c r="BJ1835" i="1"/>
  <c r="BD1835" i="1"/>
  <c r="AP1835" i="1"/>
  <c r="AO1835" i="1"/>
  <c r="AW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BW1833" i="1"/>
  <c r="BJ1833" i="1"/>
  <c r="BD1833" i="1"/>
  <c r="AP1833" i="1"/>
  <c r="AX1833" i="1" s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K1833" i="1"/>
  <c r="BW1832" i="1"/>
  <c r="BJ1832" i="1"/>
  <c r="BD1832" i="1"/>
  <c r="AP1832" i="1"/>
  <c r="AO1832" i="1"/>
  <c r="BH1832" i="1" s="1"/>
  <c r="AD1832" i="1" s="1"/>
  <c r="AK1832" i="1"/>
  <c r="AJ1832" i="1"/>
  <c r="AH1832" i="1"/>
  <c r="AG1832" i="1"/>
  <c r="AF1832" i="1"/>
  <c r="AC1832" i="1"/>
  <c r="AB1832" i="1"/>
  <c r="Z1832" i="1"/>
  <c r="O1832" i="1"/>
  <c r="BF1832" i="1" s="1"/>
  <c r="L1832" i="1"/>
  <c r="AL1832" i="1" s="1"/>
  <c r="J1832" i="1"/>
  <c r="BW1831" i="1"/>
  <c r="BJ1831" i="1"/>
  <c r="BD1831" i="1"/>
  <c r="AP1831" i="1"/>
  <c r="AX1831" i="1" s="1"/>
  <c r="AO1831" i="1"/>
  <c r="BH1831" i="1" s="1"/>
  <c r="AD1831" i="1" s="1"/>
  <c r="AK1831" i="1"/>
  <c r="AJ1831" i="1"/>
  <c r="AH1831" i="1"/>
  <c r="AG1831" i="1"/>
  <c r="AF1831" i="1"/>
  <c r="AC1831" i="1"/>
  <c r="AB1831" i="1"/>
  <c r="Z1831" i="1"/>
  <c r="O1831" i="1"/>
  <c r="BF1831" i="1" s="1"/>
  <c r="L1831" i="1"/>
  <c r="M1831" i="1" s="1"/>
  <c r="K1831" i="1"/>
  <c r="BW1830" i="1"/>
  <c r="BJ1830" i="1"/>
  <c r="BD1830" i="1"/>
  <c r="AP1830" i="1"/>
  <c r="AO1830" i="1"/>
  <c r="BH1830" i="1" s="1"/>
  <c r="AD1830" i="1" s="1"/>
  <c r="AK1830" i="1"/>
  <c r="AJ1830" i="1"/>
  <c r="AH1830" i="1"/>
  <c r="AG1830" i="1"/>
  <c r="AF1830" i="1"/>
  <c r="AC1830" i="1"/>
  <c r="AB1830" i="1"/>
  <c r="Z1830" i="1"/>
  <c r="O1830" i="1"/>
  <c r="BF1830" i="1" s="1"/>
  <c r="L1830" i="1"/>
  <c r="K1830" i="1"/>
  <c r="BW1829" i="1"/>
  <c r="BJ1829" i="1"/>
  <c r="BD1829" i="1"/>
  <c r="AP1829" i="1"/>
  <c r="AO1829" i="1"/>
  <c r="BH1829" i="1" s="1"/>
  <c r="AD1829" i="1" s="1"/>
  <c r="AK1829" i="1"/>
  <c r="AJ1829" i="1"/>
  <c r="AH1829" i="1"/>
  <c r="AG1829" i="1"/>
  <c r="AF1829" i="1"/>
  <c r="AC1829" i="1"/>
  <c r="AB1829" i="1"/>
  <c r="Z1829" i="1"/>
  <c r="O1829" i="1"/>
  <c r="BF1829" i="1" s="1"/>
  <c r="L1829" i="1"/>
  <c r="AL1829" i="1" s="1"/>
  <c r="BW1828" i="1"/>
  <c r="BJ1828" i="1"/>
  <c r="BD1828" i="1"/>
  <c r="AW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AL1828" i="1" s="1"/>
  <c r="BW1827" i="1"/>
  <c r="BJ1827" i="1"/>
  <c r="BD1827" i="1"/>
  <c r="AP1827" i="1"/>
  <c r="AX1827" i="1" s="1"/>
  <c r="AO1827" i="1"/>
  <c r="BH1827" i="1" s="1"/>
  <c r="AD1827" i="1" s="1"/>
  <c r="AK1827" i="1"/>
  <c r="AJ1827" i="1"/>
  <c r="AH1827" i="1"/>
  <c r="AG1827" i="1"/>
  <c r="AF1827" i="1"/>
  <c r="AC1827" i="1"/>
  <c r="AB1827" i="1"/>
  <c r="Z1827" i="1"/>
  <c r="O1827" i="1"/>
  <c r="BF1827" i="1" s="1"/>
  <c r="L1827" i="1"/>
  <c r="K1827" i="1"/>
  <c r="BW1826" i="1"/>
  <c r="BJ1826" i="1"/>
  <c r="BD1826" i="1"/>
  <c r="AP1826" i="1"/>
  <c r="AO1826" i="1"/>
  <c r="BH1826" i="1" s="1"/>
  <c r="AD1826" i="1" s="1"/>
  <c r="AK1826" i="1"/>
  <c r="AJ1826" i="1"/>
  <c r="AH1826" i="1"/>
  <c r="AG1826" i="1"/>
  <c r="AF1826" i="1"/>
  <c r="AC1826" i="1"/>
  <c r="AB1826" i="1"/>
  <c r="Z1826" i="1"/>
  <c r="O1826" i="1"/>
  <c r="BF1826" i="1" s="1"/>
  <c r="L1826" i="1"/>
  <c r="AL1826" i="1" s="1"/>
  <c r="BW1825" i="1"/>
  <c r="BJ1825" i="1"/>
  <c r="BI1825" i="1"/>
  <c r="AE1825" i="1" s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L1825" i="1"/>
  <c r="AL1825" i="1" s="1"/>
  <c r="BW1824" i="1"/>
  <c r="BJ1824" i="1"/>
  <c r="BD1824" i="1"/>
  <c r="AP1824" i="1"/>
  <c r="AX1824" i="1" s="1"/>
  <c r="AO1824" i="1"/>
  <c r="BH1824" i="1" s="1"/>
  <c r="AD1824" i="1" s="1"/>
  <c r="AK1824" i="1"/>
  <c r="AJ1824" i="1"/>
  <c r="AH1824" i="1"/>
  <c r="AG1824" i="1"/>
  <c r="AF1824" i="1"/>
  <c r="AC1824" i="1"/>
  <c r="AB1824" i="1"/>
  <c r="Z1824" i="1"/>
  <c r="O1824" i="1"/>
  <c r="BF1824" i="1" s="1"/>
  <c r="L1824" i="1"/>
  <c r="AL1824" i="1" s="1"/>
  <c r="BW1823" i="1"/>
  <c r="BJ1823" i="1"/>
  <c r="BH1823" i="1"/>
  <c r="AD1823" i="1" s="1"/>
  <c r="BD1823" i="1"/>
  <c r="AP1823" i="1"/>
  <c r="AO1823" i="1"/>
  <c r="AW1823" i="1" s="1"/>
  <c r="AK1823" i="1"/>
  <c r="AJ1823" i="1"/>
  <c r="AH1823" i="1"/>
  <c r="AG1823" i="1"/>
  <c r="AF1823" i="1"/>
  <c r="AC1823" i="1"/>
  <c r="AB1823" i="1"/>
  <c r="Z1823" i="1"/>
  <c r="O1823" i="1"/>
  <c r="BF1823" i="1" s="1"/>
  <c r="L1823" i="1"/>
  <c r="AL1823" i="1" s="1"/>
  <c r="BW1822" i="1"/>
  <c r="BJ1822" i="1"/>
  <c r="BD1822" i="1"/>
  <c r="AW1822" i="1"/>
  <c r="AP1822" i="1"/>
  <c r="AX1822" i="1" s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AL1822" i="1" s="1"/>
  <c r="K1822" i="1"/>
  <c r="J1822" i="1"/>
  <c r="BW1821" i="1"/>
  <c r="BJ1821" i="1"/>
  <c r="BD1821" i="1"/>
  <c r="AP1821" i="1"/>
  <c r="AX1821" i="1" s="1"/>
  <c r="AO1821" i="1"/>
  <c r="BH1821" i="1" s="1"/>
  <c r="AD1821" i="1" s="1"/>
  <c r="AK1821" i="1"/>
  <c r="AJ1821" i="1"/>
  <c r="AH1821" i="1"/>
  <c r="AG1821" i="1"/>
  <c r="AF1821" i="1"/>
  <c r="AC1821" i="1"/>
  <c r="AB1821" i="1"/>
  <c r="Z1821" i="1"/>
  <c r="O1821" i="1"/>
  <c r="BF1821" i="1" s="1"/>
  <c r="L1821" i="1"/>
  <c r="BW1820" i="1"/>
  <c r="BJ1820" i="1"/>
  <c r="BH1820" i="1"/>
  <c r="AD1820" i="1" s="1"/>
  <c r="BD1820" i="1"/>
  <c r="AP1820" i="1"/>
  <c r="AO1820" i="1"/>
  <c r="AW1820" i="1" s="1"/>
  <c r="AK1820" i="1"/>
  <c r="AJ1820" i="1"/>
  <c r="AH1820" i="1"/>
  <c r="AG1820" i="1"/>
  <c r="AF1820" i="1"/>
  <c r="AC1820" i="1"/>
  <c r="AB1820" i="1"/>
  <c r="Z1820" i="1"/>
  <c r="O1820" i="1"/>
  <c r="BF1820" i="1" s="1"/>
  <c r="L1820" i="1"/>
  <c r="AL1820" i="1" s="1"/>
  <c r="BW1819" i="1"/>
  <c r="BJ1819" i="1"/>
  <c r="BD1819" i="1"/>
  <c r="AP1819" i="1"/>
  <c r="AX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M1819" i="1" s="1"/>
  <c r="BW1818" i="1"/>
  <c r="BJ1818" i="1"/>
  <c r="BD1818" i="1"/>
  <c r="AP1818" i="1"/>
  <c r="AX1818" i="1" s="1"/>
  <c r="AO1818" i="1"/>
  <c r="BH1818" i="1" s="1"/>
  <c r="AD1818" i="1" s="1"/>
  <c r="AK1818" i="1"/>
  <c r="AJ1818" i="1"/>
  <c r="AH1818" i="1"/>
  <c r="AG1818" i="1"/>
  <c r="AF1818" i="1"/>
  <c r="AC1818" i="1"/>
  <c r="AB1818" i="1"/>
  <c r="Z1818" i="1"/>
  <c r="O1818" i="1"/>
  <c r="BF1818" i="1" s="1"/>
  <c r="L1818" i="1"/>
  <c r="M1818" i="1" s="1"/>
  <c r="BW1817" i="1"/>
  <c r="BJ1817" i="1"/>
  <c r="BH1817" i="1"/>
  <c r="AD1817" i="1" s="1"/>
  <c r="BD1817" i="1"/>
  <c r="AP1817" i="1"/>
  <c r="AO1817" i="1"/>
  <c r="J1817" i="1" s="1"/>
  <c r="AK1817" i="1"/>
  <c r="AJ1817" i="1"/>
  <c r="AH1817" i="1"/>
  <c r="AG1817" i="1"/>
  <c r="AF1817" i="1"/>
  <c r="AC1817" i="1"/>
  <c r="AB1817" i="1"/>
  <c r="Z1817" i="1"/>
  <c r="O1817" i="1"/>
  <c r="BF1817" i="1" s="1"/>
  <c r="L1817" i="1"/>
  <c r="BW1816" i="1"/>
  <c r="BJ1816" i="1"/>
  <c r="BD1816" i="1"/>
  <c r="AP1816" i="1"/>
  <c r="AX1816" i="1" s="1"/>
  <c r="AO1816" i="1"/>
  <c r="BH1816" i="1" s="1"/>
  <c r="AD1816" i="1" s="1"/>
  <c r="AK1816" i="1"/>
  <c r="AJ1816" i="1"/>
  <c r="AH1816" i="1"/>
  <c r="AG1816" i="1"/>
  <c r="AF1816" i="1"/>
  <c r="AC1816" i="1"/>
  <c r="AB1816" i="1"/>
  <c r="Z1816" i="1"/>
  <c r="O1816" i="1"/>
  <c r="BF1816" i="1" s="1"/>
  <c r="L1816" i="1"/>
  <c r="AL1816" i="1" s="1"/>
  <c r="BW1815" i="1"/>
  <c r="BJ1815" i="1"/>
  <c r="BD1815" i="1"/>
  <c r="AP1815" i="1"/>
  <c r="AX1815" i="1" s="1"/>
  <c r="AO1815" i="1"/>
  <c r="BH1815" i="1" s="1"/>
  <c r="AD1815" i="1" s="1"/>
  <c r="AK1815" i="1"/>
  <c r="AJ1815" i="1"/>
  <c r="AH1815" i="1"/>
  <c r="AG1815" i="1"/>
  <c r="AF1815" i="1"/>
  <c r="AC1815" i="1"/>
  <c r="AB1815" i="1"/>
  <c r="Z1815" i="1"/>
  <c r="O1815" i="1"/>
  <c r="BF1815" i="1" s="1"/>
  <c r="L1815" i="1"/>
  <c r="M1815" i="1" s="1"/>
  <c r="K1815" i="1"/>
  <c r="BW1814" i="1"/>
  <c r="BJ1814" i="1"/>
  <c r="BD1814" i="1"/>
  <c r="AP1814" i="1"/>
  <c r="AO1814" i="1"/>
  <c r="BH1814" i="1" s="1"/>
  <c r="AD1814" i="1" s="1"/>
  <c r="AK1814" i="1"/>
  <c r="AJ1814" i="1"/>
  <c r="AH1814" i="1"/>
  <c r="AG1814" i="1"/>
  <c r="AF1814" i="1"/>
  <c r="AC1814" i="1"/>
  <c r="AB1814" i="1"/>
  <c r="Z1814" i="1"/>
  <c r="O1814" i="1"/>
  <c r="BF1814" i="1" s="1"/>
  <c r="L1814" i="1"/>
  <c r="BW1812" i="1"/>
  <c r="BJ1812" i="1"/>
  <c r="Z1812" i="1" s="1"/>
  <c r="BD1812" i="1"/>
  <c r="AP1812" i="1"/>
  <c r="AO1812" i="1"/>
  <c r="AW1812" i="1" s="1"/>
  <c r="AK1812" i="1"/>
  <c r="AJ1812" i="1"/>
  <c r="AH1812" i="1"/>
  <c r="AG1812" i="1"/>
  <c r="AF1812" i="1"/>
  <c r="AE1812" i="1"/>
  <c r="AD1812" i="1"/>
  <c r="AC1812" i="1"/>
  <c r="AB1812" i="1"/>
  <c r="O1812" i="1"/>
  <c r="BF1812" i="1" s="1"/>
  <c r="L1812" i="1"/>
  <c r="AL1812" i="1" s="1"/>
  <c r="J1812" i="1"/>
  <c r="BW1809" i="1"/>
  <c r="BJ1809" i="1"/>
  <c r="BD1809" i="1"/>
  <c r="AP1809" i="1"/>
  <c r="AX1809" i="1" s="1"/>
  <c r="AO1809" i="1"/>
  <c r="BH1809" i="1" s="1"/>
  <c r="AD1809" i="1" s="1"/>
  <c r="AK1809" i="1"/>
  <c r="AJ1809" i="1"/>
  <c r="AH1809" i="1"/>
  <c r="AG1809" i="1"/>
  <c r="AF1809" i="1"/>
  <c r="AC1809" i="1"/>
  <c r="AB1809" i="1"/>
  <c r="Z1809" i="1"/>
  <c r="O1809" i="1"/>
  <c r="BF1809" i="1" s="1"/>
  <c r="L1809" i="1"/>
  <c r="M1809" i="1" s="1"/>
  <c r="K1809" i="1"/>
  <c r="J1809" i="1"/>
  <c r="BW1806" i="1"/>
  <c r="BJ1806" i="1"/>
  <c r="BD1806" i="1"/>
  <c r="AP1806" i="1"/>
  <c r="AX1806" i="1" s="1"/>
  <c r="AO1806" i="1"/>
  <c r="BH1806" i="1" s="1"/>
  <c r="AD1806" i="1" s="1"/>
  <c r="AK1806" i="1"/>
  <c r="AJ1806" i="1"/>
  <c r="AH1806" i="1"/>
  <c r="AG1806" i="1"/>
  <c r="AF1806" i="1"/>
  <c r="AC1806" i="1"/>
  <c r="AB1806" i="1"/>
  <c r="Z1806" i="1"/>
  <c r="O1806" i="1"/>
  <c r="BF1806" i="1" s="1"/>
  <c r="L1806" i="1"/>
  <c r="BW1803" i="1"/>
  <c r="BJ1803" i="1"/>
  <c r="BD1803" i="1"/>
  <c r="AP1803" i="1"/>
  <c r="AO1803" i="1"/>
  <c r="BH1803" i="1" s="1"/>
  <c r="AD1803" i="1" s="1"/>
  <c r="AK1803" i="1"/>
  <c r="AJ1803" i="1"/>
  <c r="AH1803" i="1"/>
  <c r="AG1803" i="1"/>
  <c r="AF1803" i="1"/>
  <c r="AC1803" i="1"/>
  <c r="AB1803" i="1"/>
  <c r="Z1803" i="1"/>
  <c r="O1803" i="1"/>
  <c r="BF1803" i="1" s="1"/>
  <c r="L1803" i="1"/>
  <c r="AL1803" i="1" s="1"/>
  <c r="BW1800" i="1"/>
  <c r="BJ1800" i="1"/>
  <c r="BD1800" i="1"/>
  <c r="AW1800" i="1"/>
  <c r="AP1800" i="1"/>
  <c r="AO1800" i="1"/>
  <c r="BH1800" i="1" s="1"/>
  <c r="AD1800" i="1" s="1"/>
  <c r="AK1800" i="1"/>
  <c r="AJ1800" i="1"/>
  <c r="AH1800" i="1"/>
  <c r="AG1800" i="1"/>
  <c r="AF1800" i="1"/>
  <c r="AC1800" i="1"/>
  <c r="AB1800" i="1"/>
  <c r="Z1800" i="1"/>
  <c r="O1800" i="1"/>
  <c r="BF1800" i="1" s="1"/>
  <c r="L1800" i="1"/>
  <c r="K1800" i="1"/>
  <c r="J1800" i="1"/>
  <c r="BW1797" i="1"/>
  <c r="BJ1797" i="1"/>
  <c r="BD1797" i="1"/>
  <c r="AP1797" i="1"/>
  <c r="AX1797" i="1" s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BF1797" i="1" s="1"/>
  <c r="L1797" i="1"/>
  <c r="M1797" i="1" s="1"/>
  <c r="K1797" i="1"/>
  <c r="BW1794" i="1"/>
  <c r="BJ1794" i="1"/>
  <c r="BD1794" i="1"/>
  <c r="AP1794" i="1"/>
  <c r="AO1794" i="1"/>
  <c r="BH1794" i="1" s="1"/>
  <c r="AD1794" i="1" s="1"/>
  <c r="AK1794" i="1"/>
  <c r="AJ1794" i="1"/>
  <c r="AH1794" i="1"/>
  <c r="AG1794" i="1"/>
  <c r="AF1794" i="1"/>
  <c r="AC1794" i="1"/>
  <c r="AB1794" i="1"/>
  <c r="Z1794" i="1"/>
  <c r="O1794" i="1"/>
  <c r="BF1794" i="1" s="1"/>
  <c r="L1794" i="1"/>
  <c r="AL1794" i="1" s="1"/>
  <c r="BW1778" i="1"/>
  <c r="BJ1778" i="1"/>
  <c r="BD1778" i="1"/>
  <c r="AP1778" i="1"/>
  <c r="AX1778" i="1" s="1"/>
  <c r="AO1778" i="1"/>
  <c r="BH1778" i="1" s="1"/>
  <c r="AD1778" i="1" s="1"/>
  <c r="AK1778" i="1"/>
  <c r="AJ1778" i="1"/>
  <c r="AH1778" i="1"/>
  <c r="AG1778" i="1"/>
  <c r="AF1778" i="1"/>
  <c r="AC1778" i="1"/>
  <c r="AB1778" i="1"/>
  <c r="Z1778" i="1"/>
  <c r="O1778" i="1"/>
  <c r="L1778" i="1"/>
  <c r="K1778" i="1"/>
  <c r="J1778" i="1"/>
  <c r="BW1776" i="1"/>
  <c r="BJ1776" i="1"/>
  <c r="Z1776" i="1" s="1"/>
  <c r="BI1776" i="1"/>
  <c r="BD1776" i="1"/>
  <c r="AP1776" i="1"/>
  <c r="AX1776" i="1" s="1"/>
  <c r="AO1776" i="1"/>
  <c r="BH1776" i="1" s="1"/>
  <c r="AK1776" i="1"/>
  <c r="AJ1776" i="1"/>
  <c r="AH1776" i="1"/>
  <c r="AG1776" i="1"/>
  <c r="AF1776" i="1"/>
  <c r="AE1776" i="1"/>
  <c r="AD1776" i="1"/>
  <c r="AC1776" i="1"/>
  <c r="AB1776" i="1"/>
  <c r="O1776" i="1"/>
  <c r="BF1776" i="1" s="1"/>
  <c r="L1776" i="1"/>
  <c r="AL1776" i="1" s="1"/>
  <c r="K1776" i="1"/>
  <c r="BW1768" i="1"/>
  <c r="BJ1768" i="1"/>
  <c r="BD1768" i="1"/>
  <c r="AP1768" i="1"/>
  <c r="AX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O1767" i="1"/>
  <c r="G51" i="2" s="1"/>
  <c r="BW1766" i="1"/>
  <c r="BJ1766" i="1"/>
  <c r="Z1766" i="1" s="1"/>
  <c r="BD1766" i="1"/>
  <c r="AP1766" i="1"/>
  <c r="AX1766" i="1" s="1"/>
  <c r="AO1766" i="1"/>
  <c r="BH1766" i="1" s="1"/>
  <c r="AK1766" i="1"/>
  <c r="AJ1766" i="1"/>
  <c r="AH1766" i="1"/>
  <c r="AG1766" i="1"/>
  <c r="AF1766" i="1"/>
  <c r="AE1766" i="1"/>
  <c r="AD1766" i="1"/>
  <c r="AC1766" i="1"/>
  <c r="AB1766" i="1"/>
  <c r="O1766" i="1"/>
  <c r="BF1766" i="1" s="1"/>
  <c r="L1766" i="1"/>
  <c r="AL1766" i="1" s="1"/>
  <c r="BW1765" i="1"/>
  <c r="BJ1765" i="1"/>
  <c r="BD1765" i="1"/>
  <c r="AP1765" i="1"/>
  <c r="AO1765" i="1"/>
  <c r="AW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M1765" i="1" s="1"/>
  <c r="BW1764" i="1"/>
  <c r="BJ1764" i="1"/>
  <c r="BI1764" i="1"/>
  <c r="AE1764" i="1" s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K1764" i="1"/>
  <c r="BW1763" i="1"/>
  <c r="BJ1763" i="1"/>
  <c r="BD1763" i="1"/>
  <c r="AW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BW1762" i="1"/>
  <c r="BJ1762" i="1"/>
  <c r="BD1762" i="1"/>
  <c r="AP1762" i="1"/>
  <c r="K1762" i="1" s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AL1761" i="1" s="1"/>
  <c r="K1761" i="1"/>
  <c r="J1761" i="1"/>
  <c r="BW1760" i="1"/>
  <c r="BJ1760" i="1"/>
  <c r="BD1760" i="1"/>
  <c r="AP1760" i="1"/>
  <c r="AX1760" i="1" s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K1760" i="1"/>
  <c r="BW1759" i="1"/>
  <c r="BJ1759" i="1"/>
  <c r="BD1759" i="1"/>
  <c r="AP1759" i="1"/>
  <c r="AX1759" i="1" s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AL1759" i="1" s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AL1757" i="1" s="1"/>
  <c r="K1757" i="1"/>
  <c r="BW1756" i="1"/>
  <c r="BJ1756" i="1"/>
  <c r="BD1756" i="1"/>
  <c r="AW1756" i="1"/>
  <c r="AP1756" i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J1756" i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AL1755" i="1" s="1"/>
  <c r="BW1754" i="1"/>
  <c r="BJ1754" i="1"/>
  <c r="BD1754" i="1"/>
  <c r="AP1754" i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AL1753" i="1" s="1"/>
  <c r="K1753" i="1"/>
  <c r="BW1752" i="1"/>
  <c r="BJ1752" i="1"/>
  <c r="BI1752" i="1"/>
  <c r="AE1752" i="1" s="1"/>
  <c r="BD1752" i="1"/>
  <c r="AP1752" i="1"/>
  <c r="AX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BW1751" i="1"/>
  <c r="BJ1751" i="1"/>
  <c r="BD1751" i="1"/>
  <c r="AP1751" i="1"/>
  <c r="AX1751" i="1" s="1"/>
  <c r="AO1751" i="1"/>
  <c r="BH1751" i="1" s="1"/>
  <c r="AD1751" i="1" s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AL1751" i="1" s="1"/>
  <c r="K1751" i="1"/>
  <c r="J1751" i="1"/>
  <c r="BW1750" i="1"/>
  <c r="BJ1750" i="1"/>
  <c r="BD1750" i="1"/>
  <c r="AP1750" i="1"/>
  <c r="AX1750" i="1" s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K1750" i="1"/>
  <c r="J1750" i="1"/>
  <c r="BW1749" i="1"/>
  <c r="BJ1749" i="1"/>
  <c r="BD1749" i="1"/>
  <c r="AP1749" i="1"/>
  <c r="AX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AL1749" i="1" s="1"/>
  <c r="K1749" i="1"/>
  <c r="J1749" i="1"/>
  <c r="BW1748" i="1"/>
  <c r="BJ1748" i="1"/>
  <c r="BI1748" i="1"/>
  <c r="AE1748" i="1" s="1"/>
  <c r="BD1748" i="1"/>
  <c r="AW1748" i="1"/>
  <c r="AV1748" i="1" s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AL1747" i="1" s="1"/>
  <c r="BW1746" i="1"/>
  <c r="BJ1746" i="1"/>
  <c r="BD1746" i="1"/>
  <c r="AP1746" i="1"/>
  <c r="AO1746" i="1"/>
  <c r="BH1746" i="1" s="1"/>
  <c r="AD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K1746" i="1"/>
  <c r="J1746" i="1"/>
  <c r="BW1745" i="1"/>
  <c r="BJ1745" i="1"/>
  <c r="BD1745" i="1"/>
  <c r="AP1745" i="1"/>
  <c r="AX1745" i="1" s="1"/>
  <c r="AO1745" i="1"/>
  <c r="AK1745" i="1"/>
  <c r="AJ1745" i="1"/>
  <c r="AH1745" i="1"/>
  <c r="AG1745" i="1"/>
  <c r="AF1745" i="1"/>
  <c r="AC1745" i="1"/>
  <c r="AB1745" i="1"/>
  <c r="Z1745" i="1"/>
  <c r="O1745" i="1"/>
  <c r="BF1745" i="1" s="1"/>
  <c r="L1745" i="1"/>
  <c r="AL1745" i="1" s="1"/>
  <c r="BW1744" i="1"/>
  <c r="BJ1744" i="1"/>
  <c r="BD1744" i="1"/>
  <c r="AP1744" i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BW1743" i="1"/>
  <c r="BJ1743" i="1"/>
  <c r="BD1743" i="1"/>
  <c r="AP1743" i="1"/>
  <c r="AX1743" i="1" s="1"/>
  <c r="AO1743" i="1"/>
  <c r="BH1743" i="1" s="1"/>
  <c r="AD1743" i="1" s="1"/>
  <c r="AK1743" i="1"/>
  <c r="AJ1743" i="1"/>
  <c r="AH1743" i="1"/>
  <c r="AG1743" i="1"/>
  <c r="AF1743" i="1"/>
  <c r="AC1743" i="1"/>
  <c r="AB1743" i="1"/>
  <c r="Z1743" i="1"/>
  <c r="O1743" i="1"/>
  <c r="BF1743" i="1" s="1"/>
  <c r="L1743" i="1"/>
  <c r="AL1743" i="1" s="1"/>
  <c r="K1743" i="1"/>
  <c r="J1743" i="1"/>
  <c r="BW1742" i="1"/>
  <c r="BJ1742" i="1"/>
  <c r="BD1742" i="1"/>
  <c r="AP1742" i="1"/>
  <c r="AX1742" i="1" s="1"/>
  <c r="AO1742" i="1"/>
  <c r="BH1742" i="1" s="1"/>
  <c r="AD1742" i="1" s="1"/>
  <c r="AK1742" i="1"/>
  <c r="AJ1742" i="1"/>
  <c r="AH1742" i="1"/>
  <c r="AG1742" i="1"/>
  <c r="AF1742" i="1"/>
  <c r="AC1742" i="1"/>
  <c r="AB1742" i="1"/>
  <c r="Z1742" i="1"/>
  <c r="O1742" i="1"/>
  <c r="BF1742" i="1" s="1"/>
  <c r="L1742" i="1"/>
  <c r="AL1742" i="1" s="1"/>
  <c r="K1742" i="1"/>
  <c r="J1742" i="1"/>
  <c r="BW1741" i="1"/>
  <c r="BJ1741" i="1"/>
  <c r="BD1741" i="1"/>
  <c r="AP1741" i="1"/>
  <c r="AX1741" i="1" s="1"/>
  <c r="AO1741" i="1"/>
  <c r="BH1741" i="1" s="1"/>
  <c r="AD1741" i="1" s="1"/>
  <c r="AK1741" i="1"/>
  <c r="AJ1741" i="1"/>
  <c r="AH1741" i="1"/>
  <c r="AG1741" i="1"/>
  <c r="AF1741" i="1"/>
  <c r="AC1741" i="1"/>
  <c r="AB1741" i="1"/>
  <c r="Z1741" i="1"/>
  <c r="O1741" i="1"/>
  <c r="BF1741" i="1" s="1"/>
  <c r="L1741" i="1"/>
  <c r="K1741" i="1"/>
  <c r="BW1740" i="1"/>
  <c r="BJ1740" i="1"/>
  <c r="BD1740" i="1"/>
  <c r="AP1740" i="1"/>
  <c r="AX1740" i="1" s="1"/>
  <c r="AO1740" i="1"/>
  <c r="AK1740" i="1"/>
  <c r="AJ1740" i="1"/>
  <c r="AH1740" i="1"/>
  <c r="AG1740" i="1"/>
  <c r="AF1740" i="1"/>
  <c r="AC1740" i="1"/>
  <c r="AB1740" i="1"/>
  <c r="Z1740" i="1"/>
  <c r="O1740" i="1"/>
  <c r="BF1740" i="1" s="1"/>
  <c r="L1740" i="1"/>
  <c r="M1740" i="1" s="1"/>
  <c r="K1740" i="1"/>
  <c r="J1740" i="1"/>
  <c r="BW1738" i="1"/>
  <c r="BJ1738" i="1"/>
  <c r="BD1738" i="1"/>
  <c r="AP1738" i="1"/>
  <c r="AX1738" i="1" s="1"/>
  <c r="AO1738" i="1"/>
  <c r="BH1738" i="1" s="1"/>
  <c r="AD1738" i="1" s="1"/>
  <c r="AK1738" i="1"/>
  <c r="AJ1738" i="1"/>
  <c r="AH1738" i="1"/>
  <c r="AG1738" i="1"/>
  <c r="AF1738" i="1"/>
  <c r="AC1738" i="1"/>
  <c r="AB1738" i="1"/>
  <c r="Z1738" i="1"/>
  <c r="O1738" i="1"/>
  <c r="BF1738" i="1" s="1"/>
  <c r="L1738" i="1"/>
  <c r="K1738" i="1"/>
  <c r="J1738" i="1"/>
  <c r="BW1736" i="1"/>
  <c r="BJ1736" i="1"/>
  <c r="BD1736" i="1"/>
  <c r="AP1736" i="1"/>
  <c r="AX1736" i="1" s="1"/>
  <c r="AO1736" i="1"/>
  <c r="BH1736" i="1" s="1"/>
  <c r="AD1736" i="1" s="1"/>
  <c r="AL1736" i="1"/>
  <c r="AK1736" i="1"/>
  <c r="AJ1736" i="1"/>
  <c r="AH1736" i="1"/>
  <c r="AG1736" i="1"/>
  <c r="AF1736" i="1"/>
  <c r="AC1736" i="1"/>
  <c r="AB1736" i="1"/>
  <c r="Z1736" i="1"/>
  <c r="O1736" i="1"/>
  <c r="BF1736" i="1" s="1"/>
  <c r="M1736" i="1"/>
  <c r="L1736" i="1"/>
  <c r="J1736" i="1"/>
  <c r="BW1734" i="1"/>
  <c r="BJ1734" i="1"/>
  <c r="BD1734" i="1"/>
  <c r="AP1734" i="1"/>
  <c r="BI1734" i="1" s="1"/>
  <c r="AE1734" i="1" s="1"/>
  <c r="AO1734" i="1"/>
  <c r="AK1734" i="1"/>
  <c r="AJ1734" i="1"/>
  <c r="AH1734" i="1"/>
  <c r="AG1734" i="1"/>
  <c r="AF1734" i="1"/>
  <c r="AC1734" i="1"/>
  <c r="AB1734" i="1"/>
  <c r="Z1734" i="1"/>
  <c r="O1734" i="1"/>
  <c r="BF1734" i="1" s="1"/>
  <c r="L1734" i="1"/>
  <c r="AL1734" i="1" s="1"/>
  <c r="BW1732" i="1"/>
  <c r="BJ1732" i="1"/>
  <c r="BH1732" i="1"/>
  <c r="BD1732" i="1"/>
  <c r="AP1732" i="1"/>
  <c r="AO1732" i="1"/>
  <c r="AW1732" i="1" s="1"/>
  <c r="AK1732" i="1"/>
  <c r="AJ1732" i="1"/>
  <c r="AH1732" i="1"/>
  <c r="AG1732" i="1"/>
  <c r="AF1732" i="1"/>
  <c r="AD1732" i="1"/>
  <c r="AC1732" i="1"/>
  <c r="AB1732" i="1"/>
  <c r="Z1732" i="1"/>
  <c r="O1732" i="1"/>
  <c r="BF1732" i="1" s="1"/>
  <c r="L1732" i="1"/>
  <c r="AL1732" i="1" s="1"/>
  <c r="BW1731" i="1"/>
  <c r="BJ1731" i="1"/>
  <c r="BD1731" i="1"/>
  <c r="AP1731" i="1"/>
  <c r="AX1731" i="1" s="1"/>
  <c r="AO1731" i="1"/>
  <c r="AW1731" i="1" s="1"/>
  <c r="AK1731" i="1"/>
  <c r="AJ1731" i="1"/>
  <c r="AH1731" i="1"/>
  <c r="AG1731" i="1"/>
  <c r="AF1731" i="1"/>
  <c r="AC1731" i="1"/>
  <c r="AB1731" i="1"/>
  <c r="Z1731" i="1"/>
  <c r="O1731" i="1"/>
  <c r="BF1731" i="1" s="1"/>
  <c r="L1731" i="1"/>
  <c r="AL1731" i="1" s="1"/>
  <c r="K1731" i="1"/>
  <c r="BW1726" i="1"/>
  <c r="BJ1726" i="1"/>
  <c r="BD1726" i="1"/>
  <c r="AP1726" i="1"/>
  <c r="BI1726" i="1" s="1"/>
  <c r="AE1726" i="1" s="1"/>
  <c r="AO1726" i="1"/>
  <c r="AK1726" i="1"/>
  <c r="AJ1726" i="1"/>
  <c r="AH1726" i="1"/>
  <c r="AG1726" i="1"/>
  <c r="AF1726" i="1"/>
  <c r="AC1726" i="1"/>
  <c r="AB1726" i="1"/>
  <c r="Z1726" i="1"/>
  <c r="O1726" i="1"/>
  <c r="L1726" i="1"/>
  <c r="AL1726" i="1" s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Z1723" i="1" s="1"/>
  <c r="BD1723" i="1"/>
  <c r="AP1723" i="1"/>
  <c r="AO1723" i="1"/>
  <c r="AW1723" i="1" s="1"/>
  <c r="AK1723" i="1"/>
  <c r="AJ1723" i="1"/>
  <c r="AH1723" i="1"/>
  <c r="AG1723" i="1"/>
  <c r="AF1723" i="1"/>
  <c r="AE1723" i="1"/>
  <c r="AD1723" i="1"/>
  <c r="AC1723" i="1"/>
  <c r="AB1723" i="1"/>
  <c r="O1723" i="1"/>
  <c r="BF1723" i="1" s="1"/>
  <c r="L1723" i="1"/>
  <c r="AL1723" i="1" s="1"/>
  <c r="BW1722" i="1"/>
  <c r="M1722" i="1" s="1"/>
  <c r="BJ1722" i="1"/>
  <c r="BI1722" i="1"/>
  <c r="AE1722" i="1" s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AO1720" i="1"/>
  <c r="AW1720" i="1" s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J1720" i="1"/>
  <c r="BW1719" i="1"/>
  <c r="BJ1719" i="1"/>
  <c r="BD1719" i="1"/>
  <c r="AP1719" i="1"/>
  <c r="AX1719" i="1" s="1"/>
  <c r="AO1719" i="1"/>
  <c r="AW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BI1717" i="1" s="1"/>
  <c r="AE1717" i="1" s="1"/>
  <c r="AO1717" i="1"/>
  <c r="AW1717" i="1" s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I1716" i="1"/>
  <c r="AE1716" i="1" s="1"/>
  <c r="BD1716" i="1"/>
  <c r="AP1716" i="1"/>
  <c r="AX1716" i="1" s="1"/>
  <c r="AO1716" i="1"/>
  <c r="AW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AL1716" i="1" s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X1714" i="1" s="1"/>
  <c r="AO1714" i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BW1713" i="1"/>
  <c r="BJ1713" i="1"/>
  <c r="BD1713" i="1"/>
  <c r="AP1713" i="1"/>
  <c r="AX1713" i="1" s="1"/>
  <c r="AO1713" i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M1713" i="1" s="1"/>
  <c r="J1713" i="1"/>
  <c r="BW1712" i="1"/>
  <c r="BJ1712" i="1"/>
  <c r="BD1712" i="1"/>
  <c r="AP1712" i="1"/>
  <c r="BI1712" i="1" s="1"/>
  <c r="AE1712" i="1" s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X1711" i="1" s="1"/>
  <c r="AO1711" i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X1710" i="1" s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BW1709" i="1"/>
  <c r="BJ1709" i="1"/>
  <c r="BD1709" i="1"/>
  <c r="AP1709" i="1"/>
  <c r="BI1709" i="1" s="1"/>
  <c r="AE1709" i="1" s="1"/>
  <c r="AO1709" i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K1708" i="1"/>
  <c r="BW1707" i="1"/>
  <c r="BJ1707" i="1"/>
  <c r="BD1707" i="1"/>
  <c r="AP1707" i="1"/>
  <c r="AX1707" i="1" s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AL1707" i="1" s="1"/>
  <c r="BW1706" i="1"/>
  <c r="BJ1706" i="1"/>
  <c r="BD1706" i="1"/>
  <c r="AP1706" i="1"/>
  <c r="AO1706" i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O1705" i="1"/>
  <c r="AW1705" i="1" s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BF1703" i="1" s="1"/>
  <c r="L1703" i="1"/>
  <c r="AL1703" i="1" s="1"/>
  <c r="BW1702" i="1"/>
  <c r="BJ1702" i="1"/>
  <c r="BD1702" i="1"/>
  <c r="AP1702" i="1"/>
  <c r="AO1702" i="1"/>
  <c r="AW1702" i="1" s="1"/>
  <c r="AK1702" i="1"/>
  <c r="AJ1702" i="1"/>
  <c r="AH1702" i="1"/>
  <c r="AG1702" i="1"/>
  <c r="AF1702" i="1"/>
  <c r="AC1702" i="1"/>
  <c r="AB1702" i="1"/>
  <c r="Z1702" i="1"/>
  <c r="O1702" i="1"/>
  <c r="BF1702" i="1" s="1"/>
  <c r="L1702" i="1"/>
  <c r="AL1702" i="1" s="1"/>
  <c r="BW1701" i="1"/>
  <c r="BJ1701" i="1"/>
  <c r="BD1701" i="1"/>
  <c r="AP1701" i="1"/>
  <c r="AX1701" i="1" s="1"/>
  <c r="AO1701" i="1"/>
  <c r="AW1701" i="1" s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K1701" i="1"/>
  <c r="BW1700" i="1"/>
  <c r="BJ1700" i="1"/>
  <c r="BD1700" i="1"/>
  <c r="AW1700" i="1"/>
  <c r="AP1700" i="1"/>
  <c r="AO1700" i="1"/>
  <c r="AK1700" i="1"/>
  <c r="AJ1700" i="1"/>
  <c r="AH1700" i="1"/>
  <c r="AG1700" i="1"/>
  <c r="AF1700" i="1"/>
  <c r="AC1700" i="1"/>
  <c r="AB1700" i="1"/>
  <c r="Z1700" i="1"/>
  <c r="O1700" i="1"/>
  <c r="BF1700" i="1" s="1"/>
  <c r="L1700" i="1"/>
  <c r="AL1700" i="1" s="1"/>
  <c r="BW1699" i="1"/>
  <c r="BJ1699" i="1"/>
  <c r="BD1699" i="1"/>
  <c r="AP1699" i="1"/>
  <c r="AX1699" i="1" s="1"/>
  <c r="AO1699" i="1"/>
  <c r="AK1699" i="1"/>
  <c r="AJ1699" i="1"/>
  <c r="AH1699" i="1"/>
  <c r="AG1699" i="1"/>
  <c r="AF1699" i="1"/>
  <c r="AC1699" i="1"/>
  <c r="AB1699" i="1"/>
  <c r="Z1699" i="1"/>
  <c r="O1699" i="1"/>
  <c r="BF1699" i="1" s="1"/>
  <c r="L1699" i="1"/>
  <c r="AL1699" i="1" s="1"/>
  <c r="BW1698" i="1"/>
  <c r="BJ1698" i="1"/>
  <c r="BD1698" i="1"/>
  <c r="AP1698" i="1"/>
  <c r="AX1698" i="1" s="1"/>
  <c r="AO1698" i="1"/>
  <c r="AW1698" i="1" s="1"/>
  <c r="AK1698" i="1"/>
  <c r="AJ1698" i="1"/>
  <c r="AH1698" i="1"/>
  <c r="AG1698" i="1"/>
  <c r="AF1698" i="1"/>
  <c r="AC1698" i="1"/>
  <c r="AB1698" i="1"/>
  <c r="Z1698" i="1"/>
  <c r="O1698" i="1"/>
  <c r="BF1698" i="1" s="1"/>
  <c r="L1698" i="1"/>
  <c r="AL1698" i="1" s="1"/>
  <c r="BW1697" i="1"/>
  <c r="BJ1697" i="1"/>
  <c r="BD1697" i="1"/>
  <c r="AP1697" i="1"/>
  <c r="AO1697" i="1"/>
  <c r="AW1697" i="1" s="1"/>
  <c r="AK1697" i="1"/>
  <c r="AJ1697" i="1"/>
  <c r="AH1697" i="1"/>
  <c r="AG1697" i="1"/>
  <c r="AF1697" i="1"/>
  <c r="AC1697" i="1"/>
  <c r="AB1697" i="1"/>
  <c r="Z1697" i="1"/>
  <c r="O1697" i="1"/>
  <c r="L1697" i="1"/>
  <c r="AL1697" i="1" s="1"/>
  <c r="BW1695" i="1"/>
  <c r="BJ1695" i="1"/>
  <c r="BD1695" i="1"/>
  <c r="AP1695" i="1"/>
  <c r="AO1695" i="1"/>
  <c r="AK1695" i="1"/>
  <c r="AJ1695" i="1"/>
  <c r="AH1695" i="1"/>
  <c r="AG1695" i="1"/>
  <c r="AF1695" i="1"/>
  <c r="AC1695" i="1"/>
  <c r="AB1695" i="1"/>
  <c r="Z1695" i="1"/>
  <c r="O1695" i="1"/>
  <c r="BF1695" i="1" s="1"/>
  <c r="L1695" i="1"/>
  <c r="AL1695" i="1" s="1"/>
  <c r="BW1694" i="1"/>
  <c r="BJ1694" i="1"/>
  <c r="Z1694" i="1" s="1"/>
  <c r="BD1694" i="1"/>
  <c r="AX1694" i="1"/>
  <c r="AP1694" i="1"/>
  <c r="BI1694" i="1" s="1"/>
  <c r="AO1694" i="1"/>
  <c r="AK1694" i="1"/>
  <c r="AJ1694" i="1"/>
  <c r="AH1694" i="1"/>
  <c r="AG1694" i="1"/>
  <c r="AF1694" i="1"/>
  <c r="AE1694" i="1"/>
  <c r="AD1694" i="1"/>
  <c r="AC1694" i="1"/>
  <c r="AB1694" i="1"/>
  <c r="O1694" i="1"/>
  <c r="BF1694" i="1" s="1"/>
  <c r="L1694" i="1"/>
  <c r="AL1694" i="1" s="1"/>
  <c r="K1694" i="1"/>
  <c r="BW1693" i="1"/>
  <c r="BJ1693" i="1"/>
  <c r="BD1693" i="1"/>
  <c r="AP1693" i="1"/>
  <c r="AO1693" i="1"/>
  <c r="AW1693" i="1" s="1"/>
  <c r="AK1693" i="1"/>
  <c r="AJ1693" i="1"/>
  <c r="AH1693" i="1"/>
  <c r="AG1693" i="1"/>
  <c r="AF1693" i="1"/>
  <c r="AC1693" i="1"/>
  <c r="AB1693" i="1"/>
  <c r="Z1693" i="1"/>
  <c r="O1693" i="1"/>
  <c r="BF1693" i="1" s="1"/>
  <c r="L1693" i="1"/>
  <c r="AL1693" i="1" s="1"/>
  <c r="K1693" i="1"/>
  <c r="BW1691" i="1"/>
  <c r="BJ1691" i="1"/>
  <c r="BD1691" i="1"/>
  <c r="AP1691" i="1"/>
  <c r="AO1691" i="1"/>
  <c r="AW1691" i="1" s="1"/>
  <c r="AK1691" i="1"/>
  <c r="AJ1691" i="1"/>
  <c r="AH1691" i="1"/>
  <c r="AG1691" i="1"/>
  <c r="AF1691" i="1"/>
  <c r="AC1691" i="1"/>
  <c r="AB1691" i="1"/>
  <c r="Z1691" i="1"/>
  <c r="O1691" i="1"/>
  <c r="BF1691" i="1" s="1"/>
  <c r="L1691" i="1"/>
  <c r="BW1689" i="1"/>
  <c r="BJ1689" i="1"/>
  <c r="BD1689" i="1"/>
  <c r="AP1689" i="1"/>
  <c r="AO1689" i="1"/>
  <c r="AK1689" i="1"/>
  <c r="AJ1689" i="1"/>
  <c r="AH1689" i="1"/>
  <c r="AG1689" i="1"/>
  <c r="AF1689" i="1"/>
  <c r="AC1689" i="1"/>
  <c r="AB1689" i="1"/>
  <c r="Z1689" i="1"/>
  <c r="O1689" i="1"/>
  <c r="BF1689" i="1" s="1"/>
  <c r="L1689" i="1"/>
  <c r="BW1687" i="1"/>
  <c r="BJ1687" i="1"/>
  <c r="BH1687" i="1"/>
  <c r="AD1687" i="1" s="1"/>
  <c r="BD1687" i="1"/>
  <c r="AP1687" i="1"/>
  <c r="AO1687" i="1"/>
  <c r="AW1687" i="1" s="1"/>
  <c r="AK1687" i="1"/>
  <c r="AJ1687" i="1"/>
  <c r="AH1687" i="1"/>
  <c r="AG1687" i="1"/>
  <c r="AF1687" i="1"/>
  <c r="AC1687" i="1"/>
  <c r="AB1687" i="1"/>
  <c r="Z1687" i="1"/>
  <c r="O1687" i="1"/>
  <c r="BF1687" i="1" s="1"/>
  <c r="L1687" i="1"/>
  <c r="BW1685" i="1"/>
  <c r="BJ1685" i="1"/>
  <c r="BD1685" i="1"/>
  <c r="AP1685" i="1"/>
  <c r="AX1685" i="1" s="1"/>
  <c r="AO1685" i="1"/>
  <c r="AW1685" i="1" s="1"/>
  <c r="AK1685" i="1"/>
  <c r="AJ1685" i="1"/>
  <c r="AH1685" i="1"/>
  <c r="AG1685" i="1"/>
  <c r="AF1685" i="1"/>
  <c r="AC1685" i="1"/>
  <c r="AB1685" i="1"/>
  <c r="Z1685" i="1"/>
  <c r="O1685" i="1"/>
  <c r="BF1685" i="1" s="1"/>
  <c r="L1685" i="1"/>
  <c r="BW1683" i="1"/>
  <c r="BJ1683" i="1"/>
  <c r="BI1683" i="1"/>
  <c r="AE1683" i="1" s="1"/>
  <c r="BD1683" i="1"/>
  <c r="AP1683" i="1"/>
  <c r="K1683" i="1" s="1"/>
  <c r="AO1683" i="1"/>
  <c r="BH1683" i="1" s="1"/>
  <c r="AD1683" i="1" s="1"/>
  <c r="AK1683" i="1"/>
  <c r="AJ1683" i="1"/>
  <c r="AH1683" i="1"/>
  <c r="AG1683" i="1"/>
  <c r="AF1683" i="1"/>
  <c r="AC1683" i="1"/>
  <c r="AB1683" i="1"/>
  <c r="Z1683" i="1"/>
  <c r="O1683" i="1"/>
  <c r="BF1683" i="1" s="1"/>
  <c r="L1683" i="1"/>
  <c r="BW1681" i="1"/>
  <c r="BJ1681" i="1"/>
  <c r="BD1681" i="1"/>
  <c r="AP1681" i="1"/>
  <c r="AO1681" i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AL1681" i="1" s="1"/>
  <c r="BW1679" i="1"/>
  <c r="BJ1679" i="1"/>
  <c r="BD1679" i="1"/>
  <c r="AP1679" i="1"/>
  <c r="AX1679" i="1" s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7" i="1"/>
  <c r="BJ1677" i="1"/>
  <c r="BD1677" i="1"/>
  <c r="AP1677" i="1"/>
  <c r="AX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K1677" i="1"/>
  <c r="J1677" i="1"/>
  <c r="BW1676" i="1"/>
  <c r="BJ1676" i="1"/>
  <c r="BD1676" i="1"/>
  <c r="AP1676" i="1"/>
  <c r="AX1676" i="1" s="1"/>
  <c r="AO1676" i="1"/>
  <c r="AW1676" i="1" s="1"/>
  <c r="BC1676" i="1" s="1"/>
  <c r="AL1676" i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5" i="1"/>
  <c r="BJ1675" i="1"/>
  <c r="BD1675" i="1"/>
  <c r="AP1675" i="1"/>
  <c r="AX1675" i="1" s="1"/>
  <c r="AO1675" i="1"/>
  <c r="AK1675" i="1"/>
  <c r="AJ1675" i="1"/>
  <c r="AH1675" i="1"/>
  <c r="AG1675" i="1"/>
  <c r="AF1675" i="1"/>
  <c r="AC1675" i="1"/>
  <c r="AB1675" i="1"/>
  <c r="Z1675" i="1"/>
  <c r="O1675" i="1"/>
  <c r="BF1675" i="1" s="1"/>
  <c r="L1675" i="1"/>
  <c r="BW1674" i="1"/>
  <c r="BJ1674" i="1"/>
  <c r="BH1674" i="1"/>
  <c r="AD1674" i="1" s="1"/>
  <c r="BD1674" i="1"/>
  <c r="AP1674" i="1"/>
  <c r="AX1674" i="1" s="1"/>
  <c r="AO1674" i="1"/>
  <c r="AW1674" i="1" s="1"/>
  <c r="AK1674" i="1"/>
  <c r="AJ1674" i="1"/>
  <c r="AH1674" i="1"/>
  <c r="AG1674" i="1"/>
  <c r="AF1674" i="1"/>
  <c r="AC1674" i="1"/>
  <c r="AB1674" i="1"/>
  <c r="Z1674" i="1"/>
  <c r="O1674" i="1"/>
  <c r="BF1674" i="1" s="1"/>
  <c r="L1674" i="1"/>
  <c r="BW1673" i="1"/>
  <c r="BJ1673" i="1"/>
  <c r="BD1673" i="1"/>
  <c r="AP1673" i="1"/>
  <c r="AO1673" i="1"/>
  <c r="AW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2" i="1"/>
  <c r="BJ1672" i="1"/>
  <c r="BD1672" i="1"/>
  <c r="AP1672" i="1"/>
  <c r="AO1672" i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1" i="1"/>
  <c r="BJ1671" i="1"/>
  <c r="BD1671" i="1"/>
  <c r="AP1671" i="1"/>
  <c r="K1671" i="1" s="1"/>
  <c r="AO1671" i="1"/>
  <c r="AW1671" i="1" s="1"/>
  <c r="AK1671" i="1"/>
  <c r="AJ1671" i="1"/>
  <c r="AH1671" i="1"/>
  <c r="AG1671" i="1"/>
  <c r="AF1671" i="1"/>
  <c r="AC1671" i="1"/>
  <c r="AB1671" i="1"/>
  <c r="Z1671" i="1"/>
  <c r="O1671" i="1"/>
  <c r="BF1671" i="1" s="1"/>
  <c r="L1671" i="1"/>
  <c r="BW1670" i="1"/>
  <c r="BJ1670" i="1"/>
  <c r="BD1670" i="1"/>
  <c r="AP1670" i="1"/>
  <c r="AX1670" i="1" s="1"/>
  <c r="AO1670" i="1"/>
  <c r="AW1670" i="1" s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8" i="1"/>
  <c r="BJ1668" i="1"/>
  <c r="Z1668" i="1" s="1"/>
  <c r="BD1668" i="1"/>
  <c r="AP1668" i="1"/>
  <c r="AO1668" i="1"/>
  <c r="AK1668" i="1"/>
  <c r="AJ1668" i="1"/>
  <c r="AH1668" i="1"/>
  <c r="AG1668" i="1"/>
  <c r="AF1668" i="1"/>
  <c r="AE1668" i="1"/>
  <c r="AD1668" i="1"/>
  <c r="AC1668" i="1"/>
  <c r="AB1668" i="1"/>
  <c r="O1668" i="1"/>
  <c r="BF1668" i="1" s="1"/>
  <c r="L1668" i="1"/>
  <c r="BW1667" i="1"/>
  <c r="BJ1667" i="1"/>
  <c r="BD1667" i="1"/>
  <c r="AP1667" i="1"/>
  <c r="AO1667" i="1"/>
  <c r="J1667" i="1" s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BI1666" i="1" s="1"/>
  <c r="AE1666" i="1" s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K1666" i="1"/>
  <c r="BW1664" i="1"/>
  <c r="BJ1664" i="1"/>
  <c r="BD1664" i="1"/>
  <c r="AP1664" i="1"/>
  <c r="AO1664" i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O1663" i="1"/>
  <c r="AK1663" i="1"/>
  <c r="AJ1663" i="1"/>
  <c r="AH1663" i="1"/>
  <c r="AG1663" i="1"/>
  <c r="AF1663" i="1"/>
  <c r="AC1663" i="1"/>
  <c r="AB1663" i="1"/>
  <c r="Z1663" i="1"/>
  <c r="O1663" i="1"/>
  <c r="L1663" i="1"/>
  <c r="BW1662" i="1"/>
  <c r="BJ1662" i="1"/>
  <c r="BI1662" i="1"/>
  <c r="AE1662" i="1" s="1"/>
  <c r="BD1662" i="1"/>
  <c r="AP1662" i="1"/>
  <c r="AX1662" i="1" s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K1662" i="1"/>
  <c r="BW1661" i="1"/>
  <c r="BJ1661" i="1"/>
  <c r="BD1661" i="1"/>
  <c r="AP1661" i="1"/>
  <c r="AX1661" i="1" s="1"/>
  <c r="AO1661" i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BW1660" i="1"/>
  <c r="BJ1660" i="1"/>
  <c r="BD1660" i="1"/>
  <c r="AP1660" i="1"/>
  <c r="AO1660" i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AO1659" i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K1658" i="1"/>
  <c r="J1658" i="1"/>
  <c r="BW1657" i="1"/>
  <c r="BJ1657" i="1"/>
  <c r="BD1657" i="1"/>
  <c r="AP1657" i="1"/>
  <c r="AX1657" i="1" s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BI1656" i="1" s="1"/>
  <c r="AE1656" i="1" s="1"/>
  <c r="AO1656" i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L1655" i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K1655" i="1"/>
  <c r="BW1654" i="1"/>
  <c r="BJ1654" i="1"/>
  <c r="BD1654" i="1"/>
  <c r="AX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X1653" i="1"/>
  <c r="BC1653" i="1" s="1"/>
  <c r="AP1653" i="1"/>
  <c r="BI1653" i="1" s="1"/>
  <c r="AE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K1653" i="1"/>
  <c r="J1653" i="1"/>
  <c r="BW1652" i="1"/>
  <c r="BJ1652" i="1"/>
  <c r="BD1652" i="1"/>
  <c r="AP1652" i="1"/>
  <c r="BI1652" i="1" s="1"/>
  <c r="AE1652" i="1" s="1"/>
  <c r="AO1652" i="1"/>
  <c r="AW1652" i="1" s="1"/>
  <c r="AL1652" i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J1652" i="1"/>
  <c r="BW1651" i="1"/>
  <c r="BJ1651" i="1"/>
  <c r="BD1651" i="1"/>
  <c r="AP1651" i="1"/>
  <c r="AO1651" i="1"/>
  <c r="BH1651" i="1" s="1"/>
  <c r="AD1651" i="1" s="1"/>
  <c r="AK1651" i="1"/>
  <c r="AJ1651" i="1"/>
  <c r="AH1651" i="1"/>
  <c r="AG1651" i="1"/>
  <c r="AF1651" i="1"/>
  <c r="AC1651" i="1"/>
  <c r="AB1651" i="1"/>
  <c r="Z1651" i="1"/>
  <c r="O1651" i="1"/>
  <c r="BF1651" i="1" s="1"/>
  <c r="L1651" i="1"/>
  <c r="BW1650" i="1"/>
  <c r="BJ1650" i="1"/>
  <c r="BD1650" i="1"/>
  <c r="AP1650" i="1"/>
  <c r="AO1650" i="1"/>
  <c r="AW1650" i="1" s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K1650" i="1"/>
  <c r="J1650" i="1"/>
  <c r="BW1649" i="1"/>
  <c r="BJ1649" i="1"/>
  <c r="BD1649" i="1"/>
  <c r="AP1649" i="1"/>
  <c r="BI1649" i="1" s="1"/>
  <c r="AE1649" i="1" s="1"/>
  <c r="AO1649" i="1"/>
  <c r="AW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AL1649" i="1" s="1"/>
  <c r="BW1648" i="1"/>
  <c r="BJ1648" i="1"/>
  <c r="BD1648" i="1"/>
  <c r="AP1648" i="1"/>
  <c r="AO1648" i="1"/>
  <c r="BH1648" i="1" s="1"/>
  <c r="AD1648" i="1" s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AO1647" i="1"/>
  <c r="AW1647" i="1" s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K1647" i="1"/>
  <c r="BW1646" i="1"/>
  <c r="BJ1646" i="1"/>
  <c r="BD1646" i="1"/>
  <c r="AP1646" i="1"/>
  <c r="AX1646" i="1" s="1"/>
  <c r="AO1646" i="1"/>
  <c r="AW1646" i="1" s="1"/>
  <c r="AL1646" i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4" i="1"/>
  <c r="BJ1644" i="1"/>
  <c r="BI1644" i="1"/>
  <c r="AE1644" i="1" s="1"/>
  <c r="BD1644" i="1"/>
  <c r="AP1644" i="1"/>
  <c r="AX1644" i="1" s="1"/>
  <c r="AO1644" i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K1644" i="1"/>
  <c r="BW1643" i="1"/>
  <c r="BJ1643" i="1"/>
  <c r="BD1643" i="1"/>
  <c r="AP1643" i="1"/>
  <c r="AO1643" i="1"/>
  <c r="J1643" i="1" s="1"/>
  <c r="AK1643" i="1"/>
  <c r="AJ1643" i="1"/>
  <c r="AH1643" i="1"/>
  <c r="AG1643" i="1"/>
  <c r="AF1643" i="1"/>
  <c r="AC1643" i="1"/>
  <c r="AB1643" i="1"/>
  <c r="Z1643" i="1"/>
  <c r="O1643" i="1"/>
  <c r="BF1643" i="1" s="1"/>
  <c r="L1643" i="1"/>
  <c r="BW1642" i="1"/>
  <c r="BJ1642" i="1"/>
  <c r="BF1642" i="1"/>
  <c r="BD1642" i="1"/>
  <c r="AX1642" i="1"/>
  <c r="AP1642" i="1"/>
  <c r="BI1642" i="1" s="1"/>
  <c r="AE1642" i="1" s="1"/>
  <c r="AO1642" i="1"/>
  <c r="AK1642" i="1"/>
  <c r="AJ1642" i="1"/>
  <c r="AH1642" i="1"/>
  <c r="AG1642" i="1"/>
  <c r="AF1642" i="1"/>
  <c r="AC1642" i="1"/>
  <c r="AB1642" i="1"/>
  <c r="Z1642" i="1"/>
  <c r="O1642" i="1"/>
  <c r="L1642" i="1"/>
  <c r="K1642" i="1"/>
  <c r="BW1641" i="1"/>
  <c r="BJ1641" i="1"/>
  <c r="BD1641" i="1"/>
  <c r="AP1641" i="1"/>
  <c r="BI1641" i="1" s="1"/>
  <c r="AE1641" i="1" s="1"/>
  <c r="AO1641" i="1"/>
  <c r="AW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BW1640" i="1"/>
  <c r="BJ1640" i="1"/>
  <c r="BD1640" i="1"/>
  <c r="AP1640" i="1"/>
  <c r="AX1640" i="1" s="1"/>
  <c r="AO1640" i="1"/>
  <c r="BH1640" i="1" s="1"/>
  <c r="AD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BW1638" i="1"/>
  <c r="BJ1638" i="1"/>
  <c r="BD1638" i="1"/>
  <c r="AP1638" i="1"/>
  <c r="BI1638" i="1" s="1"/>
  <c r="AE1638" i="1" s="1"/>
  <c r="AO1638" i="1"/>
  <c r="AW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AL1638" i="1" s="1"/>
  <c r="BW1636" i="1"/>
  <c r="BJ1636" i="1"/>
  <c r="BH1636" i="1"/>
  <c r="BD1636" i="1"/>
  <c r="AP1636" i="1"/>
  <c r="K1636" i="1" s="1"/>
  <c r="AO1636" i="1"/>
  <c r="AW1636" i="1" s="1"/>
  <c r="AK1636" i="1"/>
  <c r="AJ1636" i="1"/>
  <c r="AH1636" i="1"/>
  <c r="AG1636" i="1"/>
  <c r="AF1636" i="1"/>
  <c r="AD1636" i="1"/>
  <c r="AC1636" i="1"/>
  <c r="AB1636" i="1"/>
  <c r="Z1636" i="1"/>
  <c r="O1636" i="1"/>
  <c r="BF1636" i="1" s="1"/>
  <c r="L1636" i="1"/>
  <c r="AL1636" i="1" s="1"/>
  <c r="BW1635" i="1"/>
  <c r="BJ1635" i="1"/>
  <c r="BD1635" i="1"/>
  <c r="AP1635" i="1"/>
  <c r="AX1635" i="1" s="1"/>
  <c r="AO1635" i="1"/>
  <c r="BH1635" i="1" s="1"/>
  <c r="AD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K1634" i="1"/>
  <c r="J1634" i="1"/>
  <c r="BW1633" i="1"/>
  <c r="BJ1633" i="1"/>
  <c r="BD1633" i="1"/>
  <c r="AP1633" i="1"/>
  <c r="AO1633" i="1"/>
  <c r="AW1633" i="1" s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AL1633" i="1" s="1"/>
  <c r="BW1632" i="1"/>
  <c r="BJ1632" i="1"/>
  <c r="BD1632" i="1"/>
  <c r="AP1632" i="1"/>
  <c r="AX1632" i="1" s="1"/>
  <c r="AO1632" i="1"/>
  <c r="BH1632" i="1" s="1"/>
  <c r="AD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X1631" i="1"/>
  <c r="AP1631" i="1"/>
  <c r="BI1631" i="1" s="1"/>
  <c r="AE1631" i="1" s="1"/>
  <c r="AO1631" i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K1631" i="1"/>
  <c r="BW1629" i="1"/>
  <c r="BJ1629" i="1"/>
  <c r="BD1629" i="1"/>
  <c r="AP1629" i="1"/>
  <c r="BI1629" i="1" s="1"/>
  <c r="AE1629" i="1" s="1"/>
  <c r="AO1629" i="1"/>
  <c r="AW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K1629" i="1"/>
  <c r="J1629" i="1"/>
  <c r="BW1628" i="1"/>
  <c r="BJ1628" i="1"/>
  <c r="BD1628" i="1"/>
  <c r="AP1628" i="1"/>
  <c r="BI1628" i="1" s="1"/>
  <c r="AE1628" i="1" s="1"/>
  <c r="AO1628" i="1"/>
  <c r="AW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K1628" i="1"/>
  <c r="J1628" i="1"/>
  <c r="BW1627" i="1"/>
  <c r="BJ1627" i="1"/>
  <c r="BD1627" i="1"/>
  <c r="AP1627" i="1"/>
  <c r="AO1627" i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K1627" i="1"/>
  <c r="BW1626" i="1"/>
  <c r="BJ1626" i="1"/>
  <c r="BD1626" i="1"/>
  <c r="AP1626" i="1"/>
  <c r="AO1626" i="1"/>
  <c r="BH1626" i="1" s="1"/>
  <c r="AD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BI1625" i="1" s="1"/>
  <c r="AE1625" i="1" s="1"/>
  <c r="AO1625" i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AL1625" i="1" s="1"/>
  <c r="BW1624" i="1"/>
  <c r="BJ1624" i="1"/>
  <c r="BH1624" i="1"/>
  <c r="AD1624" i="1" s="1"/>
  <c r="BD1624" i="1"/>
  <c r="AW1624" i="1"/>
  <c r="AP1624" i="1"/>
  <c r="BI1624" i="1" s="1"/>
  <c r="AE1624" i="1" s="1"/>
  <c r="AO1624" i="1"/>
  <c r="J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BW1623" i="1"/>
  <c r="BJ1623" i="1"/>
  <c r="BD1623" i="1"/>
  <c r="AP1623" i="1"/>
  <c r="AO1623" i="1"/>
  <c r="BH1623" i="1" s="1"/>
  <c r="AD1623" i="1" s="1"/>
  <c r="AK1623" i="1"/>
  <c r="AJ1623" i="1"/>
  <c r="AH1623" i="1"/>
  <c r="AG1623" i="1"/>
  <c r="AF1623" i="1"/>
  <c r="AC1623" i="1"/>
  <c r="AB1623" i="1"/>
  <c r="Z1623" i="1"/>
  <c r="O1623" i="1"/>
  <c r="BF1623" i="1" s="1"/>
  <c r="L1623" i="1"/>
  <c r="BW1622" i="1"/>
  <c r="BJ1622" i="1"/>
  <c r="BD1622" i="1"/>
  <c r="AP1622" i="1"/>
  <c r="AO1622" i="1"/>
  <c r="AK1622" i="1"/>
  <c r="AJ1622" i="1"/>
  <c r="AH1622" i="1"/>
  <c r="AG1622" i="1"/>
  <c r="AF1622" i="1"/>
  <c r="AC1622" i="1"/>
  <c r="AB1622" i="1"/>
  <c r="Z1622" i="1"/>
  <c r="O1622" i="1"/>
  <c r="BF1622" i="1" s="1"/>
  <c r="L1622" i="1"/>
  <c r="AL1622" i="1" s="1"/>
  <c r="K1622" i="1"/>
  <c r="J1622" i="1"/>
  <c r="BW1621" i="1"/>
  <c r="BJ1621" i="1"/>
  <c r="BD1621" i="1"/>
  <c r="AP1621" i="1"/>
  <c r="K1621" i="1" s="1"/>
  <c r="AO1621" i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BW1620" i="1"/>
  <c r="BJ1620" i="1"/>
  <c r="BD1620" i="1"/>
  <c r="AP1620" i="1"/>
  <c r="AO1620" i="1"/>
  <c r="AW1620" i="1" s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K1620" i="1"/>
  <c r="J1620" i="1"/>
  <c r="BW1619" i="1"/>
  <c r="BJ1619" i="1"/>
  <c r="BD1619" i="1"/>
  <c r="AP1619" i="1"/>
  <c r="BI1619" i="1" s="1"/>
  <c r="AE1619" i="1" s="1"/>
  <c r="AO1619" i="1"/>
  <c r="AW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K1619" i="1"/>
  <c r="BW1618" i="1"/>
  <c r="BJ1618" i="1"/>
  <c r="BD1618" i="1"/>
  <c r="AP1618" i="1"/>
  <c r="AX1618" i="1" s="1"/>
  <c r="AO1618" i="1"/>
  <c r="AW1618" i="1" s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K1618" i="1"/>
  <c r="J1618" i="1"/>
  <c r="BW1617" i="1"/>
  <c r="BJ1617" i="1"/>
  <c r="BD1617" i="1"/>
  <c r="AP1617" i="1"/>
  <c r="AO1617" i="1"/>
  <c r="AK1617" i="1"/>
  <c r="AJ1617" i="1"/>
  <c r="AH1617" i="1"/>
  <c r="AG1617" i="1"/>
  <c r="AF1617" i="1"/>
  <c r="AC1617" i="1"/>
  <c r="AB1617" i="1"/>
  <c r="Z1617" i="1"/>
  <c r="O1617" i="1"/>
  <c r="L1617" i="1"/>
  <c r="BW1615" i="1"/>
  <c r="M1615" i="1" s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BF1615" i="1" s="1"/>
  <c r="L1615" i="1"/>
  <c r="AL1615" i="1" s="1"/>
  <c r="BW1614" i="1"/>
  <c r="BJ1614" i="1"/>
  <c r="BD1614" i="1"/>
  <c r="AP1614" i="1"/>
  <c r="K1614" i="1" s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AL1614" i="1" s="1"/>
  <c r="BW1613" i="1"/>
  <c r="BJ1613" i="1"/>
  <c r="BD1613" i="1"/>
  <c r="AP1613" i="1"/>
  <c r="AO1613" i="1"/>
  <c r="AW1613" i="1" s="1"/>
  <c r="AK1613" i="1"/>
  <c r="AJ1613" i="1"/>
  <c r="AH1613" i="1"/>
  <c r="AG1613" i="1"/>
  <c r="AF1613" i="1"/>
  <c r="AC1613" i="1"/>
  <c r="AB1613" i="1"/>
  <c r="Z1613" i="1"/>
  <c r="O1613" i="1"/>
  <c r="BF1613" i="1" s="1"/>
  <c r="L1613" i="1"/>
  <c r="AL1613" i="1" s="1"/>
  <c r="K1613" i="1"/>
  <c r="J1613" i="1"/>
  <c r="BW1612" i="1"/>
  <c r="BJ1612" i="1"/>
  <c r="BD1612" i="1"/>
  <c r="AP1612" i="1"/>
  <c r="AO1612" i="1"/>
  <c r="AK1612" i="1"/>
  <c r="AJ1612" i="1"/>
  <c r="AH1612" i="1"/>
  <c r="AG1612" i="1"/>
  <c r="AF1612" i="1"/>
  <c r="AC1612" i="1"/>
  <c r="AB1612" i="1"/>
  <c r="Z1612" i="1"/>
  <c r="O1612" i="1"/>
  <c r="BF1612" i="1" s="1"/>
  <c r="L1612" i="1"/>
  <c r="AL1612" i="1" s="1"/>
  <c r="BW1611" i="1"/>
  <c r="BJ1611" i="1"/>
  <c r="BD1611" i="1"/>
  <c r="AP1611" i="1"/>
  <c r="K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AL1611" i="1" s="1"/>
  <c r="BW1610" i="1"/>
  <c r="BJ1610" i="1"/>
  <c r="BD1610" i="1"/>
  <c r="AP1610" i="1"/>
  <c r="AX1610" i="1" s="1"/>
  <c r="AO1610" i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AL1610" i="1" s="1"/>
  <c r="K1610" i="1"/>
  <c r="J1610" i="1"/>
  <c r="BW1609" i="1"/>
  <c r="BJ1609" i="1"/>
  <c r="BD1609" i="1"/>
  <c r="AP1609" i="1"/>
  <c r="AO1609" i="1"/>
  <c r="AK1609" i="1"/>
  <c r="AJ1609" i="1"/>
  <c r="AH1609" i="1"/>
  <c r="AG1609" i="1"/>
  <c r="AF1609" i="1"/>
  <c r="AC1609" i="1"/>
  <c r="AB1609" i="1"/>
  <c r="Z1609" i="1"/>
  <c r="O1609" i="1"/>
  <c r="L1609" i="1"/>
  <c r="AL1609" i="1" s="1"/>
  <c r="BW1608" i="1"/>
  <c r="BJ1608" i="1"/>
  <c r="BD1608" i="1"/>
  <c r="AP1608" i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M1608" i="1" s="1"/>
  <c r="BW1606" i="1"/>
  <c r="BJ1606" i="1"/>
  <c r="BD1606" i="1"/>
  <c r="AP1606" i="1"/>
  <c r="K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BW1605" i="1"/>
  <c r="BJ1605" i="1"/>
  <c r="BD1605" i="1"/>
  <c r="AP1605" i="1"/>
  <c r="AX1605" i="1" s="1"/>
  <c r="AO1605" i="1"/>
  <c r="BH1605" i="1" s="1"/>
  <c r="AD1605" i="1" s="1"/>
  <c r="AK1605" i="1"/>
  <c r="AJ1605" i="1"/>
  <c r="AH1605" i="1"/>
  <c r="AG1605" i="1"/>
  <c r="AF1605" i="1"/>
  <c r="AC1605" i="1"/>
  <c r="AB1605" i="1"/>
  <c r="Z1605" i="1"/>
  <c r="O1605" i="1"/>
  <c r="BF1605" i="1" s="1"/>
  <c r="L1605" i="1"/>
  <c r="AL1605" i="1" s="1"/>
  <c r="K1605" i="1"/>
  <c r="J1605" i="1"/>
  <c r="BW1604" i="1"/>
  <c r="BJ1604" i="1"/>
  <c r="BD1604" i="1"/>
  <c r="AP1604" i="1"/>
  <c r="AO1604" i="1"/>
  <c r="AK1604" i="1"/>
  <c r="AJ1604" i="1"/>
  <c r="AH1604" i="1"/>
  <c r="AG1604" i="1"/>
  <c r="AF1604" i="1"/>
  <c r="AC1604" i="1"/>
  <c r="AB1604" i="1"/>
  <c r="Z1604" i="1"/>
  <c r="O1604" i="1"/>
  <c r="BF1604" i="1" s="1"/>
  <c r="L1604" i="1"/>
  <c r="M1604" i="1" s="1"/>
  <c r="BW1603" i="1"/>
  <c r="BJ1603" i="1"/>
  <c r="BD1603" i="1"/>
  <c r="AW1603" i="1"/>
  <c r="AP1603" i="1"/>
  <c r="BI1603" i="1" s="1"/>
  <c r="AE1603" i="1" s="1"/>
  <c r="AO1603" i="1"/>
  <c r="BH1603" i="1" s="1"/>
  <c r="AK1603" i="1"/>
  <c r="AJ1603" i="1"/>
  <c r="AH1603" i="1"/>
  <c r="AG1603" i="1"/>
  <c r="AF1603" i="1"/>
  <c r="AD1603" i="1"/>
  <c r="AC1603" i="1"/>
  <c r="AB1603" i="1"/>
  <c r="Z1603" i="1"/>
  <c r="O1603" i="1"/>
  <c r="BF1603" i="1" s="1"/>
  <c r="L1603" i="1"/>
  <c r="BW1602" i="1"/>
  <c r="BJ1602" i="1"/>
  <c r="BD1602" i="1"/>
  <c r="AP1602" i="1"/>
  <c r="AX1602" i="1" s="1"/>
  <c r="AO1602" i="1"/>
  <c r="BH1602" i="1" s="1"/>
  <c r="AD1602" i="1" s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AL1602" i="1" s="1"/>
  <c r="K1602" i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L1601" i="1"/>
  <c r="AL1601" i="1" s="1"/>
  <c r="BW1600" i="1"/>
  <c r="BJ1600" i="1"/>
  <c r="BD1600" i="1"/>
  <c r="AP1600" i="1"/>
  <c r="K1600" i="1" s="1"/>
  <c r="AO1600" i="1"/>
  <c r="BH1600" i="1" s="1"/>
  <c r="AK1600" i="1"/>
  <c r="AJ1600" i="1"/>
  <c r="AH1600" i="1"/>
  <c r="AG1600" i="1"/>
  <c r="AF1600" i="1"/>
  <c r="AD1600" i="1"/>
  <c r="AC1600" i="1"/>
  <c r="AB1600" i="1"/>
  <c r="Z1600" i="1"/>
  <c r="O1600" i="1"/>
  <c r="BF1600" i="1" s="1"/>
  <c r="L1600" i="1"/>
  <c r="AL1600" i="1" s="1"/>
  <c r="BW1598" i="1"/>
  <c r="BJ1598" i="1"/>
  <c r="BD1598" i="1"/>
  <c r="AP1598" i="1"/>
  <c r="AO1598" i="1"/>
  <c r="BH1598" i="1" s="1"/>
  <c r="AD1598" i="1" s="1"/>
  <c r="AL1598" i="1"/>
  <c r="AK1598" i="1"/>
  <c r="AJ1598" i="1"/>
  <c r="AH1598" i="1"/>
  <c r="AG1598" i="1"/>
  <c r="AF1598" i="1"/>
  <c r="AC1598" i="1"/>
  <c r="AB1598" i="1"/>
  <c r="Z1598" i="1"/>
  <c r="O1598" i="1"/>
  <c r="BF1598" i="1" s="1"/>
  <c r="M1598" i="1"/>
  <c r="L1598" i="1"/>
  <c r="BW1597" i="1"/>
  <c r="BJ1597" i="1"/>
  <c r="BD1597" i="1"/>
  <c r="AP1597" i="1"/>
  <c r="AO1597" i="1"/>
  <c r="BH1597" i="1" s="1"/>
  <c r="AD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K1597" i="1"/>
  <c r="J1597" i="1"/>
  <c r="BW1596" i="1"/>
  <c r="BJ1596" i="1"/>
  <c r="BD1596" i="1"/>
  <c r="AP1596" i="1"/>
  <c r="AO1596" i="1"/>
  <c r="AL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BF1595" i="1" s="1"/>
  <c r="L1595" i="1"/>
  <c r="AL1595" i="1" s="1"/>
  <c r="BW1594" i="1"/>
  <c r="BJ1594" i="1"/>
  <c r="BD1594" i="1"/>
  <c r="AP1594" i="1"/>
  <c r="AO1594" i="1"/>
  <c r="AW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J1594" i="1"/>
  <c r="BW1593" i="1"/>
  <c r="BJ1593" i="1"/>
  <c r="BD1593" i="1"/>
  <c r="AP1593" i="1"/>
  <c r="AO1593" i="1"/>
  <c r="AK1593" i="1"/>
  <c r="AJ1593" i="1"/>
  <c r="AH1593" i="1"/>
  <c r="AG1593" i="1"/>
  <c r="AF1593" i="1"/>
  <c r="AC1593" i="1"/>
  <c r="AB1593" i="1"/>
  <c r="Z1593" i="1"/>
  <c r="O1593" i="1"/>
  <c r="BF1593" i="1" s="1"/>
  <c r="L1593" i="1"/>
  <c r="AL1593" i="1" s="1"/>
  <c r="BW1592" i="1"/>
  <c r="BJ1592" i="1"/>
  <c r="BD1592" i="1"/>
  <c r="AP1592" i="1"/>
  <c r="AO1592" i="1"/>
  <c r="AK1592" i="1"/>
  <c r="AJ1592" i="1"/>
  <c r="AH1592" i="1"/>
  <c r="AG1592" i="1"/>
  <c r="AF1592" i="1"/>
  <c r="AC1592" i="1"/>
  <c r="AB1592" i="1"/>
  <c r="Z1592" i="1"/>
  <c r="O1592" i="1"/>
  <c r="BF1592" i="1" s="1"/>
  <c r="L1592" i="1"/>
  <c r="M1592" i="1" s="1"/>
  <c r="BW1591" i="1"/>
  <c r="BJ1591" i="1"/>
  <c r="BD1591" i="1"/>
  <c r="AP1591" i="1"/>
  <c r="AO1591" i="1"/>
  <c r="AW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BW1590" i="1"/>
  <c r="BJ1590" i="1"/>
  <c r="BD1590" i="1"/>
  <c r="AP1590" i="1"/>
  <c r="AO1590" i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AL1590" i="1" s="1"/>
  <c r="BW1589" i="1"/>
  <c r="BJ1589" i="1"/>
  <c r="BD1589" i="1"/>
  <c r="AP1589" i="1"/>
  <c r="AO1589" i="1"/>
  <c r="AK1589" i="1"/>
  <c r="AJ1589" i="1"/>
  <c r="AH1589" i="1"/>
  <c r="AG1589" i="1"/>
  <c r="AF1589" i="1"/>
  <c r="AC1589" i="1"/>
  <c r="AB1589" i="1"/>
  <c r="Z1589" i="1"/>
  <c r="O1589" i="1"/>
  <c r="L1589" i="1"/>
  <c r="AL1589" i="1" s="1"/>
  <c r="BW1588" i="1"/>
  <c r="BJ1588" i="1"/>
  <c r="BD1588" i="1"/>
  <c r="AP1588" i="1"/>
  <c r="BI1588" i="1" s="1"/>
  <c r="AE1588" i="1" s="1"/>
  <c r="AO1588" i="1"/>
  <c r="J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BW1586" i="1"/>
  <c r="BJ1586" i="1"/>
  <c r="BD1586" i="1"/>
  <c r="AP1586" i="1"/>
  <c r="BI1586" i="1" s="1"/>
  <c r="AE1586" i="1" s="1"/>
  <c r="AO1586" i="1"/>
  <c r="BH1586" i="1" s="1"/>
  <c r="AD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J1586" i="1"/>
  <c r="BW1585" i="1"/>
  <c r="BJ1585" i="1"/>
  <c r="BD1585" i="1"/>
  <c r="AP1585" i="1"/>
  <c r="AO1585" i="1"/>
  <c r="AW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J1585" i="1"/>
  <c r="BW1584" i="1"/>
  <c r="BJ1584" i="1"/>
  <c r="BD1584" i="1"/>
  <c r="AP1584" i="1"/>
  <c r="BI1584" i="1" s="1"/>
  <c r="AE1584" i="1" s="1"/>
  <c r="AO1584" i="1"/>
  <c r="BH1584" i="1" s="1"/>
  <c r="AD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M1584" i="1" s="1"/>
  <c r="K1584" i="1"/>
  <c r="BW1583" i="1"/>
  <c r="BJ1583" i="1"/>
  <c r="BD1583" i="1"/>
  <c r="AP1583" i="1"/>
  <c r="AO1583" i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AL1583" i="1" s="1"/>
  <c r="BW1582" i="1"/>
  <c r="BJ1582" i="1"/>
  <c r="BD1582" i="1"/>
  <c r="AP1582" i="1"/>
  <c r="BI1582" i="1" s="1"/>
  <c r="AE1582" i="1" s="1"/>
  <c r="AO1582" i="1"/>
  <c r="J1582" i="1" s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AX1581" i="1" s="1"/>
  <c r="AO1581" i="1"/>
  <c r="J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BW1580" i="1"/>
  <c r="BJ1580" i="1"/>
  <c r="BD1580" i="1"/>
  <c r="AP1580" i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AL1580" i="1" s="1"/>
  <c r="K1580" i="1"/>
  <c r="BW1579" i="1"/>
  <c r="BJ1579" i="1"/>
  <c r="BD1579" i="1"/>
  <c r="AP1579" i="1"/>
  <c r="AO1579" i="1"/>
  <c r="J1579" i="1" s="1"/>
  <c r="AK1579" i="1"/>
  <c r="AJ1579" i="1"/>
  <c r="AH1579" i="1"/>
  <c r="AG1579" i="1"/>
  <c r="AF1579" i="1"/>
  <c r="AC1579" i="1"/>
  <c r="AB1579" i="1"/>
  <c r="Z1579" i="1"/>
  <c r="O1579" i="1"/>
  <c r="BF1579" i="1" s="1"/>
  <c r="L1579" i="1"/>
  <c r="AL1579" i="1" s="1"/>
  <c r="BW1578" i="1"/>
  <c r="BJ1578" i="1"/>
  <c r="BD1578" i="1"/>
  <c r="AP1578" i="1"/>
  <c r="AX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AL1578" i="1" s="1"/>
  <c r="BW1577" i="1"/>
  <c r="BJ1577" i="1"/>
  <c r="BD1577" i="1"/>
  <c r="AP1577" i="1"/>
  <c r="AX1577" i="1" s="1"/>
  <c r="AO1577" i="1"/>
  <c r="BH1577" i="1" s="1"/>
  <c r="AD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K1577" i="1"/>
  <c r="J1577" i="1"/>
  <c r="BW1576" i="1"/>
  <c r="BJ1576" i="1"/>
  <c r="BD1576" i="1"/>
  <c r="AP1576" i="1"/>
  <c r="AO1576" i="1"/>
  <c r="AK1576" i="1"/>
  <c r="AJ1576" i="1"/>
  <c r="AH1576" i="1"/>
  <c r="AG1576" i="1"/>
  <c r="AF1576" i="1"/>
  <c r="AC1576" i="1"/>
  <c r="AB1576" i="1"/>
  <c r="Z1576" i="1"/>
  <c r="O1576" i="1"/>
  <c r="BF1576" i="1" s="1"/>
  <c r="L1576" i="1"/>
  <c r="BW1575" i="1"/>
  <c r="BJ1575" i="1"/>
  <c r="BD1575" i="1"/>
  <c r="AP1575" i="1"/>
  <c r="BI1575" i="1" s="1"/>
  <c r="AE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M1575" i="1"/>
  <c r="L1575" i="1"/>
  <c r="AL1575" i="1" s="1"/>
  <c r="BW1574" i="1"/>
  <c r="BJ1574" i="1"/>
  <c r="BI1574" i="1"/>
  <c r="AE1574" i="1" s="1"/>
  <c r="BD1574" i="1"/>
  <c r="AP1574" i="1"/>
  <c r="AX1574" i="1" s="1"/>
  <c r="AO1574" i="1"/>
  <c r="AW1574" i="1" s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K1574" i="1"/>
  <c r="J1574" i="1"/>
  <c r="BW1573" i="1"/>
  <c r="BJ1573" i="1"/>
  <c r="BD1573" i="1"/>
  <c r="AP1573" i="1"/>
  <c r="AO1573" i="1"/>
  <c r="AK1573" i="1"/>
  <c r="AJ1573" i="1"/>
  <c r="AH1573" i="1"/>
  <c r="AG1573" i="1"/>
  <c r="AF1573" i="1"/>
  <c r="AC1573" i="1"/>
  <c r="AB1573" i="1"/>
  <c r="Z1573" i="1"/>
  <c r="O1573" i="1"/>
  <c r="M1573" i="1"/>
  <c r="L1573" i="1"/>
  <c r="AL1573" i="1" s="1"/>
  <c r="BW1572" i="1"/>
  <c r="BJ1572" i="1"/>
  <c r="BD1572" i="1"/>
  <c r="AX1572" i="1"/>
  <c r="AP1572" i="1"/>
  <c r="BI1572" i="1" s="1"/>
  <c r="AE1572" i="1" s="1"/>
  <c r="AO1572" i="1"/>
  <c r="AW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BI1571" i="1" s="1"/>
  <c r="AE1571" i="1" s="1"/>
  <c r="AO1571" i="1"/>
  <c r="AW1571" i="1" s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J1571" i="1"/>
  <c r="BW1569" i="1"/>
  <c r="BJ1569" i="1"/>
  <c r="BD1569" i="1"/>
  <c r="AP1569" i="1"/>
  <c r="AX1569" i="1" s="1"/>
  <c r="AO1569" i="1"/>
  <c r="AW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K1569" i="1"/>
  <c r="J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BI1566" i="1" s="1"/>
  <c r="AE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K1566" i="1"/>
  <c r="J1566" i="1"/>
  <c r="BW1565" i="1"/>
  <c r="M1565" i="1" s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M1564" i="1" s="1"/>
  <c r="BW1563" i="1"/>
  <c r="BJ1563" i="1"/>
  <c r="BD1563" i="1"/>
  <c r="AP1563" i="1"/>
  <c r="AX1563" i="1" s="1"/>
  <c r="AO1563" i="1"/>
  <c r="BH1563" i="1" s="1"/>
  <c r="AD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J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M1562" i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BW1560" i="1"/>
  <c r="BJ1560" i="1"/>
  <c r="BI1560" i="1"/>
  <c r="AE1560" i="1" s="1"/>
  <c r="BD1560" i="1"/>
  <c r="AP1560" i="1"/>
  <c r="AX1560" i="1" s="1"/>
  <c r="AO1560" i="1"/>
  <c r="BH1560" i="1" s="1"/>
  <c r="AD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K1560" i="1"/>
  <c r="J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BF1559" i="1" s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M1558" i="1" s="1"/>
  <c r="BW1557" i="1"/>
  <c r="BJ1557" i="1"/>
  <c r="BD1557" i="1"/>
  <c r="AP1557" i="1"/>
  <c r="BI1557" i="1" s="1"/>
  <c r="AE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K1557" i="1"/>
  <c r="J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M1555" i="1"/>
  <c r="L1555" i="1"/>
  <c r="AL1555" i="1" s="1"/>
  <c r="BW1554" i="1"/>
  <c r="BJ1554" i="1"/>
  <c r="BD1554" i="1"/>
  <c r="AP1554" i="1"/>
  <c r="AX1554" i="1" s="1"/>
  <c r="AO1554" i="1"/>
  <c r="AW1554" i="1" s="1"/>
  <c r="AK1554" i="1"/>
  <c r="AJ1554" i="1"/>
  <c r="AH1554" i="1"/>
  <c r="AG1554" i="1"/>
  <c r="AF1554" i="1"/>
  <c r="AC1554" i="1"/>
  <c r="AB1554" i="1"/>
  <c r="Z1554" i="1"/>
  <c r="O1554" i="1"/>
  <c r="BF1554" i="1" s="1"/>
  <c r="L1554" i="1"/>
  <c r="K1554" i="1"/>
  <c r="J1554" i="1"/>
  <c r="BW1553" i="1"/>
  <c r="BJ1553" i="1"/>
  <c r="BD1553" i="1"/>
  <c r="AP1553" i="1"/>
  <c r="AO1553" i="1"/>
  <c r="AL1553" i="1"/>
  <c r="AK1553" i="1"/>
  <c r="AJ1553" i="1"/>
  <c r="AH1553" i="1"/>
  <c r="AG1553" i="1"/>
  <c r="AF1553" i="1"/>
  <c r="AC1553" i="1"/>
  <c r="AB1553" i="1"/>
  <c r="Z1553" i="1"/>
  <c r="O1553" i="1"/>
  <c r="L1553" i="1"/>
  <c r="BW1552" i="1"/>
  <c r="BJ1552" i="1"/>
  <c r="BD1552" i="1"/>
  <c r="AP1552" i="1"/>
  <c r="BI1552" i="1" s="1"/>
  <c r="AE1552" i="1" s="1"/>
  <c r="AO1552" i="1"/>
  <c r="AW1552" i="1" s="1"/>
  <c r="AK1552" i="1"/>
  <c r="AJ1552" i="1"/>
  <c r="AH1552" i="1"/>
  <c r="AG1552" i="1"/>
  <c r="AF1552" i="1"/>
  <c r="AC1552" i="1"/>
  <c r="AB1552" i="1"/>
  <c r="Z1552" i="1"/>
  <c r="O1552" i="1"/>
  <c r="BF1552" i="1" s="1"/>
  <c r="L1552" i="1"/>
  <c r="AL1552" i="1" s="1"/>
  <c r="BW1551" i="1"/>
  <c r="BJ1551" i="1"/>
  <c r="BD1551" i="1"/>
  <c r="AP1551" i="1"/>
  <c r="AX1551" i="1" s="1"/>
  <c r="AO1551" i="1"/>
  <c r="AW1551" i="1" s="1"/>
  <c r="AK1551" i="1"/>
  <c r="AJ1551" i="1"/>
  <c r="AH1551" i="1"/>
  <c r="AG1551" i="1"/>
  <c r="AF1551" i="1"/>
  <c r="AC1551" i="1"/>
  <c r="AB1551" i="1"/>
  <c r="Z1551" i="1"/>
  <c r="O1551" i="1"/>
  <c r="BF1551" i="1" s="1"/>
  <c r="L1551" i="1"/>
  <c r="BW1550" i="1"/>
  <c r="BJ1550" i="1"/>
  <c r="BD1550" i="1"/>
  <c r="AP1550" i="1"/>
  <c r="AO1550" i="1"/>
  <c r="AL1550" i="1"/>
  <c r="AK1550" i="1"/>
  <c r="AJ1550" i="1"/>
  <c r="AH1550" i="1"/>
  <c r="AG1550" i="1"/>
  <c r="AF1550" i="1"/>
  <c r="AC1550" i="1"/>
  <c r="AB1550" i="1"/>
  <c r="Z1550" i="1"/>
  <c r="O1550" i="1"/>
  <c r="BF1550" i="1" s="1"/>
  <c r="L1550" i="1"/>
  <c r="BW1549" i="1"/>
  <c r="BJ1549" i="1"/>
  <c r="BD1549" i="1"/>
  <c r="AP1549" i="1"/>
  <c r="BI1549" i="1" s="1"/>
  <c r="AE1549" i="1" s="1"/>
  <c r="AO1549" i="1"/>
  <c r="AW1549" i="1" s="1"/>
  <c r="AK1549" i="1"/>
  <c r="AJ1549" i="1"/>
  <c r="AH1549" i="1"/>
  <c r="AG1549" i="1"/>
  <c r="AF1549" i="1"/>
  <c r="AC1549" i="1"/>
  <c r="AB1549" i="1"/>
  <c r="Z1549" i="1"/>
  <c r="O1549" i="1"/>
  <c r="BF1549" i="1" s="1"/>
  <c r="M1549" i="1"/>
  <c r="L1549" i="1"/>
  <c r="BW1547" i="1"/>
  <c r="BJ1547" i="1"/>
  <c r="Z1547" i="1" s="1"/>
  <c r="BD1547" i="1"/>
  <c r="AP1547" i="1"/>
  <c r="BI1547" i="1" s="1"/>
  <c r="AO1547" i="1"/>
  <c r="AW1547" i="1" s="1"/>
  <c r="AK1547" i="1"/>
  <c r="AJ1547" i="1"/>
  <c r="AH1547" i="1"/>
  <c r="AG1547" i="1"/>
  <c r="AF1547" i="1"/>
  <c r="AE1547" i="1"/>
  <c r="AD1547" i="1"/>
  <c r="AC1547" i="1"/>
  <c r="AB1547" i="1"/>
  <c r="O1547" i="1"/>
  <c r="BF1547" i="1" s="1"/>
  <c r="L1547" i="1"/>
  <c r="BW1524" i="1"/>
  <c r="BJ1524" i="1"/>
  <c r="BD1524" i="1"/>
  <c r="AP1524" i="1"/>
  <c r="K1524" i="1" s="1"/>
  <c r="AO1524" i="1"/>
  <c r="AK1524" i="1"/>
  <c r="AJ1524" i="1"/>
  <c r="AH1524" i="1"/>
  <c r="AG1524" i="1"/>
  <c r="AF1524" i="1"/>
  <c r="AC1524" i="1"/>
  <c r="AB1524" i="1"/>
  <c r="Z1524" i="1"/>
  <c r="O1524" i="1"/>
  <c r="BF1524" i="1" s="1"/>
  <c r="L1524" i="1"/>
  <c r="BW1512" i="1"/>
  <c r="BJ1512" i="1"/>
  <c r="BD1512" i="1"/>
  <c r="AP1512" i="1"/>
  <c r="AO1512" i="1"/>
  <c r="AK1512" i="1"/>
  <c r="AJ1512" i="1"/>
  <c r="AH1512" i="1"/>
  <c r="AG1512" i="1"/>
  <c r="AF1512" i="1"/>
  <c r="AC1512" i="1"/>
  <c r="AB1512" i="1"/>
  <c r="Z1512" i="1"/>
  <c r="O1512" i="1"/>
  <c r="BF1512" i="1" s="1"/>
  <c r="L1512" i="1"/>
  <c r="M1512" i="1" s="1"/>
  <c r="BW1500" i="1"/>
  <c r="BJ1500" i="1"/>
  <c r="BD1500" i="1"/>
  <c r="AP1500" i="1"/>
  <c r="BI1500" i="1" s="1"/>
  <c r="AE1500" i="1" s="1"/>
  <c r="AO1500" i="1"/>
  <c r="AW1500" i="1" s="1"/>
  <c r="AK1500" i="1"/>
  <c r="AJ1500" i="1"/>
  <c r="AH1500" i="1"/>
  <c r="AG1500" i="1"/>
  <c r="AF1500" i="1"/>
  <c r="AC1500" i="1"/>
  <c r="AB1500" i="1"/>
  <c r="Z1500" i="1"/>
  <c r="O1500" i="1"/>
  <c r="BF1500" i="1" s="1"/>
  <c r="L1500" i="1"/>
  <c r="AL1500" i="1" s="1"/>
  <c r="BW1492" i="1"/>
  <c r="BJ1492" i="1"/>
  <c r="BD1492" i="1"/>
  <c r="AP1492" i="1"/>
  <c r="BI1492" i="1" s="1"/>
  <c r="AE1492" i="1" s="1"/>
  <c r="AO1492" i="1"/>
  <c r="BH1492" i="1" s="1"/>
  <c r="AD1492" i="1" s="1"/>
  <c r="AK1492" i="1"/>
  <c r="AJ1492" i="1"/>
  <c r="AH1492" i="1"/>
  <c r="AG1492" i="1"/>
  <c r="AF1492" i="1"/>
  <c r="AC1492" i="1"/>
  <c r="AB1492" i="1"/>
  <c r="Z1492" i="1"/>
  <c r="O1492" i="1"/>
  <c r="BF1492" i="1" s="1"/>
  <c r="L1492" i="1"/>
  <c r="BW1487" i="1"/>
  <c r="BJ1487" i="1"/>
  <c r="BD1487" i="1"/>
  <c r="AP1487" i="1"/>
  <c r="AO1487" i="1"/>
  <c r="AK1487" i="1"/>
  <c r="AJ1487" i="1"/>
  <c r="AH1487" i="1"/>
  <c r="AG1487" i="1"/>
  <c r="AF1487" i="1"/>
  <c r="AC1487" i="1"/>
  <c r="AB1487" i="1"/>
  <c r="Z1487" i="1"/>
  <c r="O1487" i="1"/>
  <c r="BF1487" i="1" s="1"/>
  <c r="L1487" i="1"/>
  <c r="M1487" i="1" s="1"/>
  <c r="BW1483" i="1"/>
  <c r="BJ1483" i="1"/>
  <c r="BD1483" i="1"/>
  <c r="AP1483" i="1"/>
  <c r="BI1483" i="1" s="1"/>
  <c r="AE1483" i="1" s="1"/>
  <c r="AO1483" i="1"/>
  <c r="AW1483" i="1" s="1"/>
  <c r="AK1483" i="1"/>
  <c r="AJ1483" i="1"/>
  <c r="AH1483" i="1"/>
  <c r="AG1483" i="1"/>
  <c r="AF1483" i="1"/>
  <c r="AC1483" i="1"/>
  <c r="AB1483" i="1"/>
  <c r="Z1483" i="1"/>
  <c r="O1483" i="1"/>
  <c r="BF1483" i="1" s="1"/>
  <c r="L1483" i="1"/>
  <c r="BW1468" i="1"/>
  <c r="BJ1468" i="1"/>
  <c r="BD1468" i="1"/>
  <c r="AP1468" i="1"/>
  <c r="BI1468" i="1" s="1"/>
  <c r="AE1468" i="1" s="1"/>
  <c r="AO1468" i="1"/>
  <c r="BH1468" i="1" s="1"/>
  <c r="AD1468" i="1" s="1"/>
  <c r="AK1468" i="1"/>
  <c r="AJ1468" i="1"/>
  <c r="AH1468" i="1"/>
  <c r="AG1468" i="1"/>
  <c r="AF1468" i="1"/>
  <c r="AC1468" i="1"/>
  <c r="AB1468" i="1"/>
  <c r="Z1468" i="1"/>
  <c r="O1468" i="1"/>
  <c r="BF1468" i="1" s="1"/>
  <c r="L1468" i="1"/>
  <c r="K1468" i="1"/>
  <c r="J1468" i="1"/>
  <c r="BW1453" i="1"/>
  <c r="BJ1453" i="1"/>
  <c r="BD1453" i="1"/>
  <c r="AP1453" i="1"/>
  <c r="AX1453" i="1" s="1"/>
  <c r="AO1453" i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M1453" i="1" s="1"/>
  <c r="BW1450" i="1"/>
  <c r="BJ1450" i="1"/>
  <c r="BD1450" i="1"/>
  <c r="AP1450" i="1"/>
  <c r="AO1450" i="1"/>
  <c r="AW1450" i="1" s="1"/>
  <c r="AK1450" i="1"/>
  <c r="AJ1450" i="1"/>
  <c r="AH1450" i="1"/>
  <c r="AG1450" i="1"/>
  <c r="AF1450" i="1"/>
  <c r="AC1450" i="1"/>
  <c r="AB1450" i="1"/>
  <c r="Z1450" i="1"/>
  <c r="O1450" i="1"/>
  <c r="BF1450" i="1" s="1"/>
  <c r="L1450" i="1"/>
  <c r="M1450" i="1" s="1"/>
  <c r="BW1447" i="1"/>
  <c r="BJ1447" i="1"/>
  <c r="BD1447" i="1"/>
  <c r="AP1447" i="1"/>
  <c r="BI1447" i="1" s="1"/>
  <c r="AE1447" i="1" s="1"/>
  <c r="AO1447" i="1"/>
  <c r="BH1447" i="1" s="1"/>
  <c r="AD1447" i="1" s="1"/>
  <c r="AK1447" i="1"/>
  <c r="AJ1447" i="1"/>
  <c r="AH1447" i="1"/>
  <c r="AG1447" i="1"/>
  <c r="AF1447" i="1"/>
  <c r="AC1447" i="1"/>
  <c r="AB1447" i="1"/>
  <c r="Z1447" i="1"/>
  <c r="O1447" i="1"/>
  <c r="BF1447" i="1" s="1"/>
  <c r="L1447" i="1"/>
  <c r="K1447" i="1"/>
  <c r="J1447" i="1"/>
  <c r="BW1442" i="1"/>
  <c r="BJ1442" i="1"/>
  <c r="BI1442" i="1"/>
  <c r="AE1442" i="1" s="1"/>
  <c r="BD1442" i="1"/>
  <c r="AP1442" i="1"/>
  <c r="AX1442" i="1" s="1"/>
  <c r="AO1442" i="1"/>
  <c r="AK1442" i="1"/>
  <c r="AJ1442" i="1"/>
  <c r="AH1442" i="1"/>
  <c r="AG1442" i="1"/>
  <c r="AF1442" i="1"/>
  <c r="AC1442" i="1"/>
  <c r="AB1442" i="1"/>
  <c r="Z1442" i="1"/>
  <c r="O1442" i="1"/>
  <c r="BF1442" i="1" s="1"/>
  <c r="L1442" i="1"/>
  <c r="AL1442" i="1" s="1"/>
  <c r="BW1434" i="1"/>
  <c r="BJ1434" i="1"/>
  <c r="BD1434" i="1"/>
  <c r="AP1434" i="1"/>
  <c r="AO1434" i="1"/>
  <c r="AW1434" i="1" s="1"/>
  <c r="AK1434" i="1"/>
  <c r="AJ1434" i="1"/>
  <c r="AH1434" i="1"/>
  <c r="AG1434" i="1"/>
  <c r="AF1434" i="1"/>
  <c r="AC1434" i="1"/>
  <c r="AB1434" i="1"/>
  <c r="Z1434" i="1"/>
  <c r="O1434" i="1"/>
  <c r="BF1434" i="1" s="1"/>
  <c r="L1434" i="1"/>
  <c r="AL1434" i="1" s="1"/>
  <c r="BW1425" i="1"/>
  <c r="BJ1425" i="1"/>
  <c r="BD1425" i="1"/>
  <c r="AP1425" i="1"/>
  <c r="AO1425" i="1"/>
  <c r="AK1425" i="1"/>
  <c r="AJ1425" i="1"/>
  <c r="AH1425" i="1"/>
  <c r="AG1425" i="1"/>
  <c r="AF1425" i="1"/>
  <c r="AC1425" i="1"/>
  <c r="AB1425" i="1"/>
  <c r="Z1425" i="1"/>
  <c r="O1425" i="1"/>
  <c r="BF1425" i="1" s="1"/>
  <c r="L1425" i="1"/>
  <c r="BW1418" i="1"/>
  <c r="BJ1418" i="1"/>
  <c r="BI1418" i="1"/>
  <c r="AE1418" i="1" s="1"/>
  <c r="BD1418" i="1"/>
  <c r="AP1418" i="1"/>
  <c r="AX1418" i="1" s="1"/>
  <c r="AO1418" i="1"/>
  <c r="AK1418" i="1"/>
  <c r="AJ1418" i="1"/>
  <c r="AH1418" i="1"/>
  <c r="AG1418" i="1"/>
  <c r="AF1418" i="1"/>
  <c r="AC1418" i="1"/>
  <c r="AB1418" i="1"/>
  <c r="Z1418" i="1"/>
  <c r="O1418" i="1"/>
  <c r="BF1418" i="1" s="1"/>
  <c r="L1418" i="1"/>
  <c r="AL1418" i="1" s="1"/>
  <c r="K1418" i="1"/>
  <c r="BW1410" i="1"/>
  <c r="BJ1410" i="1"/>
  <c r="BD1410" i="1"/>
  <c r="AP1410" i="1"/>
  <c r="AX1410" i="1" s="1"/>
  <c r="AO1410" i="1"/>
  <c r="AW1410" i="1" s="1"/>
  <c r="AK1410" i="1"/>
  <c r="AJ1410" i="1"/>
  <c r="AH1410" i="1"/>
  <c r="AG1410" i="1"/>
  <c r="AF1410" i="1"/>
  <c r="AC1410" i="1"/>
  <c r="AB1410" i="1"/>
  <c r="Z1410" i="1"/>
  <c r="O1410" i="1"/>
  <c r="BF1410" i="1" s="1"/>
  <c r="L1410" i="1"/>
  <c r="M1410" i="1" s="1"/>
  <c r="BW1391" i="1"/>
  <c r="BJ1391" i="1"/>
  <c r="BD1391" i="1"/>
  <c r="AP1391" i="1"/>
  <c r="BI1391" i="1" s="1"/>
  <c r="AE1391" i="1" s="1"/>
  <c r="AO1391" i="1"/>
  <c r="BH1391" i="1" s="1"/>
  <c r="AD1391" i="1" s="1"/>
  <c r="AK1391" i="1"/>
  <c r="AJ1391" i="1"/>
  <c r="AH1391" i="1"/>
  <c r="AG1391" i="1"/>
  <c r="AF1391" i="1"/>
  <c r="AC1391" i="1"/>
  <c r="AB1391" i="1"/>
  <c r="Z1391" i="1"/>
  <c r="O1391" i="1"/>
  <c r="BF1391" i="1" s="1"/>
  <c r="L1391" i="1"/>
  <c r="K1391" i="1"/>
  <c r="J1391" i="1"/>
  <c r="BW1388" i="1"/>
  <c r="BJ1388" i="1"/>
  <c r="BD1388" i="1"/>
  <c r="AP1388" i="1"/>
  <c r="AO1388" i="1"/>
  <c r="AK1388" i="1"/>
  <c r="AJ1388" i="1"/>
  <c r="AH1388" i="1"/>
  <c r="AG1388" i="1"/>
  <c r="AF1388" i="1"/>
  <c r="AC1388" i="1"/>
  <c r="AB1388" i="1"/>
  <c r="Z1388" i="1"/>
  <c r="O1388" i="1"/>
  <c r="L1388" i="1"/>
  <c r="BW1384" i="1"/>
  <c r="BJ1384" i="1"/>
  <c r="BD1384" i="1"/>
  <c r="AP1384" i="1"/>
  <c r="AO1384" i="1"/>
  <c r="AW1384" i="1" s="1"/>
  <c r="AL1384" i="1"/>
  <c r="AK1384" i="1"/>
  <c r="AJ1384" i="1"/>
  <c r="AH1384" i="1"/>
  <c r="AG1384" i="1"/>
  <c r="AF1384" i="1"/>
  <c r="AC1384" i="1"/>
  <c r="AB1384" i="1"/>
  <c r="Z1384" i="1"/>
  <c r="O1384" i="1"/>
  <c r="BF1384" i="1" s="1"/>
  <c r="L1384" i="1"/>
  <c r="M1384" i="1" s="1"/>
  <c r="BW1382" i="1"/>
  <c r="BJ1382" i="1"/>
  <c r="Z1382" i="1" s="1"/>
  <c r="BD1382" i="1"/>
  <c r="AP1382" i="1"/>
  <c r="AO1382" i="1"/>
  <c r="AW1382" i="1" s="1"/>
  <c r="AK1382" i="1"/>
  <c r="AJ1382" i="1"/>
  <c r="AH1382" i="1"/>
  <c r="AG1382" i="1"/>
  <c r="AF1382" i="1"/>
  <c r="AE1382" i="1"/>
  <c r="AD1382" i="1"/>
  <c r="AC1382" i="1"/>
  <c r="AB1382" i="1"/>
  <c r="O1382" i="1"/>
  <c r="BF1382" i="1" s="1"/>
  <c r="L1382" i="1"/>
  <c r="AL1382" i="1" s="1"/>
  <c r="BW1378" i="1"/>
  <c r="BJ1378" i="1"/>
  <c r="BD1378" i="1"/>
  <c r="AP1378" i="1"/>
  <c r="K1378" i="1" s="1"/>
  <c r="AO1378" i="1"/>
  <c r="BH1378" i="1" s="1"/>
  <c r="AD1378" i="1" s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BW1376" i="1"/>
  <c r="BJ1376" i="1"/>
  <c r="BD1376" i="1"/>
  <c r="AP1376" i="1"/>
  <c r="AX1376" i="1" s="1"/>
  <c r="AO1376" i="1"/>
  <c r="AL1376" i="1"/>
  <c r="AK1376" i="1"/>
  <c r="AJ1376" i="1"/>
  <c r="AH1376" i="1"/>
  <c r="AG1376" i="1"/>
  <c r="AF1376" i="1"/>
  <c r="AC1376" i="1"/>
  <c r="AB1376" i="1"/>
  <c r="Z1376" i="1"/>
  <c r="O1376" i="1"/>
  <c r="BF1376" i="1" s="1"/>
  <c r="L1376" i="1"/>
  <c r="BW1373" i="1"/>
  <c r="BJ1373" i="1"/>
  <c r="BD1373" i="1"/>
  <c r="AP1373" i="1"/>
  <c r="AO1373" i="1"/>
  <c r="AW1373" i="1" s="1"/>
  <c r="AK1373" i="1"/>
  <c r="AJ1373" i="1"/>
  <c r="AH1373" i="1"/>
  <c r="AG1373" i="1"/>
  <c r="AF1373" i="1"/>
  <c r="AC1373" i="1"/>
  <c r="AB1373" i="1"/>
  <c r="Z1373" i="1"/>
  <c r="O1373" i="1"/>
  <c r="BF1373" i="1" s="1"/>
  <c r="L1373" i="1"/>
  <c r="AL1373" i="1" s="1"/>
  <c r="BW1372" i="1"/>
  <c r="BJ1372" i="1"/>
  <c r="BD1372" i="1"/>
  <c r="AP1372" i="1"/>
  <c r="BI1372" i="1" s="1"/>
  <c r="AE1372" i="1" s="1"/>
  <c r="AO1372" i="1"/>
  <c r="AW1372" i="1" s="1"/>
  <c r="AK1372" i="1"/>
  <c r="AJ1372" i="1"/>
  <c r="AH1372" i="1"/>
  <c r="AG1372" i="1"/>
  <c r="AF1372" i="1"/>
  <c r="AC1372" i="1"/>
  <c r="AB1372" i="1"/>
  <c r="Z1372" i="1"/>
  <c r="O1372" i="1"/>
  <c r="BF1372" i="1" s="1"/>
  <c r="L1372" i="1"/>
  <c r="BW1356" i="1"/>
  <c r="BJ1356" i="1"/>
  <c r="BD1356" i="1"/>
  <c r="AP1356" i="1"/>
  <c r="AO1356" i="1"/>
  <c r="AK1356" i="1"/>
  <c r="AJ1356" i="1"/>
  <c r="AH1356" i="1"/>
  <c r="AG1356" i="1"/>
  <c r="AF1356" i="1"/>
  <c r="AC1356" i="1"/>
  <c r="AB1356" i="1"/>
  <c r="Z1356" i="1"/>
  <c r="O1356" i="1"/>
  <c r="BF1356" i="1" s="1"/>
  <c r="L1356" i="1"/>
  <c r="BW1351" i="1"/>
  <c r="BJ1351" i="1"/>
  <c r="BD1351" i="1"/>
  <c r="AP1351" i="1"/>
  <c r="AO1351" i="1"/>
  <c r="AW1351" i="1" s="1"/>
  <c r="AK1351" i="1"/>
  <c r="AJ1351" i="1"/>
  <c r="AH1351" i="1"/>
  <c r="AG1351" i="1"/>
  <c r="AF1351" i="1"/>
  <c r="AC1351" i="1"/>
  <c r="AB1351" i="1"/>
  <c r="Z1351" i="1"/>
  <c r="O1351" i="1"/>
  <c r="BF1351" i="1" s="1"/>
  <c r="L1351" i="1"/>
  <c r="M1351" i="1" s="1"/>
  <c r="BW1340" i="1"/>
  <c r="BJ1340" i="1"/>
  <c r="BD1340" i="1"/>
  <c r="AP1340" i="1"/>
  <c r="BI1340" i="1" s="1"/>
  <c r="AE1340" i="1" s="1"/>
  <c r="AO1340" i="1"/>
  <c r="BH1340" i="1" s="1"/>
  <c r="AD1340" i="1" s="1"/>
  <c r="AK1340" i="1"/>
  <c r="AJ1340" i="1"/>
  <c r="AH1340" i="1"/>
  <c r="AG1340" i="1"/>
  <c r="AF1340" i="1"/>
  <c r="AC1340" i="1"/>
  <c r="AB1340" i="1"/>
  <c r="Z1340" i="1"/>
  <c r="O1340" i="1"/>
  <c r="BF1340" i="1" s="1"/>
  <c r="L1340" i="1"/>
  <c r="K1340" i="1"/>
  <c r="J1340" i="1"/>
  <c r="BW1335" i="1"/>
  <c r="BJ1335" i="1"/>
  <c r="BD1335" i="1"/>
  <c r="AP1335" i="1"/>
  <c r="AX1335" i="1" s="1"/>
  <c r="AO1335" i="1"/>
  <c r="AL1335" i="1"/>
  <c r="AK1335" i="1"/>
  <c r="AJ1335" i="1"/>
  <c r="AH1335" i="1"/>
  <c r="AG1335" i="1"/>
  <c r="AF1335" i="1"/>
  <c r="AC1335" i="1"/>
  <c r="AB1335" i="1"/>
  <c r="Z1335" i="1"/>
  <c r="O1335" i="1"/>
  <c r="BF1335" i="1" s="1"/>
  <c r="L1335" i="1"/>
  <c r="K1335" i="1"/>
  <c r="BW1323" i="1"/>
  <c r="BJ1323" i="1"/>
  <c r="BD1323" i="1"/>
  <c r="AP1323" i="1"/>
  <c r="AO1323" i="1"/>
  <c r="AW1323" i="1" s="1"/>
  <c r="AK1323" i="1"/>
  <c r="AJ1323" i="1"/>
  <c r="AH1323" i="1"/>
  <c r="AG1323" i="1"/>
  <c r="AF1323" i="1"/>
  <c r="AC1323" i="1"/>
  <c r="AB1323" i="1"/>
  <c r="Z1323" i="1"/>
  <c r="O1323" i="1"/>
  <c r="BF1323" i="1" s="1"/>
  <c r="L1323" i="1"/>
  <c r="AL1323" i="1" s="1"/>
  <c r="BW1310" i="1"/>
  <c r="BJ1310" i="1"/>
  <c r="BI1310" i="1"/>
  <c r="AE1310" i="1" s="1"/>
  <c r="BD1310" i="1"/>
  <c r="AX1310" i="1"/>
  <c r="AP1310" i="1"/>
  <c r="AO1310" i="1"/>
  <c r="BH1310" i="1" s="1"/>
  <c r="AD1310" i="1" s="1"/>
  <c r="AK1310" i="1"/>
  <c r="AJ1310" i="1"/>
  <c r="AH1310" i="1"/>
  <c r="AG1310" i="1"/>
  <c r="AF1310" i="1"/>
  <c r="AC1310" i="1"/>
  <c r="AB1310" i="1"/>
  <c r="Z1310" i="1"/>
  <c r="O1310" i="1"/>
  <c r="BF1310" i="1" s="1"/>
  <c r="L1310" i="1"/>
  <c r="K1310" i="1"/>
  <c r="J1310" i="1"/>
  <c r="BW1307" i="1"/>
  <c r="BJ1307" i="1"/>
  <c r="BD1307" i="1"/>
  <c r="AP1307" i="1"/>
  <c r="AO1307" i="1"/>
  <c r="AK1307" i="1"/>
  <c r="AJ1307" i="1"/>
  <c r="AH1307" i="1"/>
  <c r="AG1307" i="1"/>
  <c r="AF1307" i="1"/>
  <c r="AC1307" i="1"/>
  <c r="AB1307" i="1"/>
  <c r="Z1307" i="1"/>
  <c r="O1307" i="1"/>
  <c r="BF1307" i="1" s="1"/>
  <c r="L1307" i="1"/>
  <c r="M1307" i="1" s="1"/>
  <c r="BW1293" i="1"/>
  <c r="BJ1293" i="1"/>
  <c r="BD1293" i="1"/>
  <c r="AP1293" i="1"/>
  <c r="AO1293" i="1"/>
  <c r="AW1293" i="1" s="1"/>
  <c r="AK1293" i="1"/>
  <c r="AJ1293" i="1"/>
  <c r="AH1293" i="1"/>
  <c r="AG1293" i="1"/>
  <c r="AF1293" i="1"/>
  <c r="AC1293" i="1"/>
  <c r="AB1293" i="1"/>
  <c r="Z1293" i="1"/>
  <c r="O1293" i="1"/>
  <c r="BF1293" i="1" s="1"/>
  <c r="L1293" i="1"/>
  <c r="AL1293" i="1" s="1"/>
  <c r="BW1278" i="1"/>
  <c r="BJ1278" i="1"/>
  <c r="BD1278" i="1"/>
  <c r="AP1278" i="1"/>
  <c r="BI1278" i="1" s="1"/>
  <c r="AE1278" i="1" s="1"/>
  <c r="AO1278" i="1"/>
  <c r="BH1278" i="1" s="1"/>
  <c r="AD1278" i="1" s="1"/>
  <c r="AK1278" i="1"/>
  <c r="AJ1278" i="1"/>
  <c r="AH1278" i="1"/>
  <c r="AG1278" i="1"/>
  <c r="AF1278" i="1"/>
  <c r="AC1278" i="1"/>
  <c r="AB1278" i="1"/>
  <c r="Z1278" i="1"/>
  <c r="O1278" i="1"/>
  <c r="BF1278" i="1" s="1"/>
  <c r="L1278" i="1"/>
  <c r="K1278" i="1"/>
  <c r="J1278" i="1"/>
  <c r="BW1266" i="1"/>
  <c r="BJ1266" i="1"/>
  <c r="BD1266" i="1"/>
  <c r="AP1266" i="1"/>
  <c r="AX1266" i="1" s="1"/>
  <c r="AO1266" i="1"/>
  <c r="AK1266" i="1"/>
  <c r="AJ1266" i="1"/>
  <c r="AH1266" i="1"/>
  <c r="AG1266" i="1"/>
  <c r="AF1266" i="1"/>
  <c r="AC1266" i="1"/>
  <c r="AB1266" i="1"/>
  <c r="Z1266" i="1"/>
  <c r="O1266" i="1"/>
  <c r="L1266" i="1"/>
  <c r="AL1266" i="1" s="1"/>
  <c r="K1266" i="1"/>
  <c r="BW1264" i="1"/>
  <c r="BJ1264" i="1"/>
  <c r="Z1264" i="1" s="1"/>
  <c r="BI1264" i="1"/>
  <c r="BD1264" i="1"/>
  <c r="AP1264" i="1"/>
  <c r="AX1264" i="1" s="1"/>
  <c r="AO1264" i="1"/>
  <c r="AK1264" i="1"/>
  <c r="AJ1264" i="1"/>
  <c r="AH1264" i="1"/>
  <c r="AG1264" i="1"/>
  <c r="AF1264" i="1"/>
  <c r="AE1264" i="1"/>
  <c r="AD1264" i="1"/>
  <c r="AC1264" i="1"/>
  <c r="AB1264" i="1"/>
  <c r="O1264" i="1"/>
  <c r="BF1264" i="1" s="1"/>
  <c r="L1264" i="1"/>
  <c r="K1264" i="1"/>
  <c r="BW1262" i="1"/>
  <c r="BJ1262" i="1"/>
  <c r="BD1262" i="1"/>
  <c r="AP1262" i="1"/>
  <c r="AO1262" i="1"/>
  <c r="AW1262" i="1" s="1"/>
  <c r="AK1262" i="1"/>
  <c r="AJ1262" i="1"/>
  <c r="AH1262" i="1"/>
  <c r="AG1262" i="1"/>
  <c r="AF1262" i="1"/>
  <c r="AC1262" i="1"/>
  <c r="AB1262" i="1"/>
  <c r="Z1262" i="1"/>
  <c r="O1262" i="1"/>
  <c r="BF1262" i="1" s="1"/>
  <c r="L1262" i="1"/>
  <c r="AL1262" i="1" s="1"/>
  <c r="BW1260" i="1"/>
  <c r="BJ1260" i="1"/>
  <c r="BD1260" i="1"/>
  <c r="AP1260" i="1"/>
  <c r="BI1260" i="1" s="1"/>
  <c r="AE1260" i="1" s="1"/>
  <c r="AO1260" i="1"/>
  <c r="BH1260" i="1" s="1"/>
  <c r="AD1260" i="1" s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K1260" i="1"/>
  <c r="BW1258" i="1"/>
  <c r="BJ1258" i="1"/>
  <c r="BI1258" i="1"/>
  <c r="AE1258" i="1" s="1"/>
  <c r="BF1258" i="1"/>
  <c r="BD1258" i="1"/>
  <c r="AP1258" i="1"/>
  <c r="AX1258" i="1" s="1"/>
  <c r="AO1258" i="1"/>
  <c r="AL1258" i="1"/>
  <c r="AK1258" i="1"/>
  <c r="AJ1258" i="1"/>
  <c r="AH1258" i="1"/>
  <c r="AG1258" i="1"/>
  <c r="AF1258" i="1"/>
  <c r="AC1258" i="1"/>
  <c r="AB1258" i="1"/>
  <c r="Z1258" i="1"/>
  <c r="O1258" i="1"/>
  <c r="L1258" i="1"/>
  <c r="K1258" i="1"/>
  <c r="BW1255" i="1"/>
  <c r="BJ1255" i="1"/>
  <c r="BD1255" i="1"/>
  <c r="AP1255" i="1"/>
  <c r="AO1255" i="1"/>
  <c r="AW1255" i="1" s="1"/>
  <c r="AK1255" i="1"/>
  <c r="AJ1255" i="1"/>
  <c r="AH1255" i="1"/>
  <c r="AG1255" i="1"/>
  <c r="AF1255" i="1"/>
  <c r="AC1255" i="1"/>
  <c r="AB1255" i="1"/>
  <c r="Z1255" i="1"/>
  <c r="O1255" i="1"/>
  <c r="BF1255" i="1" s="1"/>
  <c r="L1255" i="1"/>
  <c r="AL1255" i="1" s="1"/>
  <c r="BW1252" i="1"/>
  <c r="BJ1252" i="1"/>
  <c r="BD1252" i="1"/>
  <c r="AP1252" i="1"/>
  <c r="AX1252" i="1" s="1"/>
  <c r="AO1252" i="1"/>
  <c r="AW1252" i="1" s="1"/>
  <c r="AK1252" i="1"/>
  <c r="AJ1252" i="1"/>
  <c r="AH1252" i="1"/>
  <c r="AG1252" i="1"/>
  <c r="AF1252" i="1"/>
  <c r="AC1252" i="1"/>
  <c r="AB1252" i="1"/>
  <c r="Z1252" i="1"/>
  <c r="O1252" i="1"/>
  <c r="BF1252" i="1" s="1"/>
  <c r="L1252" i="1"/>
  <c r="K1252" i="1"/>
  <c r="J1252" i="1"/>
  <c r="BW1250" i="1"/>
  <c r="BJ1250" i="1"/>
  <c r="BD1250" i="1"/>
  <c r="AP1250" i="1"/>
  <c r="AO1250" i="1"/>
  <c r="AK1250" i="1"/>
  <c r="AJ1250" i="1"/>
  <c r="AH1250" i="1"/>
  <c r="AG1250" i="1"/>
  <c r="AF1250" i="1"/>
  <c r="AC1250" i="1"/>
  <c r="AB1250" i="1"/>
  <c r="Z1250" i="1"/>
  <c r="O1250" i="1"/>
  <c r="BF1250" i="1" s="1"/>
  <c r="L1250" i="1"/>
  <c r="M1250" i="1" s="1"/>
  <c r="K1250" i="1"/>
  <c r="BW1238" i="1"/>
  <c r="BJ1238" i="1"/>
  <c r="BD1238" i="1"/>
  <c r="AP1238" i="1"/>
  <c r="AO1238" i="1"/>
  <c r="AW1238" i="1" s="1"/>
  <c r="AK1238" i="1"/>
  <c r="AJ1238" i="1"/>
  <c r="AH1238" i="1"/>
  <c r="AG1238" i="1"/>
  <c r="AF1238" i="1"/>
  <c r="AC1238" i="1"/>
  <c r="AB1238" i="1"/>
  <c r="Z1238" i="1"/>
  <c r="O1238" i="1"/>
  <c r="BF1238" i="1" s="1"/>
  <c r="L1238" i="1"/>
  <c r="AL1238" i="1" s="1"/>
  <c r="BW1235" i="1"/>
  <c r="BJ1235" i="1"/>
  <c r="BD1235" i="1"/>
  <c r="AP1235" i="1"/>
  <c r="BI1235" i="1" s="1"/>
  <c r="AE1235" i="1" s="1"/>
  <c r="AO1235" i="1"/>
  <c r="BH1235" i="1" s="1"/>
  <c r="AD1235" i="1" s="1"/>
  <c r="AK1235" i="1"/>
  <c r="AJ1235" i="1"/>
  <c r="AH1235" i="1"/>
  <c r="AG1235" i="1"/>
  <c r="AF1235" i="1"/>
  <c r="AC1235" i="1"/>
  <c r="AB1235" i="1"/>
  <c r="Z1235" i="1"/>
  <c r="O1235" i="1"/>
  <c r="BF1235" i="1" s="1"/>
  <c r="L1235" i="1"/>
  <c r="K1235" i="1"/>
  <c r="J1235" i="1"/>
  <c r="BW1224" i="1"/>
  <c r="BJ1224" i="1"/>
  <c r="BD1224" i="1"/>
  <c r="AP1224" i="1"/>
  <c r="AO1224" i="1"/>
  <c r="AW1224" i="1" s="1"/>
  <c r="AK1224" i="1"/>
  <c r="AJ1224" i="1"/>
  <c r="AH1224" i="1"/>
  <c r="AG1224" i="1"/>
  <c r="AF1224" i="1"/>
  <c r="AC1224" i="1"/>
  <c r="AB1224" i="1"/>
  <c r="Z1224" i="1"/>
  <c r="O1224" i="1"/>
  <c r="BF1224" i="1" s="1"/>
  <c r="L1224" i="1"/>
  <c r="AL1224" i="1" s="1"/>
  <c r="BW1212" i="1"/>
  <c r="BJ1212" i="1"/>
  <c r="BD1212" i="1"/>
  <c r="AP1212" i="1"/>
  <c r="AO1212" i="1"/>
  <c r="AK1212" i="1"/>
  <c r="AJ1212" i="1"/>
  <c r="AH1212" i="1"/>
  <c r="AG1212" i="1"/>
  <c r="AF1212" i="1"/>
  <c r="AC1212" i="1"/>
  <c r="AB1212" i="1"/>
  <c r="Z1212" i="1"/>
  <c r="O1212" i="1"/>
  <c r="BF1212" i="1" s="1"/>
  <c r="L1212" i="1"/>
  <c r="AL1212" i="1" s="1"/>
  <c r="BW1201" i="1"/>
  <c r="BJ1201" i="1"/>
  <c r="BD1201" i="1"/>
  <c r="AX1201" i="1"/>
  <c r="AP1201" i="1"/>
  <c r="BI1201" i="1" s="1"/>
  <c r="AE1201" i="1" s="1"/>
  <c r="AO1201" i="1"/>
  <c r="BH1201" i="1" s="1"/>
  <c r="AD1201" i="1" s="1"/>
  <c r="AK1201" i="1"/>
  <c r="AJ1201" i="1"/>
  <c r="AH1201" i="1"/>
  <c r="AG1201" i="1"/>
  <c r="AF1201" i="1"/>
  <c r="AC1201" i="1"/>
  <c r="AB1201" i="1"/>
  <c r="Z1201" i="1"/>
  <c r="O1201" i="1"/>
  <c r="BF1201" i="1" s="1"/>
  <c r="L1201" i="1"/>
  <c r="K1201" i="1"/>
  <c r="J1201" i="1"/>
  <c r="BW1198" i="1"/>
  <c r="BJ1198" i="1"/>
  <c r="BD1198" i="1"/>
  <c r="AP1198" i="1"/>
  <c r="AX1198" i="1" s="1"/>
  <c r="AO1198" i="1"/>
  <c r="AW1198" i="1" s="1"/>
  <c r="AK1198" i="1"/>
  <c r="AJ1198" i="1"/>
  <c r="AH1198" i="1"/>
  <c r="AG1198" i="1"/>
  <c r="AF1198" i="1"/>
  <c r="AC1198" i="1"/>
  <c r="AB1198" i="1"/>
  <c r="Z1198" i="1"/>
  <c r="O1198" i="1"/>
  <c r="BF1198" i="1" s="1"/>
  <c r="M1198" i="1"/>
  <c r="L1198" i="1"/>
  <c r="AL1198" i="1" s="1"/>
  <c r="BW1195" i="1"/>
  <c r="BJ1195" i="1"/>
  <c r="BD1195" i="1"/>
  <c r="AP1195" i="1"/>
  <c r="AO1195" i="1"/>
  <c r="AK1195" i="1"/>
  <c r="AJ1195" i="1"/>
  <c r="AH1195" i="1"/>
  <c r="AG1195" i="1"/>
  <c r="AF1195" i="1"/>
  <c r="AC1195" i="1"/>
  <c r="AB1195" i="1"/>
  <c r="Z1195" i="1"/>
  <c r="O1195" i="1"/>
  <c r="BF1195" i="1" s="1"/>
  <c r="L1195" i="1"/>
  <c r="AL1195" i="1" s="1"/>
  <c r="BW1188" i="1"/>
  <c r="BJ1188" i="1"/>
  <c r="BD1188" i="1"/>
  <c r="AP1188" i="1"/>
  <c r="BI1188" i="1" s="1"/>
  <c r="AE1188" i="1" s="1"/>
  <c r="AO1188" i="1"/>
  <c r="AW1188" i="1" s="1"/>
  <c r="AK1188" i="1"/>
  <c r="AJ1188" i="1"/>
  <c r="AH1188" i="1"/>
  <c r="AG1188" i="1"/>
  <c r="AF1188" i="1"/>
  <c r="AC1188" i="1"/>
  <c r="AB1188" i="1"/>
  <c r="Z1188" i="1"/>
  <c r="O1188" i="1"/>
  <c r="BF1188" i="1" s="1"/>
  <c r="L1188" i="1"/>
  <c r="K1188" i="1"/>
  <c r="J1188" i="1"/>
  <c r="BW1181" i="1"/>
  <c r="BJ1181" i="1"/>
  <c r="BD1181" i="1"/>
  <c r="AP1181" i="1"/>
  <c r="AO1181" i="1"/>
  <c r="AK1181" i="1"/>
  <c r="AJ1181" i="1"/>
  <c r="AH1181" i="1"/>
  <c r="AG1181" i="1"/>
  <c r="AF1181" i="1"/>
  <c r="AC1181" i="1"/>
  <c r="AB1181" i="1"/>
  <c r="Z1181" i="1"/>
  <c r="O1181" i="1"/>
  <c r="BF1181" i="1" s="1"/>
  <c r="L1181" i="1"/>
  <c r="BW1175" i="1"/>
  <c r="BJ1175" i="1"/>
  <c r="BD1175" i="1"/>
  <c r="AP1175" i="1"/>
  <c r="K1175" i="1" s="1"/>
  <c r="AO1175" i="1"/>
  <c r="AK1175" i="1"/>
  <c r="AJ1175" i="1"/>
  <c r="AH1175" i="1"/>
  <c r="AG1175" i="1"/>
  <c r="AF1175" i="1"/>
  <c r="AC1175" i="1"/>
  <c r="AB1175" i="1"/>
  <c r="Z1175" i="1"/>
  <c r="O1175" i="1"/>
  <c r="L1175" i="1"/>
  <c r="AL1175" i="1" s="1"/>
  <c r="BW1172" i="1"/>
  <c r="BJ1172" i="1"/>
  <c r="Z1172" i="1" s="1"/>
  <c r="BD1172" i="1"/>
  <c r="AP1172" i="1"/>
  <c r="K1172" i="1" s="1"/>
  <c r="K1171" i="1" s="1"/>
  <c r="E34" i="2" s="1"/>
  <c r="AO1172" i="1"/>
  <c r="AK1172" i="1"/>
  <c r="AT1171" i="1" s="1"/>
  <c r="AJ1172" i="1"/>
  <c r="AS1171" i="1" s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AU1171" i="1" s="1"/>
  <c r="J1172" i="1"/>
  <c r="J1171" i="1" s="1"/>
  <c r="D34" i="2" s="1"/>
  <c r="BW1170" i="1"/>
  <c r="BJ1170" i="1"/>
  <c r="Z1170" i="1" s="1"/>
  <c r="BD1170" i="1"/>
  <c r="AP1170" i="1"/>
  <c r="BI1170" i="1" s="1"/>
  <c r="AO1170" i="1"/>
  <c r="J1170" i="1" s="1"/>
  <c r="AK1170" i="1"/>
  <c r="AJ1170" i="1"/>
  <c r="AH1170" i="1"/>
  <c r="AG1170" i="1"/>
  <c r="AF1170" i="1"/>
  <c r="AE1170" i="1"/>
  <c r="AD1170" i="1"/>
  <c r="AC1170" i="1"/>
  <c r="AB1170" i="1"/>
  <c r="O1170" i="1"/>
  <c r="BF1170" i="1" s="1"/>
  <c r="L1170" i="1"/>
  <c r="AL1170" i="1" s="1"/>
  <c r="K1170" i="1"/>
  <c r="BW1169" i="1"/>
  <c r="BJ1169" i="1"/>
  <c r="Z1169" i="1" s="1"/>
  <c r="BD1169" i="1"/>
  <c r="AP1169" i="1"/>
  <c r="AX1169" i="1" s="1"/>
  <c r="AO1169" i="1"/>
  <c r="AW1169" i="1" s="1"/>
  <c r="AK1169" i="1"/>
  <c r="AJ1169" i="1"/>
  <c r="AH1169" i="1"/>
  <c r="AG1169" i="1"/>
  <c r="AF1169" i="1"/>
  <c r="AE1169" i="1"/>
  <c r="AD1169" i="1"/>
  <c r="AC1169" i="1"/>
  <c r="AB1169" i="1"/>
  <c r="O1169" i="1"/>
  <c r="BF1169" i="1" s="1"/>
  <c r="L1169" i="1"/>
  <c r="BW1168" i="1"/>
  <c r="BJ1168" i="1"/>
  <c r="Z1168" i="1" s="1"/>
  <c r="BD1168" i="1"/>
  <c r="AP1168" i="1"/>
  <c r="AX1168" i="1" s="1"/>
  <c r="AO1168" i="1"/>
  <c r="AK1168" i="1"/>
  <c r="AJ1168" i="1"/>
  <c r="AH1168" i="1"/>
  <c r="AG1168" i="1"/>
  <c r="AF1168" i="1"/>
  <c r="AE1168" i="1"/>
  <c r="AD1168" i="1"/>
  <c r="AC1168" i="1"/>
  <c r="AB1168" i="1"/>
  <c r="O1168" i="1"/>
  <c r="BF1168" i="1" s="1"/>
  <c r="L1168" i="1"/>
  <c r="M1168" i="1" s="1"/>
  <c r="BW1167" i="1"/>
  <c r="BJ1167" i="1"/>
  <c r="Z1167" i="1" s="1"/>
  <c r="BD1167" i="1"/>
  <c r="AP1167" i="1"/>
  <c r="K1167" i="1" s="1"/>
  <c r="AO1167" i="1"/>
  <c r="AW1167" i="1" s="1"/>
  <c r="AK1167" i="1"/>
  <c r="AJ1167" i="1"/>
  <c r="AH1167" i="1"/>
  <c r="AG1167" i="1"/>
  <c r="AF1167" i="1"/>
  <c r="AE1167" i="1"/>
  <c r="AD1167" i="1"/>
  <c r="AC1167" i="1"/>
  <c r="AB1167" i="1"/>
  <c r="O1167" i="1"/>
  <c r="BF1167" i="1" s="1"/>
  <c r="L1167" i="1"/>
  <c r="AL1167" i="1" s="1"/>
  <c r="BW1164" i="1"/>
  <c r="BJ1164" i="1"/>
  <c r="BD1164" i="1"/>
  <c r="AP1164" i="1"/>
  <c r="AO1164" i="1"/>
  <c r="J1164" i="1" s="1"/>
  <c r="AK1164" i="1"/>
  <c r="AJ1164" i="1"/>
  <c r="AH1164" i="1"/>
  <c r="AG1164" i="1"/>
  <c r="AF1164" i="1"/>
  <c r="AE1164" i="1"/>
  <c r="AD1164" i="1"/>
  <c r="Z1164" i="1"/>
  <c r="O1164" i="1"/>
  <c r="BF1164" i="1" s="1"/>
  <c r="L1164" i="1"/>
  <c r="AL1164" i="1" s="1"/>
  <c r="BW1161" i="1"/>
  <c r="BJ1161" i="1"/>
  <c r="BH1161" i="1"/>
  <c r="AB1161" i="1" s="1"/>
  <c r="BD1161" i="1"/>
  <c r="AW1161" i="1"/>
  <c r="AP1161" i="1"/>
  <c r="AX1161" i="1" s="1"/>
  <c r="AO1161" i="1"/>
  <c r="AK1161" i="1"/>
  <c r="AJ1161" i="1"/>
  <c r="AH1161" i="1"/>
  <c r="AG1161" i="1"/>
  <c r="AF1161" i="1"/>
  <c r="AE1161" i="1"/>
  <c r="AD1161" i="1"/>
  <c r="Z1161" i="1"/>
  <c r="O1161" i="1"/>
  <c r="BF1161" i="1" s="1"/>
  <c r="L1161" i="1"/>
  <c r="J1161" i="1"/>
  <c r="BW1158" i="1"/>
  <c r="BJ1158" i="1"/>
  <c r="BD1158" i="1"/>
  <c r="AP1158" i="1"/>
  <c r="AX1158" i="1" s="1"/>
  <c r="AO1158" i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6" i="1"/>
  <c r="BJ1156" i="1"/>
  <c r="BD1156" i="1"/>
  <c r="AP1156" i="1"/>
  <c r="AO1156" i="1"/>
  <c r="AK1156" i="1"/>
  <c r="AJ1156" i="1"/>
  <c r="AH1156" i="1"/>
  <c r="AG1156" i="1"/>
  <c r="AF1156" i="1"/>
  <c r="AE1156" i="1"/>
  <c r="AD1156" i="1"/>
  <c r="Z1156" i="1"/>
  <c r="O1156" i="1"/>
  <c r="BF1156" i="1" s="1"/>
  <c r="L1156" i="1"/>
  <c r="BW1154" i="1"/>
  <c r="BJ1154" i="1"/>
  <c r="BD1154" i="1"/>
  <c r="AP1154" i="1"/>
  <c r="BI1154" i="1" s="1"/>
  <c r="AC1154" i="1" s="1"/>
  <c r="AO1154" i="1"/>
  <c r="J1154" i="1" s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AL1154" i="1" s="1"/>
  <c r="BW1150" i="1"/>
  <c r="BJ1150" i="1"/>
  <c r="BD1150" i="1"/>
  <c r="AP1150" i="1"/>
  <c r="AX1150" i="1" s="1"/>
  <c r="AO1150" i="1"/>
  <c r="AK1150" i="1"/>
  <c r="AJ1150" i="1"/>
  <c r="AH1150" i="1"/>
  <c r="AG1150" i="1"/>
  <c r="AF1150" i="1"/>
  <c r="AE1150" i="1"/>
  <c r="AD1150" i="1"/>
  <c r="Z1150" i="1"/>
  <c r="O1150" i="1"/>
  <c r="BF1150" i="1" s="1"/>
  <c r="L1150" i="1"/>
  <c r="BW1147" i="1"/>
  <c r="M1147" i="1" s="1"/>
  <c r="BJ1147" i="1"/>
  <c r="BD1147" i="1"/>
  <c r="AP1147" i="1"/>
  <c r="AX1147" i="1" s="1"/>
  <c r="AO1147" i="1"/>
  <c r="AK1147" i="1"/>
  <c r="AJ1147" i="1"/>
  <c r="AH1147" i="1"/>
  <c r="AG1147" i="1"/>
  <c r="AF1147" i="1"/>
  <c r="AE1147" i="1"/>
  <c r="AD1147" i="1"/>
  <c r="Z1147" i="1"/>
  <c r="O1147" i="1"/>
  <c r="BF1147" i="1" s="1"/>
  <c r="L1147" i="1"/>
  <c r="AL1147" i="1" s="1"/>
  <c r="BW1144" i="1"/>
  <c r="BJ1144" i="1"/>
  <c r="BD1144" i="1"/>
  <c r="AP1144" i="1"/>
  <c r="BI1144" i="1" s="1"/>
  <c r="AC1144" i="1" s="1"/>
  <c r="AO1144" i="1"/>
  <c r="BH1144" i="1" s="1"/>
  <c r="AB1144" i="1" s="1"/>
  <c r="AK1144" i="1"/>
  <c r="AJ1144" i="1"/>
  <c r="AH1144" i="1"/>
  <c r="AG1144" i="1"/>
  <c r="AF1144" i="1"/>
  <c r="AE1144" i="1"/>
  <c r="AD1144" i="1"/>
  <c r="Z1144" i="1"/>
  <c r="O1144" i="1"/>
  <c r="BF1144" i="1" s="1"/>
  <c r="L1144" i="1"/>
  <c r="AL1144" i="1" s="1"/>
  <c r="K1144" i="1"/>
  <c r="BW1141" i="1"/>
  <c r="BJ1141" i="1"/>
  <c r="BD1141" i="1"/>
  <c r="AP1141" i="1"/>
  <c r="AX1141" i="1" s="1"/>
  <c r="AO1141" i="1"/>
  <c r="BH1141" i="1" s="1"/>
  <c r="AB1141" i="1" s="1"/>
  <c r="AK1141" i="1"/>
  <c r="AJ1141" i="1"/>
  <c r="AH1141" i="1"/>
  <c r="AG1141" i="1"/>
  <c r="AF1141" i="1"/>
  <c r="AE1141" i="1"/>
  <c r="AD1141" i="1"/>
  <c r="Z1141" i="1"/>
  <c r="O1141" i="1"/>
  <c r="BF1141" i="1" s="1"/>
  <c r="L1141" i="1"/>
  <c r="K1141" i="1"/>
  <c r="J1141" i="1"/>
  <c r="BW1134" i="1"/>
  <c r="BJ1134" i="1"/>
  <c r="BD1134" i="1"/>
  <c r="AP1134" i="1"/>
  <c r="AX1134" i="1" s="1"/>
  <c r="AO1134" i="1"/>
  <c r="AK1134" i="1"/>
  <c r="AJ1134" i="1"/>
  <c r="AH1134" i="1"/>
  <c r="AG1134" i="1"/>
  <c r="AF1134" i="1"/>
  <c r="AE1134" i="1"/>
  <c r="AD1134" i="1"/>
  <c r="Z1134" i="1"/>
  <c r="O1134" i="1"/>
  <c r="BF1134" i="1" s="1"/>
  <c r="L1134" i="1"/>
  <c r="BW1133" i="1"/>
  <c r="BJ1133" i="1"/>
  <c r="BD1133" i="1"/>
  <c r="AP1133" i="1"/>
  <c r="BI1133" i="1" s="1"/>
  <c r="AC1133" i="1" s="1"/>
  <c r="AO1133" i="1"/>
  <c r="BH1133" i="1" s="1"/>
  <c r="AB1133" i="1" s="1"/>
  <c r="AK1133" i="1"/>
  <c r="AJ1133" i="1"/>
  <c r="AH1133" i="1"/>
  <c r="AG1133" i="1"/>
  <c r="AF1133" i="1"/>
  <c r="AE1133" i="1"/>
  <c r="AD1133" i="1"/>
  <c r="Z1133" i="1"/>
  <c r="O1133" i="1"/>
  <c r="BF1133" i="1" s="1"/>
  <c r="L1133" i="1"/>
  <c r="K1133" i="1"/>
  <c r="BW1132" i="1"/>
  <c r="BJ1132" i="1"/>
  <c r="BD1132" i="1"/>
  <c r="AP1132" i="1"/>
  <c r="AX1132" i="1" s="1"/>
  <c r="AO1132" i="1"/>
  <c r="AK1132" i="1"/>
  <c r="AJ1132" i="1"/>
  <c r="AH1132" i="1"/>
  <c r="AG1132" i="1"/>
  <c r="AF1132" i="1"/>
  <c r="AE1132" i="1"/>
  <c r="AD1132" i="1"/>
  <c r="Z1132" i="1"/>
  <c r="O1132" i="1"/>
  <c r="BF1132" i="1" s="1"/>
  <c r="L1132" i="1"/>
  <c r="K1132" i="1"/>
  <c r="BW1130" i="1"/>
  <c r="BJ1130" i="1"/>
  <c r="BD1130" i="1"/>
  <c r="AP1130" i="1"/>
  <c r="AO1130" i="1"/>
  <c r="AK1130" i="1"/>
  <c r="AJ1130" i="1"/>
  <c r="AH1130" i="1"/>
  <c r="AG1130" i="1"/>
  <c r="AF1130" i="1"/>
  <c r="AE1130" i="1"/>
  <c r="AD1130" i="1"/>
  <c r="Z1130" i="1"/>
  <c r="O1130" i="1"/>
  <c r="L1130" i="1"/>
  <c r="AL1130" i="1" s="1"/>
  <c r="BW1117" i="1"/>
  <c r="BJ1117" i="1"/>
  <c r="BD1117" i="1"/>
  <c r="AP1117" i="1"/>
  <c r="AX1117" i="1" s="1"/>
  <c r="AO1117" i="1"/>
  <c r="AK1117" i="1"/>
  <c r="AJ1117" i="1"/>
  <c r="AH1117" i="1"/>
  <c r="AG1117" i="1"/>
  <c r="AF1117" i="1"/>
  <c r="AE1117" i="1"/>
  <c r="AD1117" i="1"/>
  <c r="Z1117" i="1"/>
  <c r="O1117" i="1"/>
  <c r="BF1117" i="1" s="1"/>
  <c r="L1117" i="1"/>
  <c r="BW1102" i="1"/>
  <c r="BJ1102" i="1"/>
  <c r="BD1102" i="1"/>
  <c r="AP1102" i="1"/>
  <c r="K1102" i="1" s="1"/>
  <c r="AO1102" i="1"/>
  <c r="J1102" i="1" s="1"/>
  <c r="AK1102" i="1"/>
  <c r="AJ1102" i="1"/>
  <c r="AH1102" i="1"/>
  <c r="AG1102" i="1"/>
  <c r="AF1102" i="1"/>
  <c r="AE1102" i="1"/>
  <c r="AD1102" i="1"/>
  <c r="Z1102" i="1"/>
  <c r="O1102" i="1"/>
  <c r="BF1102" i="1" s="1"/>
  <c r="L1102" i="1"/>
  <c r="AL1102" i="1" s="1"/>
  <c r="BW1097" i="1"/>
  <c r="BJ1097" i="1"/>
  <c r="BD1097" i="1"/>
  <c r="AP1097" i="1"/>
  <c r="K1097" i="1" s="1"/>
  <c r="AO1097" i="1"/>
  <c r="AK1097" i="1"/>
  <c r="AJ1097" i="1"/>
  <c r="AH1097" i="1"/>
  <c r="AG1097" i="1"/>
  <c r="AF1097" i="1"/>
  <c r="AE1097" i="1"/>
  <c r="AD1097" i="1"/>
  <c r="Z1097" i="1"/>
  <c r="O1097" i="1"/>
  <c r="BF1097" i="1" s="1"/>
  <c r="L1097" i="1"/>
  <c r="AL1097" i="1" s="1"/>
  <c r="J1097" i="1"/>
  <c r="BW1090" i="1"/>
  <c r="BJ1090" i="1"/>
  <c r="BD1090" i="1"/>
  <c r="AP1090" i="1"/>
  <c r="AX1090" i="1" s="1"/>
  <c r="AO1090" i="1"/>
  <c r="BH1090" i="1" s="1"/>
  <c r="AB1090" i="1" s="1"/>
  <c r="AK1090" i="1"/>
  <c r="AJ1090" i="1"/>
  <c r="AH1090" i="1"/>
  <c r="AG1090" i="1"/>
  <c r="AF1090" i="1"/>
  <c r="AE1090" i="1"/>
  <c r="AD1090" i="1"/>
  <c r="Z1090" i="1"/>
  <c r="O1090" i="1"/>
  <c r="BF1090" i="1" s="1"/>
  <c r="L1090" i="1"/>
  <c r="BW1079" i="1"/>
  <c r="BJ1079" i="1"/>
  <c r="BD1079" i="1"/>
  <c r="AP1079" i="1"/>
  <c r="BI1079" i="1" s="1"/>
  <c r="AC1079" i="1" s="1"/>
  <c r="AO1079" i="1"/>
  <c r="AK1079" i="1"/>
  <c r="AJ1079" i="1"/>
  <c r="AH1079" i="1"/>
  <c r="AG1079" i="1"/>
  <c r="AF1079" i="1"/>
  <c r="AE1079" i="1"/>
  <c r="AD1079" i="1"/>
  <c r="Z1079" i="1"/>
  <c r="O1079" i="1"/>
  <c r="BF1079" i="1" s="1"/>
  <c r="L1079" i="1"/>
  <c r="AL1079" i="1" s="1"/>
  <c r="K1079" i="1"/>
  <c r="BW1072" i="1"/>
  <c r="BJ1072" i="1"/>
  <c r="BD1072" i="1"/>
  <c r="AP1072" i="1"/>
  <c r="BI1072" i="1" s="1"/>
  <c r="AC1072" i="1" s="1"/>
  <c r="AO1072" i="1"/>
  <c r="J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70" i="1"/>
  <c r="BJ1070" i="1"/>
  <c r="BD1070" i="1"/>
  <c r="AP1070" i="1"/>
  <c r="AX1070" i="1" s="1"/>
  <c r="AO1070" i="1"/>
  <c r="AW1070" i="1" s="1"/>
  <c r="AK1070" i="1"/>
  <c r="AJ1070" i="1"/>
  <c r="AH1070" i="1"/>
  <c r="AG1070" i="1"/>
  <c r="AF1070" i="1"/>
  <c r="AE1070" i="1"/>
  <c r="AD1070" i="1"/>
  <c r="Z1070" i="1"/>
  <c r="O1070" i="1"/>
  <c r="BF1070" i="1" s="1"/>
  <c r="L1070" i="1"/>
  <c r="BW1061" i="1"/>
  <c r="BJ1061" i="1"/>
  <c r="BD1061" i="1"/>
  <c r="AP1061" i="1"/>
  <c r="AX1061" i="1" s="1"/>
  <c r="AO1061" i="1"/>
  <c r="AK1061" i="1"/>
  <c r="AJ1061" i="1"/>
  <c r="AH1061" i="1"/>
  <c r="AG1061" i="1"/>
  <c r="AF1061" i="1"/>
  <c r="AE1061" i="1"/>
  <c r="AD1061" i="1"/>
  <c r="Z1061" i="1"/>
  <c r="O1061" i="1"/>
  <c r="BF1061" i="1" s="1"/>
  <c r="L1061" i="1"/>
  <c r="AL1061" i="1" s="1"/>
  <c r="BW1060" i="1"/>
  <c r="BJ1060" i="1"/>
  <c r="BD1060" i="1"/>
  <c r="AP1060" i="1"/>
  <c r="AX1060" i="1" s="1"/>
  <c r="AO1060" i="1"/>
  <c r="AK1060" i="1"/>
  <c r="AJ1060" i="1"/>
  <c r="AH1060" i="1"/>
  <c r="AG1060" i="1"/>
  <c r="AF1060" i="1"/>
  <c r="AE1060" i="1"/>
  <c r="AD1060" i="1"/>
  <c r="Z1060" i="1"/>
  <c r="O1060" i="1"/>
  <c r="BF1060" i="1" s="1"/>
  <c r="L1060" i="1"/>
  <c r="M1060" i="1" s="1"/>
  <c r="BW1056" i="1"/>
  <c r="BJ1056" i="1"/>
  <c r="BD1056" i="1"/>
  <c r="AP1056" i="1"/>
  <c r="AX1056" i="1" s="1"/>
  <c r="AO1056" i="1"/>
  <c r="AK1056" i="1"/>
  <c r="AJ1056" i="1"/>
  <c r="AH1056" i="1"/>
  <c r="AG1056" i="1"/>
  <c r="AF1056" i="1"/>
  <c r="AE1056" i="1"/>
  <c r="AD1056" i="1"/>
  <c r="Z1056" i="1"/>
  <c r="O1056" i="1"/>
  <c r="BF1056" i="1" s="1"/>
  <c r="L1056" i="1"/>
  <c r="AL1056" i="1" s="1"/>
  <c r="BW1048" i="1"/>
  <c r="BJ1048" i="1"/>
  <c r="BD1048" i="1"/>
  <c r="AW1048" i="1"/>
  <c r="AP1048" i="1"/>
  <c r="AX1048" i="1" s="1"/>
  <c r="AO1048" i="1"/>
  <c r="J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47" i="1"/>
  <c r="BJ1047" i="1"/>
  <c r="BD1047" i="1"/>
  <c r="AP1047" i="1"/>
  <c r="AX1047" i="1" s="1"/>
  <c r="AO1047" i="1"/>
  <c r="AW1047" i="1" s="1"/>
  <c r="AK1047" i="1"/>
  <c r="AJ1047" i="1"/>
  <c r="AH1047" i="1"/>
  <c r="AG1047" i="1"/>
  <c r="AF1047" i="1"/>
  <c r="AE1047" i="1"/>
  <c r="AD1047" i="1"/>
  <c r="Z1047" i="1"/>
  <c r="O1047" i="1"/>
  <c r="BF1047" i="1" s="1"/>
  <c r="L1047" i="1"/>
  <c r="AL1047" i="1" s="1"/>
  <c r="J1047" i="1"/>
  <c r="BW1046" i="1"/>
  <c r="BJ1046" i="1"/>
  <c r="BD1046" i="1"/>
  <c r="AP1046" i="1"/>
  <c r="BI1046" i="1" s="1"/>
  <c r="AC1046" i="1" s="1"/>
  <c r="AO1046" i="1"/>
  <c r="AK1046" i="1"/>
  <c r="AJ1046" i="1"/>
  <c r="AH1046" i="1"/>
  <c r="AG1046" i="1"/>
  <c r="AF1046" i="1"/>
  <c r="AE1046" i="1"/>
  <c r="AD1046" i="1"/>
  <c r="Z1046" i="1"/>
  <c r="O1046" i="1"/>
  <c r="BF1046" i="1" s="1"/>
  <c r="L1046" i="1"/>
  <c r="AL1046" i="1" s="1"/>
  <c r="BW1035" i="1"/>
  <c r="BJ1035" i="1"/>
  <c r="BD1035" i="1"/>
  <c r="AP1035" i="1"/>
  <c r="AO1035" i="1"/>
  <c r="AW1035" i="1" s="1"/>
  <c r="AK1035" i="1"/>
  <c r="AJ1035" i="1"/>
  <c r="AH1035" i="1"/>
  <c r="AG1035" i="1"/>
  <c r="AF1035" i="1"/>
  <c r="AE1035" i="1"/>
  <c r="AD1035" i="1"/>
  <c r="Z1035" i="1"/>
  <c r="O1035" i="1"/>
  <c r="BF1035" i="1" s="1"/>
  <c r="L1035" i="1"/>
  <c r="AL1035" i="1" s="1"/>
  <c r="K1035" i="1"/>
  <c r="BW1021" i="1"/>
  <c r="BJ1021" i="1"/>
  <c r="BD1021" i="1"/>
  <c r="AP1021" i="1"/>
  <c r="AX1021" i="1" s="1"/>
  <c r="AO1021" i="1"/>
  <c r="AW1021" i="1" s="1"/>
  <c r="AK1021" i="1"/>
  <c r="AJ1021" i="1"/>
  <c r="AH1021" i="1"/>
  <c r="AG1021" i="1"/>
  <c r="AF1021" i="1"/>
  <c r="AE1021" i="1"/>
  <c r="AD1021" i="1"/>
  <c r="Z1021" i="1"/>
  <c r="O1021" i="1"/>
  <c r="BF1021" i="1" s="1"/>
  <c r="L1021" i="1"/>
  <c r="AL1021" i="1" s="1"/>
  <c r="J1021" i="1"/>
  <c r="BW1007" i="1"/>
  <c r="BJ1007" i="1"/>
  <c r="BD1007" i="1"/>
  <c r="AP1007" i="1"/>
  <c r="BI1007" i="1" s="1"/>
  <c r="AC1007" i="1" s="1"/>
  <c r="AO1007" i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BI999" i="1" s="1"/>
  <c r="AC999" i="1" s="1"/>
  <c r="AO999" i="1"/>
  <c r="AW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K999" i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K970" i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L962" i="1"/>
  <c r="AK962" i="1"/>
  <c r="AJ962" i="1"/>
  <c r="AH962" i="1"/>
  <c r="AG962" i="1"/>
  <c r="AF962" i="1"/>
  <c r="AE962" i="1"/>
  <c r="AD962" i="1"/>
  <c r="Z962" i="1"/>
  <c r="O962" i="1"/>
  <c r="BF962" i="1" s="1"/>
  <c r="L962" i="1"/>
  <c r="BW958" i="1"/>
  <c r="BJ958" i="1"/>
  <c r="BD958" i="1"/>
  <c r="AW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K945" i="1"/>
  <c r="BW941" i="1"/>
  <c r="BJ941" i="1"/>
  <c r="BH941" i="1"/>
  <c r="AB941" i="1" s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I906" i="1"/>
  <c r="AC906" i="1" s="1"/>
  <c r="BD906" i="1"/>
  <c r="AP906" i="1"/>
  <c r="AX906" i="1" s="1"/>
  <c r="AO906" i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K906" i="1"/>
  <c r="J906" i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J903" i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H896" i="1"/>
  <c r="AB896" i="1" s="1"/>
  <c r="BD896" i="1"/>
  <c r="AW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K882" i="1"/>
  <c r="J882" i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M859" i="1" s="1"/>
  <c r="J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L701" i="1"/>
  <c r="AK701" i="1"/>
  <c r="AJ701" i="1"/>
  <c r="AH701" i="1"/>
  <c r="AG701" i="1"/>
  <c r="AF701" i="1"/>
  <c r="AE701" i="1"/>
  <c r="AD701" i="1"/>
  <c r="Z701" i="1"/>
  <c r="O701" i="1"/>
  <c r="BF701" i="1" s="1"/>
  <c r="L701" i="1"/>
  <c r="J701" i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J693" i="1"/>
  <c r="BW691" i="1"/>
  <c r="BJ691" i="1"/>
  <c r="BF691" i="1"/>
  <c r="BD691" i="1"/>
  <c r="AP691" i="1"/>
  <c r="AX691" i="1" s="1"/>
  <c r="AO691" i="1"/>
  <c r="AW691" i="1" s="1"/>
  <c r="AL691" i="1"/>
  <c r="AK691" i="1"/>
  <c r="AJ691" i="1"/>
  <c r="AH691" i="1"/>
  <c r="AG691" i="1"/>
  <c r="AF691" i="1"/>
  <c r="AE691" i="1"/>
  <c r="AD691" i="1"/>
  <c r="Z691" i="1"/>
  <c r="O691" i="1"/>
  <c r="L691" i="1"/>
  <c r="J691" i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J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AS684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J665" i="1"/>
  <c r="J664" i="1" s="1"/>
  <c r="D24" i="2" s="1"/>
  <c r="BW658" i="1"/>
  <c r="BJ658" i="1"/>
  <c r="BD658" i="1"/>
  <c r="AP658" i="1"/>
  <c r="AX658" i="1" s="1"/>
  <c r="AV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M651" i="1" s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J651" i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M650" i="1" s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K640" i="1"/>
  <c r="J640" i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J623" i="1"/>
  <c r="BW584" i="1"/>
  <c r="BJ584" i="1"/>
  <c r="BD584" i="1"/>
  <c r="AX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K584" i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K548" i="1"/>
  <c r="BW542" i="1"/>
  <c r="BJ542" i="1"/>
  <c r="BD542" i="1"/>
  <c r="AP542" i="1"/>
  <c r="AO542" i="1"/>
  <c r="AL542" i="1"/>
  <c r="AK542" i="1"/>
  <c r="AJ542" i="1"/>
  <c r="AH542" i="1"/>
  <c r="AG542" i="1"/>
  <c r="AF542" i="1"/>
  <c r="AE542" i="1"/>
  <c r="AD542" i="1"/>
  <c r="Z542" i="1"/>
  <c r="O542" i="1"/>
  <c r="BF542" i="1" s="1"/>
  <c r="L542" i="1"/>
  <c r="J542" i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W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J532" i="1"/>
  <c r="BW528" i="1"/>
  <c r="BJ528" i="1"/>
  <c r="BD528" i="1"/>
  <c r="AP528" i="1"/>
  <c r="AO528" i="1"/>
  <c r="AL528" i="1"/>
  <c r="AK528" i="1"/>
  <c r="AJ528" i="1"/>
  <c r="AH528" i="1"/>
  <c r="AG528" i="1"/>
  <c r="AF528" i="1"/>
  <c r="AE528" i="1"/>
  <c r="AD528" i="1"/>
  <c r="Z528" i="1"/>
  <c r="O528" i="1"/>
  <c r="BF528" i="1" s="1"/>
  <c r="L528" i="1"/>
  <c r="J528" i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X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K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J510" i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W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J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K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K460" i="1"/>
  <c r="BW452" i="1"/>
  <c r="BJ452" i="1"/>
  <c r="BD452" i="1"/>
  <c r="AW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J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K443" i="1"/>
  <c r="J443" i="1"/>
  <c r="BW440" i="1"/>
  <c r="BJ440" i="1"/>
  <c r="BD440" i="1"/>
  <c r="AP440" i="1"/>
  <c r="AO440" i="1"/>
  <c r="J440" i="1" s="1"/>
  <c r="AL440" i="1"/>
  <c r="AK440" i="1"/>
  <c r="AJ440" i="1"/>
  <c r="AH440" i="1"/>
  <c r="AG440" i="1"/>
  <c r="AF440" i="1"/>
  <c r="AE440" i="1"/>
  <c r="AD440" i="1"/>
  <c r="Z440" i="1"/>
  <c r="O440" i="1"/>
  <c r="BF440" i="1" s="1"/>
  <c r="L440" i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J429" i="1"/>
  <c r="BW420" i="1"/>
  <c r="BJ420" i="1"/>
  <c r="BI420" i="1"/>
  <c r="AC420" i="1" s="1"/>
  <c r="BD420" i="1"/>
  <c r="AX420" i="1"/>
  <c r="AP420" i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K420" i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K413" i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K384" i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J364" i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W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K349" i="1"/>
  <c r="J349" i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I336" i="1"/>
  <c r="AC336" i="1" s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K336" i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J284" i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W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K269" i="1"/>
  <c r="J269" i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K247" i="1"/>
  <c r="J247" i="1"/>
  <c r="BW236" i="1"/>
  <c r="BJ236" i="1"/>
  <c r="BI236" i="1"/>
  <c r="AC236" i="1" s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K236" i="1"/>
  <c r="J236" i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H217" i="1"/>
  <c r="AB217" i="1" s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K217" i="1"/>
  <c r="J217" i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J213" i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K212" i="1"/>
  <c r="J212" i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H202" i="1"/>
  <c r="AB202" i="1" s="1"/>
  <c r="BD202" i="1"/>
  <c r="AW202" i="1"/>
  <c r="AP202" i="1"/>
  <c r="AX202" i="1" s="1"/>
  <c r="AO202" i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K202" i="1"/>
  <c r="J202" i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K192" i="1"/>
  <c r="BW180" i="1"/>
  <c r="BJ180" i="1"/>
  <c r="BD180" i="1"/>
  <c r="AW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J180" i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W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K151" i="1"/>
  <c r="J151" i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I130" i="1"/>
  <c r="AC130" i="1" s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H128" i="1"/>
  <c r="AB128" i="1" s="1"/>
  <c r="BD128" i="1"/>
  <c r="AW128" i="1"/>
  <c r="AP128" i="1"/>
  <c r="AX128" i="1" s="1"/>
  <c r="AO128" i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J128" i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K123" i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S111" i="1" s="1"/>
  <c r="AH112" i="1"/>
  <c r="AG112" i="1"/>
  <c r="AF112" i="1"/>
  <c r="AE112" i="1"/>
  <c r="AD112" i="1"/>
  <c r="Z112" i="1"/>
  <c r="O112" i="1"/>
  <c r="BF112" i="1" s="1"/>
  <c r="L112" i="1"/>
  <c r="K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I85" i="1"/>
  <c r="AC85" i="1" s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K85" i="1"/>
  <c r="J85" i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K81" i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K76" i="1"/>
  <c r="J76" i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K73" i="1"/>
  <c r="J73" i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K65" i="1"/>
  <c r="BW15" i="1"/>
  <c r="BJ15" i="1"/>
  <c r="BD15" i="1"/>
  <c r="AP15" i="1"/>
  <c r="AX15" i="1" s="1"/>
  <c r="AO15" i="1"/>
  <c r="AW15" i="1" s="1"/>
  <c r="BC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K15" i="1"/>
  <c r="AU1" i="1"/>
  <c r="AT1" i="1"/>
  <c r="AS1" i="1"/>
  <c r="J2787" i="1" l="1"/>
  <c r="BH2787" i="1"/>
  <c r="AB2787" i="1" s="1"/>
  <c r="BI2787" i="1"/>
  <c r="AC2787" i="1" s="1"/>
  <c r="AW2785" i="1"/>
  <c r="BC2785" i="1" s="1"/>
  <c r="BI2785" i="1"/>
  <c r="AC2785" i="1" s="1"/>
  <c r="L2780" i="1"/>
  <c r="F84" i="2" s="1"/>
  <c r="I84" i="2" s="1"/>
  <c r="AL2781" i="1"/>
  <c r="AX2781" i="1"/>
  <c r="J2809" i="1"/>
  <c r="BH2809" i="1"/>
  <c r="AT2808" i="1"/>
  <c r="BI86" i="1"/>
  <c r="AC86" i="1" s="1"/>
  <c r="AX86" i="1"/>
  <c r="AX205" i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4" i="1"/>
  <c r="BC1164" i="1" s="1"/>
  <c r="M1617" i="1"/>
  <c r="AL1617" i="1"/>
  <c r="BI1677" i="1"/>
  <c r="AE1677" i="1" s="1"/>
  <c r="BH2431" i="1"/>
  <c r="AD2431" i="1" s="1"/>
  <c r="AW2431" i="1"/>
  <c r="AX2452" i="1"/>
  <c r="BI2452" i="1"/>
  <c r="AE2452" i="1" s="1"/>
  <c r="BI2629" i="1"/>
  <c r="AG2629" i="1" s="1"/>
  <c r="AX2629" i="1"/>
  <c r="BH2763" i="1"/>
  <c r="AB2763" i="1" s="1"/>
  <c r="AW2763" i="1"/>
  <c r="J2763" i="1"/>
  <c r="K941" i="1"/>
  <c r="AX1589" i="1"/>
  <c r="BI1589" i="1"/>
  <c r="AE1589" i="1" s="1"/>
  <c r="AW274" i="1"/>
  <c r="BH274" i="1"/>
  <c r="AB274" i="1" s="1"/>
  <c r="K2565" i="1"/>
  <c r="AX91" i="1"/>
  <c r="AX223" i="1"/>
  <c r="J274" i="1"/>
  <c r="AW542" i="1"/>
  <c r="BH542" i="1"/>
  <c r="AB542" i="1" s="1"/>
  <c r="BI970" i="1"/>
  <c r="AC970" i="1" s="1"/>
  <c r="BI1035" i="1"/>
  <c r="AC1035" i="1" s="1"/>
  <c r="AX1035" i="1"/>
  <c r="BH1524" i="1"/>
  <c r="AD1524" i="1" s="1"/>
  <c r="AW1524" i="1"/>
  <c r="J1524" i="1"/>
  <c r="AW1610" i="1"/>
  <c r="BC1610" i="1" s="1"/>
  <c r="BH1610" i="1"/>
  <c r="AD1610" i="1" s="1"/>
  <c r="AX1656" i="1"/>
  <c r="AX1708" i="1"/>
  <c r="BI1708" i="1"/>
  <c r="AE1708" i="1" s="1"/>
  <c r="BH1740" i="1"/>
  <c r="AD1740" i="1" s="1"/>
  <c r="AW1740" i="1"/>
  <c r="AW2278" i="1"/>
  <c r="J2278" i="1"/>
  <c r="K1656" i="1"/>
  <c r="BH2553" i="1"/>
  <c r="AF2553" i="1" s="1"/>
  <c r="AW2553" i="1"/>
  <c r="BI2612" i="1"/>
  <c r="AG2612" i="1" s="1"/>
  <c r="AX2612" i="1"/>
  <c r="K2661" i="1"/>
  <c r="BF91" i="1"/>
  <c r="O90" i="1"/>
  <c r="G15" i="2" s="1"/>
  <c r="AV202" i="1"/>
  <c r="AL665" i="1"/>
  <c r="AU664" i="1" s="1"/>
  <c r="L664" i="1"/>
  <c r="F24" i="2" s="1"/>
  <c r="I24" i="2" s="1"/>
  <c r="AS1607" i="1"/>
  <c r="BC1905" i="1"/>
  <c r="AX2342" i="1"/>
  <c r="BI2342" i="1"/>
  <c r="AE2342" i="1" s="1"/>
  <c r="BI91" i="1"/>
  <c r="AC91" i="1" s="1"/>
  <c r="BI180" i="1"/>
  <c r="AC180" i="1" s="1"/>
  <c r="AX247" i="1"/>
  <c r="BI247" i="1"/>
  <c r="AC247" i="1" s="1"/>
  <c r="BF665" i="1"/>
  <c r="BH1097" i="1"/>
  <c r="AB1097" i="1" s="1"/>
  <c r="AW1097" i="1"/>
  <c r="BH1150" i="1"/>
  <c r="AB1150" i="1" s="1"/>
  <c r="J1150" i="1"/>
  <c r="K1705" i="1"/>
  <c r="AX1705" i="1"/>
  <c r="BC1705" i="1" s="1"/>
  <c r="AX1800" i="1"/>
  <c r="BI1800" i="1"/>
  <c r="AE1800" i="1" s="1"/>
  <c r="J1973" i="1"/>
  <c r="AW1973" i="1"/>
  <c r="BH2266" i="1"/>
  <c r="AD2266" i="1" s="1"/>
  <c r="J2266" i="1"/>
  <c r="AW2563" i="1"/>
  <c r="BH2563" i="1"/>
  <c r="AF2563" i="1" s="1"/>
  <c r="J654" i="1"/>
  <c r="BH654" i="1"/>
  <c r="AB654" i="1" s="1"/>
  <c r="AX1224" i="1"/>
  <c r="BI1224" i="1"/>
  <c r="AE1224" i="1" s="1"/>
  <c r="AX1250" i="1"/>
  <c r="BI1250" i="1"/>
  <c r="AE1250" i="1" s="1"/>
  <c r="AX1720" i="1"/>
  <c r="BI1720" i="1"/>
  <c r="AE1720" i="1" s="1"/>
  <c r="BI1723" i="1"/>
  <c r="K1723" i="1"/>
  <c r="BI2209" i="1"/>
  <c r="AE2209" i="1" s="1"/>
  <c r="AX2209" i="1"/>
  <c r="AW2326" i="1"/>
  <c r="BH2326" i="1"/>
  <c r="AD2326" i="1" s="1"/>
  <c r="AW2470" i="1"/>
  <c r="BH2470" i="1"/>
  <c r="AD2470" i="1" s="1"/>
  <c r="AX1620" i="1"/>
  <c r="BI1620" i="1"/>
  <c r="AE1620" i="1" s="1"/>
  <c r="AW1689" i="1"/>
  <c r="J1689" i="1"/>
  <c r="AW1694" i="1"/>
  <c r="BH1694" i="1"/>
  <c r="AL1852" i="1"/>
  <c r="M1852" i="1"/>
  <c r="BH1894" i="1"/>
  <c r="AD1894" i="1" s="1"/>
  <c r="AW1894" i="1"/>
  <c r="BC1894" i="1" s="1"/>
  <c r="AX2326" i="1"/>
  <c r="BC2326" i="1" s="1"/>
  <c r="BI2326" i="1"/>
  <c r="AE2326" i="1" s="1"/>
  <c r="AV2470" i="1"/>
  <c r="BH2681" i="1"/>
  <c r="AF2681" i="1" s="1"/>
  <c r="AW2681" i="1"/>
  <c r="J2681" i="1"/>
  <c r="K223" i="1"/>
  <c r="AW528" i="1"/>
  <c r="BH528" i="1"/>
  <c r="AB528" i="1" s="1"/>
  <c r="M1572" i="1"/>
  <c r="AL1572" i="1"/>
  <c r="K1589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I192" i="1"/>
  <c r="AC192" i="1" s="1"/>
  <c r="AX443" i="1"/>
  <c r="K867" i="1"/>
  <c r="BI867" i="1"/>
  <c r="AC867" i="1" s="1"/>
  <c r="AW1060" i="1"/>
  <c r="BH1060" i="1"/>
  <c r="AB1060" i="1" s="1"/>
  <c r="AL1564" i="1"/>
  <c r="BI1608" i="1"/>
  <c r="AE1608" i="1" s="1"/>
  <c r="K1608" i="1"/>
  <c r="BH2026" i="1"/>
  <c r="AD2026" i="1" s="1"/>
  <c r="AW2026" i="1"/>
  <c r="AW2223" i="1"/>
  <c r="BH2223" i="1"/>
  <c r="AD2223" i="1" s="1"/>
  <c r="BH2246" i="1"/>
  <c r="AD2246" i="1" s="1"/>
  <c r="J2246" i="1"/>
  <c r="BH2543" i="1"/>
  <c r="AF2543" i="1" s="1"/>
  <c r="AW2543" i="1"/>
  <c r="AW906" i="1"/>
  <c r="BC906" i="1" s="1"/>
  <c r="BH906" i="1"/>
  <c r="AB906" i="1" s="1"/>
  <c r="M1483" i="1"/>
  <c r="AL1483" i="1"/>
  <c r="AX452" i="1"/>
  <c r="BI654" i="1"/>
  <c r="AC654" i="1" s="1"/>
  <c r="J1060" i="1"/>
  <c r="J1425" i="1"/>
  <c r="BH1425" i="1"/>
  <c r="AD1425" i="1" s="1"/>
  <c r="AW1425" i="1"/>
  <c r="J1591" i="1"/>
  <c r="AW1622" i="1"/>
  <c r="BH1622" i="1"/>
  <c r="AD1622" i="1" s="1"/>
  <c r="M1661" i="1"/>
  <c r="AW1714" i="1"/>
  <c r="BH1714" i="1"/>
  <c r="AD1714" i="1" s="1"/>
  <c r="BH1888" i="1"/>
  <c r="AW1888" i="1"/>
  <c r="BF2110" i="1"/>
  <c r="O2089" i="1"/>
  <c r="G57" i="2" s="1"/>
  <c r="BC2223" i="1"/>
  <c r="J2543" i="1"/>
  <c r="AX2589" i="1"/>
  <c r="BI2589" i="1"/>
  <c r="AG2589" i="1" s="1"/>
  <c r="J1260" i="1"/>
  <c r="AX1425" i="1"/>
  <c r="BI1425" i="1"/>
  <c r="AE1425" i="1" s="1"/>
  <c r="AW1666" i="1"/>
  <c r="AV1666" i="1" s="1"/>
  <c r="BH1666" i="1"/>
  <c r="AD1666" i="1" s="1"/>
  <c r="L2212" i="1"/>
  <c r="F59" i="2" s="1"/>
  <c r="I59" i="2" s="1"/>
  <c r="BH2586" i="1"/>
  <c r="AF2586" i="1" s="1"/>
  <c r="J2586" i="1"/>
  <c r="AW2586" i="1"/>
  <c r="BH1172" i="1"/>
  <c r="AW1172" i="1"/>
  <c r="AL1561" i="1"/>
  <c r="M1561" i="1"/>
  <c r="BI2082" i="1"/>
  <c r="AE2082" i="1" s="1"/>
  <c r="AX2082" i="1"/>
  <c r="J2297" i="1"/>
  <c r="AX2371" i="1"/>
  <c r="BI2371" i="1"/>
  <c r="AE2371" i="1" s="1"/>
  <c r="J2505" i="1"/>
  <c r="AX2509" i="1"/>
  <c r="BC2586" i="1"/>
  <c r="K1842" i="1"/>
  <c r="K172" i="1"/>
  <c r="K86" i="1"/>
  <c r="K205" i="1"/>
  <c r="K277" i="1"/>
  <c r="AT120" i="1"/>
  <c r="BC128" i="1"/>
  <c r="AX993" i="1"/>
  <c r="K1164" i="1"/>
  <c r="AX1164" i="1"/>
  <c r="BI1592" i="1"/>
  <c r="AE1592" i="1" s="1"/>
  <c r="AX1592" i="1"/>
  <c r="AW2214" i="1"/>
  <c r="BH2214" i="1"/>
  <c r="AD2214" i="1" s="1"/>
  <c r="M2586" i="1"/>
  <c r="BI2664" i="1"/>
  <c r="AG2664" i="1" s="1"/>
  <c r="AX2664" i="1"/>
  <c r="O1599" i="1"/>
  <c r="G42" i="2" s="1"/>
  <c r="AV1620" i="1"/>
  <c r="BC1892" i="1"/>
  <c r="M1902" i="1"/>
  <c r="BC1911" i="1"/>
  <c r="K2220" i="1"/>
  <c r="K2374" i="1"/>
  <c r="AX2449" i="1"/>
  <c r="J2467" i="1"/>
  <c r="J2492" i="1"/>
  <c r="J2523" i="1"/>
  <c r="M2607" i="1"/>
  <c r="J2610" i="1"/>
  <c r="BH2709" i="1"/>
  <c r="AB2709" i="1" s="1"/>
  <c r="M2726" i="1"/>
  <c r="M2725" i="1" s="1"/>
  <c r="M2110" i="1"/>
  <c r="AW2485" i="1"/>
  <c r="AW2597" i="1"/>
  <c r="BC2597" i="1" s="1"/>
  <c r="BI2602" i="1"/>
  <c r="AG2602" i="1" s="1"/>
  <c r="AW2679" i="1"/>
  <c r="AW2779" i="1"/>
  <c r="BC2779" i="1" s="1"/>
  <c r="AW2803" i="1"/>
  <c r="M542" i="1"/>
  <c r="AW693" i="1"/>
  <c r="BC693" i="1" s="1"/>
  <c r="K1376" i="1"/>
  <c r="BI1569" i="1"/>
  <c r="AE1569" i="1" s="1"/>
  <c r="AW1608" i="1"/>
  <c r="AV1618" i="1"/>
  <c r="BI1646" i="1"/>
  <c r="AE1646" i="1" s="1"/>
  <c r="J1655" i="1"/>
  <c r="J1765" i="1"/>
  <c r="BI1815" i="1"/>
  <c r="AE1815" i="1" s="1"/>
  <c r="J1835" i="1"/>
  <c r="J1838" i="1"/>
  <c r="M1908" i="1"/>
  <c r="K1951" i="1"/>
  <c r="AX2010" i="1"/>
  <c r="J2047" i="1"/>
  <c r="AL2047" i="1"/>
  <c r="BI2288" i="1"/>
  <c r="AE2288" i="1" s="1"/>
  <c r="AX2374" i="1"/>
  <c r="BC2374" i="1" s="1"/>
  <c r="AX2394" i="1"/>
  <c r="M2396" i="1"/>
  <c r="J2403" i="1"/>
  <c r="BI2449" i="1"/>
  <c r="AE2449" i="1" s="1"/>
  <c r="BH2460" i="1"/>
  <c r="AD2460" i="1" s="1"/>
  <c r="BI2538" i="1"/>
  <c r="AG2538" i="1" s="1"/>
  <c r="AW2541" i="1"/>
  <c r="BC2541" i="1" s="1"/>
  <c r="M2551" i="1"/>
  <c r="AW2551" i="1"/>
  <c r="BC2559" i="1"/>
  <c r="BI2561" i="1"/>
  <c r="AG2561" i="1" s="1"/>
  <c r="AW2566" i="1"/>
  <c r="BI2568" i="1"/>
  <c r="AG2568" i="1" s="1"/>
  <c r="J2571" i="1"/>
  <c r="AW2582" i="1"/>
  <c r="M2599" i="1"/>
  <c r="K2605" i="1"/>
  <c r="BI2624" i="1"/>
  <c r="AG2624" i="1" s="1"/>
  <c r="AW2638" i="1"/>
  <c r="J2662" i="1"/>
  <c r="AW2669" i="1"/>
  <c r="AV2669" i="1" s="1"/>
  <c r="AX2679" i="1"/>
  <c r="BI1048" i="1"/>
  <c r="AC1048" i="1" s="1"/>
  <c r="AT1630" i="1"/>
  <c r="AW1838" i="1"/>
  <c r="BI1845" i="1"/>
  <c r="AE1845" i="1" s="1"/>
  <c r="AW1858" i="1"/>
  <c r="BI1897" i="1"/>
  <c r="AE1897" i="1" s="1"/>
  <c r="M1951" i="1"/>
  <c r="BI1963" i="1"/>
  <c r="AE1963" i="1" s="1"/>
  <c r="BI2220" i="1"/>
  <c r="BI2304" i="1"/>
  <c r="AE2304" i="1" s="1"/>
  <c r="BI2346" i="1"/>
  <c r="AE2346" i="1" s="1"/>
  <c r="BI2388" i="1"/>
  <c r="AE2388" i="1" s="1"/>
  <c r="M2439" i="1"/>
  <c r="BH2446" i="1"/>
  <c r="BI2534" i="1"/>
  <c r="AG2534" i="1" s="1"/>
  <c r="AW2554" i="1"/>
  <c r="BI2597" i="1"/>
  <c r="AG2597" i="1" s="1"/>
  <c r="M2605" i="1"/>
  <c r="AS2808" i="1"/>
  <c r="BI384" i="1"/>
  <c r="AC384" i="1" s="1"/>
  <c r="M440" i="1"/>
  <c r="J639" i="1"/>
  <c r="M687" i="1"/>
  <c r="M873" i="1"/>
  <c r="J889" i="1"/>
  <c r="M1061" i="1"/>
  <c r="O1101" i="1"/>
  <c r="G30" i="2" s="1"/>
  <c r="M1266" i="1"/>
  <c r="M1356" i="1"/>
  <c r="M1550" i="1"/>
  <c r="M1559" i="1"/>
  <c r="AX1567" i="1"/>
  <c r="BC1567" i="1" s="1"/>
  <c r="M1585" i="1"/>
  <c r="M1614" i="1"/>
  <c r="BH1708" i="1"/>
  <c r="AD1708" i="1" s="1"/>
  <c r="BI1714" i="1"/>
  <c r="AE1714" i="1" s="1"/>
  <c r="J1755" i="1"/>
  <c r="M1763" i="1"/>
  <c r="AV1763" i="1"/>
  <c r="J1906" i="1"/>
  <c r="BI1920" i="1"/>
  <c r="AE1920" i="1" s="1"/>
  <c r="M2084" i="1"/>
  <c r="AW2130" i="1"/>
  <c r="J2248" i="1"/>
  <c r="AX2355" i="1"/>
  <c r="J2417" i="1"/>
  <c r="J2421" i="1"/>
  <c r="J2427" i="1"/>
  <c r="AW2453" i="1"/>
  <c r="M2485" i="1"/>
  <c r="M2506" i="1"/>
  <c r="J2574" i="1"/>
  <c r="AW2585" i="1"/>
  <c r="AW2590" i="1"/>
  <c r="BI2595" i="1"/>
  <c r="AG2595" i="1" s="1"/>
  <c r="M2608" i="1"/>
  <c r="BI2620" i="1"/>
  <c r="AG2620" i="1" s="1"/>
  <c r="BH2627" i="1"/>
  <c r="AF2627" i="1" s="1"/>
  <c r="M2653" i="1"/>
  <c r="AX2685" i="1"/>
  <c r="BH2690" i="1"/>
  <c r="AF2690" i="1" s="1"/>
  <c r="AX2711" i="1"/>
  <c r="AS2715" i="1"/>
  <c r="AW2792" i="1"/>
  <c r="O127" i="1"/>
  <c r="G18" i="2" s="1"/>
  <c r="K505" i="1"/>
  <c r="AV532" i="1"/>
  <c r="K681" i="1"/>
  <c r="BI962" i="1"/>
  <c r="AC962" i="1" s="1"/>
  <c r="AX1167" i="1"/>
  <c r="BC1167" i="1" s="1"/>
  <c r="AW1235" i="1"/>
  <c r="M1576" i="1"/>
  <c r="BH1618" i="1"/>
  <c r="AD1618" i="1" s="1"/>
  <c r="AL1661" i="1"/>
  <c r="AW1747" i="1"/>
  <c r="AW1755" i="1"/>
  <c r="M1760" i="1"/>
  <c r="BI1827" i="1"/>
  <c r="AE1827" i="1" s="1"/>
  <c r="AW1848" i="1"/>
  <c r="AW1865" i="1"/>
  <c r="M1917" i="1"/>
  <c r="J1932" i="1"/>
  <c r="AW2047" i="1"/>
  <c r="AX2385" i="1"/>
  <c r="BH2408" i="1"/>
  <c r="AD2408" i="1" s="1"/>
  <c r="AW2437" i="1"/>
  <c r="BC2437" i="1" s="1"/>
  <c r="J2451" i="1"/>
  <c r="AX2453" i="1"/>
  <c r="M2479" i="1"/>
  <c r="BI2559" i="1"/>
  <c r="AG2559" i="1" s="1"/>
  <c r="AW2564" i="1"/>
  <c r="BC2564" i="1" s="1"/>
  <c r="J2569" i="1"/>
  <c r="BI2600" i="1"/>
  <c r="AG2600" i="1" s="1"/>
  <c r="AX2611" i="1"/>
  <c r="M2622" i="1"/>
  <c r="BH2687" i="1"/>
  <c r="AF2687" i="1" s="1"/>
  <c r="BH2700" i="1"/>
  <c r="AB2700" i="1" s="1"/>
  <c r="L2808" i="1"/>
  <c r="F87" i="2" s="1"/>
  <c r="I87" i="2" s="1"/>
  <c r="M623" i="1"/>
  <c r="AS1166" i="1"/>
  <c r="BH1655" i="1"/>
  <c r="AD1655" i="1" s="1"/>
  <c r="M1668" i="1"/>
  <c r="BH1812" i="1"/>
  <c r="M2213" i="1"/>
  <c r="BH2417" i="1"/>
  <c r="AD2417" i="1" s="1"/>
  <c r="M2526" i="1"/>
  <c r="BH2554" i="1"/>
  <c r="AF2554" i="1" s="1"/>
  <c r="M2562" i="1"/>
  <c r="M2569" i="1"/>
  <c r="M2620" i="1"/>
  <c r="M2663" i="1"/>
  <c r="M2672" i="1"/>
  <c r="O2725" i="1"/>
  <c r="G72" i="2" s="1"/>
  <c r="BI2779" i="1"/>
  <c r="AC2779" i="1" s="1"/>
  <c r="AV2809" i="1"/>
  <c r="F35" i="4"/>
  <c r="I35" i="4" s="1"/>
  <c r="F38" i="4"/>
  <c r="I38" i="4" s="1"/>
  <c r="M505" i="1"/>
  <c r="AX697" i="1"/>
  <c r="J862" i="1"/>
  <c r="J937" i="1"/>
  <c r="M1056" i="1"/>
  <c r="AT1166" i="1"/>
  <c r="AX1378" i="1"/>
  <c r="M1418" i="1"/>
  <c r="M1547" i="1"/>
  <c r="M1590" i="1"/>
  <c r="M1612" i="1"/>
  <c r="AX1621" i="1"/>
  <c r="AX1658" i="1"/>
  <c r="J1687" i="1"/>
  <c r="J1707" i="1"/>
  <c r="J1820" i="1"/>
  <c r="J1844" i="1"/>
  <c r="BH1869" i="1"/>
  <c r="AD1869" i="1" s="1"/>
  <c r="M1875" i="1"/>
  <c r="M1909" i="1"/>
  <c r="BC1918" i="1"/>
  <c r="K1922" i="1"/>
  <c r="M1928" i="1"/>
  <c r="BH1991" i="1"/>
  <c r="M2058" i="1"/>
  <c r="BH2079" i="1"/>
  <c r="AD2079" i="1" s="1"/>
  <c r="BH2213" i="1"/>
  <c r="AD2213" i="1" s="1"/>
  <c r="J2217" i="1"/>
  <c r="M2222" i="1"/>
  <c r="AX2257" i="1"/>
  <c r="AW2305" i="1"/>
  <c r="AV2305" i="1" s="1"/>
  <c r="BI2390" i="1"/>
  <c r="AE2390" i="1" s="1"/>
  <c r="M2401" i="1"/>
  <c r="J2476" i="1"/>
  <c r="J2525" i="1"/>
  <c r="M2530" i="1"/>
  <c r="M2535" i="1"/>
  <c r="BI2537" i="1"/>
  <c r="AG2537" i="1" s="1"/>
  <c r="M2559" i="1"/>
  <c r="AW2562" i="1"/>
  <c r="AW2572" i="1"/>
  <c r="J2606" i="1"/>
  <c r="AW2616" i="1"/>
  <c r="BI2623" i="1"/>
  <c r="AG2623" i="1" s="1"/>
  <c r="M2651" i="1"/>
  <c r="J2654" i="1"/>
  <c r="J2657" i="1"/>
  <c r="M2660" i="1"/>
  <c r="M2668" i="1"/>
  <c r="M2678" i="1"/>
  <c r="J2691" i="1"/>
  <c r="AV2691" i="1"/>
  <c r="BI2707" i="1"/>
  <c r="AC2707" i="1" s="1"/>
  <c r="M2777" i="1"/>
  <c r="K2825" i="1"/>
  <c r="K2824" i="1" s="1"/>
  <c r="E93" i="2" s="1"/>
  <c r="K2785" i="1"/>
  <c r="BI681" i="1"/>
  <c r="AC681" i="1" s="1"/>
  <c r="M691" i="1"/>
  <c r="M844" i="1"/>
  <c r="M1117" i="1"/>
  <c r="AX1170" i="1"/>
  <c r="M1264" i="1"/>
  <c r="M1434" i="1"/>
  <c r="AX1547" i="1"/>
  <c r="J1551" i="1"/>
  <c r="M1596" i="1"/>
  <c r="AX1603" i="1"/>
  <c r="M1644" i="1"/>
  <c r="AV1670" i="1"/>
  <c r="M1676" i="1"/>
  <c r="J1704" i="1"/>
  <c r="M1719" i="1"/>
  <c r="J1758" i="1"/>
  <c r="AS1767" i="1"/>
  <c r="J1828" i="1"/>
  <c r="AW1844" i="1"/>
  <c r="AW1857" i="1"/>
  <c r="M1918" i="1"/>
  <c r="AW1918" i="1"/>
  <c r="BI1991" i="1"/>
  <c r="BH2024" i="1"/>
  <c r="AW2132" i="1"/>
  <c r="L2216" i="1"/>
  <c r="F60" i="2" s="1"/>
  <c r="I60" i="2" s="1"/>
  <c r="AV2245" i="1"/>
  <c r="M2287" i="1"/>
  <c r="BH2308" i="1"/>
  <c r="AD2308" i="1" s="1"/>
  <c r="BI2352" i="1"/>
  <c r="AE2352" i="1" s="1"/>
  <c r="AX2415" i="1"/>
  <c r="AX2423" i="1"/>
  <c r="BH2433" i="1"/>
  <c r="AD2433" i="1" s="1"/>
  <c r="BI2447" i="1"/>
  <c r="AE2447" i="1" s="1"/>
  <c r="M2601" i="1"/>
  <c r="BI2603" i="1"/>
  <c r="AG2603" i="1" s="1"/>
  <c r="AX2631" i="1"/>
  <c r="M2637" i="1"/>
  <c r="M2643" i="1"/>
  <c r="AW2678" i="1"/>
  <c r="AW2703" i="1"/>
  <c r="M2757" i="1"/>
  <c r="L2778" i="1"/>
  <c r="F83" i="2" s="1"/>
  <c r="I83" i="2" s="1"/>
  <c r="M2779" i="1"/>
  <c r="M2778" i="1" s="1"/>
  <c r="J2816" i="1"/>
  <c r="K1492" i="1"/>
  <c r="BF1601" i="1"/>
  <c r="AL1606" i="1"/>
  <c r="M1606" i="1"/>
  <c r="AW1631" i="1"/>
  <c r="BC1631" i="1" s="1"/>
  <c r="BH1631" i="1"/>
  <c r="AD1631" i="1" s="1"/>
  <c r="M1834" i="1"/>
  <c r="AL1834" i="1"/>
  <c r="AX1867" i="1"/>
  <c r="BI1867" i="1"/>
  <c r="AE1867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67" i="1"/>
  <c r="O1171" i="1"/>
  <c r="G34" i="2" s="1"/>
  <c r="BH1252" i="1"/>
  <c r="AD1252" i="1" s="1"/>
  <c r="M1293" i="1"/>
  <c r="M1373" i="1"/>
  <c r="M1567" i="1"/>
  <c r="BH1569" i="1"/>
  <c r="AD1569" i="1" s="1"/>
  <c r="M1579" i="1"/>
  <c r="M1581" i="1"/>
  <c r="K1598" i="1"/>
  <c r="AX1598" i="1"/>
  <c r="BH1620" i="1"/>
  <c r="AD1620" i="1" s="1"/>
  <c r="BI1634" i="1"/>
  <c r="AE1634" i="1" s="1"/>
  <c r="AX1634" i="1"/>
  <c r="BC1634" i="1" s="1"/>
  <c r="K364" i="1"/>
  <c r="M481" i="1"/>
  <c r="AX515" i="1"/>
  <c r="BC515" i="1" s="1"/>
  <c r="BI527" i="1"/>
  <c r="AC527" i="1" s="1"/>
  <c r="AW970" i="1"/>
  <c r="BC970" i="1" s="1"/>
  <c r="BI1169" i="1"/>
  <c r="M1181" i="1"/>
  <c r="BI1252" i="1"/>
  <c r="AE1252" i="1" s="1"/>
  <c r="AW1577" i="1"/>
  <c r="AW1579" i="1"/>
  <c r="L1630" i="1"/>
  <c r="F45" i="2" s="1"/>
  <c r="I45" i="2" s="1"/>
  <c r="BI1650" i="1"/>
  <c r="AE1650" i="1" s="1"/>
  <c r="AX1650" i="1"/>
  <c r="AV1650" i="1" s="1"/>
  <c r="AX1704" i="1"/>
  <c r="K1704" i="1"/>
  <c r="AL1713" i="1"/>
  <c r="J15" i="1"/>
  <c r="BI81" i="1"/>
  <c r="AC81" i="1" s="1"/>
  <c r="BI274" i="1"/>
  <c r="AC274" i="1" s="1"/>
  <c r="AX685" i="1"/>
  <c r="K697" i="1"/>
  <c r="AL859" i="1"/>
  <c r="M886" i="1"/>
  <c r="K896" i="1"/>
  <c r="AX941" i="1"/>
  <c r="AX999" i="1"/>
  <c r="BC999" i="1" s="1"/>
  <c r="BC1035" i="1"/>
  <c r="K1056" i="1"/>
  <c r="BI1090" i="1"/>
  <c r="AC1090" i="1" s="1"/>
  <c r="O1157" i="1"/>
  <c r="G32" i="2" s="1"/>
  <c r="BI1266" i="1"/>
  <c r="AE1266" i="1" s="1"/>
  <c r="M1388" i="1"/>
  <c r="AL1453" i="1"/>
  <c r="AX1549" i="1"/>
  <c r="AV1549" i="1" s="1"/>
  <c r="BI1563" i="1"/>
  <c r="AE1563" i="1" s="1"/>
  <c r="BI1598" i="1"/>
  <c r="AE1598" i="1" s="1"/>
  <c r="AT1616" i="1"/>
  <c r="BH1634" i="1"/>
  <c r="AD1634" i="1" s="1"/>
  <c r="M1641" i="1"/>
  <c r="AX1641" i="1"/>
  <c r="BC1641" i="1" s="1"/>
  <c r="AL1644" i="1"/>
  <c r="AX1647" i="1"/>
  <c r="BI1647" i="1"/>
  <c r="AE1647" i="1" s="1"/>
  <c r="AW1713" i="1"/>
  <c r="BH1713" i="1"/>
  <c r="AD1713" i="1" s="1"/>
  <c r="BH1745" i="1"/>
  <c r="AD1745" i="1" s="1"/>
  <c r="AW1745" i="1"/>
  <c r="J1745" i="1"/>
  <c r="BH1840" i="1"/>
  <c r="AD1840" i="1" s="1"/>
  <c r="AW1840" i="1"/>
  <c r="BH1863" i="1"/>
  <c r="AD1863" i="1" s="1"/>
  <c r="J1863" i="1"/>
  <c r="AW1924" i="1"/>
  <c r="J1924" i="1"/>
  <c r="O690" i="1"/>
  <c r="G27" i="2" s="1"/>
  <c r="K772" i="1"/>
  <c r="BH954" i="1"/>
  <c r="AB954" i="1" s="1"/>
  <c r="BH980" i="1"/>
  <c r="AB980" i="1" s="1"/>
  <c r="AL1307" i="1"/>
  <c r="K1372" i="1"/>
  <c r="K1453" i="1"/>
  <c r="BH1582" i="1"/>
  <c r="AD1582" i="1" s="1"/>
  <c r="AW1582" i="1"/>
  <c r="K1594" i="1"/>
  <c r="AX1594" i="1"/>
  <c r="AX1689" i="1"/>
  <c r="BI1689" i="1"/>
  <c r="AE1689" i="1" s="1"/>
  <c r="K1689" i="1"/>
  <c r="BC2342" i="1"/>
  <c r="J420" i="1"/>
  <c r="AT111" i="1"/>
  <c r="AL1264" i="1"/>
  <c r="BH1579" i="1"/>
  <c r="AD1579" i="1" s="1"/>
  <c r="M1701" i="1"/>
  <c r="AL1701" i="1"/>
  <c r="BH2010" i="1"/>
  <c r="AD2010" i="1" s="1"/>
  <c r="AW2010" i="1"/>
  <c r="J2010" i="1"/>
  <c r="J2088" i="1"/>
  <c r="BH2088" i="1"/>
  <c r="AW2088" i="1"/>
  <c r="K527" i="1"/>
  <c r="J1631" i="1"/>
  <c r="AV1634" i="1"/>
  <c r="J336" i="1"/>
  <c r="M584" i="1"/>
  <c r="AX130" i="1"/>
  <c r="AV130" i="1" s="1"/>
  <c r="BI269" i="1"/>
  <c r="AC269" i="1" s="1"/>
  <c r="AW273" i="1"/>
  <c r="AV273" i="1" s="1"/>
  <c r="AX278" i="1"/>
  <c r="BI284" i="1"/>
  <c r="AC284" i="1" s="1"/>
  <c r="J475" i="1"/>
  <c r="AV520" i="1"/>
  <c r="J526" i="1"/>
  <c r="M536" i="1"/>
  <c r="AX548" i="1"/>
  <c r="O657" i="1"/>
  <c r="G23" i="2" s="1"/>
  <c r="AW665" i="1"/>
  <c r="AX772" i="1"/>
  <c r="BI886" i="1"/>
  <c r="AC886" i="1" s="1"/>
  <c r="M921" i="1"/>
  <c r="BI1061" i="1"/>
  <c r="AC1061" i="1" s="1"/>
  <c r="AX1079" i="1"/>
  <c r="AX1133" i="1"/>
  <c r="AX1235" i="1"/>
  <c r="AW1260" i="1"/>
  <c r="AX1372" i="1"/>
  <c r="M1376" i="1"/>
  <c r="AW1447" i="1"/>
  <c r="AL1487" i="1"/>
  <c r="AL1512" i="1"/>
  <c r="AL1547" i="1"/>
  <c r="M1552" i="1"/>
  <c r="AW1566" i="1"/>
  <c r="M1568" i="1"/>
  <c r="AL1576" i="1"/>
  <c r="M1582" i="1"/>
  <c r="AX1582" i="1"/>
  <c r="J1635" i="1"/>
  <c r="AW1656" i="1"/>
  <c r="BC1656" i="1" s="1"/>
  <c r="J1656" i="1"/>
  <c r="AW1658" i="1"/>
  <c r="BH1658" i="1"/>
  <c r="AD1658" i="1" s="1"/>
  <c r="AW1699" i="1"/>
  <c r="AV1699" i="1" s="1"/>
  <c r="J1699" i="1"/>
  <c r="AW1711" i="1"/>
  <c r="BH1711" i="1"/>
  <c r="AD1711" i="1" s="1"/>
  <c r="K284" i="1"/>
  <c r="O111" i="1"/>
  <c r="G16" i="2" s="1"/>
  <c r="J273" i="1"/>
  <c r="AT361" i="1"/>
  <c r="J413" i="1"/>
  <c r="K665" i="1"/>
  <c r="K664" i="1" s="1"/>
  <c r="E24" i="2" s="1"/>
  <c r="AW76" i="1"/>
  <c r="O75" i="1"/>
  <c r="G14" i="2" s="1"/>
  <c r="BI151" i="1"/>
  <c r="AC151" i="1" s="1"/>
  <c r="AW336" i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AX1007" i="1"/>
  <c r="K1048" i="1"/>
  <c r="M1097" i="1"/>
  <c r="BI1164" i="1"/>
  <c r="AC1164" i="1" s="1"/>
  <c r="AW1170" i="1"/>
  <c r="AV1170" i="1" s="1"/>
  <c r="AX1188" i="1"/>
  <c r="AX1260" i="1"/>
  <c r="AL1351" i="1"/>
  <c r="AX1447" i="1"/>
  <c r="BC1447" i="1" s="1"/>
  <c r="AV1547" i="1"/>
  <c r="AX1557" i="1"/>
  <c r="AV1557" i="1" s="1"/>
  <c r="AX1566" i="1"/>
  <c r="BH1571" i="1"/>
  <c r="AD1571" i="1" s="1"/>
  <c r="AV1580" i="1"/>
  <c r="BH1594" i="1"/>
  <c r="AD1594" i="1" s="1"/>
  <c r="AX1597" i="1"/>
  <c r="BI1597" i="1"/>
  <c r="AE1597" i="1" s="1"/>
  <c r="M1600" i="1"/>
  <c r="BH1613" i="1"/>
  <c r="AD1613" i="1" s="1"/>
  <c r="AX1629" i="1"/>
  <c r="AV1629" i="1" s="1"/>
  <c r="AW1635" i="1"/>
  <c r="K1702" i="1"/>
  <c r="AX1702" i="1"/>
  <c r="BC1702" i="1" s="1"/>
  <c r="BH1887" i="1"/>
  <c r="AD1887" i="1" s="1"/>
  <c r="AW1887" i="1"/>
  <c r="BH1895" i="1"/>
  <c r="AD1895" i="1" s="1"/>
  <c r="AW1895" i="1"/>
  <c r="BC1895" i="1" s="1"/>
  <c r="BH1901" i="1"/>
  <c r="AD1901" i="1" s="1"/>
  <c r="AW1901" i="1"/>
  <c r="J1901" i="1"/>
  <c r="AL1946" i="1"/>
  <c r="M1946" i="1"/>
  <c r="J223" i="1"/>
  <c r="M520" i="1"/>
  <c r="M639" i="1"/>
  <c r="BI862" i="1"/>
  <c r="AC862" i="1" s="1"/>
  <c r="M975" i="1"/>
  <c r="AL1060" i="1"/>
  <c r="M1255" i="1"/>
  <c r="AX1580" i="1"/>
  <c r="BI1580" i="1"/>
  <c r="AE1580" i="1" s="1"/>
  <c r="BC1603" i="1"/>
  <c r="BI1627" i="1"/>
  <c r="AE1627" i="1" s="1"/>
  <c r="AX1627" i="1"/>
  <c r="AX1639" i="1"/>
  <c r="BC1639" i="1" s="1"/>
  <c r="BI1639" i="1"/>
  <c r="AE1639" i="1" s="1"/>
  <c r="K1639" i="1"/>
  <c r="M1673" i="1"/>
  <c r="AL1673" i="1"/>
  <c r="BH1859" i="1"/>
  <c r="AD1859" i="1" s="1"/>
  <c r="AW1859" i="1"/>
  <c r="J1859" i="1"/>
  <c r="BH548" i="1"/>
  <c r="AB548" i="1" s="1"/>
  <c r="BH772" i="1"/>
  <c r="AB772" i="1" s="1"/>
  <c r="AV1048" i="1"/>
  <c r="O1129" i="1"/>
  <c r="G31" i="2" s="1"/>
  <c r="K1595" i="1"/>
  <c r="AX1595" i="1"/>
  <c r="AX1681" i="1"/>
  <c r="BI1681" i="1"/>
  <c r="AE1681" i="1" s="1"/>
  <c r="M1758" i="1"/>
  <c r="AL1758" i="1"/>
  <c r="M1995" i="1"/>
  <c r="AL1995" i="1"/>
  <c r="K1551" i="1"/>
  <c r="K1563" i="1"/>
  <c r="BH278" i="1"/>
  <c r="AB278" i="1" s="1"/>
  <c r="BC180" i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M1046" i="1"/>
  <c r="AX1046" i="1"/>
  <c r="M1079" i="1"/>
  <c r="BF1130" i="1"/>
  <c r="M1134" i="1"/>
  <c r="O1166" i="1"/>
  <c r="G33" i="2" s="1"/>
  <c r="M1258" i="1"/>
  <c r="M1335" i="1"/>
  <c r="J1378" i="1"/>
  <c r="AL1410" i="1"/>
  <c r="AL1450" i="1"/>
  <c r="M1553" i="1"/>
  <c r="AX1555" i="1"/>
  <c r="BC1555" i="1" s="1"/>
  <c r="BH1557" i="1"/>
  <c r="AD1557" i="1" s="1"/>
  <c r="BH1580" i="1"/>
  <c r="AD1580" i="1" s="1"/>
  <c r="AW1586" i="1"/>
  <c r="M1609" i="1"/>
  <c r="AS1630" i="1"/>
  <c r="M1681" i="1"/>
  <c r="AX1687" i="1"/>
  <c r="BC1687" i="1" s="1"/>
  <c r="K1687" i="1"/>
  <c r="BI1687" i="1"/>
  <c r="AE1687" i="1" s="1"/>
  <c r="AX1732" i="1"/>
  <c r="K1732" i="1"/>
  <c r="BI1732" i="1"/>
  <c r="AE1732" i="1" s="1"/>
  <c r="O1813" i="1"/>
  <c r="G53" i="2" s="1"/>
  <c r="BF1825" i="1"/>
  <c r="BH1834" i="1"/>
  <c r="AD1834" i="1" s="1"/>
  <c r="AW1834" i="1"/>
  <c r="BC1834" i="1" s="1"/>
  <c r="J1834" i="1"/>
  <c r="AX1967" i="1"/>
  <c r="K1967" i="1"/>
  <c r="K180" i="1"/>
  <c r="BC349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BH1070" i="1"/>
  <c r="AB1070" i="1" s="1"/>
  <c r="K1090" i="1"/>
  <c r="M1156" i="1"/>
  <c r="AT1157" i="1"/>
  <c r="M1175" i="1"/>
  <c r="AW1201" i="1"/>
  <c r="BC1201" i="1" s="1"/>
  <c r="AW1378" i="1"/>
  <c r="BC1378" i="1" s="1"/>
  <c r="M1442" i="1"/>
  <c r="BI1595" i="1"/>
  <c r="AE1595" i="1" s="1"/>
  <c r="AL1604" i="1"/>
  <c r="K1659" i="1"/>
  <c r="AX1659" i="1"/>
  <c r="AW1683" i="1"/>
  <c r="J1683" i="1"/>
  <c r="M1687" i="1"/>
  <c r="AL1687" i="1"/>
  <c r="AX1693" i="1"/>
  <c r="BI1693" i="1"/>
  <c r="AE1693" i="1" s="1"/>
  <c r="AL1967" i="1"/>
  <c r="M1967" i="1"/>
  <c r="M1825" i="1"/>
  <c r="M1827" i="1"/>
  <c r="AW1827" i="1"/>
  <c r="BI1828" i="1"/>
  <c r="AE1828" i="1" s="1"/>
  <c r="BH1896" i="1"/>
  <c r="AD1896" i="1" s="1"/>
  <c r="BH1898" i="1"/>
  <c r="AD1898" i="1" s="1"/>
  <c r="AL2036" i="1"/>
  <c r="BI2090" i="1"/>
  <c r="AE2090" i="1" s="1"/>
  <c r="BI2130" i="1"/>
  <c r="AE2130" i="1" s="1"/>
  <c r="M2240" i="1"/>
  <c r="BI2332" i="1"/>
  <c r="AE2332" i="1" s="1"/>
  <c r="J2352" i="1"/>
  <c r="BH2371" i="1"/>
  <c r="AD2371" i="1" s="1"/>
  <c r="BH2388" i="1"/>
  <c r="AD2388" i="1" s="1"/>
  <c r="J2641" i="1"/>
  <c r="BH2641" i="1"/>
  <c r="AF2641" i="1" s="1"/>
  <c r="AW2641" i="1"/>
  <c r="AV2641" i="1" s="1"/>
  <c r="AV2745" i="1"/>
  <c r="BC2745" i="1"/>
  <c r="AW2376" i="1"/>
  <c r="BH2376" i="1"/>
  <c r="AD2376" i="1" s="1"/>
  <c r="BH2462" i="1"/>
  <c r="AD2462" i="1" s="1"/>
  <c r="AW2462" i="1"/>
  <c r="AX2632" i="1"/>
  <c r="BI2632" i="1"/>
  <c r="AG2632" i="1" s="1"/>
  <c r="AL2684" i="1"/>
  <c r="M2684" i="1"/>
  <c r="AV2787" i="1"/>
  <c r="BC2787" i="1"/>
  <c r="BH1979" i="1"/>
  <c r="AD1979" i="1" s="1"/>
  <c r="M2137" i="1"/>
  <c r="M2303" i="1"/>
  <c r="J2314" i="1"/>
  <c r="BC2314" i="1"/>
  <c r="J2326" i="1"/>
  <c r="BH2342" i="1"/>
  <c r="AD2342" i="1" s="1"/>
  <c r="AW2656" i="1"/>
  <c r="BH2656" i="1"/>
  <c r="AF2656" i="1" s="1"/>
  <c r="M1658" i="1"/>
  <c r="BC1677" i="1"/>
  <c r="K1717" i="1"/>
  <c r="J1723" i="1"/>
  <c r="J1747" i="1"/>
  <c r="J1803" i="1"/>
  <c r="J1829" i="1"/>
  <c r="J1831" i="1"/>
  <c r="J1847" i="1"/>
  <c r="M1849" i="1"/>
  <c r="M1863" i="1"/>
  <c r="J1883" i="1"/>
  <c r="M1887" i="1"/>
  <c r="M1895" i="1"/>
  <c r="J1899" i="1"/>
  <c r="M1901" i="1"/>
  <c r="BI1902" i="1"/>
  <c r="AE1902" i="1" s="1"/>
  <c r="BI1906" i="1"/>
  <c r="AE1906" i="1" s="1"/>
  <c r="BI1910" i="1"/>
  <c r="AE1910" i="1" s="1"/>
  <c r="BI1960" i="1"/>
  <c r="AE1960" i="1" s="1"/>
  <c r="J2132" i="1"/>
  <c r="BI2214" i="1"/>
  <c r="AE2214" i="1" s="1"/>
  <c r="BH2274" i="1"/>
  <c r="AD2274" i="1" s="1"/>
  <c r="K2326" i="1"/>
  <c r="BI2385" i="1"/>
  <c r="BI2394" i="1"/>
  <c r="K2410" i="1"/>
  <c r="AX2410" i="1"/>
  <c r="J2443" i="1"/>
  <c r="BI2466" i="1"/>
  <c r="AE2466" i="1" s="1"/>
  <c r="BH2494" i="1"/>
  <c r="AD2494" i="1" s="1"/>
  <c r="AW2494" i="1"/>
  <c r="AV2494" i="1" s="1"/>
  <c r="AV2781" i="1"/>
  <c r="BC2781" i="1"/>
  <c r="AW1803" i="1"/>
  <c r="AW1816" i="1"/>
  <c r="BC1816" i="1" s="1"/>
  <c r="AW1818" i="1"/>
  <c r="AW1829" i="1"/>
  <c r="AW1849" i="1"/>
  <c r="AW1875" i="1"/>
  <c r="AL1942" i="1"/>
  <c r="BH2314" i="1"/>
  <c r="AD2314" i="1" s="1"/>
  <c r="AV2326" i="1"/>
  <c r="BH2352" i="1"/>
  <c r="AD2352" i="1" s="1"/>
  <c r="AW2395" i="1"/>
  <c r="J2395" i="1"/>
  <c r="AL2457" i="1"/>
  <c r="M2457" i="1"/>
  <c r="BI2630" i="1"/>
  <c r="AG2630" i="1" s="1"/>
  <c r="AX2630" i="1"/>
  <c r="J2645" i="1"/>
  <c r="BH2645" i="1"/>
  <c r="AF2645" i="1" s="1"/>
  <c r="AW2645" i="1"/>
  <c r="AV2645" i="1" s="1"/>
  <c r="BI1713" i="1"/>
  <c r="AE1713" i="1" s="1"/>
  <c r="BH1719" i="1"/>
  <c r="AD1719" i="1" s="1"/>
  <c r="M1755" i="1"/>
  <c r="J1759" i="1"/>
  <c r="BC1822" i="1"/>
  <c r="J1871" i="1"/>
  <c r="J1890" i="1"/>
  <c r="J2235" i="1"/>
  <c r="BH2292" i="1"/>
  <c r="AD2292" i="1" s="1"/>
  <c r="AX2300" i="1"/>
  <c r="AV2300" i="1" s="1"/>
  <c r="AX2381" i="1"/>
  <c r="BI2381" i="1"/>
  <c r="AE2381" i="1" s="1"/>
  <c r="AX2397" i="1"/>
  <c r="K2397" i="1"/>
  <c r="AW2522" i="1"/>
  <c r="BC2522" i="1" s="1"/>
  <c r="BH2522" i="1"/>
  <c r="AF2522" i="1" s="1"/>
  <c r="M2580" i="1"/>
  <c r="BH2628" i="1"/>
  <c r="AF2628" i="1" s="1"/>
  <c r="AW2628" i="1"/>
  <c r="O2822" i="1"/>
  <c r="G92" i="2" s="1"/>
  <c r="BF2823" i="1"/>
  <c r="BH1647" i="1"/>
  <c r="AD1647" i="1" s="1"/>
  <c r="BI1711" i="1"/>
  <c r="AE1711" i="1" s="1"/>
  <c r="AX1717" i="1"/>
  <c r="BI1719" i="1"/>
  <c r="AE1719" i="1" s="1"/>
  <c r="AX1723" i="1"/>
  <c r="M1738" i="1"/>
  <c r="M1741" i="1"/>
  <c r="M1753" i="1"/>
  <c r="AW1759" i="1"/>
  <c r="AV1759" i="1" s="1"/>
  <c r="O1777" i="1"/>
  <c r="G52" i="2" s="1"/>
  <c r="BF1778" i="1"/>
  <c r="AW1824" i="1"/>
  <c r="J1826" i="1"/>
  <c r="AW1831" i="1"/>
  <c r="BC1831" i="1" s="1"/>
  <c r="BI1887" i="1"/>
  <c r="AE1887" i="1" s="1"/>
  <c r="M1892" i="1"/>
  <c r="M1903" i="1"/>
  <c r="J1926" i="1"/>
  <c r="J1963" i="1"/>
  <c r="J1970" i="1"/>
  <c r="AW2021" i="1"/>
  <c r="AX2047" i="1"/>
  <c r="AV2047" i="1" s="1"/>
  <c r="M2061" i="1"/>
  <c r="J2213" i="1"/>
  <c r="M2248" i="1"/>
  <c r="M2254" i="1"/>
  <c r="AW2266" i="1"/>
  <c r="AV2266" i="1" s="1"/>
  <c r="M2306" i="1"/>
  <c r="AX2306" i="1"/>
  <c r="J2343" i="1"/>
  <c r="AX2792" i="1"/>
  <c r="K2792" i="1"/>
  <c r="M1619" i="1"/>
  <c r="M1664" i="1"/>
  <c r="M1704" i="1"/>
  <c r="J1722" i="1"/>
  <c r="BI1731" i="1"/>
  <c r="AE1731" i="1" s="1"/>
  <c r="BH1765" i="1"/>
  <c r="AD1765" i="1" s="1"/>
  <c r="BI1778" i="1"/>
  <c r="AE1778" i="1" s="1"/>
  <c r="AT1777" i="1"/>
  <c r="BI1816" i="1"/>
  <c r="AE1816" i="1" s="1"/>
  <c r="K1828" i="1"/>
  <c r="AW1833" i="1"/>
  <c r="J1837" i="1"/>
  <c r="AV1837" i="1"/>
  <c r="BI1842" i="1"/>
  <c r="AE1842" i="1" s="1"/>
  <c r="M1846" i="1"/>
  <c r="AV1846" i="1"/>
  <c r="BI1849" i="1"/>
  <c r="AE1849" i="1" s="1"/>
  <c r="J1865" i="1"/>
  <c r="BI1875" i="1"/>
  <c r="AE1875" i="1" s="1"/>
  <c r="BI1901" i="1"/>
  <c r="AE1901" i="1" s="1"/>
  <c r="AW1909" i="1"/>
  <c r="M1911" i="1"/>
  <c r="AW1926" i="1"/>
  <c r="AX1982" i="1"/>
  <c r="AW1993" i="1"/>
  <c r="AW2082" i="1"/>
  <c r="AV2082" i="1" s="1"/>
  <c r="BH2207" i="1"/>
  <c r="AD2207" i="1" s="1"/>
  <c r="AW2215" i="1"/>
  <c r="AV2215" i="1" s="1"/>
  <c r="BI2254" i="1"/>
  <c r="AE2254" i="1" s="1"/>
  <c r="AX2272" i="1"/>
  <c r="BH2310" i="1"/>
  <c r="AD2310" i="1" s="1"/>
  <c r="J2316" i="1"/>
  <c r="K2377" i="1"/>
  <c r="AX2406" i="1"/>
  <c r="AV2406" i="1" s="1"/>
  <c r="BI2473" i="1"/>
  <c r="AE2473" i="1" s="1"/>
  <c r="AX2473" i="1"/>
  <c r="AX2501" i="1"/>
  <c r="M2675" i="1"/>
  <c r="J1714" i="1"/>
  <c r="K1716" i="1"/>
  <c r="M1749" i="1"/>
  <c r="AL1819" i="1"/>
  <c r="M1828" i="1"/>
  <c r="BH1892" i="1"/>
  <c r="AD1892" i="1" s="1"/>
  <c r="M1976" i="1"/>
  <c r="BC2332" i="1"/>
  <c r="J2471" i="1"/>
  <c r="AW2471" i="1"/>
  <c r="BI2626" i="1"/>
  <c r="AG2626" i="1" s="1"/>
  <c r="AX2626" i="1"/>
  <c r="AT1696" i="1"/>
  <c r="M1710" i="1"/>
  <c r="M1716" i="1"/>
  <c r="BH1717" i="1"/>
  <c r="AD1717" i="1" s="1"/>
  <c r="M1748" i="1"/>
  <c r="BC1800" i="1"/>
  <c r="M1858" i="1"/>
  <c r="J1881" i="1"/>
  <c r="BI1892" i="1"/>
  <c r="AE1892" i="1" s="1"/>
  <c r="BH1970" i="1"/>
  <c r="AD1970" i="1" s="1"/>
  <c r="BI2021" i="1"/>
  <c r="AE2021" i="1" s="1"/>
  <c r="AL2058" i="1"/>
  <c r="AS2221" i="1"/>
  <c r="J2250" i="1"/>
  <c r="BC2312" i="1"/>
  <c r="AX2412" i="1"/>
  <c r="BI2412" i="1"/>
  <c r="AE2412" i="1" s="1"/>
  <c r="AW2474" i="1"/>
  <c r="J2474" i="1"/>
  <c r="BH2576" i="1"/>
  <c r="AF2576" i="1" s="1"/>
  <c r="AW2576" i="1"/>
  <c r="BC2576" i="1" s="1"/>
  <c r="BH2783" i="1"/>
  <c r="AB2783" i="1" s="1"/>
  <c r="J2783" i="1"/>
  <c r="AW2783" i="1"/>
  <c r="BH1591" i="1"/>
  <c r="AD1591" i="1" s="1"/>
  <c r="M1595" i="1"/>
  <c r="K1603" i="1"/>
  <c r="M1655" i="1"/>
  <c r="BH1710" i="1"/>
  <c r="AD1710" i="1" s="1"/>
  <c r="M1744" i="1"/>
  <c r="J1752" i="1"/>
  <c r="J1754" i="1"/>
  <c r="M1757" i="1"/>
  <c r="J1762" i="1"/>
  <c r="M1764" i="1"/>
  <c r="M1806" i="1"/>
  <c r="AW1815" i="1"/>
  <c r="BC1815" i="1" s="1"/>
  <c r="AW1817" i="1"/>
  <c r="J1823" i="1"/>
  <c r="M1824" i="1"/>
  <c r="AW1830" i="1"/>
  <c r="BI1831" i="1"/>
  <c r="AE1831" i="1" s="1"/>
  <c r="J1850" i="1"/>
  <c r="M1869" i="1"/>
  <c r="AW1873" i="1"/>
  <c r="J1877" i="1"/>
  <c r="M1881" i="1"/>
  <c r="AW1881" i="1"/>
  <c r="BC1881" i="1" s="1"/>
  <c r="J1902" i="1"/>
  <c r="K1920" i="1"/>
  <c r="AT2221" i="1"/>
  <c r="L2221" i="1"/>
  <c r="F61" i="2" s="1"/>
  <c r="I61" i="2" s="1"/>
  <c r="M2276" i="1"/>
  <c r="BI2316" i="1"/>
  <c r="AE2316" i="1" s="1"/>
  <c r="J2324" i="1"/>
  <c r="J2344" i="1"/>
  <c r="BH2373" i="1"/>
  <c r="AD2373" i="1" s="1"/>
  <c r="BI2377" i="1"/>
  <c r="AE2377" i="1" s="1"/>
  <c r="J2385" i="1"/>
  <c r="M2451" i="1"/>
  <c r="AL2451" i="1"/>
  <c r="BC2453" i="1"/>
  <c r="BH2512" i="1"/>
  <c r="AD2512" i="1" s="1"/>
  <c r="J2512" i="1"/>
  <c r="O2830" i="1"/>
  <c r="BF2831" i="1"/>
  <c r="M1646" i="1"/>
  <c r="AX1666" i="1"/>
  <c r="M1670" i="1"/>
  <c r="AX1683" i="1"/>
  <c r="AV1683" i="1" s="1"/>
  <c r="BH1716" i="1"/>
  <c r="AD1716" i="1" s="1"/>
  <c r="BH1722" i="1"/>
  <c r="AD1722" i="1" s="1"/>
  <c r="M1746" i="1"/>
  <c r="M1750" i="1"/>
  <c r="AW1750" i="1"/>
  <c r="M1752" i="1"/>
  <c r="M1754" i="1"/>
  <c r="M1762" i="1"/>
  <c r="AW1762" i="1"/>
  <c r="AW1766" i="1"/>
  <c r="AV1766" i="1" s="1"/>
  <c r="AW1819" i="1"/>
  <c r="BC1819" i="1" s="1"/>
  <c r="M1821" i="1"/>
  <c r="BH1835" i="1"/>
  <c r="AD1835" i="1" s="1"/>
  <c r="M1843" i="1"/>
  <c r="AW1845" i="1"/>
  <c r="AW1850" i="1"/>
  <c r="AV1906" i="1"/>
  <c r="M1907" i="1"/>
  <c r="M1920" i="1"/>
  <c r="M1926" i="1"/>
  <c r="M1963" i="1"/>
  <c r="M2051" i="1"/>
  <c r="M2290" i="1"/>
  <c r="BI2312" i="1"/>
  <c r="AE2312" i="1" s="1"/>
  <c r="K2344" i="1"/>
  <c r="BI2373" i="1"/>
  <c r="AE2373" i="1" s="1"/>
  <c r="K2398" i="1"/>
  <c r="K2420" i="1"/>
  <c r="BI2420" i="1"/>
  <c r="AE2420" i="1" s="1"/>
  <c r="AX2420" i="1"/>
  <c r="AV2420" i="1" s="1"/>
  <c r="K2635" i="1"/>
  <c r="BI2635" i="1"/>
  <c r="AG2635" i="1" s="1"/>
  <c r="AX2635" i="1"/>
  <c r="J2684" i="1"/>
  <c r="BH2684" i="1"/>
  <c r="AF2684" i="1" s="1"/>
  <c r="AW2684" i="1"/>
  <c r="M2527" i="1"/>
  <c r="BH2569" i="1"/>
  <c r="AF2569" i="1" s="1"/>
  <c r="M2496" i="1"/>
  <c r="M2518" i="1"/>
  <c r="M2538" i="1"/>
  <c r="J2587" i="1"/>
  <c r="AX2637" i="1"/>
  <c r="BC2637" i="1" s="1"/>
  <c r="M2645" i="1"/>
  <c r="AX2682" i="1"/>
  <c r="BI2736" i="1"/>
  <c r="AE2736" i="1" s="1"/>
  <c r="M2766" i="1"/>
  <c r="G84" i="2"/>
  <c r="O2791" i="1"/>
  <c r="G85" i="2" s="1"/>
  <c r="G95" i="2"/>
  <c r="M2443" i="1"/>
  <c r="J2446" i="1"/>
  <c r="BH2469" i="1"/>
  <c r="AD2469" i="1" s="1"/>
  <c r="J2479" i="1"/>
  <c r="J2500" i="1"/>
  <c r="AW2505" i="1"/>
  <c r="AW2518" i="1"/>
  <c r="AW2526" i="1"/>
  <c r="AV2526" i="1" s="1"/>
  <c r="M2554" i="1"/>
  <c r="AW2568" i="1"/>
  <c r="BC2568" i="1" s="1"/>
  <c r="BI2577" i="1"/>
  <c r="AG2577" i="1" s="1"/>
  <c r="M2583" i="1"/>
  <c r="M2587" i="1"/>
  <c r="AW2587" i="1"/>
  <c r="M2589" i="1"/>
  <c r="AW2589" i="1"/>
  <c r="AV2589" i="1" s="1"/>
  <c r="M2593" i="1"/>
  <c r="K2595" i="1"/>
  <c r="J2599" i="1"/>
  <c r="M2600" i="1"/>
  <c r="M2602" i="1"/>
  <c r="BH2603" i="1"/>
  <c r="AF2603" i="1" s="1"/>
  <c r="BH2607" i="1"/>
  <c r="AF2607" i="1" s="1"/>
  <c r="K2614" i="1"/>
  <c r="J2639" i="1"/>
  <c r="AX2645" i="1"/>
  <c r="M2666" i="1"/>
  <c r="K2688" i="1"/>
  <c r="J2690" i="1"/>
  <c r="BI2692" i="1"/>
  <c r="AG2692" i="1" s="1"/>
  <c r="J2695" i="1"/>
  <c r="M2707" i="1"/>
  <c r="M2733" i="1"/>
  <c r="M2732" i="1" s="1"/>
  <c r="J2777" i="1"/>
  <c r="M2785" i="1"/>
  <c r="AW2789" i="1"/>
  <c r="AW2479" i="1"/>
  <c r="AV2479" i="1" s="1"/>
  <c r="M2542" i="1"/>
  <c r="AW2547" i="1"/>
  <c r="K2599" i="1"/>
  <c r="AW2612" i="1"/>
  <c r="AV2612" i="1" s="1"/>
  <c r="L2699" i="1"/>
  <c r="F68" i="2" s="1"/>
  <c r="I68" i="2" s="1"/>
  <c r="BC2703" i="1"/>
  <c r="AV2711" i="1"/>
  <c r="M2736" i="1"/>
  <c r="K2803" i="1"/>
  <c r="BF2818" i="1"/>
  <c r="BH2781" i="1"/>
  <c r="AB2781" i="1" s="1"/>
  <c r="AX2783" i="1"/>
  <c r="AX2789" i="1"/>
  <c r="BI2522" i="1"/>
  <c r="AG2522" i="1" s="1"/>
  <c r="J2535" i="1"/>
  <c r="AV2537" i="1"/>
  <c r="AV2543" i="1"/>
  <c r="BH2559" i="1"/>
  <c r="AF2559" i="1" s="1"/>
  <c r="M2563" i="1"/>
  <c r="J2565" i="1"/>
  <c r="M2574" i="1"/>
  <c r="BI2576" i="1"/>
  <c r="AG2576" i="1" s="1"/>
  <c r="J2580" i="1"/>
  <c r="AL2580" i="1"/>
  <c r="BH2624" i="1"/>
  <c r="AF2624" i="1" s="1"/>
  <c r="AV2627" i="1"/>
  <c r="AL2653" i="1"/>
  <c r="M2656" i="1"/>
  <c r="AV2657" i="1"/>
  <c r="M2662" i="1"/>
  <c r="J2675" i="1"/>
  <c r="AL2675" i="1"/>
  <c r="BH2707" i="1"/>
  <c r="AB2707" i="1" s="1"/>
  <c r="BI2745" i="1"/>
  <c r="AC2745" i="1" s="1"/>
  <c r="O2808" i="1"/>
  <c r="G87" i="2" s="1"/>
  <c r="J2815" i="1"/>
  <c r="J2814" i="1" s="1"/>
  <c r="D89" i="2" s="1"/>
  <c r="O2814" i="1"/>
  <c r="G89" i="2" s="1"/>
  <c r="M2654" i="1"/>
  <c r="O2824" i="1"/>
  <c r="G93" i="2" s="1"/>
  <c r="BF2828" i="1"/>
  <c r="AV2785" i="1"/>
  <c r="AX2497" i="1"/>
  <c r="K2515" i="1"/>
  <c r="M2525" i="1"/>
  <c r="AV2525" i="1"/>
  <c r="BC2582" i="1"/>
  <c r="J2584" i="1"/>
  <c r="K2586" i="1"/>
  <c r="AX2599" i="1"/>
  <c r="BC2599" i="1" s="1"/>
  <c r="BC2646" i="1"/>
  <c r="M2681" i="1"/>
  <c r="AT2705" i="1"/>
  <c r="M2763" i="1"/>
  <c r="J2806" i="1"/>
  <c r="M2421" i="1"/>
  <c r="K2527" i="1"/>
  <c r="AL2548" i="1"/>
  <c r="M2565" i="1"/>
  <c r="J2577" i="1"/>
  <c r="M2578" i="1"/>
  <c r="AW2580" i="1"/>
  <c r="BC2580" i="1" s="1"/>
  <c r="AW2588" i="1"/>
  <c r="AW2594" i="1"/>
  <c r="BC2594" i="1" s="1"/>
  <c r="J2601" i="1"/>
  <c r="AL2601" i="1"/>
  <c r="BI2606" i="1"/>
  <c r="AG2606" i="1" s="1"/>
  <c r="M2611" i="1"/>
  <c r="AX2636" i="1"/>
  <c r="M2642" i="1"/>
  <c r="AW2651" i="1"/>
  <c r="AV2651" i="1" s="1"/>
  <c r="J2663" i="1"/>
  <c r="AL2663" i="1"/>
  <c r="M2677" i="1"/>
  <c r="J2685" i="1"/>
  <c r="AS2699" i="1"/>
  <c r="M2724" i="1"/>
  <c r="AX2724" i="1"/>
  <c r="K2736" i="1"/>
  <c r="M2796" i="1"/>
  <c r="AX2796" i="1"/>
  <c r="J2801" i="1"/>
  <c r="AX2803" i="1"/>
  <c r="AV2803" i="1" s="1"/>
  <c r="K2806" i="1"/>
  <c r="AW2815" i="1"/>
  <c r="O2819" i="1"/>
  <c r="G91" i="2" s="1"/>
  <c r="J2789" i="1"/>
  <c r="M2529" i="1"/>
  <c r="M2646" i="1"/>
  <c r="M2691" i="1"/>
  <c r="K2783" i="1"/>
  <c r="K2789" i="1"/>
  <c r="M2481" i="1"/>
  <c r="M2493" i="1"/>
  <c r="M2519" i="1"/>
  <c r="BI2521" i="1"/>
  <c r="AG2521" i="1" s="1"/>
  <c r="BI2558" i="1"/>
  <c r="AG2558" i="1" s="1"/>
  <c r="M2590" i="1"/>
  <c r="M2592" i="1"/>
  <c r="BC2607" i="1"/>
  <c r="M2619" i="1"/>
  <c r="M2671" i="1"/>
  <c r="BH2675" i="1"/>
  <c r="AF2675" i="1" s="1"/>
  <c r="J2694" i="1"/>
  <c r="BF2749" i="1"/>
  <c r="J2831" i="1"/>
  <c r="M2408" i="1"/>
  <c r="BH2439" i="1"/>
  <c r="AD2439" i="1" s="1"/>
  <c r="M2469" i="1"/>
  <c r="M2490" i="1"/>
  <c r="AW2501" i="1"/>
  <c r="AV2501" i="1" s="1"/>
  <c r="BI2525" i="1"/>
  <c r="AG2525" i="1" s="1"/>
  <c r="AW2548" i="1"/>
  <c r="M2550" i="1"/>
  <c r="M2560" i="1"/>
  <c r="BC2562" i="1"/>
  <c r="J2568" i="1"/>
  <c r="AW2571" i="1"/>
  <c r="BC2571" i="1" s="1"/>
  <c r="AW2577" i="1"/>
  <c r="BC2577" i="1" s="1"/>
  <c r="BH2592" i="1"/>
  <c r="AF2592" i="1" s="1"/>
  <c r="BI2594" i="1"/>
  <c r="AG2594" i="1" s="1"/>
  <c r="J2598" i="1"/>
  <c r="M2603" i="1"/>
  <c r="J2605" i="1"/>
  <c r="M2617" i="1"/>
  <c r="AL2637" i="1"/>
  <c r="BH2642" i="1"/>
  <c r="AF2642" i="1" s="1"/>
  <c r="AW2663" i="1"/>
  <c r="M2687" i="1"/>
  <c r="AX2689" i="1"/>
  <c r="M2694" i="1"/>
  <c r="J2700" i="1"/>
  <c r="J2699" i="1" s="1"/>
  <c r="D68" i="2" s="1"/>
  <c r="AX2709" i="1"/>
  <c r="AV2709" i="1" s="1"/>
  <c r="AW2736" i="1"/>
  <c r="BC2736" i="1" s="1"/>
  <c r="AW2806" i="1"/>
  <c r="L2817" i="1"/>
  <c r="F90" i="2" s="1"/>
  <c r="I90" i="2" s="1"/>
  <c r="AX2831" i="1"/>
  <c r="AV2831" i="1" s="1"/>
  <c r="M2783" i="1"/>
  <c r="M2789" i="1"/>
  <c r="M2825" i="1"/>
  <c r="M2824" i="1" s="1"/>
  <c r="AL2825" i="1"/>
  <c r="AU2824" i="1" s="1"/>
  <c r="AT2819" i="1"/>
  <c r="BI2825" i="1"/>
  <c r="AS2819" i="1"/>
  <c r="BH2821" i="1"/>
  <c r="M2821" i="1"/>
  <c r="AW2821" i="1"/>
  <c r="AU2819" i="1"/>
  <c r="AV2820" i="1"/>
  <c r="AV2812" i="1"/>
  <c r="BH2812" i="1"/>
  <c r="BH15" i="1"/>
  <c r="AB15" i="1" s="1"/>
  <c r="BI15" i="1"/>
  <c r="AC15" i="1" s="1"/>
  <c r="AT14" i="1"/>
  <c r="K2831" i="1"/>
  <c r="AW2832" i="1"/>
  <c r="AV2832" i="1" s="1"/>
  <c r="J2830" i="1"/>
  <c r="BH2831" i="1"/>
  <c r="AF2831" i="1" s="1"/>
  <c r="M2828" i="1"/>
  <c r="M2827" i="1" s="1"/>
  <c r="M2826" i="1" s="1"/>
  <c r="F95" i="2"/>
  <c r="I95" i="2" s="1"/>
  <c r="AW2825" i="1"/>
  <c r="BC2825" i="1" s="1"/>
  <c r="AX2823" i="1"/>
  <c r="BC2823" i="1" s="1"/>
  <c r="J2823" i="1"/>
  <c r="J2822" i="1" s="1"/>
  <c r="D92" i="2" s="1"/>
  <c r="F40" i="4"/>
  <c r="I40" i="4" s="1"/>
  <c r="M2820" i="1"/>
  <c r="L2819" i="1"/>
  <c r="F91" i="2" s="1"/>
  <c r="I91" i="2" s="1"/>
  <c r="J2820" i="1"/>
  <c r="J2819" i="1" s="1"/>
  <c r="D91" i="2" s="1"/>
  <c r="M2815" i="1"/>
  <c r="BI2815" i="1"/>
  <c r="K2815" i="1"/>
  <c r="BI2812" i="1"/>
  <c r="J2812" i="1"/>
  <c r="J2811" i="1" s="1"/>
  <c r="D88" i="2" s="1"/>
  <c r="K2812" i="1"/>
  <c r="K2811" i="1" s="1"/>
  <c r="E88" i="2" s="1"/>
  <c r="AW2810" i="1"/>
  <c r="AV2810" i="1" s="1"/>
  <c r="BH2810" i="1"/>
  <c r="BI2810" i="1"/>
  <c r="K2810" i="1"/>
  <c r="M2810" i="1"/>
  <c r="BI2806" i="1"/>
  <c r="M2806" i="1"/>
  <c r="M2803" i="1"/>
  <c r="BC2803" i="1"/>
  <c r="AT2791" i="1"/>
  <c r="M2801" i="1"/>
  <c r="AW2801" i="1"/>
  <c r="BI2796" i="1"/>
  <c r="AC2796" i="1" s="1"/>
  <c r="AW2796" i="1"/>
  <c r="BI2792" i="1"/>
  <c r="AC2792" i="1" s="1"/>
  <c r="L2791" i="1"/>
  <c r="F85" i="2" s="1"/>
  <c r="I85" i="2" s="1"/>
  <c r="K2779" i="1"/>
  <c r="K2778" i="1" s="1"/>
  <c r="E83" i="2" s="1"/>
  <c r="AV2779" i="1"/>
  <c r="AW2777" i="1"/>
  <c r="AT2774" i="1"/>
  <c r="M2775" i="1"/>
  <c r="M2774" i="1" s="1"/>
  <c r="AV2770" i="1"/>
  <c r="BC2770" i="1"/>
  <c r="K2770" i="1"/>
  <c r="AL2766" i="1"/>
  <c r="AW2766" i="1"/>
  <c r="AX2766" i="1"/>
  <c r="AS2756" i="1"/>
  <c r="AL2763" i="1"/>
  <c r="AW2741" i="1"/>
  <c r="AV2739" i="1"/>
  <c r="BI2739" i="1"/>
  <c r="AE2739" i="1" s="1"/>
  <c r="M2739" i="1"/>
  <c r="L2735" i="1"/>
  <c r="L2734" i="1" s="1"/>
  <c r="F75" i="2" s="1"/>
  <c r="K2739" i="1"/>
  <c r="AX2733" i="1"/>
  <c r="AX2730" i="1"/>
  <c r="AV2730" i="1" s="1"/>
  <c r="BH2730" i="1"/>
  <c r="AB2730" i="1" s="1"/>
  <c r="AV2726" i="1"/>
  <c r="BI2726" i="1"/>
  <c r="AC2726" i="1" s="1"/>
  <c r="L2725" i="1"/>
  <c r="F72" i="2" s="1"/>
  <c r="I72" i="2" s="1"/>
  <c r="AT2715" i="1"/>
  <c r="AX2716" i="1"/>
  <c r="BH2711" i="1"/>
  <c r="AB2711" i="1" s="1"/>
  <c r="J2711" i="1"/>
  <c r="J2710" i="1" s="1"/>
  <c r="D70" i="2" s="1"/>
  <c r="BC2711" i="1"/>
  <c r="AW2706" i="1"/>
  <c r="AV2707" i="1"/>
  <c r="AX2700" i="1"/>
  <c r="BC2700" i="1" s="1"/>
  <c r="AV2624" i="1"/>
  <c r="BC2624" i="1"/>
  <c r="AV2547" i="1"/>
  <c r="M2553" i="1"/>
  <c r="M2557" i="1"/>
  <c r="AL2566" i="1"/>
  <c r="M2575" i="1"/>
  <c r="AL2584" i="1"/>
  <c r="AL2592" i="1"/>
  <c r="BC2641" i="1"/>
  <c r="AV2648" i="1"/>
  <c r="J2520" i="1"/>
  <c r="AT2517" i="1"/>
  <c r="AW2524" i="1"/>
  <c r="J2529" i="1"/>
  <c r="AW2536" i="1"/>
  <c r="K2543" i="1"/>
  <c r="AW2544" i="1"/>
  <c r="J2546" i="1"/>
  <c r="J2549" i="1"/>
  <c r="M2556" i="1"/>
  <c r="BI2567" i="1"/>
  <c r="AG2567" i="1" s="1"/>
  <c r="AW2570" i="1"/>
  <c r="BC2570" i="1" s="1"/>
  <c r="K2574" i="1"/>
  <c r="AL2574" i="1"/>
  <c r="BI2585" i="1"/>
  <c r="AG2585" i="1" s="1"/>
  <c r="BH2589" i="1"/>
  <c r="AF2589" i="1" s="1"/>
  <c r="AW2593" i="1"/>
  <c r="AL2608" i="1"/>
  <c r="BC2612" i="1"/>
  <c r="K2618" i="1"/>
  <c r="AW2634" i="1"/>
  <c r="AX2640" i="1"/>
  <c r="BI2646" i="1"/>
  <c r="AG2646" i="1" s="1"/>
  <c r="M2657" i="1"/>
  <c r="J2660" i="1"/>
  <c r="AL2660" i="1"/>
  <c r="AX2661" i="1"/>
  <c r="BC2669" i="1"/>
  <c r="AL2671" i="1"/>
  <c r="AW2676" i="1"/>
  <c r="AX2696" i="1"/>
  <c r="AW2532" i="1"/>
  <c r="BC2532" i="1" s="1"/>
  <c r="AW2540" i="1"/>
  <c r="AV2540" i="1" s="1"/>
  <c r="AW2550" i="1"/>
  <c r="BC2550" i="1" s="1"/>
  <c r="AW2556" i="1"/>
  <c r="AW2557" i="1"/>
  <c r="AW2561" i="1"/>
  <c r="AW2575" i="1"/>
  <c r="AW2579" i="1"/>
  <c r="BC2579" i="1" s="1"/>
  <c r="AL2587" i="1"/>
  <c r="AW2615" i="1"/>
  <c r="AW2619" i="1"/>
  <c r="AW2631" i="1"/>
  <c r="AX2634" i="1"/>
  <c r="AW2653" i="1"/>
  <c r="M2674" i="1"/>
  <c r="AX2676" i="1"/>
  <c r="AW2686" i="1"/>
  <c r="M2528" i="1"/>
  <c r="BI2541" i="1"/>
  <c r="AG2541" i="1" s="1"/>
  <c r="BI2547" i="1"/>
  <c r="AG2547" i="1" s="1"/>
  <c r="J2552" i="1"/>
  <c r="BI2553" i="1"/>
  <c r="AG2553" i="1" s="1"/>
  <c r="BI2562" i="1"/>
  <c r="AG2562" i="1" s="1"/>
  <c r="AL2569" i="1"/>
  <c r="BI2580" i="1"/>
  <c r="AG2580" i="1" s="1"/>
  <c r="AW2584" i="1"/>
  <c r="BI2588" i="1"/>
  <c r="AG2588" i="1" s="1"/>
  <c r="AW2592" i="1"/>
  <c r="AV2592" i="1" s="1"/>
  <c r="J2607" i="1"/>
  <c r="AX2615" i="1"/>
  <c r="AW2618" i="1"/>
  <c r="AW2622" i="1"/>
  <c r="AV2622" i="1" s="1"/>
  <c r="AV2637" i="1"/>
  <c r="BH2644" i="1"/>
  <c r="AF2644" i="1" s="1"/>
  <c r="AX2658" i="1"/>
  <c r="AW2666" i="1"/>
  <c r="AV2666" i="1" s="1"/>
  <c r="BH2696" i="1"/>
  <c r="AF2696" i="1" s="1"/>
  <c r="AW2520" i="1"/>
  <c r="BC2520" i="1" s="1"/>
  <c r="J2522" i="1"/>
  <c r="AW2529" i="1"/>
  <c r="AV2529" i="1" s="1"/>
  <c r="AW2530" i="1"/>
  <c r="AW2531" i="1"/>
  <c r="AV2531" i="1" s="1"/>
  <c r="J2534" i="1"/>
  <c r="BI2544" i="1"/>
  <c r="AG2544" i="1" s="1"/>
  <c r="AW2546" i="1"/>
  <c r="AV2546" i="1" s="1"/>
  <c r="AW2552" i="1"/>
  <c r="AW2555" i="1"/>
  <c r="AW2565" i="1"/>
  <c r="BC2565" i="1" s="1"/>
  <c r="BI2570" i="1"/>
  <c r="AG2570" i="1" s="1"/>
  <c r="BI2571" i="1"/>
  <c r="AG2571" i="1" s="1"/>
  <c r="AW2574" i="1"/>
  <c r="BC2574" i="1" s="1"/>
  <c r="AW2583" i="1"/>
  <c r="BC2583" i="1" s="1"/>
  <c r="AW2591" i="1"/>
  <c r="AV2591" i="1" s="1"/>
  <c r="BH2593" i="1"/>
  <c r="AF2593" i="1" s="1"/>
  <c r="AW2596" i="1"/>
  <c r="AL2600" i="1"/>
  <c r="BH2601" i="1"/>
  <c r="AF2601" i="1" s="1"/>
  <c r="AL2604" i="1"/>
  <c r="BI2605" i="1"/>
  <c r="AG2605" i="1" s="1"/>
  <c r="AX2608" i="1"/>
  <c r="BH2612" i="1"/>
  <c r="AF2612" i="1" s="1"/>
  <c r="AX2618" i="1"/>
  <c r="K2624" i="1"/>
  <c r="M2625" i="1"/>
  <c r="AW2625" i="1"/>
  <c r="J2627" i="1"/>
  <c r="AX2628" i="1"/>
  <c r="BC2628" i="1" s="1"/>
  <c r="J2630" i="1"/>
  <c r="K2633" i="1"/>
  <c r="BI2644" i="1"/>
  <c r="AG2644" i="1" s="1"/>
  <c r="AX2655" i="1"/>
  <c r="J2665" i="1"/>
  <c r="M2683" i="1"/>
  <c r="AW2685" i="1"/>
  <c r="BH2691" i="1"/>
  <c r="AF2691" i="1" s="1"/>
  <c r="AW2693" i="1"/>
  <c r="K2695" i="1"/>
  <c r="AL2530" i="1"/>
  <c r="AL2523" i="1"/>
  <c r="AW2528" i="1"/>
  <c r="BC2528" i="1" s="1"/>
  <c r="AW2535" i="1"/>
  <c r="AV2535" i="1" s="1"/>
  <c r="M2536" i="1"/>
  <c r="AW2539" i="1"/>
  <c r="BH2540" i="1"/>
  <c r="AF2540" i="1" s="1"/>
  <c r="M2541" i="1"/>
  <c r="M2547" i="1"/>
  <c r="AW2549" i="1"/>
  <c r="AV2549" i="1" s="1"/>
  <c r="BH2557" i="1"/>
  <c r="AF2557" i="1" s="1"/>
  <c r="BH2575" i="1"/>
  <c r="AF2575" i="1" s="1"/>
  <c r="AL2577" i="1"/>
  <c r="BI2579" i="1"/>
  <c r="AG2579" i="1" s="1"/>
  <c r="BI2611" i="1"/>
  <c r="AG2611" i="1" s="1"/>
  <c r="AW2660" i="1"/>
  <c r="AW2673" i="1"/>
  <c r="AX2693" i="1"/>
  <c r="K2588" i="1"/>
  <c r="J2526" i="1"/>
  <c r="AW2527" i="1"/>
  <c r="BI2532" i="1"/>
  <c r="AG2532" i="1" s="1"/>
  <c r="K2538" i="1"/>
  <c r="BI2540" i="1"/>
  <c r="AG2540" i="1" s="1"/>
  <c r="BH2556" i="1"/>
  <c r="AF2556" i="1" s="1"/>
  <c r="J2563" i="1"/>
  <c r="AW2573" i="1"/>
  <c r="BC2573" i="1" s="1"/>
  <c r="J2581" i="1"/>
  <c r="BI2592" i="1"/>
  <c r="AG2592" i="1" s="1"/>
  <c r="K2598" i="1"/>
  <c r="M2610" i="1"/>
  <c r="AW2610" i="1"/>
  <c r="K2620" i="1"/>
  <c r="AX2621" i="1"/>
  <c r="AV2621" i="1" s="1"/>
  <c r="AX2633" i="1"/>
  <c r="BC2633" i="1" s="1"/>
  <c r="AL2635" i="1"/>
  <c r="AW2639" i="1"/>
  <c r="J2642" i="1"/>
  <c r="K2649" i="1"/>
  <c r="AL2662" i="1"/>
  <c r="AX2673" i="1"/>
  <c r="AX2688" i="1"/>
  <c r="AX2695" i="1"/>
  <c r="AV2695" i="1" s="1"/>
  <c r="AL2518" i="1"/>
  <c r="AW2519" i="1"/>
  <c r="BI2520" i="1"/>
  <c r="AG2520" i="1" s="1"/>
  <c r="AL2525" i="1"/>
  <c r="BI2529" i="1"/>
  <c r="AG2529" i="1" s="1"/>
  <c r="AW2534" i="1"/>
  <c r="BC2534" i="1" s="1"/>
  <c r="K2537" i="1"/>
  <c r="AW2542" i="1"/>
  <c r="BI2555" i="1"/>
  <c r="AG2555" i="1" s="1"/>
  <c r="BI2556" i="1"/>
  <c r="AG2556" i="1" s="1"/>
  <c r="AW2560" i="1"/>
  <c r="AL2563" i="1"/>
  <c r="BI2574" i="1"/>
  <c r="AG2574" i="1" s="1"/>
  <c r="AW2578" i="1"/>
  <c r="AL2581" i="1"/>
  <c r="BI2591" i="1"/>
  <c r="AG2591" i="1" s="1"/>
  <c r="AW2595" i="1"/>
  <c r="AV2595" i="1" s="1"/>
  <c r="AL2598" i="1"/>
  <c r="J2602" i="1"/>
  <c r="K2623" i="1"/>
  <c r="K2632" i="1"/>
  <c r="AL2641" i="1"/>
  <c r="AL2642" i="1"/>
  <c r="AL2646" i="1"/>
  <c r="AL2651" i="1"/>
  <c r="AX2652" i="1"/>
  <c r="BC2652" i="1" s="1"/>
  <c r="AW2682" i="1"/>
  <c r="BC2682" i="1" s="1"/>
  <c r="AW2523" i="1"/>
  <c r="BC2523" i="1" s="1"/>
  <c r="BI2530" i="1"/>
  <c r="AG2530" i="1" s="1"/>
  <c r="BI2531" i="1"/>
  <c r="AG2531" i="1" s="1"/>
  <c r="BI2535" i="1"/>
  <c r="AG2535" i="1" s="1"/>
  <c r="AW2538" i="1"/>
  <c r="BC2538" i="1" s="1"/>
  <c r="AW2545" i="1"/>
  <c r="BI2564" i="1"/>
  <c r="AG2564" i="1" s="1"/>
  <c r="BI2565" i="1"/>
  <c r="AG2565" i="1" s="1"/>
  <c r="K2571" i="1"/>
  <c r="BI2582" i="1"/>
  <c r="AG2582" i="1" s="1"/>
  <c r="BI2583" i="1"/>
  <c r="AG2583" i="1" s="1"/>
  <c r="AL2602" i="1"/>
  <c r="K2606" i="1"/>
  <c r="AV2606" i="1"/>
  <c r="AL2626" i="1"/>
  <c r="BC2627" i="1"/>
  <c r="AL2629" i="1"/>
  <c r="BH2636" i="1"/>
  <c r="AF2636" i="1" s="1"/>
  <c r="AX2649" i="1"/>
  <c r="BH2665" i="1"/>
  <c r="AF2665" i="1" s="1"/>
  <c r="M2680" i="1"/>
  <c r="AX2690" i="1"/>
  <c r="BC2690" i="1" s="1"/>
  <c r="BC2525" i="1"/>
  <c r="BI2527" i="1"/>
  <c r="AG2527" i="1" s="1"/>
  <c r="M2539" i="1"/>
  <c r="K2562" i="1"/>
  <c r="AL2571" i="1"/>
  <c r="BI2573" i="1"/>
  <c r="AG2573" i="1" s="1"/>
  <c r="K2580" i="1"/>
  <c r="BC2603" i="1"/>
  <c r="BH2633" i="1"/>
  <c r="AF2633" i="1" s="1"/>
  <c r="BI2643" i="1"/>
  <c r="AG2643" i="1" s="1"/>
  <c r="AV2654" i="1"/>
  <c r="BI2685" i="1"/>
  <c r="AG2685" i="1" s="1"/>
  <c r="BH2695" i="1"/>
  <c r="AF2695" i="1" s="1"/>
  <c r="BC2518" i="1"/>
  <c r="BI2528" i="1"/>
  <c r="AG2528" i="1" s="1"/>
  <c r="K2530" i="1"/>
  <c r="K2541" i="1"/>
  <c r="J2544" i="1"/>
  <c r="K2553" i="1"/>
  <c r="AW2567" i="1"/>
  <c r="BC2567" i="1" s="1"/>
  <c r="BC2585" i="1"/>
  <c r="BI2586" i="1"/>
  <c r="AG2586" i="1" s="1"/>
  <c r="BC2589" i="1"/>
  <c r="AW2598" i="1"/>
  <c r="M2606" i="1"/>
  <c r="AW2613" i="1"/>
  <c r="M2614" i="1"/>
  <c r="BH2630" i="1"/>
  <c r="AF2630" i="1" s="1"/>
  <c r="M2665" i="1"/>
  <c r="AX2515" i="1"/>
  <c r="BC2515" i="1" s="1"/>
  <c r="BH2515" i="1"/>
  <c r="J2515" i="1"/>
  <c r="AX2514" i="1"/>
  <c r="BI2512" i="1"/>
  <c r="AE2512" i="1" s="1"/>
  <c r="BH2511" i="1"/>
  <c r="M2510" i="1"/>
  <c r="AW2512" i="1"/>
  <c r="BC2512" i="1" s="1"/>
  <c r="J2511" i="1"/>
  <c r="AX2505" i="1"/>
  <c r="BH2507" i="1"/>
  <c r="AD2507" i="1" s="1"/>
  <c r="BI2505" i="1"/>
  <c r="AE2505" i="1" s="1"/>
  <c r="J2507" i="1"/>
  <c r="AX2506" i="1"/>
  <c r="M2499" i="1"/>
  <c r="AX2499" i="1"/>
  <c r="M2502" i="1"/>
  <c r="J2503" i="1"/>
  <c r="BH2503" i="1"/>
  <c r="AD2503" i="1" s="1"/>
  <c r="BH2500" i="1"/>
  <c r="AD2500" i="1" s="1"/>
  <c r="J2497" i="1"/>
  <c r="BH2489" i="1"/>
  <c r="AD2489" i="1" s="1"/>
  <c r="AW2488" i="1"/>
  <c r="BI2491" i="1"/>
  <c r="AE2491" i="1" s="1"/>
  <c r="AX2495" i="1"/>
  <c r="K2491" i="1"/>
  <c r="M2489" i="1"/>
  <c r="J2487" i="1"/>
  <c r="AX2488" i="1"/>
  <c r="AW2497" i="1"/>
  <c r="M2495" i="1"/>
  <c r="M2487" i="1"/>
  <c r="BH2488" i="1"/>
  <c r="AD2488" i="1" s="1"/>
  <c r="AX2492" i="1"/>
  <c r="BI2490" i="1"/>
  <c r="AE2490" i="1" s="1"/>
  <c r="BH2492" i="1"/>
  <c r="AD2492" i="1" s="1"/>
  <c r="J2493" i="1"/>
  <c r="AW2483" i="1"/>
  <c r="AX2483" i="1"/>
  <c r="BH2483" i="1"/>
  <c r="AD2483" i="1" s="1"/>
  <c r="BI2483" i="1"/>
  <c r="AE2483" i="1" s="1"/>
  <c r="BH2481" i="1"/>
  <c r="AD2481" i="1" s="1"/>
  <c r="BC2479" i="1"/>
  <c r="AX2477" i="1"/>
  <c r="BC2477" i="1" s="1"/>
  <c r="K2476" i="1"/>
  <c r="AX2476" i="1"/>
  <c r="BC2476" i="1" s="1"/>
  <c r="BI2477" i="1"/>
  <c r="AE2477" i="1" s="1"/>
  <c r="BH2476" i="1"/>
  <c r="AD2476" i="1" s="1"/>
  <c r="M2476" i="1"/>
  <c r="BI2470" i="1"/>
  <c r="AE2470" i="1" s="1"/>
  <c r="J2469" i="1"/>
  <c r="K2470" i="1"/>
  <c r="AL2470" i="1"/>
  <c r="BC2470" i="1"/>
  <c r="AV2469" i="1"/>
  <c r="BH2474" i="1"/>
  <c r="AD2474" i="1" s="1"/>
  <c r="M2454" i="1"/>
  <c r="M2464" i="1"/>
  <c r="BH2457" i="1"/>
  <c r="AD2457" i="1" s="1"/>
  <c r="AW2459" i="1"/>
  <c r="AX2462" i="1"/>
  <c r="AV2462" i="1" s="1"/>
  <c r="BH2454" i="1"/>
  <c r="AD2454" i="1" s="1"/>
  <c r="AW2456" i="1"/>
  <c r="AX2459" i="1"/>
  <c r="BH2451" i="1"/>
  <c r="AD2451" i="1" s="1"/>
  <c r="AV2453" i="1"/>
  <c r="BI2462" i="1"/>
  <c r="AE2462" i="1" s="1"/>
  <c r="BI2461" i="1"/>
  <c r="AE2461" i="1" s="1"/>
  <c r="AW2463" i="1"/>
  <c r="AV2463" i="1" s="1"/>
  <c r="BI2458" i="1"/>
  <c r="AE2458" i="1" s="1"/>
  <c r="BI2455" i="1"/>
  <c r="AE2455" i="1" s="1"/>
  <c r="J2457" i="1"/>
  <c r="J2454" i="1"/>
  <c r="AW2449" i="1"/>
  <c r="M2446" i="1"/>
  <c r="K2445" i="1"/>
  <c r="AX2445" i="1"/>
  <c r="AV2445" i="1" s="1"/>
  <c r="BH2443" i="1"/>
  <c r="AD2443" i="1" s="1"/>
  <c r="AW2442" i="1"/>
  <c r="BI2440" i="1"/>
  <c r="AE2440" i="1" s="1"/>
  <c r="K2440" i="1"/>
  <c r="AV2437" i="1"/>
  <c r="AX2431" i="1"/>
  <c r="BC2431" i="1" s="1"/>
  <c r="BI2431" i="1"/>
  <c r="AE2431" i="1" s="1"/>
  <c r="BH2427" i="1"/>
  <c r="AD2427" i="1" s="1"/>
  <c r="M2427" i="1"/>
  <c r="AX2425" i="1"/>
  <c r="AL2421" i="1"/>
  <c r="BH2421" i="1"/>
  <c r="AD2421" i="1" s="1"/>
  <c r="K2416" i="1"/>
  <c r="M2417" i="1"/>
  <c r="BH2414" i="1"/>
  <c r="AD2414" i="1" s="1"/>
  <c r="AX2416" i="1"/>
  <c r="M2414" i="1"/>
  <c r="AL2408" i="1"/>
  <c r="J2404" i="1"/>
  <c r="M2403" i="1"/>
  <c r="AW2400" i="1"/>
  <c r="AX2400" i="1"/>
  <c r="AW2402" i="1"/>
  <c r="AX2402" i="1"/>
  <c r="BH2400" i="1"/>
  <c r="AD2400" i="1" s="1"/>
  <c r="M2400" i="1"/>
  <c r="K2395" i="1"/>
  <c r="J2394" i="1"/>
  <c r="BI2395" i="1"/>
  <c r="AE2395" i="1" s="1"/>
  <c r="BH2398" i="1"/>
  <c r="AD2398" i="1" s="1"/>
  <c r="AW2397" i="1"/>
  <c r="BH2394" i="1"/>
  <c r="J2390" i="1"/>
  <c r="K2390" i="1"/>
  <c r="BH2390" i="1"/>
  <c r="AD2390" i="1" s="1"/>
  <c r="BH2385" i="1"/>
  <c r="AX2384" i="1"/>
  <c r="AX2382" i="1"/>
  <c r="AV2382" i="1" s="1"/>
  <c r="BH2384" i="1"/>
  <c r="AD2384" i="1" s="1"/>
  <c r="BH2382" i="1"/>
  <c r="AD2382" i="1" s="1"/>
  <c r="BH2381" i="1"/>
  <c r="AD2381" i="1" s="1"/>
  <c r="AV2385" i="1"/>
  <c r="AV2377" i="1"/>
  <c r="BC2377" i="1"/>
  <c r="J2371" i="1"/>
  <c r="AX2376" i="1"/>
  <c r="BH2377" i="1"/>
  <c r="AD2377" i="1" s="1"/>
  <c r="BH2374" i="1"/>
  <c r="AD2374" i="1" s="1"/>
  <c r="J2369" i="1"/>
  <c r="BH2369" i="1"/>
  <c r="AD2369" i="1" s="1"/>
  <c r="AX2364" i="1"/>
  <c r="AV2364" i="1" s="1"/>
  <c r="J2364" i="1"/>
  <c r="AX2361" i="1"/>
  <c r="BH2361" i="1"/>
  <c r="AD2361" i="1" s="1"/>
  <c r="AX2357" i="1"/>
  <c r="AV2357" i="1" s="1"/>
  <c r="BH2357" i="1"/>
  <c r="AD2357" i="1" s="1"/>
  <c r="AX2351" i="1"/>
  <c r="AV2352" i="1"/>
  <c r="AX2348" i="1"/>
  <c r="AV2348" i="1" s="1"/>
  <c r="BH2348" i="1"/>
  <c r="AD2348" i="1" s="1"/>
  <c r="BI2348" i="1"/>
  <c r="AE2348" i="1" s="1"/>
  <c r="BC2346" i="1"/>
  <c r="J2341" i="1"/>
  <c r="BH2341" i="1"/>
  <c r="AD2341" i="1" s="1"/>
  <c r="AX2344" i="1"/>
  <c r="BC2344" i="1" s="1"/>
  <c r="BH2343" i="1"/>
  <c r="AD2343" i="1" s="1"/>
  <c r="K2338" i="1"/>
  <c r="AX2338" i="1"/>
  <c r="J2334" i="1"/>
  <c r="BH2332" i="1"/>
  <c r="AD2332" i="1" s="1"/>
  <c r="J2332" i="1"/>
  <c r="AV2332" i="1"/>
  <c r="BH2330" i="1"/>
  <c r="AD2330" i="1" s="1"/>
  <c r="J2330" i="1"/>
  <c r="AV2329" i="1"/>
  <c r="BI2330" i="1"/>
  <c r="AE2330" i="1" s="1"/>
  <c r="BH2329" i="1"/>
  <c r="AD2329" i="1" s="1"/>
  <c r="BH2324" i="1"/>
  <c r="AD2324" i="1" s="1"/>
  <c r="J2318" i="1"/>
  <c r="AX2320" i="1"/>
  <c r="BC2318" i="1"/>
  <c r="J2317" i="1"/>
  <c r="AX2317" i="1"/>
  <c r="BC2317" i="1" s="1"/>
  <c r="BH2317" i="1"/>
  <c r="AD2317" i="1" s="1"/>
  <c r="AV2314" i="1"/>
  <c r="J2312" i="1"/>
  <c r="K2312" i="1"/>
  <c r="BH2312" i="1"/>
  <c r="AD2312" i="1" s="1"/>
  <c r="BI2310" i="1"/>
  <c r="AE2310" i="1" s="1"/>
  <c r="K2308" i="1"/>
  <c r="AV2308" i="1"/>
  <c r="BI2308" i="1"/>
  <c r="AE2308" i="1" s="1"/>
  <c r="AL2303" i="1"/>
  <c r="AX2303" i="1"/>
  <c r="BH2306" i="1"/>
  <c r="AD2306" i="1" s="1"/>
  <c r="BC2305" i="1"/>
  <c r="J2300" i="1"/>
  <c r="K2297" i="1"/>
  <c r="AX2297" i="1"/>
  <c r="M2297" i="1"/>
  <c r="BH2295" i="1"/>
  <c r="AD2295" i="1" s="1"/>
  <c r="BI2292" i="1"/>
  <c r="AE2292" i="1" s="1"/>
  <c r="J2292" i="1"/>
  <c r="K2292" i="1"/>
  <c r="AV2292" i="1"/>
  <c r="AX2290" i="1"/>
  <c r="AX2287" i="1"/>
  <c r="BH2290" i="1"/>
  <c r="AD2290" i="1" s="1"/>
  <c r="BI2290" i="1"/>
  <c r="AE2290" i="1" s="1"/>
  <c r="K2278" i="1"/>
  <c r="AX2278" i="1"/>
  <c r="AX2276" i="1"/>
  <c r="AV2272" i="1"/>
  <c r="BH2272" i="1"/>
  <c r="AD2272" i="1" s="1"/>
  <c r="BH2271" i="1"/>
  <c r="AD2271" i="1" s="1"/>
  <c r="K2250" i="1"/>
  <c r="AX2250" i="1"/>
  <c r="K2248" i="1"/>
  <c r="AX2248" i="1"/>
  <c r="BC2248" i="1" s="1"/>
  <c r="BC2245" i="1"/>
  <c r="AT2225" i="1"/>
  <c r="AX2242" i="1"/>
  <c r="BC2233" i="1"/>
  <c r="AV2233" i="1"/>
  <c r="BI2233" i="1"/>
  <c r="AE2233" i="1" s="1"/>
  <c r="M2228" i="1"/>
  <c r="J2226" i="1"/>
  <c r="AS2225" i="1"/>
  <c r="BI2223" i="1"/>
  <c r="AE2223" i="1" s="1"/>
  <c r="BH2222" i="1"/>
  <c r="AD2222" i="1" s="1"/>
  <c r="J2223" i="1"/>
  <c r="J2221" i="1" s="1"/>
  <c r="D61" i="2" s="1"/>
  <c r="AW2224" i="1"/>
  <c r="BH2224" i="1"/>
  <c r="BC2220" i="1"/>
  <c r="O2216" i="1"/>
  <c r="G60" i="2" s="1"/>
  <c r="AT2216" i="1"/>
  <c r="M2220" i="1"/>
  <c r="AS2216" i="1"/>
  <c r="J2212" i="1"/>
  <c r="D59" i="2" s="1"/>
  <c r="BC2214" i="1"/>
  <c r="AV2214" i="1"/>
  <c r="BC2215" i="1"/>
  <c r="K2214" i="1"/>
  <c r="AS2212" i="1"/>
  <c r="AT2212" i="1"/>
  <c r="BH2215" i="1"/>
  <c r="L2136" i="1"/>
  <c r="F58" i="2" s="1"/>
  <c r="I58" i="2" s="1"/>
  <c r="M2209" i="1"/>
  <c r="BC2209" i="1"/>
  <c r="J2207" i="1"/>
  <c r="K2207" i="1"/>
  <c r="AX2207" i="1"/>
  <c r="BC2207" i="1" s="1"/>
  <c r="AT2136" i="1"/>
  <c r="M2135" i="1"/>
  <c r="AX2132" i="1"/>
  <c r="AV2132" i="1" s="1"/>
  <c r="BI2132" i="1"/>
  <c r="AE2132" i="1" s="1"/>
  <c r="M2132" i="1"/>
  <c r="AS2089" i="1"/>
  <c r="M2090" i="1"/>
  <c r="AW2090" i="1"/>
  <c r="AT2089" i="1"/>
  <c r="BH2090" i="1"/>
  <c r="AD2090" i="1" s="1"/>
  <c r="AX2088" i="1"/>
  <c r="BI2088" i="1"/>
  <c r="AW2086" i="1"/>
  <c r="BH2086" i="1"/>
  <c r="AD2086" i="1" s="1"/>
  <c r="AL2084" i="1"/>
  <c r="M2082" i="1"/>
  <c r="BI2079" i="1"/>
  <c r="AE2079" i="1" s="1"/>
  <c r="AX2058" i="1"/>
  <c r="BI2058" i="1"/>
  <c r="AE2058" i="1" s="1"/>
  <c r="AW2055" i="1"/>
  <c r="BI2055" i="1"/>
  <c r="AE2055" i="1" s="1"/>
  <c r="AL2051" i="1"/>
  <c r="BI2047" i="1"/>
  <c r="AE2047" i="1" s="1"/>
  <c r="BI2044" i="1"/>
  <c r="AE2044" i="1" s="1"/>
  <c r="M2026" i="1"/>
  <c r="AS2025" i="1"/>
  <c r="AT2025" i="1"/>
  <c r="AX2026" i="1"/>
  <c r="AX2024" i="1"/>
  <c r="BC2024" i="1" s="1"/>
  <c r="BI2024" i="1"/>
  <c r="M2024" i="1"/>
  <c r="AS1992" i="1"/>
  <c r="AT1992" i="1"/>
  <c r="M2010" i="1"/>
  <c r="AV2010" i="1"/>
  <c r="AW2003" i="1"/>
  <c r="BC2003" i="1" s="1"/>
  <c r="AX1993" i="1"/>
  <c r="BC1993" i="1" s="1"/>
  <c r="BI1993" i="1"/>
  <c r="AE1993" i="1" s="1"/>
  <c r="M1993" i="1"/>
  <c r="K1991" i="1"/>
  <c r="M1991" i="1"/>
  <c r="AW1988" i="1"/>
  <c r="BI1988" i="1"/>
  <c r="AE1988" i="1" s="1"/>
  <c r="M1985" i="1"/>
  <c r="AW1982" i="1"/>
  <c r="AV1982" i="1" s="1"/>
  <c r="BH1982" i="1"/>
  <c r="AD1982" i="1" s="1"/>
  <c r="M1982" i="1"/>
  <c r="AX1973" i="1"/>
  <c r="AV1973" i="1" s="1"/>
  <c r="BH1973" i="1"/>
  <c r="AD1973" i="1" s="1"/>
  <c r="BI1973" i="1"/>
  <c r="AE1973" i="1" s="1"/>
  <c r="M1973" i="1"/>
  <c r="K1970" i="1"/>
  <c r="BI1970" i="1"/>
  <c r="AE1970" i="1" s="1"/>
  <c r="BI1967" i="1"/>
  <c r="AE1967" i="1" s="1"/>
  <c r="AW1963" i="1"/>
  <c r="BC1963" i="1" s="1"/>
  <c r="K1960" i="1"/>
  <c r="AX1956" i="1"/>
  <c r="BI1956" i="1"/>
  <c r="AE1956" i="1" s="1"/>
  <c r="M1956" i="1"/>
  <c r="AW1951" i="1"/>
  <c r="BC1951" i="1" s="1"/>
  <c r="BH1951" i="1"/>
  <c r="AD1951" i="1" s="1"/>
  <c r="BI1951" i="1"/>
  <c r="AE1951" i="1" s="1"/>
  <c r="J1950" i="1"/>
  <c r="BH1950" i="1"/>
  <c r="AD1950" i="1" s="1"/>
  <c r="M1948" i="1"/>
  <c r="J1946" i="1"/>
  <c r="AW1946" i="1"/>
  <c r="AV1946" i="1" s="1"/>
  <c r="AW1932" i="1"/>
  <c r="M1932" i="1"/>
  <c r="BI1930" i="1"/>
  <c r="AE1930" i="1" s="1"/>
  <c r="AL1928" i="1"/>
  <c r="BI1926" i="1"/>
  <c r="AE1926" i="1" s="1"/>
  <c r="BC1926" i="1"/>
  <c r="K1924" i="1"/>
  <c r="BH1924" i="1"/>
  <c r="AD1924" i="1" s="1"/>
  <c r="BI1924" i="1"/>
  <c r="AE1924" i="1" s="1"/>
  <c r="M1922" i="1"/>
  <c r="AW1920" i="1"/>
  <c r="AV1920" i="1" s="1"/>
  <c r="M1915" i="1"/>
  <c r="AV1913" i="1"/>
  <c r="BI1913" i="1"/>
  <c r="AE1913" i="1" s="1"/>
  <c r="AW1890" i="1"/>
  <c r="M1898" i="1"/>
  <c r="M1910" i="1"/>
  <c r="K1901" i="1"/>
  <c r="AW1910" i="1"/>
  <c r="BC1910" i="1" s="1"/>
  <c r="K1887" i="1"/>
  <c r="K1892" i="1"/>
  <c r="BI1894" i="1"/>
  <c r="AE1894" i="1" s="1"/>
  <c r="AW1898" i="1"/>
  <c r="AV1898" i="1" s="1"/>
  <c r="AL1901" i="1"/>
  <c r="K1902" i="1"/>
  <c r="AX1903" i="1"/>
  <c r="BI1905" i="1"/>
  <c r="AE1905" i="1" s="1"/>
  <c r="BI1895" i="1"/>
  <c r="AE1895" i="1" s="1"/>
  <c r="AW1897" i="1"/>
  <c r="BC1897" i="1" s="1"/>
  <c r="BI1904" i="1"/>
  <c r="AE1904" i="1" s="1"/>
  <c r="AW1907" i="1"/>
  <c r="BC1909" i="1"/>
  <c r="BI1903" i="1"/>
  <c r="AE1903" i="1" s="1"/>
  <c r="BH1910" i="1"/>
  <c r="AD1910" i="1" s="1"/>
  <c r="BI1911" i="1"/>
  <c r="AE1911" i="1" s="1"/>
  <c r="AV1892" i="1"/>
  <c r="AV1901" i="1"/>
  <c r="BI1898" i="1"/>
  <c r="AE1898" i="1" s="1"/>
  <c r="AW1900" i="1"/>
  <c r="AW1891" i="1"/>
  <c r="BC1891" i="1" s="1"/>
  <c r="AL1895" i="1"/>
  <c r="AL1905" i="1"/>
  <c r="M1906" i="1"/>
  <c r="AV1911" i="1"/>
  <c r="K1904" i="1"/>
  <c r="K1911" i="1"/>
  <c r="AV1895" i="1"/>
  <c r="BI1900" i="1"/>
  <c r="AE1900" i="1" s="1"/>
  <c r="AV1905" i="1"/>
  <c r="BC1904" i="1"/>
  <c r="AW1885" i="1"/>
  <c r="BI1885" i="1"/>
  <c r="AE1885" i="1" s="1"/>
  <c r="AW1883" i="1"/>
  <c r="AL1881" i="1"/>
  <c r="BI1881" i="1"/>
  <c r="AE1881" i="1" s="1"/>
  <c r="K1881" i="1"/>
  <c r="AW1879" i="1"/>
  <c r="BC1879" i="1" s="1"/>
  <c r="BI1879" i="1"/>
  <c r="AE1879" i="1" s="1"/>
  <c r="BH1875" i="1"/>
  <c r="AD1875" i="1" s="1"/>
  <c r="AL1875" i="1"/>
  <c r="AV1875" i="1"/>
  <c r="K1873" i="1"/>
  <c r="BI1873" i="1"/>
  <c r="AE1873" i="1" s="1"/>
  <c r="AW1871" i="1"/>
  <c r="AL1869" i="1"/>
  <c r="AW1863" i="1"/>
  <c r="BC1863" i="1" s="1"/>
  <c r="BI1863" i="1"/>
  <c r="AE1863" i="1" s="1"/>
  <c r="AW1861" i="1"/>
  <c r="BI1861" i="1"/>
  <c r="AE1861" i="1" s="1"/>
  <c r="K1861" i="1"/>
  <c r="AL1806" i="1"/>
  <c r="K1818" i="1"/>
  <c r="AL1821" i="1"/>
  <c r="M1822" i="1"/>
  <c r="K1825" i="1"/>
  <c r="AW1826" i="1"/>
  <c r="BI1834" i="1"/>
  <c r="AE1834" i="1" s="1"/>
  <c r="AW1836" i="1"/>
  <c r="M1840" i="1"/>
  <c r="K1843" i="1"/>
  <c r="AW1852" i="1"/>
  <c r="BC1852" i="1" s="1"/>
  <c r="BH1853" i="1"/>
  <c r="AD1853" i="1" s="1"/>
  <c r="AW1856" i="1"/>
  <c r="K1848" i="1"/>
  <c r="AW1797" i="1"/>
  <c r="K1806" i="1"/>
  <c r="AW1809" i="1"/>
  <c r="K1821" i="1"/>
  <c r="AV1822" i="1"/>
  <c r="AW1821" i="1"/>
  <c r="BI1836" i="1"/>
  <c r="AE1836" i="1" s="1"/>
  <c r="BI1837" i="1"/>
  <c r="AE1837" i="1" s="1"/>
  <c r="AW1839" i="1"/>
  <c r="AV1839" i="1" s="1"/>
  <c r="AW1855" i="1"/>
  <c r="BC1855" i="1" s="1"/>
  <c r="BH1856" i="1"/>
  <c r="AD1856" i="1" s="1"/>
  <c r="AL1858" i="1"/>
  <c r="AW1794" i="1"/>
  <c r="BI1797" i="1"/>
  <c r="AE1797" i="1" s="1"/>
  <c r="AW1806" i="1"/>
  <c r="AS1813" i="1"/>
  <c r="M1816" i="1"/>
  <c r="AW1825" i="1"/>
  <c r="BC1825" i="1" s="1"/>
  <c r="AL1831" i="1"/>
  <c r="AW1832" i="1"/>
  <c r="AW1843" i="1"/>
  <c r="BC1843" i="1" s="1"/>
  <c r="AL1846" i="1"/>
  <c r="AW1847" i="1"/>
  <c r="BI1851" i="1"/>
  <c r="AE1851" i="1" s="1"/>
  <c r="BI1852" i="1"/>
  <c r="AE1852" i="1" s="1"/>
  <c r="AW1854" i="1"/>
  <c r="AS1777" i="1"/>
  <c r="BI1809" i="1"/>
  <c r="AE1809" i="1" s="1"/>
  <c r="J1814" i="1"/>
  <c r="BI1818" i="1"/>
  <c r="AE1818" i="1" s="1"/>
  <c r="AL1827" i="1"/>
  <c r="AV1828" i="1"/>
  <c r="BI1840" i="1"/>
  <c r="AE1840" i="1" s="1"/>
  <c r="AW1842" i="1"/>
  <c r="J1849" i="1"/>
  <c r="L1777" i="1"/>
  <c r="F52" i="2" s="1"/>
  <c r="I52" i="2" s="1"/>
  <c r="AW1814" i="1"/>
  <c r="BI1821" i="1"/>
  <c r="AE1821" i="1" s="1"/>
  <c r="BI1822" i="1"/>
  <c r="AE1822" i="1" s="1"/>
  <c r="K1834" i="1"/>
  <c r="BI1839" i="1"/>
  <c r="AE1839" i="1" s="1"/>
  <c r="J1794" i="1"/>
  <c r="BI1819" i="1"/>
  <c r="AE1819" i="1" s="1"/>
  <c r="BI1833" i="1"/>
  <c r="AE1833" i="1" s="1"/>
  <c r="BI1848" i="1"/>
  <c r="AE1848" i="1" s="1"/>
  <c r="AV1855" i="1"/>
  <c r="AW1778" i="1"/>
  <c r="BI1806" i="1"/>
  <c r="AE1806" i="1" s="1"/>
  <c r="K1816" i="1"/>
  <c r="K1837" i="1"/>
  <c r="J1852" i="1"/>
  <c r="BI1854" i="1"/>
  <c r="AE1854" i="1" s="1"/>
  <c r="BI1855" i="1"/>
  <c r="AE1855" i="1" s="1"/>
  <c r="BC1857" i="1"/>
  <c r="K1819" i="1"/>
  <c r="AL1837" i="1"/>
  <c r="AL1797" i="1"/>
  <c r="AV1800" i="1"/>
  <c r="AV1816" i="1"/>
  <c r="BI1858" i="1"/>
  <c r="AE1858" i="1" s="1"/>
  <c r="AL1818" i="1"/>
  <c r="J1825" i="1"/>
  <c r="J1843" i="1"/>
  <c r="K1855" i="1"/>
  <c r="J1776" i="1"/>
  <c r="M1776" i="1"/>
  <c r="AW1776" i="1"/>
  <c r="AT1767" i="1"/>
  <c r="AW1744" i="1"/>
  <c r="BH1731" i="1"/>
  <c r="AD1731" i="1" s="1"/>
  <c r="BC1740" i="1"/>
  <c r="BC1750" i="1"/>
  <c r="BI1751" i="1"/>
  <c r="AE1751" i="1" s="1"/>
  <c r="BC1759" i="1"/>
  <c r="M1743" i="1"/>
  <c r="AW1746" i="1"/>
  <c r="M1751" i="1"/>
  <c r="AW1758" i="1"/>
  <c r="BC1758" i="1" s="1"/>
  <c r="AW1768" i="1"/>
  <c r="BC1768" i="1" s="1"/>
  <c r="M1731" i="1"/>
  <c r="AW1738" i="1"/>
  <c r="BC1738" i="1" s="1"/>
  <c r="AW1742" i="1"/>
  <c r="J1748" i="1"/>
  <c r="BC1748" i="1"/>
  <c r="AW1749" i="1"/>
  <c r="AW1753" i="1"/>
  <c r="AW1764" i="1"/>
  <c r="BC1764" i="1" s="1"/>
  <c r="J1732" i="1"/>
  <c r="AW1743" i="1"/>
  <c r="AW1752" i="1"/>
  <c r="BI1759" i="1"/>
  <c r="AE1759" i="1" s="1"/>
  <c r="AW1761" i="1"/>
  <c r="K1766" i="1"/>
  <c r="AW1741" i="1"/>
  <c r="BC1741" i="1" s="1"/>
  <c r="M1745" i="1"/>
  <c r="BI1753" i="1"/>
  <c r="AE1753" i="1" s="1"/>
  <c r="K1736" i="1"/>
  <c r="BI1738" i="1"/>
  <c r="AE1738" i="1" s="1"/>
  <c r="BI1743" i="1"/>
  <c r="AE1743" i="1" s="1"/>
  <c r="BI1749" i="1"/>
  <c r="AE1749" i="1" s="1"/>
  <c r="AW1757" i="1"/>
  <c r="BC1757" i="1" s="1"/>
  <c r="J1731" i="1"/>
  <c r="BI1742" i="1"/>
  <c r="AE1742" i="1" s="1"/>
  <c r="K1747" i="1"/>
  <c r="AW1751" i="1"/>
  <c r="K1759" i="1"/>
  <c r="AW1760" i="1"/>
  <c r="BC1760" i="1" s="1"/>
  <c r="BI1761" i="1"/>
  <c r="AE1761" i="1" s="1"/>
  <c r="M1742" i="1"/>
  <c r="J1744" i="1"/>
  <c r="M1747" i="1"/>
  <c r="BC1747" i="1"/>
  <c r="J1753" i="1"/>
  <c r="AW1754" i="1"/>
  <c r="M1761" i="1"/>
  <c r="BI1763" i="1"/>
  <c r="AE1763" i="1" s="1"/>
  <c r="BI1766" i="1"/>
  <c r="M1698" i="1"/>
  <c r="BH1707" i="1"/>
  <c r="AD1707" i="1" s="1"/>
  <c r="BI1710" i="1"/>
  <c r="AE1710" i="1" s="1"/>
  <c r="BH1698" i="1"/>
  <c r="AD1698" i="1" s="1"/>
  <c r="BH1699" i="1"/>
  <c r="AD1699" i="1" s="1"/>
  <c r="BH1705" i="1"/>
  <c r="AD1705" i="1" s="1"/>
  <c r="BI1707" i="1"/>
  <c r="AE1707" i="1" s="1"/>
  <c r="J1717" i="1"/>
  <c r="K1720" i="1"/>
  <c r="BI1698" i="1"/>
  <c r="AE1698" i="1" s="1"/>
  <c r="BI1699" i="1"/>
  <c r="AE1699" i="1" s="1"/>
  <c r="BH1701" i="1"/>
  <c r="AD1701" i="1" s="1"/>
  <c r="BH1702" i="1"/>
  <c r="AD1702" i="1" s="1"/>
  <c r="BH1704" i="1"/>
  <c r="AD1704" i="1" s="1"/>
  <c r="BI1705" i="1"/>
  <c r="AE1705" i="1" s="1"/>
  <c r="BI1701" i="1"/>
  <c r="AE1701" i="1" s="1"/>
  <c r="BI1702" i="1"/>
  <c r="AE1702" i="1" s="1"/>
  <c r="BI1704" i="1"/>
  <c r="AE1704" i="1" s="1"/>
  <c r="M1707" i="1"/>
  <c r="J1711" i="1"/>
  <c r="K1714" i="1"/>
  <c r="J1719" i="1"/>
  <c r="K1722" i="1"/>
  <c r="J1708" i="1"/>
  <c r="K1711" i="1"/>
  <c r="J1716" i="1"/>
  <c r="K1719" i="1"/>
  <c r="AL1719" i="1"/>
  <c r="BH1723" i="1"/>
  <c r="K1699" i="1"/>
  <c r="J1702" i="1"/>
  <c r="J1705" i="1"/>
  <c r="BC1708" i="1"/>
  <c r="J1710" i="1"/>
  <c r="K1713" i="1"/>
  <c r="K1710" i="1"/>
  <c r="AL1710" i="1"/>
  <c r="BH1720" i="1"/>
  <c r="AD1720" i="1" s="1"/>
  <c r="J1698" i="1"/>
  <c r="K1698" i="1"/>
  <c r="J1701" i="1"/>
  <c r="K1707" i="1"/>
  <c r="M1693" i="1"/>
  <c r="J1694" i="1"/>
  <c r="BC1694" i="1"/>
  <c r="J1693" i="1"/>
  <c r="BH1693" i="1"/>
  <c r="AD1693" i="1" s="1"/>
  <c r="BH1689" i="1"/>
  <c r="AD1689" i="1" s="1"/>
  <c r="BC1683" i="1"/>
  <c r="K1681" i="1"/>
  <c r="AL1668" i="1"/>
  <c r="AV1674" i="1"/>
  <c r="BC1674" i="1"/>
  <c r="AW1667" i="1"/>
  <c r="J1670" i="1"/>
  <c r="AL1670" i="1"/>
  <c r="AX1671" i="1"/>
  <c r="BC1671" i="1" s="1"/>
  <c r="BI1674" i="1"/>
  <c r="AE1674" i="1" s="1"/>
  <c r="AV1677" i="1"/>
  <c r="BH1667" i="1"/>
  <c r="AD1667" i="1" s="1"/>
  <c r="BH1671" i="1"/>
  <c r="AD1671" i="1" s="1"/>
  <c r="J1674" i="1"/>
  <c r="BH1670" i="1"/>
  <c r="AD1670" i="1" s="1"/>
  <c r="BI1671" i="1"/>
  <c r="AE1671" i="1" s="1"/>
  <c r="K1674" i="1"/>
  <c r="BH1677" i="1"/>
  <c r="AD1677" i="1" s="1"/>
  <c r="AV1671" i="1"/>
  <c r="J1671" i="1"/>
  <c r="AT1669" i="1"/>
  <c r="AV1574" i="1"/>
  <c r="BC1574" i="1"/>
  <c r="AV1569" i="1"/>
  <c r="BC1569" i="1"/>
  <c r="AV1551" i="1"/>
  <c r="BC1551" i="1"/>
  <c r="AV1554" i="1"/>
  <c r="BC1554" i="1"/>
  <c r="J1602" i="1"/>
  <c r="M1556" i="1"/>
  <c r="AL1567" i="1"/>
  <c r="BI1577" i="1"/>
  <c r="AE1577" i="1" s="1"/>
  <c r="AL1582" i="1"/>
  <c r="AW1588" i="1"/>
  <c r="M1593" i="1"/>
  <c r="AW1600" i="1"/>
  <c r="AW1606" i="1"/>
  <c r="AX1608" i="1"/>
  <c r="BC1608" i="1" s="1"/>
  <c r="AW1611" i="1"/>
  <c r="AW1614" i="1"/>
  <c r="BI1618" i="1"/>
  <c r="AE1618" i="1" s="1"/>
  <c r="M1625" i="1"/>
  <c r="BC1629" i="1"/>
  <c r="M1633" i="1"/>
  <c r="M1636" i="1"/>
  <c r="BC1647" i="1"/>
  <c r="AW1651" i="1"/>
  <c r="AL1658" i="1"/>
  <c r="BI1661" i="1"/>
  <c r="AE1661" i="1" s="1"/>
  <c r="AL1664" i="1"/>
  <c r="BH1551" i="1"/>
  <c r="AD1551" i="1" s="1"/>
  <c r="BH1554" i="1"/>
  <c r="AD1554" i="1" s="1"/>
  <c r="AX1571" i="1"/>
  <c r="AV1571" i="1" s="1"/>
  <c r="BH1574" i="1"/>
  <c r="AD1574" i="1" s="1"/>
  <c r="AX1588" i="1"/>
  <c r="M1589" i="1"/>
  <c r="AX1600" i="1"/>
  <c r="AW1602" i="1"/>
  <c r="AV1602" i="1" s="1"/>
  <c r="AW1605" i="1"/>
  <c r="AX1606" i="1"/>
  <c r="AX1611" i="1"/>
  <c r="AX1614" i="1"/>
  <c r="J1638" i="1"/>
  <c r="J1641" i="1"/>
  <c r="K1571" i="1"/>
  <c r="K1588" i="1"/>
  <c r="BI1551" i="1"/>
  <c r="AE1551" i="1" s="1"/>
  <c r="BI1554" i="1"/>
  <c r="AE1554" i="1" s="1"/>
  <c r="AV1578" i="1"/>
  <c r="AL1581" i="1"/>
  <c r="J1584" i="1"/>
  <c r="K1592" i="1"/>
  <c r="AW1597" i="1"/>
  <c r="BC1597" i="1" s="1"/>
  <c r="AW1598" i="1"/>
  <c r="K1624" i="1"/>
  <c r="K1638" i="1"/>
  <c r="K1641" i="1"/>
  <c r="M1649" i="1"/>
  <c r="AX1655" i="1"/>
  <c r="AV1655" i="1" s="1"/>
  <c r="BI1659" i="1"/>
  <c r="AE1659" i="1" s="1"/>
  <c r="AL1558" i="1"/>
  <c r="AL1592" i="1"/>
  <c r="BI1600" i="1"/>
  <c r="AE1600" i="1" s="1"/>
  <c r="BI1606" i="1"/>
  <c r="AE1606" i="1" s="1"/>
  <c r="BI1611" i="1"/>
  <c r="AE1611" i="1" s="1"/>
  <c r="BI1614" i="1"/>
  <c r="AE1614" i="1" s="1"/>
  <c r="AL1641" i="1"/>
  <c r="AS1548" i="1"/>
  <c r="AX1564" i="1"/>
  <c r="M1578" i="1"/>
  <c r="BI1610" i="1"/>
  <c r="AE1610" i="1" s="1"/>
  <c r="J1632" i="1"/>
  <c r="J1654" i="1"/>
  <c r="AT1548" i="1"/>
  <c r="AW1560" i="1"/>
  <c r="AX1561" i="1"/>
  <c r="AV1561" i="1" s="1"/>
  <c r="AW1563" i="1"/>
  <c r="BC1566" i="1"/>
  <c r="J1580" i="1"/>
  <c r="AW1581" i="1"/>
  <c r="AW1584" i="1"/>
  <c r="BI1605" i="1"/>
  <c r="AE1605" i="1" s="1"/>
  <c r="AX1619" i="1"/>
  <c r="BC1619" i="1" s="1"/>
  <c r="AX1624" i="1"/>
  <c r="BC1624" i="1" s="1"/>
  <c r="AX1628" i="1"/>
  <c r="AV1628" i="1" s="1"/>
  <c r="AW1632" i="1"/>
  <c r="BC1632" i="1" s="1"/>
  <c r="J1636" i="1"/>
  <c r="AX1638" i="1"/>
  <c r="AV1638" i="1" s="1"/>
  <c r="AW1654" i="1"/>
  <c r="BC1654" i="1" s="1"/>
  <c r="J1657" i="1"/>
  <c r="AV1639" i="1"/>
  <c r="L1548" i="1"/>
  <c r="F39" i="2" s="1"/>
  <c r="I39" i="2" s="1"/>
  <c r="AL1549" i="1"/>
  <c r="AX1558" i="1"/>
  <c r="AL1568" i="1"/>
  <c r="AX1584" i="1"/>
  <c r="AV1584" i="1" s="1"/>
  <c r="BC1594" i="1"/>
  <c r="BC1650" i="1"/>
  <c r="AV1577" i="1"/>
  <c r="AT1607" i="1"/>
  <c r="AS1616" i="1"/>
  <c r="BH1638" i="1"/>
  <c r="AD1638" i="1" s="1"/>
  <c r="AX1552" i="1"/>
  <c r="AV1552" i="1" s="1"/>
  <c r="AX1575" i="1"/>
  <c r="AV1575" i="1" s="1"/>
  <c r="M1580" i="1"/>
  <c r="BC1580" i="1"/>
  <c r="BH1581" i="1"/>
  <c r="AD1581" i="1" s="1"/>
  <c r="L1607" i="1"/>
  <c r="F43" i="2" s="1"/>
  <c r="I43" i="2" s="1"/>
  <c r="AL1608" i="1"/>
  <c r="AU1607" i="1" s="1"/>
  <c r="AX1636" i="1"/>
  <c r="AV1636" i="1" s="1"/>
  <c r="J1640" i="1"/>
  <c r="BH1641" i="1"/>
  <c r="AD1641" i="1" s="1"/>
  <c r="BH1650" i="1"/>
  <c r="AD1650" i="1" s="1"/>
  <c r="M1652" i="1"/>
  <c r="AV1656" i="1"/>
  <c r="K1661" i="1"/>
  <c r="AT1570" i="1"/>
  <c r="BC1577" i="1"/>
  <c r="M1611" i="1"/>
  <c r="M1638" i="1"/>
  <c r="M1601" i="1"/>
  <c r="AV1603" i="1"/>
  <c r="J1639" i="1"/>
  <c r="AT1637" i="1"/>
  <c r="AX1500" i="1"/>
  <c r="AX1524" i="1"/>
  <c r="BC1524" i="1" s="1"/>
  <c r="BI1524" i="1"/>
  <c r="AE1524" i="1" s="1"/>
  <c r="M1500" i="1"/>
  <c r="J1492" i="1"/>
  <c r="AW1468" i="1"/>
  <c r="AX1483" i="1"/>
  <c r="BC1483" i="1" s="1"/>
  <c r="AW1492" i="1"/>
  <c r="AX1468" i="1"/>
  <c r="AX1492" i="1"/>
  <c r="K1425" i="1"/>
  <c r="AV1447" i="1"/>
  <c r="AV1425" i="1"/>
  <c r="BC1425" i="1"/>
  <c r="L1383" i="1"/>
  <c r="F38" i="2" s="1"/>
  <c r="I38" i="2" s="1"/>
  <c r="AW1391" i="1"/>
  <c r="AS1383" i="1"/>
  <c r="AX1391" i="1"/>
  <c r="AL1388" i="1"/>
  <c r="AT1383" i="1"/>
  <c r="M1382" i="1"/>
  <c r="BI1378" i="1"/>
  <c r="AE1378" i="1" s="1"/>
  <c r="AV1372" i="1"/>
  <c r="BC1372" i="1"/>
  <c r="BH1372" i="1"/>
  <c r="AD1372" i="1" s="1"/>
  <c r="J1372" i="1"/>
  <c r="AL1356" i="1"/>
  <c r="AW1340" i="1"/>
  <c r="AX1340" i="1"/>
  <c r="BC1340" i="1" s="1"/>
  <c r="BI1335" i="1"/>
  <c r="AE1335" i="1" s="1"/>
  <c r="M1323" i="1"/>
  <c r="L1265" i="1"/>
  <c r="F37" i="2" s="1"/>
  <c r="I37" i="2" s="1"/>
  <c r="AW1310" i="1"/>
  <c r="AT1265" i="1"/>
  <c r="AW1278" i="1"/>
  <c r="AX1278" i="1"/>
  <c r="M1262" i="1"/>
  <c r="AV1260" i="1"/>
  <c r="AL1250" i="1"/>
  <c r="M1224" i="1"/>
  <c r="M1238" i="1"/>
  <c r="AV1235" i="1"/>
  <c r="M1212" i="1"/>
  <c r="BH1198" i="1"/>
  <c r="AD1198" i="1" s="1"/>
  <c r="M1195" i="1"/>
  <c r="J1198" i="1"/>
  <c r="BH1188" i="1"/>
  <c r="AD1188" i="1" s="1"/>
  <c r="AL1181" i="1"/>
  <c r="AS1174" i="1"/>
  <c r="AV1167" i="1"/>
  <c r="BH1167" i="1"/>
  <c r="BC1170" i="1"/>
  <c r="AX1172" i="1"/>
  <c r="AV1172" i="1" s="1"/>
  <c r="BI1167" i="1"/>
  <c r="BH1169" i="1"/>
  <c r="BH1170" i="1"/>
  <c r="AL1168" i="1"/>
  <c r="BI1172" i="1"/>
  <c r="AT1174" i="1"/>
  <c r="J1167" i="1"/>
  <c r="M1170" i="1"/>
  <c r="M1154" i="1"/>
  <c r="J1144" i="1"/>
  <c r="K1154" i="1"/>
  <c r="AS1129" i="1"/>
  <c r="AW1144" i="1"/>
  <c r="L1157" i="1"/>
  <c r="F32" i="2" s="1"/>
  <c r="I32" i="2" s="1"/>
  <c r="AT1129" i="1"/>
  <c r="J1133" i="1"/>
  <c r="AX1144" i="1"/>
  <c r="K1150" i="1"/>
  <c r="AW1154" i="1"/>
  <c r="BH1164" i="1"/>
  <c r="AB1164" i="1" s="1"/>
  <c r="AX1154" i="1"/>
  <c r="AW1150" i="1"/>
  <c r="BC1150" i="1" s="1"/>
  <c r="AW1133" i="1"/>
  <c r="BC1133" i="1" s="1"/>
  <c r="BI1150" i="1"/>
  <c r="AC1150" i="1" s="1"/>
  <c r="BH1154" i="1"/>
  <c r="AB1154" i="1" s="1"/>
  <c r="AS1157" i="1"/>
  <c r="M1158" i="1"/>
  <c r="M1164" i="1"/>
  <c r="AS1101" i="1"/>
  <c r="AT1101" i="1"/>
  <c r="BH999" i="1"/>
  <c r="AB999" i="1" s="1"/>
  <c r="BH1035" i="1"/>
  <c r="AB1035" i="1" s="1"/>
  <c r="K1060" i="1"/>
  <c r="AW1072" i="1"/>
  <c r="J1090" i="1"/>
  <c r="AW1102" i="1"/>
  <c r="BH1048" i="1"/>
  <c r="AB1048" i="1" s="1"/>
  <c r="AX1072" i="1"/>
  <c r="AX1102" i="1"/>
  <c r="BH1021" i="1"/>
  <c r="AB1021" i="1" s="1"/>
  <c r="BH1047" i="1"/>
  <c r="AB1047" i="1" s="1"/>
  <c r="AV1060" i="1"/>
  <c r="BH1072" i="1"/>
  <c r="AB1072" i="1" s="1"/>
  <c r="BH1102" i="1"/>
  <c r="AB1102" i="1" s="1"/>
  <c r="K1007" i="1"/>
  <c r="K1046" i="1"/>
  <c r="BI1102" i="1"/>
  <c r="AC1102" i="1" s="1"/>
  <c r="J999" i="1"/>
  <c r="AS998" i="1"/>
  <c r="L998" i="1"/>
  <c r="F29" i="2" s="1"/>
  <c r="I29" i="2" s="1"/>
  <c r="J1035" i="1"/>
  <c r="AW1090" i="1"/>
  <c r="BI1060" i="1"/>
  <c r="AC1060" i="1" s="1"/>
  <c r="BI1070" i="1"/>
  <c r="AC1070" i="1" s="1"/>
  <c r="L1101" i="1"/>
  <c r="F30" i="2" s="1"/>
  <c r="I30" i="2" s="1"/>
  <c r="BI1056" i="1"/>
  <c r="AC1056" i="1" s="1"/>
  <c r="BC1048" i="1"/>
  <c r="K1072" i="1"/>
  <c r="BC993" i="1"/>
  <c r="AV993" i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BC941" i="1"/>
  <c r="AV941" i="1"/>
  <c r="J941" i="1"/>
  <c r="BH937" i="1"/>
  <c r="AB937" i="1" s="1"/>
  <c r="AL921" i="1"/>
  <c r="K921" i="1"/>
  <c r="AX921" i="1"/>
  <c r="BH903" i="1"/>
  <c r="AB903" i="1" s="1"/>
  <c r="AX899" i="1"/>
  <c r="AX896" i="1"/>
  <c r="AV896" i="1" s="1"/>
  <c r="M889" i="1"/>
  <c r="BH889" i="1"/>
  <c r="AB889" i="1" s="1"/>
  <c r="AS861" i="1"/>
  <c r="J873" i="1"/>
  <c r="AW882" i="1"/>
  <c r="AX882" i="1"/>
  <c r="BC882" i="1" s="1"/>
  <c r="BH873" i="1"/>
  <c r="AB873" i="1" s="1"/>
  <c r="AL867" i="1"/>
  <c r="K860" i="1"/>
  <c r="K862" i="1"/>
  <c r="AX860" i="1"/>
  <c r="AV860" i="1" s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V665" i="1"/>
  <c r="BC548" i="1"/>
  <c r="AV548" i="1"/>
  <c r="AX624" i="1"/>
  <c r="AV624" i="1" s="1"/>
  <c r="AW640" i="1"/>
  <c r="AV640" i="1" s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V515" i="1"/>
  <c r="AW526" i="1"/>
  <c r="BC526" i="1" s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AV349" i="1"/>
  <c r="BI349" i="1"/>
  <c r="AC349" i="1" s="1"/>
  <c r="AX298" i="1"/>
  <c r="AV298" i="1" s="1"/>
  <c r="BI298" i="1"/>
  <c r="AC298" i="1" s="1"/>
  <c r="J337" i="1"/>
  <c r="K337" i="1"/>
  <c r="J298" i="1"/>
  <c r="AV336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69" i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C202" i="1"/>
  <c r="BI212" i="1"/>
  <c r="AC212" i="1" s="1"/>
  <c r="AV217" i="1"/>
  <c r="AS127" i="1"/>
  <c r="AV180" i="1"/>
  <c r="AV128" i="1"/>
  <c r="BI128" i="1"/>
  <c r="AC128" i="1" s="1"/>
  <c r="AT127" i="1"/>
  <c r="AV151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V76" i="1"/>
  <c r="AU127" i="1"/>
  <c r="AV223" i="1"/>
  <c r="BC223" i="1"/>
  <c r="AV270" i="1"/>
  <c r="BC270" i="1"/>
  <c r="AV81" i="1"/>
  <c r="BC81" i="1"/>
  <c r="BC336" i="1"/>
  <c r="BC420" i="1"/>
  <c r="AV420" i="1"/>
  <c r="AU361" i="1"/>
  <c r="BC384" i="1"/>
  <c r="AV384" i="1"/>
  <c r="BC151" i="1"/>
  <c r="AV278" i="1"/>
  <c r="BC278" i="1"/>
  <c r="BC353" i="1"/>
  <c r="BC217" i="1"/>
  <c r="AV247" i="1"/>
  <c r="BC247" i="1"/>
  <c r="BC269" i="1"/>
  <c r="AV505" i="1"/>
  <c r="AU14" i="1"/>
  <c r="AV86" i="1"/>
  <c r="BC86" i="1"/>
  <c r="AU209" i="1"/>
  <c r="AV205" i="1"/>
  <c r="BC205" i="1"/>
  <c r="BC413" i="1"/>
  <c r="AU75" i="1"/>
  <c r="BC76" i="1"/>
  <c r="AV274" i="1"/>
  <c r="BC274" i="1"/>
  <c r="AV337" i="1"/>
  <c r="BC337" i="1"/>
  <c r="AV192" i="1"/>
  <c r="BC192" i="1"/>
  <c r="AU120" i="1"/>
  <c r="AV172" i="1"/>
  <c r="BC172" i="1"/>
  <c r="AV91" i="1"/>
  <c r="BC91" i="1"/>
  <c r="BC1070" i="1"/>
  <c r="AV1070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U684" i="1" s="1"/>
  <c r="AL844" i="1"/>
  <c r="BC889" i="1"/>
  <c r="AV889" i="1"/>
  <c r="BH921" i="1"/>
  <c r="AB921" i="1" s="1"/>
  <c r="J921" i="1"/>
  <c r="AW921" i="1"/>
  <c r="BC980" i="1"/>
  <c r="AV980" i="1"/>
  <c r="M1007" i="1"/>
  <c r="BC1060" i="1"/>
  <c r="AL1425" i="1"/>
  <c r="M1425" i="1"/>
  <c r="AW1590" i="1"/>
  <c r="J1590" i="1"/>
  <c r="BH1590" i="1"/>
  <c r="AD1590" i="1" s="1"/>
  <c r="BF1663" i="1"/>
  <c r="O1645" i="1"/>
  <c r="G47" i="2" s="1"/>
  <c r="K1668" i="1"/>
  <c r="BI1668" i="1"/>
  <c r="AX1668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BC520" i="1"/>
  <c r="M681" i="1"/>
  <c r="BH681" i="1"/>
  <c r="AB681" i="1" s="1"/>
  <c r="J681" i="1"/>
  <c r="J677" i="1" s="1"/>
  <c r="D25" i="2" s="1"/>
  <c r="AW681" i="1"/>
  <c r="M685" i="1"/>
  <c r="M684" i="1" s="1"/>
  <c r="BH685" i="1"/>
  <c r="AB685" i="1" s="1"/>
  <c r="J685" i="1"/>
  <c r="J684" i="1" s="1"/>
  <c r="D26" i="2" s="1"/>
  <c r="AW685" i="1"/>
  <c r="BH844" i="1"/>
  <c r="AB844" i="1" s="1"/>
  <c r="J844" i="1"/>
  <c r="AW844" i="1"/>
  <c r="BH1046" i="1"/>
  <c r="AB1046" i="1" s="1"/>
  <c r="J1046" i="1"/>
  <c r="AW1046" i="1"/>
  <c r="AL1133" i="1"/>
  <c r="M1133" i="1"/>
  <c r="BH1175" i="1"/>
  <c r="AD1175" i="1" s="1"/>
  <c r="J1175" i="1"/>
  <c r="AW1175" i="1"/>
  <c r="AV1188" i="1"/>
  <c r="BC1188" i="1"/>
  <c r="AL1563" i="1"/>
  <c r="M1563" i="1"/>
  <c r="BI1590" i="1"/>
  <c r="AE1590" i="1" s="1"/>
  <c r="K1590" i="1"/>
  <c r="AX1590" i="1"/>
  <c r="AX687" i="1"/>
  <c r="BC687" i="1" s="1"/>
  <c r="BI687" i="1"/>
  <c r="AC687" i="1" s="1"/>
  <c r="K687" i="1"/>
  <c r="AL1252" i="1"/>
  <c r="M1252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AV475" i="1" s="1"/>
  <c r="BH525" i="1"/>
  <c r="AB525" i="1" s="1"/>
  <c r="AX623" i="1"/>
  <c r="BC623" i="1" s="1"/>
  <c r="BI623" i="1"/>
  <c r="AC623" i="1" s="1"/>
  <c r="K623" i="1"/>
  <c r="BF685" i="1"/>
  <c r="O684" i="1"/>
  <c r="G26" i="2" s="1"/>
  <c r="AV906" i="1"/>
  <c r="BH945" i="1"/>
  <c r="AB945" i="1" s="1"/>
  <c r="J945" i="1"/>
  <c r="AW945" i="1"/>
  <c r="AV999" i="1"/>
  <c r="J1056" i="1"/>
  <c r="BH1056" i="1"/>
  <c r="AB1056" i="1" s="1"/>
  <c r="AW1056" i="1"/>
  <c r="L1129" i="1"/>
  <c r="F31" i="2" s="1"/>
  <c r="I31" i="2" s="1"/>
  <c r="M1130" i="1"/>
  <c r="L1171" i="1"/>
  <c r="F34" i="2" s="1"/>
  <c r="I34" i="2" s="1"/>
  <c r="M1172" i="1"/>
  <c r="M1171" i="1" s="1"/>
  <c r="AX1388" i="1"/>
  <c r="K1388" i="1"/>
  <c r="BI1388" i="1"/>
  <c r="AE1388" i="1" s="1"/>
  <c r="O1616" i="1"/>
  <c r="G44" i="2" s="1"/>
  <c r="BF1617" i="1"/>
  <c r="AX510" i="1"/>
  <c r="BI510" i="1"/>
  <c r="AC510" i="1" s="1"/>
  <c r="K510" i="1"/>
  <c r="BC966" i="1"/>
  <c r="AV966" i="1"/>
  <c r="BC1161" i="1"/>
  <c r="AV1161" i="1"/>
  <c r="AT677" i="1"/>
  <c r="AV1252" i="1"/>
  <c r="BC1252" i="1"/>
  <c r="C21" i="3"/>
  <c r="BH447" i="1"/>
  <c r="AB447" i="1" s="1"/>
  <c r="J447" i="1"/>
  <c r="BI526" i="1"/>
  <c r="AC526" i="1" s="1"/>
  <c r="BC678" i="1"/>
  <c r="BC701" i="1"/>
  <c r="AV701" i="1"/>
  <c r="BC903" i="1"/>
  <c r="AV903" i="1"/>
  <c r="BC1169" i="1"/>
  <c r="AV1169" i="1"/>
  <c r="BF1175" i="1"/>
  <c r="O1174" i="1"/>
  <c r="G36" i="2" s="1"/>
  <c r="BF1388" i="1"/>
  <c r="O1383" i="1"/>
  <c r="G38" i="2" s="1"/>
  <c r="BH481" i="1"/>
  <c r="AB481" i="1" s="1"/>
  <c r="J481" i="1"/>
  <c r="AL1663" i="1"/>
  <c r="M1663" i="1"/>
  <c r="L1645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AU861" i="1" s="1"/>
  <c r="BH962" i="1"/>
  <c r="AB962" i="1" s="1"/>
  <c r="J962" i="1"/>
  <c r="AW962" i="1"/>
  <c r="AV1035" i="1"/>
  <c r="AV1572" i="1"/>
  <c r="BC1572" i="1"/>
  <c r="AL469" i="1"/>
  <c r="BH505" i="1"/>
  <c r="AB505" i="1" s="1"/>
  <c r="J505" i="1"/>
  <c r="AV1564" i="1"/>
  <c r="BC1564" i="1"/>
  <c r="AW1668" i="1"/>
  <c r="J1668" i="1"/>
  <c r="BH1668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BC1021" i="1"/>
  <c r="AV1021" i="1"/>
  <c r="AL481" i="1"/>
  <c r="BC2511" i="1"/>
  <c r="AV2511" i="1"/>
  <c r="BH867" i="1"/>
  <c r="AB867" i="1" s="1"/>
  <c r="J867" i="1"/>
  <c r="AW867" i="1"/>
  <c r="BH1007" i="1"/>
  <c r="AB1007" i="1" s="1"/>
  <c r="J1007" i="1"/>
  <c r="AW100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AU690" i="1" s="1"/>
  <c r="BC937" i="1"/>
  <c r="AV937" i="1"/>
  <c r="BH975" i="1"/>
  <c r="AB975" i="1" s="1"/>
  <c r="J975" i="1"/>
  <c r="AW975" i="1"/>
  <c r="BC1047" i="1"/>
  <c r="AV1047" i="1"/>
  <c r="J1132" i="1"/>
  <c r="BH1132" i="1"/>
  <c r="AB1132" i="1" s="1"/>
  <c r="AW1132" i="1"/>
  <c r="AW1181" i="1"/>
  <c r="J1181" i="1"/>
  <c r="BH1181" i="1"/>
  <c r="AD1181" i="1" s="1"/>
  <c r="AX1356" i="1"/>
  <c r="K1356" i="1"/>
  <c r="BI1356" i="1"/>
  <c r="AE1356" i="1" s="1"/>
  <c r="AV1500" i="1"/>
  <c r="BC1500" i="1"/>
  <c r="BH1556" i="1"/>
  <c r="AD1556" i="1" s="1"/>
  <c r="J1556" i="1"/>
  <c r="AW1556" i="1"/>
  <c r="BI1609" i="1"/>
  <c r="AE1609" i="1" s="1"/>
  <c r="K1609" i="1"/>
  <c r="AX1609" i="1"/>
  <c r="AS14" i="1"/>
  <c r="K67" i="1"/>
  <c r="K14" i="1" s="1"/>
  <c r="E13" i="2" s="1"/>
  <c r="K83" i="1"/>
  <c r="K75" i="1" s="1"/>
  <c r="E14" i="2" s="1"/>
  <c r="K119" i="1"/>
  <c r="K111" i="1" s="1"/>
  <c r="E16" i="2" s="1"/>
  <c r="K121" i="1"/>
  <c r="K120" i="1" s="1"/>
  <c r="E17" i="2" s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AV542" i="1" s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V958" i="1"/>
  <c r="AX1181" i="1"/>
  <c r="K1181" i="1"/>
  <c r="BI1181" i="1"/>
  <c r="AE1181" i="1" s="1"/>
  <c r="BI1255" i="1"/>
  <c r="AE1255" i="1" s="1"/>
  <c r="K1255" i="1"/>
  <c r="AX1255" i="1"/>
  <c r="AV1255" i="1" s="1"/>
  <c r="AL475" i="1"/>
  <c r="M475" i="1"/>
  <c r="J490" i="1"/>
  <c r="AL515" i="1"/>
  <c r="M515" i="1"/>
  <c r="AL520" i="1"/>
  <c r="BH527" i="1"/>
  <c r="AB527" i="1" s="1"/>
  <c r="J527" i="1"/>
  <c r="AX528" i="1"/>
  <c r="BC528" i="1" s="1"/>
  <c r="BI528" i="1"/>
  <c r="AC528" i="1" s="1"/>
  <c r="K528" i="1"/>
  <c r="J690" i="1"/>
  <c r="D27" i="2" s="1"/>
  <c r="BC954" i="1"/>
  <c r="AV954" i="1"/>
  <c r="AL1132" i="1"/>
  <c r="M1132" i="1"/>
  <c r="AW1195" i="1"/>
  <c r="BH1195" i="1"/>
  <c r="AD1195" i="1" s="1"/>
  <c r="J1195" i="1"/>
  <c r="AX1307" i="1"/>
  <c r="K1307" i="1"/>
  <c r="BI1307" i="1"/>
  <c r="AE1307" i="1" s="1"/>
  <c r="BI1553" i="1"/>
  <c r="AE1553" i="1" s="1"/>
  <c r="K1553" i="1"/>
  <c r="AX1553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V526" i="1"/>
  <c r="BC532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BC860" i="1"/>
  <c r="AT861" i="1"/>
  <c r="BH899" i="1"/>
  <c r="AB899" i="1" s="1"/>
  <c r="J899" i="1"/>
  <c r="AW899" i="1"/>
  <c r="O998" i="1"/>
  <c r="G29" i="2" s="1"/>
  <c r="AT998" i="1"/>
  <c r="BI1195" i="1"/>
  <c r="AE1195" i="1" s="1"/>
  <c r="K1195" i="1"/>
  <c r="AX1195" i="1"/>
  <c r="AL1492" i="1"/>
  <c r="M1492" i="1"/>
  <c r="BF1553" i="1"/>
  <c r="O1548" i="1"/>
  <c r="G39" i="2" s="1"/>
  <c r="AW1130" i="1"/>
  <c r="BH1130" i="1"/>
  <c r="AB1130" i="1" s="1"/>
  <c r="J1130" i="1"/>
  <c r="AL1134" i="1"/>
  <c r="AL1141" i="1"/>
  <c r="M1141" i="1"/>
  <c r="BH1250" i="1"/>
  <c r="AD1250" i="1" s="1"/>
  <c r="J1250" i="1"/>
  <c r="AW1250" i="1"/>
  <c r="AS1265" i="1"/>
  <c r="AL1378" i="1"/>
  <c r="M1378" i="1"/>
  <c r="BI1434" i="1"/>
  <c r="AE1434" i="1" s="1"/>
  <c r="K1434" i="1"/>
  <c r="BH1453" i="1"/>
  <c r="AD1453" i="1" s="1"/>
  <c r="J1453" i="1"/>
  <c r="AW1453" i="1"/>
  <c r="BI1556" i="1"/>
  <c r="AE1556" i="1" s="1"/>
  <c r="K1556" i="1"/>
  <c r="AX1556" i="1"/>
  <c r="J1583" i="1"/>
  <c r="BH1583" i="1"/>
  <c r="AD1583" i="1" s="1"/>
  <c r="AW1583" i="1"/>
  <c r="BH1595" i="1"/>
  <c r="AD1595" i="1" s="1"/>
  <c r="J1595" i="1"/>
  <c r="AL1603" i="1"/>
  <c r="AU1599" i="1" s="1"/>
  <c r="M1603" i="1"/>
  <c r="O1607" i="1"/>
  <c r="G43" i="2" s="1"/>
  <c r="BF1609" i="1"/>
  <c r="BI1850" i="1"/>
  <c r="AE1850" i="1" s="1"/>
  <c r="K1850" i="1"/>
  <c r="AX1850" i="1"/>
  <c r="AV1858" i="1"/>
  <c r="BC1858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K1021" i="1"/>
  <c r="BI1021" i="1"/>
  <c r="AC1021" i="1" s="1"/>
  <c r="K1047" i="1"/>
  <c r="BI1047" i="1"/>
  <c r="AC1047" i="1" s="1"/>
  <c r="BI1130" i="1"/>
  <c r="AC1130" i="1" s="1"/>
  <c r="K1130" i="1"/>
  <c r="AW1134" i="1"/>
  <c r="BH1134" i="1"/>
  <c r="AB1134" i="1" s="1"/>
  <c r="J1134" i="1"/>
  <c r="M1144" i="1"/>
  <c r="AL1150" i="1"/>
  <c r="M1150" i="1"/>
  <c r="BI1198" i="1"/>
  <c r="AE1198" i="1" s="1"/>
  <c r="AL1278" i="1"/>
  <c r="M1278" i="1"/>
  <c r="AL1340" i="1"/>
  <c r="M1340" i="1"/>
  <c r="BI1382" i="1"/>
  <c r="K1382" i="1"/>
  <c r="AX1434" i="1"/>
  <c r="BC1434" i="1" s="1"/>
  <c r="AL1524" i="1"/>
  <c r="M1524" i="1"/>
  <c r="BH1559" i="1"/>
  <c r="AD1559" i="1" s="1"/>
  <c r="J1559" i="1"/>
  <c r="AW1559" i="1"/>
  <c r="AL1566" i="1"/>
  <c r="M1566" i="1"/>
  <c r="L1570" i="1"/>
  <c r="F40" i="2" s="1"/>
  <c r="I40" i="2" s="1"/>
  <c r="AL1571" i="1"/>
  <c r="M1571" i="1"/>
  <c r="K1583" i="1"/>
  <c r="BI1583" i="1"/>
  <c r="AE1583" i="1" s="1"/>
  <c r="AX1583" i="1"/>
  <c r="BH1592" i="1"/>
  <c r="AD1592" i="1" s="1"/>
  <c r="J1592" i="1"/>
  <c r="AW1592" i="1"/>
  <c r="AS1599" i="1"/>
  <c r="BI1622" i="1"/>
  <c r="AE1622" i="1" s="1"/>
  <c r="AX1622" i="1"/>
  <c r="AL1642" i="1"/>
  <c r="M1642" i="1"/>
  <c r="AW1644" i="1"/>
  <c r="J1644" i="1"/>
  <c r="BH1644" i="1"/>
  <c r="AD1644" i="1" s="1"/>
  <c r="K1061" i="1"/>
  <c r="J1070" i="1"/>
  <c r="BI1134" i="1"/>
  <c r="AC1134" i="1" s="1"/>
  <c r="K1134" i="1"/>
  <c r="AW1147" i="1"/>
  <c r="BH1147" i="1"/>
  <c r="AB1147" i="1" s="1"/>
  <c r="J1147" i="1"/>
  <c r="AL1156" i="1"/>
  <c r="BI1161" i="1"/>
  <c r="AC1161" i="1" s="1"/>
  <c r="J1169" i="1"/>
  <c r="AX1175" i="1"/>
  <c r="J1224" i="1"/>
  <c r="BH1264" i="1"/>
  <c r="J1264" i="1"/>
  <c r="AW1264" i="1"/>
  <c r="BI1293" i="1"/>
  <c r="AE1293" i="1" s="1"/>
  <c r="K1293" i="1"/>
  <c r="BI1351" i="1"/>
  <c r="AE1351" i="1" s="1"/>
  <c r="K1351" i="1"/>
  <c r="AX1382" i="1"/>
  <c r="BC1382" i="1" s="1"/>
  <c r="BI1384" i="1"/>
  <c r="AE1384" i="1" s="1"/>
  <c r="K1384" i="1"/>
  <c r="BH1418" i="1"/>
  <c r="AD1418" i="1" s="1"/>
  <c r="J1418" i="1"/>
  <c r="AW1418" i="1"/>
  <c r="BI1559" i="1"/>
  <c r="AE1559" i="1" s="1"/>
  <c r="K1559" i="1"/>
  <c r="AX1559" i="1"/>
  <c r="AL1574" i="1"/>
  <c r="M1574" i="1"/>
  <c r="BC1578" i="1"/>
  <c r="M1583" i="1"/>
  <c r="J1589" i="1"/>
  <c r="BH1589" i="1"/>
  <c r="AD1589" i="1" s="1"/>
  <c r="AW1595" i="1"/>
  <c r="BI1615" i="1"/>
  <c r="AE1615" i="1" s="1"/>
  <c r="K1615" i="1"/>
  <c r="AX1615" i="1"/>
  <c r="AV1714" i="1"/>
  <c r="BC1714" i="1"/>
  <c r="M903" i="1"/>
  <c r="M937" i="1"/>
  <c r="M954" i="1"/>
  <c r="M966" i="1"/>
  <c r="M980" i="1"/>
  <c r="M1021" i="1"/>
  <c r="M1047" i="1"/>
  <c r="K1070" i="1"/>
  <c r="AX1097" i="1"/>
  <c r="BC1097" i="1" s="1"/>
  <c r="AX1130" i="1"/>
  <c r="AW1141" i="1"/>
  <c r="BI1147" i="1"/>
  <c r="AC1147" i="1" s="1"/>
  <c r="K1147" i="1"/>
  <c r="AW1156" i="1"/>
  <c r="BH1156" i="1"/>
  <c r="AB1156" i="1" s="1"/>
  <c r="J1156" i="1"/>
  <c r="K1169" i="1"/>
  <c r="K1224" i="1"/>
  <c r="AL1235" i="1"/>
  <c r="M1235" i="1"/>
  <c r="BH1266" i="1"/>
  <c r="AD1266" i="1" s="1"/>
  <c r="J1266" i="1"/>
  <c r="AW1266" i="1"/>
  <c r="AX1293" i="1"/>
  <c r="AV1293" i="1" s="1"/>
  <c r="BH1335" i="1"/>
  <c r="AD1335" i="1" s="1"/>
  <c r="J1335" i="1"/>
  <c r="AW1335" i="1"/>
  <c r="AX1351" i="1"/>
  <c r="BC1351" i="1" s="1"/>
  <c r="BH1376" i="1"/>
  <c r="AD1376" i="1" s="1"/>
  <c r="J1376" i="1"/>
  <c r="AW1376" i="1"/>
  <c r="AX1384" i="1"/>
  <c r="AV1384" i="1" s="1"/>
  <c r="BH1487" i="1"/>
  <c r="AD1487" i="1" s="1"/>
  <c r="J1487" i="1"/>
  <c r="AW1487" i="1"/>
  <c r="BC1547" i="1"/>
  <c r="BC1549" i="1"/>
  <c r="AL1551" i="1"/>
  <c r="M1551" i="1"/>
  <c r="BH1562" i="1"/>
  <c r="AD1562" i="1" s="1"/>
  <c r="J1562" i="1"/>
  <c r="AW1562" i="1"/>
  <c r="AL1569" i="1"/>
  <c r="M1569" i="1"/>
  <c r="BC1575" i="1"/>
  <c r="AL1577" i="1"/>
  <c r="M1577" i="1"/>
  <c r="BF1589" i="1"/>
  <c r="O1587" i="1"/>
  <c r="G41" i="2" s="1"/>
  <c r="K1591" i="1"/>
  <c r="BI1591" i="1"/>
  <c r="AE1591" i="1" s="1"/>
  <c r="AX1591" i="1"/>
  <c r="BC1591" i="1" s="1"/>
  <c r="AV1711" i="1"/>
  <c r="BC1711" i="1"/>
  <c r="AW1061" i="1"/>
  <c r="BH1061" i="1"/>
  <c r="AB1061" i="1" s="1"/>
  <c r="J1061" i="1"/>
  <c r="AL1070" i="1"/>
  <c r="M1070" i="1"/>
  <c r="BI1156" i="1"/>
  <c r="AC1156" i="1" s="1"/>
  <c r="K1156" i="1"/>
  <c r="AL1169" i="1"/>
  <c r="AU1166" i="1" s="1"/>
  <c r="M1169" i="1"/>
  <c r="M1166" i="1" s="1"/>
  <c r="BC1224" i="1"/>
  <c r="AL1260" i="1"/>
  <c r="M1260" i="1"/>
  <c r="BC1278" i="1"/>
  <c r="AL1447" i="1"/>
  <c r="M1447" i="1"/>
  <c r="BI1453" i="1"/>
  <c r="AE1453" i="1" s="1"/>
  <c r="BI1487" i="1"/>
  <c r="AE1487" i="1" s="1"/>
  <c r="K1487" i="1"/>
  <c r="AX1487" i="1"/>
  <c r="AV1555" i="1"/>
  <c r="BI1562" i="1"/>
  <c r="AE1562" i="1" s="1"/>
  <c r="K1562" i="1"/>
  <c r="AX1562" i="1"/>
  <c r="AW1589" i="1"/>
  <c r="AL1591" i="1"/>
  <c r="M1591" i="1"/>
  <c r="L1587" i="1"/>
  <c r="F41" i="2" s="1"/>
  <c r="I41" i="2" s="1"/>
  <c r="AV1594" i="1"/>
  <c r="AW1168" i="1"/>
  <c r="BH1168" i="1"/>
  <c r="J1168" i="1"/>
  <c r="BI1175" i="1"/>
  <c r="AE1175" i="1" s="1"/>
  <c r="BI1238" i="1"/>
  <c r="AE1238" i="1" s="1"/>
  <c r="K1238" i="1"/>
  <c r="BI1262" i="1"/>
  <c r="AE1262" i="1" s="1"/>
  <c r="K1262" i="1"/>
  <c r="O1265" i="1"/>
  <c r="G37" i="2" s="1"/>
  <c r="BI1450" i="1"/>
  <c r="AE1450" i="1" s="1"/>
  <c r="K1450" i="1"/>
  <c r="BH1512" i="1"/>
  <c r="AD1512" i="1" s="1"/>
  <c r="J1512" i="1"/>
  <c r="AW1512" i="1"/>
  <c r="AL1554" i="1"/>
  <c r="M1554" i="1"/>
  <c r="BH1565" i="1"/>
  <c r="AD1565" i="1" s="1"/>
  <c r="J1565" i="1"/>
  <c r="AW1565" i="1"/>
  <c r="BC1605" i="1"/>
  <c r="AV1605" i="1"/>
  <c r="M1072" i="1"/>
  <c r="M1102" i="1"/>
  <c r="M1101" i="1" s="1"/>
  <c r="AL1117" i="1"/>
  <c r="AU1101" i="1" s="1"/>
  <c r="BI1132" i="1"/>
  <c r="AC1132" i="1" s="1"/>
  <c r="AX1156" i="1"/>
  <c r="K1161" i="1"/>
  <c r="BI1168" i="1"/>
  <c r="K1168" i="1"/>
  <c r="K1166" i="1" s="1"/>
  <c r="E33" i="2" s="1"/>
  <c r="K1198" i="1"/>
  <c r="AL1201" i="1"/>
  <c r="M1201" i="1"/>
  <c r="AV1224" i="1"/>
  <c r="AX1238" i="1"/>
  <c r="BC1238" i="1" s="1"/>
  <c r="BH1258" i="1"/>
  <c r="AD1258" i="1" s="1"/>
  <c r="J1258" i="1"/>
  <c r="AW1258" i="1"/>
  <c r="AX1262" i="1"/>
  <c r="AV1262" i="1" s="1"/>
  <c r="AL1391" i="1"/>
  <c r="M1391" i="1"/>
  <c r="AV1410" i="1"/>
  <c r="K1442" i="1"/>
  <c r="AX1450" i="1"/>
  <c r="AV1450" i="1" s="1"/>
  <c r="BI1512" i="1"/>
  <c r="AE1512" i="1" s="1"/>
  <c r="K1512" i="1"/>
  <c r="AX1512" i="1"/>
  <c r="AV1558" i="1"/>
  <c r="BI1565" i="1"/>
  <c r="AE1565" i="1" s="1"/>
  <c r="K1565" i="1"/>
  <c r="AX1565" i="1"/>
  <c r="BH1573" i="1"/>
  <c r="AD1573" i="1" s="1"/>
  <c r="J1573" i="1"/>
  <c r="AW1573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M999" i="1"/>
  <c r="M1035" i="1"/>
  <c r="M1048" i="1"/>
  <c r="BI1097" i="1"/>
  <c r="AC1097" i="1" s="1"/>
  <c r="AW1117" i="1"/>
  <c r="BH1117" i="1"/>
  <c r="AB1117" i="1" s="1"/>
  <c r="J1117" i="1"/>
  <c r="J1101" i="1" s="1"/>
  <c r="D30" i="2" s="1"/>
  <c r="BI1141" i="1"/>
  <c r="AC1141" i="1" s="1"/>
  <c r="AL1161" i="1"/>
  <c r="AU1157" i="1" s="1"/>
  <c r="M1161" i="1"/>
  <c r="M1157" i="1" s="1"/>
  <c r="BC1198" i="1"/>
  <c r="AW1212" i="1"/>
  <c r="BH1212" i="1"/>
  <c r="AD1212" i="1" s="1"/>
  <c r="J1212" i="1"/>
  <c r="BC1235" i="1"/>
  <c r="BC1260" i="1"/>
  <c r="BF1266" i="1"/>
  <c r="AL1310" i="1"/>
  <c r="M1310" i="1"/>
  <c r="AL1372" i="1"/>
  <c r="M1372" i="1"/>
  <c r="BI1376" i="1"/>
  <c r="AE1376" i="1" s="1"/>
  <c r="BI1410" i="1"/>
  <c r="AE1410" i="1" s="1"/>
  <c r="K1410" i="1"/>
  <c r="BH1442" i="1"/>
  <c r="AD1442" i="1" s="1"/>
  <c r="J1442" i="1"/>
  <c r="AW1442" i="1"/>
  <c r="BH1550" i="1"/>
  <c r="AD1550" i="1" s="1"/>
  <c r="J1550" i="1"/>
  <c r="AW1550" i="1"/>
  <c r="AL1557" i="1"/>
  <c r="M1557" i="1"/>
  <c r="BH1568" i="1"/>
  <c r="AD1568" i="1" s="1"/>
  <c r="J1568" i="1"/>
  <c r="AW1568" i="1"/>
  <c r="BI1573" i="1"/>
  <c r="AE1573" i="1" s="1"/>
  <c r="K1573" i="1"/>
  <c r="AX1573" i="1"/>
  <c r="BH1576" i="1"/>
  <c r="AD1576" i="1" s="1"/>
  <c r="J1576" i="1"/>
  <c r="AW1576" i="1"/>
  <c r="AV1588" i="1"/>
  <c r="AX1613" i="1"/>
  <c r="AV1613" i="1" s="1"/>
  <c r="BI1613" i="1"/>
  <c r="AE1613" i="1" s="1"/>
  <c r="AW1681" i="1"/>
  <c r="J1681" i="1"/>
  <c r="BH1681" i="1"/>
  <c r="AD1681" i="1" s="1"/>
  <c r="AW1079" i="1"/>
  <c r="BH1079" i="1"/>
  <c r="AB1079" i="1" s="1"/>
  <c r="J1079" i="1"/>
  <c r="AL1090" i="1"/>
  <c r="M1090" i="1"/>
  <c r="BI1117" i="1"/>
  <c r="AC1117" i="1" s="1"/>
  <c r="K1117" i="1"/>
  <c r="K1101" i="1" s="1"/>
  <c r="E30" i="2" s="1"/>
  <c r="AW1158" i="1"/>
  <c r="BH1158" i="1"/>
  <c r="AB1158" i="1" s="1"/>
  <c r="J1158" i="1"/>
  <c r="J1157" i="1" s="1"/>
  <c r="D32" i="2" s="1"/>
  <c r="L1166" i="1"/>
  <c r="F33" i="2" s="1"/>
  <c r="I33" i="2" s="1"/>
  <c r="BI1212" i="1"/>
  <c r="AE1212" i="1" s="1"/>
  <c r="K1212" i="1"/>
  <c r="BI1323" i="1"/>
  <c r="AE1323" i="1" s="1"/>
  <c r="K1323" i="1"/>
  <c r="BI1373" i="1"/>
  <c r="AE1373" i="1" s="1"/>
  <c r="K1373" i="1"/>
  <c r="BI1550" i="1"/>
  <c r="AE1550" i="1" s="1"/>
  <c r="K1550" i="1"/>
  <c r="AX1550" i="1"/>
  <c r="BI1568" i="1"/>
  <c r="AE1568" i="1" s="1"/>
  <c r="K1568" i="1"/>
  <c r="AX1568" i="1"/>
  <c r="O1570" i="1"/>
  <c r="G40" i="2" s="1"/>
  <c r="BF1573" i="1"/>
  <c r="BI1576" i="1"/>
  <c r="AE1576" i="1" s="1"/>
  <c r="K1576" i="1"/>
  <c r="AX1576" i="1"/>
  <c r="AL1584" i="1"/>
  <c r="AW1593" i="1"/>
  <c r="J1593" i="1"/>
  <c r="BH1593" i="1"/>
  <c r="AD1593" i="1" s="1"/>
  <c r="BH1617" i="1"/>
  <c r="AD1617" i="1" s="1"/>
  <c r="J1617" i="1"/>
  <c r="AW1617" i="1"/>
  <c r="BI1158" i="1"/>
  <c r="AC1158" i="1" s="1"/>
  <c r="K1158" i="1"/>
  <c r="L1174" i="1"/>
  <c r="F36" i="2" s="1"/>
  <c r="I36" i="2" s="1"/>
  <c r="AL1188" i="1"/>
  <c r="M1188" i="1"/>
  <c r="AV1198" i="1"/>
  <c r="AX1212" i="1"/>
  <c r="BH1224" i="1"/>
  <c r="AD1224" i="1" s="1"/>
  <c r="BH1307" i="1"/>
  <c r="AD1307" i="1" s="1"/>
  <c r="J1307" i="1"/>
  <c r="AW1307" i="1"/>
  <c r="AX1323" i="1"/>
  <c r="BC1323" i="1" s="1"/>
  <c r="BH1356" i="1"/>
  <c r="AD1356" i="1" s="1"/>
  <c r="J1356" i="1"/>
  <c r="AW1356" i="1"/>
  <c r="AX1373" i="1"/>
  <c r="BC1373" i="1" s="1"/>
  <c r="BH1388" i="1"/>
  <c r="AD1388" i="1" s="1"/>
  <c r="J1388" i="1"/>
  <c r="AW1388" i="1"/>
  <c r="BC1410" i="1"/>
  <c r="AL1468" i="1"/>
  <c r="M1468" i="1"/>
  <c r="BH1553" i="1"/>
  <c r="AD1553" i="1" s="1"/>
  <c r="J1553" i="1"/>
  <c r="AW1553" i="1"/>
  <c r="BC1558" i="1"/>
  <c r="AL1560" i="1"/>
  <c r="M1560" i="1"/>
  <c r="AS1570" i="1"/>
  <c r="BI1579" i="1"/>
  <c r="AE1579" i="1" s="1"/>
  <c r="K1579" i="1"/>
  <c r="AX1579" i="1"/>
  <c r="AV1579" i="1" s="1"/>
  <c r="BI1593" i="1"/>
  <c r="AE1593" i="1" s="1"/>
  <c r="K1593" i="1"/>
  <c r="AX1593" i="1"/>
  <c r="BH1604" i="1"/>
  <c r="AD1604" i="1" s="1"/>
  <c r="J1604" i="1"/>
  <c r="AW1604" i="1"/>
  <c r="BI1617" i="1"/>
  <c r="AE1617" i="1" s="1"/>
  <c r="K1617" i="1"/>
  <c r="AX1617" i="1"/>
  <c r="BH1672" i="1"/>
  <c r="AD1672" i="1" s="1"/>
  <c r="J1672" i="1"/>
  <c r="AW1672" i="1"/>
  <c r="BH1578" i="1"/>
  <c r="AD1578" i="1" s="1"/>
  <c r="BI1581" i="1"/>
  <c r="AE1581" i="1" s="1"/>
  <c r="K1586" i="1"/>
  <c r="BI1604" i="1"/>
  <c r="AE1604" i="1" s="1"/>
  <c r="K1604" i="1"/>
  <c r="AX1604" i="1"/>
  <c r="AV1608" i="1"/>
  <c r="AW1664" i="1"/>
  <c r="J1664" i="1"/>
  <c r="BH1664" i="1"/>
  <c r="AD1664" i="1" s="1"/>
  <c r="AL1672" i="1"/>
  <c r="M1672" i="1"/>
  <c r="L1669" i="1"/>
  <c r="F48" i="2" s="1"/>
  <c r="I48" i="2" s="1"/>
  <c r="J1238" i="1"/>
  <c r="BH1238" i="1"/>
  <c r="AD1238" i="1" s="1"/>
  <c r="J1255" i="1"/>
  <c r="BH1255" i="1"/>
  <c r="AD1255" i="1" s="1"/>
  <c r="J1262" i="1"/>
  <c r="BH1262" i="1"/>
  <c r="AD1262" i="1" s="1"/>
  <c r="J1293" i="1"/>
  <c r="BH1293" i="1"/>
  <c r="AD1293" i="1" s="1"/>
  <c r="J1323" i="1"/>
  <c r="BH1323" i="1"/>
  <c r="AD1323" i="1" s="1"/>
  <c r="J1351" i="1"/>
  <c r="BH1351" i="1"/>
  <c r="AD1351" i="1" s="1"/>
  <c r="J1373" i="1"/>
  <c r="BH1373" i="1"/>
  <c r="AD1373" i="1" s="1"/>
  <c r="J1382" i="1"/>
  <c r="BH1382" i="1"/>
  <c r="J1384" i="1"/>
  <c r="BH1384" i="1"/>
  <c r="AD1384" i="1" s="1"/>
  <c r="J1410" i="1"/>
  <c r="BH1410" i="1"/>
  <c r="AD1410" i="1" s="1"/>
  <c r="J1434" i="1"/>
  <c r="BH1434" i="1"/>
  <c r="AD1434" i="1" s="1"/>
  <c r="J1450" i="1"/>
  <c r="BH1450" i="1"/>
  <c r="AD1450" i="1" s="1"/>
  <c r="J1483" i="1"/>
  <c r="BH1483" i="1"/>
  <c r="AD1483" i="1" s="1"/>
  <c r="J1500" i="1"/>
  <c r="BH1500" i="1"/>
  <c r="AD1500" i="1" s="1"/>
  <c r="J1547" i="1"/>
  <c r="BH1547" i="1"/>
  <c r="J1549" i="1"/>
  <c r="BH1549" i="1"/>
  <c r="AD1549" i="1" s="1"/>
  <c r="J1552" i="1"/>
  <c r="BH1552" i="1"/>
  <c r="AD1552" i="1" s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2" i="1"/>
  <c r="BH1572" i="1"/>
  <c r="AD1572" i="1" s="1"/>
  <c r="J1575" i="1"/>
  <c r="BH1575" i="1"/>
  <c r="AD1575" i="1" s="1"/>
  <c r="J1578" i="1"/>
  <c r="BI1578" i="1"/>
  <c r="AE1578" i="1" s="1"/>
  <c r="K1581" i="1"/>
  <c r="AL1586" i="1"/>
  <c r="M1586" i="1"/>
  <c r="BH1588" i="1"/>
  <c r="AD1588" i="1" s="1"/>
  <c r="AW1625" i="1"/>
  <c r="J1625" i="1"/>
  <c r="J1627" i="1"/>
  <c r="BH1627" i="1"/>
  <c r="AD1627" i="1" s="1"/>
  <c r="AW1627" i="1"/>
  <c r="K1664" i="1"/>
  <c r="BI1664" i="1"/>
  <c r="AE1664" i="1" s="1"/>
  <c r="AX1664" i="1"/>
  <c r="BI1667" i="1"/>
  <c r="AE1667" i="1" s="1"/>
  <c r="K1667" i="1"/>
  <c r="AX1667" i="1"/>
  <c r="AV1667" i="1" s="1"/>
  <c r="AX1744" i="1"/>
  <c r="K1744" i="1"/>
  <c r="BI1744" i="1"/>
  <c r="AE1744" i="1" s="1"/>
  <c r="K1483" i="1"/>
  <c r="K1500" i="1"/>
  <c r="K1547" i="1"/>
  <c r="K1549" i="1"/>
  <c r="K1552" i="1"/>
  <c r="K1555" i="1"/>
  <c r="K1558" i="1"/>
  <c r="K1561" i="1"/>
  <c r="K1564" i="1"/>
  <c r="K1567" i="1"/>
  <c r="K1572" i="1"/>
  <c r="K1575" i="1"/>
  <c r="K1578" i="1"/>
  <c r="BI1585" i="1"/>
  <c r="AE1585" i="1" s="1"/>
  <c r="K1585" i="1"/>
  <c r="BH1612" i="1"/>
  <c r="AD1612" i="1" s="1"/>
  <c r="J1612" i="1"/>
  <c r="AW1612" i="1"/>
  <c r="M1621" i="1"/>
  <c r="K1625" i="1"/>
  <c r="AX1625" i="1"/>
  <c r="BH1660" i="1"/>
  <c r="AD1660" i="1" s="1"/>
  <c r="AW1660" i="1"/>
  <c r="AW1662" i="1"/>
  <c r="J1662" i="1"/>
  <c r="BH1662" i="1"/>
  <c r="AD1662" i="1" s="1"/>
  <c r="O1669" i="1"/>
  <c r="G48" i="2" s="1"/>
  <c r="AS1669" i="1"/>
  <c r="BI1594" i="1"/>
  <c r="AE1594" i="1" s="1"/>
  <c r="BI1612" i="1"/>
  <c r="AE1612" i="1" s="1"/>
  <c r="K1612" i="1"/>
  <c r="AX1612" i="1"/>
  <c r="L1616" i="1"/>
  <c r="F44" i="2" s="1"/>
  <c r="I44" i="2" s="1"/>
  <c r="J1621" i="1"/>
  <c r="BH1621" i="1"/>
  <c r="AD1621" i="1" s="1"/>
  <c r="AW1621" i="1"/>
  <c r="AL1627" i="1"/>
  <c r="M1627" i="1"/>
  <c r="K1633" i="1"/>
  <c r="BI1633" i="1"/>
  <c r="AE1633" i="1" s="1"/>
  <c r="AX1633" i="1"/>
  <c r="AV1633" i="1" s="1"/>
  <c r="BH1643" i="1"/>
  <c r="AD1643" i="1" s="1"/>
  <c r="AW1643" i="1"/>
  <c r="J1660" i="1"/>
  <c r="AL1662" i="1"/>
  <c r="M1662" i="1"/>
  <c r="AV1685" i="1"/>
  <c r="BC1685" i="1"/>
  <c r="BC1701" i="1"/>
  <c r="AV1701" i="1"/>
  <c r="BC1704" i="1"/>
  <c r="AV1704" i="1"/>
  <c r="BH1734" i="1"/>
  <c r="AD1734" i="1" s="1"/>
  <c r="J1734" i="1"/>
  <c r="AW1734" i="1"/>
  <c r="K1582" i="1"/>
  <c r="AX1585" i="1"/>
  <c r="BC1585" i="1" s="1"/>
  <c r="AX1586" i="1"/>
  <c r="AS1587" i="1"/>
  <c r="AL1619" i="1"/>
  <c r="AL1624" i="1"/>
  <c r="M1624" i="1"/>
  <c r="BH1625" i="1"/>
  <c r="AD1625" i="1" s="1"/>
  <c r="AL1660" i="1"/>
  <c r="M1660" i="1"/>
  <c r="AX1673" i="1"/>
  <c r="AV1673" i="1" s="1"/>
  <c r="K1673" i="1"/>
  <c r="BI1673" i="1"/>
  <c r="AE1673" i="1" s="1"/>
  <c r="AT1587" i="1"/>
  <c r="AL1597" i="1"/>
  <c r="M1597" i="1"/>
  <c r="L1599" i="1"/>
  <c r="F42" i="2" s="1"/>
  <c r="I42" i="2" s="1"/>
  <c r="AT1599" i="1"/>
  <c r="BH1601" i="1"/>
  <c r="AD1601" i="1" s="1"/>
  <c r="J1601" i="1"/>
  <c r="AW1601" i="1"/>
  <c r="AV1610" i="1"/>
  <c r="BC1620" i="1"/>
  <c r="AL1643" i="1"/>
  <c r="M1643" i="1"/>
  <c r="AT1645" i="1"/>
  <c r="BH1726" i="1"/>
  <c r="AD1726" i="1" s="1"/>
  <c r="J1726" i="1"/>
  <c r="AW1726" i="1"/>
  <c r="AV1581" i="1"/>
  <c r="BI1601" i="1"/>
  <c r="AE1601" i="1" s="1"/>
  <c r="K1601" i="1"/>
  <c r="AX1601" i="1"/>
  <c r="AW1623" i="1"/>
  <c r="J1623" i="1"/>
  <c r="AV1635" i="1"/>
  <c r="BC1635" i="1"/>
  <c r="AL1588" i="1"/>
  <c r="M1588" i="1"/>
  <c r="BH1596" i="1"/>
  <c r="AD1596" i="1" s="1"/>
  <c r="J1596" i="1"/>
  <c r="AW1596" i="1"/>
  <c r="BI1602" i="1"/>
  <c r="AE1602" i="1" s="1"/>
  <c r="BC1618" i="1"/>
  <c r="AL1623" i="1"/>
  <c r="M1623" i="1"/>
  <c r="AX1623" i="1"/>
  <c r="K1623" i="1"/>
  <c r="BI1623" i="1"/>
  <c r="AE1623" i="1" s="1"/>
  <c r="AW1626" i="1"/>
  <c r="J1626" i="1"/>
  <c r="AW1659" i="1"/>
  <c r="J1659" i="1"/>
  <c r="BH1659" i="1"/>
  <c r="AD1659" i="1" s="1"/>
  <c r="J1663" i="1"/>
  <c r="BH1663" i="1"/>
  <c r="AD1663" i="1" s="1"/>
  <c r="AW1663" i="1"/>
  <c r="AV1720" i="1"/>
  <c r="BC1720" i="1"/>
  <c r="BC1581" i="1"/>
  <c r="BH1585" i="1"/>
  <c r="AD1585" i="1" s="1"/>
  <c r="AL1594" i="1"/>
  <c r="M1594" i="1"/>
  <c r="BI1596" i="1"/>
  <c r="AE1596" i="1" s="1"/>
  <c r="K1596" i="1"/>
  <c r="AX1596" i="1"/>
  <c r="BH1609" i="1"/>
  <c r="AD1609" i="1" s="1"/>
  <c r="J1609" i="1"/>
  <c r="AW1609" i="1"/>
  <c r="BH1615" i="1"/>
  <c r="AD1615" i="1" s="1"/>
  <c r="J1615" i="1"/>
  <c r="AW1615" i="1"/>
  <c r="AL1626" i="1"/>
  <c r="M1626" i="1"/>
  <c r="K1626" i="1"/>
  <c r="BI1626" i="1"/>
  <c r="AE1626" i="1" s="1"/>
  <c r="AX1626" i="1"/>
  <c r="AS1637" i="1"/>
  <c r="AW1642" i="1"/>
  <c r="J1642" i="1"/>
  <c r="BH1642" i="1"/>
  <c r="AD1642" i="1" s="1"/>
  <c r="AL1659" i="1"/>
  <c r="M1659" i="1"/>
  <c r="AW1661" i="1"/>
  <c r="J1661" i="1"/>
  <c r="BH1661" i="1"/>
  <c r="AD1661" i="1" s="1"/>
  <c r="BI1663" i="1"/>
  <c r="AE1663" i="1" s="1"/>
  <c r="K1663" i="1"/>
  <c r="AX1663" i="1"/>
  <c r="AV1717" i="1"/>
  <c r="BC1717" i="1"/>
  <c r="AL1639" i="1"/>
  <c r="M1639" i="1"/>
  <c r="AL1640" i="1"/>
  <c r="M1640" i="1"/>
  <c r="BI1643" i="1"/>
  <c r="AE1643" i="1" s="1"/>
  <c r="K1643" i="1"/>
  <c r="J1649" i="1"/>
  <c r="K1652" i="1"/>
  <c r="AL1656" i="1"/>
  <c r="M1656" i="1"/>
  <c r="AL1657" i="1"/>
  <c r="M1657" i="1"/>
  <c r="BC1658" i="1"/>
  <c r="BI1660" i="1"/>
  <c r="AE1660" i="1" s="1"/>
  <c r="K1660" i="1"/>
  <c r="AL1671" i="1"/>
  <c r="M1671" i="1"/>
  <c r="BI1672" i="1"/>
  <c r="AE1672" i="1" s="1"/>
  <c r="K1672" i="1"/>
  <c r="BC1693" i="1"/>
  <c r="AV1693" i="1"/>
  <c r="BC1707" i="1"/>
  <c r="AV1707" i="1"/>
  <c r="AX1754" i="1"/>
  <c r="K1754" i="1"/>
  <c r="BI1754" i="1"/>
  <c r="AE1754" i="1" s="1"/>
  <c r="AX1830" i="1"/>
  <c r="BC1830" i="1" s="1"/>
  <c r="BI1830" i="1"/>
  <c r="AE1830" i="1" s="1"/>
  <c r="AL1879" i="1"/>
  <c r="M1879" i="1"/>
  <c r="BH2281" i="1"/>
  <c r="AD2281" i="1" s="1"/>
  <c r="AW2281" i="1"/>
  <c r="J2281" i="1"/>
  <c r="M1602" i="1"/>
  <c r="M1605" i="1"/>
  <c r="M1610" i="1"/>
  <c r="M1613" i="1"/>
  <c r="M1618" i="1"/>
  <c r="BH1619" i="1"/>
  <c r="AD1619" i="1" s="1"/>
  <c r="M1622" i="1"/>
  <c r="M1628" i="1"/>
  <c r="AL1629" i="1"/>
  <c r="M1629" i="1"/>
  <c r="BI1640" i="1"/>
  <c r="AE1640" i="1" s="1"/>
  <c r="K1640" i="1"/>
  <c r="J1646" i="1"/>
  <c r="AS1645" i="1"/>
  <c r="J1647" i="1"/>
  <c r="K1649" i="1"/>
  <c r="J1651" i="1"/>
  <c r="AL1653" i="1"/>
  <c r="M1653" i="1"/>
  <c r="AL1654" i="1"/>
  <c r="M1654" i="1"/>
  <c r="BC1655" i="1"/>
  <c r="BI1657" i="1"/>
  <c r="AE1657" i="1" s="1"/>
  <c r="K1657" i="1"/>
  <c r="K1670" i="1"/>
  <c r="BH1673" i="1"/>
  <c r="AD1673" i="1" s="1"/>
  <c r="AL1679" i="1"/>
  <c r="M1679" i="1"/>
  <c r="BH1679" i="1"/>
  <c r="AD1679" i="1" s="1"/>
  <c r="J1679" i="1"/>
  <c r="BH1697" i="1"/>
  <c r="AD1697" i="1" s="1"/>
  <c r="J1697" i="1"/>
  <c r="BC1710" i="1"/>
  <c r="AV1710" i="1"/>
  <c r="BC1713" i="1"/>
  <c r="AV1713" i="1"/>
  <c r="BC1716" i="1"/>
  <c r="AV1716" i="1"/>
  <c r="BC1719" i="1"/>
  <c r="AV1719" i="1"/>
  <c r="BC1722" i="1"/>
  <c r="AV1722" i="1"/>
  <c r="BF1726" i="1"/>
  <c r="O1725" i="1"/>
  <c r="G50" i="2" s="1"/>
  <c r="J1598" i="1"/>
  <c r="J1600" i="1"/>
  <c r="J1603" i="1"/>
  <c r="J1606" i="1"/>
  <c r="J1608" i="1"/>
  <c r="J1611" i="1"/>
  <c r="J1614" i="1"/>
  <c r="J1619" i="1"/>
  <c r="O1630" i="1"/>
  <c r="G45" i="2" s="1"/>
  <c r="BH1633" i="1"/>
  <c r="AD1633" i="1" s="1"/>
  <c r="BI1636" i="1"/>
  <c r="AE1636" i="1" s="1"/>
  <c r="AW1640" i="1"/>
  <c r="AX1643" i="1"/>
  <c r="K1646" i="1"/>
  <c r="J1648" i="1"/>
  <c r="AL1650" i="1"/>
  <c r="M1650" i="1"/>
  <c r="AL1651" i="1"/>
  <c r="M1651" i="1"/>
  <c r="BI1654" i="1"/>
  <c r="AE1654" i="1" s="1"/>
  <c r="K1654" i="1"/>
  <c r="AW1657" i="1"/>
  <c r="AV1658" i="1"/>
  <c r="AX1660" i="1"/>
  <c r="BC1670" i="1"/>
  <c r="AX1672" i="1"/>
  <c r="J1676" i="1"/>
  <c r="AL1677" i="1"/>
  <c r="M1677" i="1"/>
  <c r="BI1679" i="1"/>
  <c r="AE1679" i="1" s="1"/>
  <c r="K1679" i="1"/>
  <c r="BI1697" i="1"/>
  <c r="AE1697" i="1" s="1"/>
  <c r="K1697" i="1"/>
  <c r="AX1697" i="1"/>
  <c r="AV1697" i="1" s="1"/>
  <c r="BH1700" i="1"/>
  <c r="AD1700" i="1" s="1"/>
  <c r="J1700" i="1"/>
  <c r="AX1746" i="1"/>
  <c r="BI1746" i="1"/>
  <c r="AE1746" i="1" s="1"/>
  <c r="BI1841" i="1"/>
  <c r="AE1841" i="1" s="1"/>
  <c r="K1841" i="1"/>
  <c r="AX1841" i="1"/>
  <c r="AV1849" i="1"/>
  <c r="BC1849" i="1"/>
  <c r="AV1887" i="1"/>
  <c r="BC1887" i="1"/>
  <c r="K1915" i="1"/>
  <c r="BI1915" i="1"/>
  <c r="AE1915" i="1" s="1"/>
  <c r="AX1915" i="1"/>
  <c r="AV1915" i="1" s="1"/>
  <c r="AL1647" i="1"/>
  <c r="M1647" i="1"/>
  <c r="AL1648" i="1"/>
  <c r="M1648" i="1"/>
  <c r="BI1651" i="1"/>
  <c r="AE1651" i="1" s="1"/>
  <c r="K1651" i="1"/>
  <c r="AV1653" i="1"/>
  <c r="AV1654" i="1"/>
  <c r="K1676" i="1"/>
  <c r="AV1679" i="1"/>
  <c r="AL1691" i="1"/>
  <c r="M1691" i="1"/>
  <c r="BH1691" i="1"/>
  <c r="AD1691" i="1" s="1"/>
  <c r="J1691" i="1"/>
  <c r="AU1696" i="1"/>
  <c r="BI1700" i="1"/>
  <c r="AE1700" i="1" s="1"/>
  <c r="K1700" i="1"/>
  <c r="AX1700" i="1"/>
  <c r="BC1700" i="1" s="1"/>
  <c r="BH1703" i="1"/>
  <c r="AD1703" i="1" s="1"/>
  <c r="J1703" i="1"/>
  <c r="AS1725" i="1"/>
  <c r="AV1732" i="1"/>
  <c r="BC1732" i="1"/>
  <c r="AL1748" i="1"/>
  <c r="AL1756" i="1"/>
  <c r="M1756" i="1"/>
  <c r="AX1756" i="1"/>
  <c r="K1756" i="1"/>
  <c r="BI1756" i="1"/>
  <c r="AE1756" i="1" s="1"/>
  <c r="BC1646" i="1"/>
  <c r="BI1648" i="1"/>
  <c r="AE1648" i="1" s="1"/>
  <c r="K1648" i="1"/>
  <c r="AL1689" i="1"/>
  <c r="M1689" i="1"/>
  <c r="BI1691" i="1"/>
  <c r="AE1691" i="1" s="1"/>
  <c r="K1691" i="1"/>
  <c r="BF1697" i="1"/>
  <c r="O1696" i="1"/>
  <c r="G49" i="2" s="1"/>
  <c r="BI1703" i="1"/>
  <c r="AE1703" i="1" s="1"/>
  <c r="K1703" i="1"/>
  <c r="AX1703" i="1"/>
  <c r="BC1703" i="1" s="1"/>
  <c r="BH1706" i="1"/>
  <c r="AD1706" i="1" s="1"/>
  <c r="J1706" i="1"/>
  <c r="BH1724" i="1"/>
  <c r="AD1724" i="1" s="1"/>
  <c r="J1724" i="1"/>
  <c r="AV1869" i="1"/>
  <c r="BC1869" i="1"/>
  <c r="BI1877" i="1"/>
  <c r="AE1877" i="1" s="1"/>
  <c r="K1877" i="1"/>
  <c r="AX1877" i="1"/>
  <c r="AV1647" i="1"/>
  <c r="AW1648" i="1"/>
  <c r="AX1651" i="1"/>
  <c r="AX1652" i="1"/>
  <c r="AV1652" i="1" s="1"/>
  <c r="BC1679" i="1"/>
  <c r="BH1695" i="1"/>
  <c r="AD1695" i="1" s="1"/>
  <c r="J1695" i="1"/>
  <c r="BI1706" i="1"/>
  <c r="AE1706" i="1" s="1"/>
  <c r="K1706" i="1"/>
  <c r="AX1706" i="1"/>
  <c r="BH1709" i="1"/>
  <c r="AD1709" i="1" s="1"/>
  <c r="J1709" i="1"/>
  <c r="BH1712" i="1"/>
  <c r="AD1712" i="1" s="1"/>
  <c r="J1712" i="1"/>
  <c r="BH1715" i="1"/>
  <c r="AD1715" i="1" s="1"/>
  <c r="J1715" i="1"/>
  <c r="BH1718" i="1"/>
  <c r="AD1718" i="1" s="1"/>
  <c r="J1718" i="1"/>
  <c r="BH1721" i="1"/>
  <c r="AD1721" i="1" s="1"/>
  <c r="J1721" i="1"/>
  <c r="BI1814" i="1"/>
  <c r="AE1814" i="1" s="1"/>
  <c r="K1814" i="1"/>
  <c r="AX1814" i="1"/>
  <c r="BC1821" i="1"/>
  <c r="AV1821" i="1"/>
  <c r="BI1829" i="1"/>
  <c r="AE1829" i="1" s="1"/>
  <c r="K1829" i="1"/>
  <c r="AX1829" i="1"/>
  <c r="J1633" i="1"/>
  <c r="AV1646" i="1"/>
  <c r="AX1648" i="1"/>
  <c r="AX1649" i="1"/>
  <c r="AV1649" i="1" s="1"/>
  <c r="AL1675" i="1"/>
  <c r="M1675" i="1"/>
  <c r="BH1675" i="1"/>
  <c r="AD1675" i="1" s="1"/>
  <c r="J1675" i="1"/>
  <c r="AV1676" i="1"/>
  <c r="AX1691" i="1"/>
  <c r="AV1691" i="1" s="1"/>
  <c r="BI1695" i="1"/>
  <c r="AE1695" i="1" s="1"/>
  <c r="K1695" i="1"/>
  <c r="AX1695" i="1"/>
  <c r="AS1696" i="1"/>
  <c r="AW1706" i="1"/>
  <c r="AW1724" i="1"/>
  <c r="BC1731" i="1"/>
  <c r="AV1731" i="1"/>
  <c r="BC1776" i="1"/>
  <c r="AV1776" i="1"/>
  <c r="AL1814" i="1"/>
  <c r="M1814" i="1"/>
  <c r="L1813" i="1"/>
  <c r="F53" i="2" s="1"/>
  <c r="I53" i="2" s="1"/>
  <c r="AV1840" i="1"/>
  <c r="BC1840" i="1"/>
  <c r="BI1859" i="1"/>
  <c r="AE1859" i="1" s="1"/>
  <c r="K1859" i="1"/>
  <c r="AX1859" i="1"/>
  <c r="BC1902" i="1"/>
  <c r="AV1902" i="1"/>
  <c r="K2213" i="1"/>
  <c r="BI2213" i="1"/>
  <c r="AE2213" i="1" s="1"/>
  <c r="AX2213" i="1"/>
  <c r="AV2213" i="1" s="1"/>
  <c r="AL1620" i="1"/>
  <c r="M1620" i="1"/>
  <c r="BI1621" i="1"/>
  <c r="AE1621" i="1" s="1"/>
  <c r="BH1628" i="1"/>
  <c r="AD1628" i="1" s="1"/>
  <c r="L1637" i="1"/>
  <c r="F46" i="2" s="1"/>
  <c r="I46" i="2" s="1"/>
  <c r="BH1639" i="1"/>
  <c r="AD1639" i="1" s="1"/>
  <c r="BH1652" i="1"/>
  <c r="AD1652" i="1" s="1"/>
  <c r="BH1656" i="1"/>
  <c r="AD1656" i="1" s="1"/>
  <c r="J1666" i="1"/>
  <c r="BI1670" i="1"/>
  <c r="AE1670" i="1" s="1"/>
  <c r="J1673" i="1"/>
  <c r="AL1674" i="1"/>
  <c r="M1674" i="1"/>
  <c r="BI1675" i="1"/>
  <c r="AE1675" i="1" s="1"/>
  <c r="K1675" i="1"/>
  <c r="AW1695" i="1"/>
  <c r="AW1709" i="1"/>
  <c r="AW1712" i="1"/>
  <c r="AW1715" i="1"/>
  <c r="AW1718" i="1"/>
  <c r="AW1721" i="1"/>
  <c r="BC1745" i="1"/>
  <c r="AV1745" i="1"/>
  <c r="AV1752" i="1"/>
  <c r="BC1752" i="1"/>
  <c r="BH2061" i="1"/>
  <c r="AD2061" i="1" s="1"/>
  <c r="J2061" i="1"/>
  <c r="AW2061" i="1"/>
  <c r="BH1629" i="1"/>
  <c r="AD1629" i="1" s="1"/>
  <c r="AL1631" i="1"/>
  <c r="M1631" i="1"/>
  <c r="AL1632" i="1"/>
  <c r="M1632" i="1"/>
  <c r="AL1634" i="1"/>
  <c r="M1634" i="1"/>
  <c r="AL1635" i="1"/>
  <c r="M1635" i="1"/>
  <c r="O1637" i="1"/>
  <c r="G46" i="2" s="1"/>
  <c r="BH1649" i="1"/>
  <c r="AD1649" i="1" s="1"/>
  <c r="BH1653" i="1"/>
  <c r="AD1653" i="1" s="1"/>
  <c r="AW1675" i="1"/>
  <c r="BH1676" i="1"/>
  <c r="AD1676" i="1" s="1"/>
  <c r="AL1685" i="1"/>
  <c r="M1685" i="1"/>
  <c r="BH1685" i="1"/>
  <c r="AD1685" i="1" s="1"/>
  <c r="J1685" i="1"/>
  <c r="AV1687" i="1"/>
  <c r="AV1694" i="1"/>
  <c r="AV1705" i="1"/>
  <c r="M1800" i="1"/>
  <c r="BI1820" i="1"/>
  <c r="AE1820" i="1" s="1"/>
  <c r="K1820" i="1"/>
  <c r="AX1820" i="1"/>
  <c r="AV1820" i="1" s="1"/>
  <c r="AL2003" i="1"/>
  <c r="M2003" i="1"/>
  <c r="BI1632" i="1"/>
  <c r="AE1632" i="1" s="1"/>
  <c r="K1632" i="1"/>
  <c r="BI1635" i="1"/>
  <c r="AE1635" i="1" s="1"/>
  <c r="K1635" i="1"/>
  <c r="BH1646" i="1"/>
  <c r="AD1646" i="1" s="1"/>
  <c r="AL1666" i="1"/>
  <c r="M1666" i="1"/>
  <c r="AL1667" i="1"/>
  <c r="M1667" i="1"/>
  <c r="BI1676" i="1"/>
  <c r="AE1676" i="1" s="1"/>
  <c r="AL1683" i="1"/>
  <c r="M1683" i="1"/>
  <c r="BI1685" i="1"/>
  <c r="AE1685" i="1" s="1"/>
  <c r="K1685" i="1"/>
  <c r="BC1698" i="1"/>
  <c r="AV1698" i="1"/>
  <c r="AV1708" i="1"/>
  <c r="AV1723" i="1"/>
  <c r="BC1723" i="1"/>
  <c r="AT1725" i="1"/>
  <c r="BC1755" i="1"/>
  <c r="AV1755" i="1"/>
  <c r="AL1768" i="1"/>
  <c r="AU1767" i="1" s="1"/>
  <c r="L1767" i="1"/>
  <c r="F51" i="2" s="1"/>
  <c r="I51" i="2" s="1"/>
  <c r="M1768" i="1"/>
  <c r="M1767" i="1" s="1"/>
  <c r="AV1768" i="1"/>
  <c r="BI1835" i="1"/>
  <c r="AE1835" i="1" s="1"/>
  <c r="K1835" i="1"/>
  <c r="AX1835" i="1"/>
  <c r="AL1894" i="1"/>
  <c r="M1894" i="1"/>
  <c r="AV1930" i="1"/>
  <c r="BC1930" i="1"/>
  <c r="AL1746" i="1"/>
  <c r="AL1830" i="1"/>
  <c r="M1830" i="1"/>
  <c r="AL1836" i="1"/>
  <c r="M1836" i="1"/>
  <c r="BC1836" i="1"/>
  <c r="AL1845" i="1"/>
  <c r="M1845" i="1"/>
  <c r="BC1845" i="1"/>
  <c r="AL1854" i="1"/>
  <c r="M1854" i="1"/>
  <c r="BC1854" i="1"/>
  <c r="BI1890" i="1"/>
  <c r="AE1890" i="1" s="1"/>
  <c r="K1890" i="1"/>
  <c r="AX1890" i="1"/>
  <c r="AV1890" i="1" s="1"/>
  <c r="AL1900" i="1"/>
  <c r="M1900" i="1"/>
  <c r="BC1900" i="1"/>
  <c r="K1907" i="1"/>
  <c r="BI1907" i="1"/>
  <c r="AE1907" i="1" s="1"/>
  <c r="AX1907" i="1"/>
  <c r="AV1907" i="1" s="1"/>
  <c r="BI2013" i="1"/>
  <c r="AE2013" i="1" s="1"/>
  <c r="K2013" i="1"/>
  <c r="AX2013" i="1"/>
  <c r="BI2281" i="1"/>
  <c r="AE2281" i="1" s="1"/>
  <c r="K2281" i="1"/>
  <c r="AX2281" i="1"/>
  <c r="AW2288" i="1"/>
  <c r="J2288" i="1"/>
  <c r="BH2288" i="1"/>
  <c r="AD2288" i="1" s="1"/>
  <c r="AL2444" i="1"/>
  <c r="M2444" i="1"/>
  <c r="BC2507" i="1"/>
  <c r="AV2507" i="1"/>
  <c r="L1696" i="1"/>
  <c r="F49" i="2" s="1"/>
  <c r="I49" i="2" s="1"/>
  <c r="L1725" i="1"/>
  <c r="F50" i="2" s="1"/>
  <c r="I50" i="2" s="1"/>
  <c r="BI1740" i="1"/>
  <c r="AE1740" i="1" s="1"/>
  <c r="BI1741" i="1"/>
  <c r="AE1741" i="1" s="1"/>
  <c r="K1748" i="1"/>
  <c r="BI1750" i="1"/>
  <c r="AE1750" i="1" s="1"/>
  <c r="K1758" i="1"/>
  <c r="BI1760" i="1"/>
  <c r="AE1760" i="1" s="1"/>
  <c r="BI1824" i="1"/>
  <c r="AE1824" i="1" s="1"/>
  <c r="AL1867" i="1"/>
  <c r="M1867" i="1"/>
  <c r="BC1867" i="1"/>
  <c r="BI1888" i="1"/>
  <c r="K1888" i="1"/>
  <c r="AX1888" i="1"/>
  <c r="AV1888" i="1" s="1"/>
  <c r="AV1950" i="1"/>
  <c r="BC1950" i="1"/>
  <c r="BF2266" i="1"/>
  <c r="O2225" i="1"/>
  <c r="G62" i="2" s="1"/>
  <c r="L2345" i="1"/>
  <c r="F63" i="2" s="1"/>
  <c r="I63" i="2" s="1"/>
  <c r="AX1709" i="1"/>
  <c r="AX1712" i="1"/>
  <c r="AX1715" i="1"/>
  <c r="AX1718" i="1"/>
  <c r="AX1721" i="1"/>
  <c r="AX1724" i="1"/>
  <c r="AX1726" i="1"/>
  <c r="AX1734" i="1"/>
  <c r="AL1738" i="1"/>
  <c r="BI1844" i="1"/>
  <c r="AE1844" i="1" s="1"/>
  <c r="K1844" i="1"/>
  <c r="AX1844" i="1"/>
  <c r="BI1853" i="1"/>
  <c r="AE1853" i="1" s="1"/>
  <c r="K1853" i="1"/>
  <c r="AX1853" i="1"/>
  <c r="BI1899" i="1"/>
  <c r="AE1899" i="1" s="1"/>
  <c r="K1899" i="1"/>
  <c r="AX1899" i="1"/>
  <c r="AV1899" i="1" s="1"/>
  <c r="BC1915" i="1"/>
  <c r="BH1942" i="1"/>
  <c r="AD1942" i="1" s="1"/>
  <c r="J1942" i="1"/>
  <c r="AW1942" i="1"/>
  <c r="AV1960" i="1"/>
  <c r="BC1960" i="1"/>
  <c r="BI2061" i="1"/>
  <c r="AE2061" i="1" s="1"/>
  <c r="K2061" i="1"/>
  <c r="AX2061" i="1"/>
  <c r="BH2137" i="1"/>
  <c r="AD2137" i="1" s="1"/>
  <c r="J2137" i="1"/>
  <c r="J2136" i="1" s="1"/>
  <c r="D58" i="2" s="1"/>
  <c r="AW2137" i="1"/>
  <c r="BF2213" i="1"/>
  <c r="O2212" i="1"/>
  <c r="G59" i="2" s="1"/>
  <c r="AV1747" i="1"/>
  <c r="AV1757" i="1"/>
  <c r="M1759" i="1"/>
  <c r="AL1778" i="1"/>
  <c r="AL1800" i="1"/>
  <c r="AL1809" i="1"/>
  <c r="AV1819" i="1"/>
  <c r="AL1839" i="1"/>
  <c r="M1839" i="1"/>
  <c r="BC1839" i="1"/>
  <c r="AL1848" i="1"/>
  <c r="M1848" i="1"/>
  <c r="BC1848" i="1"/>
  <c r="AL1857" i="1"/>
  <c r="M1857" i="1"/>
  <c r="BI1865" i="1"/>
  <c r="AE1865" i="1" s="1"/>
  <c r="K1865" i="1"/>
  <c r="AX1865" i="1"/>
  <c r="AL1885" i="1"/>
  <c r="M1885" i="1"/>
  <c r="BC1885" i="1"/>
  <c r="BI2137" i="1"/>
  <c r="AE2137" i="1" s="1"/>
  <c r="K2137" i="1"/>
  <c r="K2136" i="1" s="1"/>
  <c r="E58" i="2" s="1"/>
  <c r="AX2137" i="1"/>
  <c r="AL1740" i="1"/>
  <c r="AL1741" i="1"/>
  <c r="AL1750" i="1"/>
  <c r="AV1758" i="1"/>
  <c r="AL1760" i="1"/>
  <c r="AL1764" i="1"/>
  <c r="AL1765" i="1"/>
  <c r="BI1768" i="1"/>
  <c r="AE1768" i="1" s="1"/>
  <c r="M1778" i="1"/>
  <c r="M1794" i="1"/>
  <c r="M1803" i="1"/>
  <c r="M1812" i="1"/>
  <c r="AS1889" i="1"/>
  <c r="BI1893" i="1"/>
  <c r="AE1893" i="1" s="1"/>
  <c r="K1893" i="1"/>
  <c r="AX1893" i="1"/>
  <c r="AV1893" i="1" s="1"/>
  <c r="BC1906" i="1"/>
  <c r="AW2320" i="1"/>
  <c r="BH2320" i="1"/>
  <c r="AD2320" i="1" s="1"/>
  <c r="M1694" i="1"/>
  <c r="M1699" i="1"/>
  <c r="M1702" i="1"/>
  <c r="M1705" i="1"/>
  <c r="M1708" i="1"/>
  <c r="M1711" i="1"/>
  <c r="M1714" i="1"/>
  <c r="M1717" i="1"/>
  <c r="M1720" i="1"/>
  <c r="M1723" i="1"/>
  <c r="M1732" i="1"/>
  <c r="AW1736" i="1"/>
  <c r="AV1738" i="1"/>
  <c r="K1752" i="1"/>
  <c r="BI1755" i="1"/>
  <c r="AE1755" i="1" s="1"/>
  <c r="K1763" i="1"/>
  <c r="AL1763" i="1"/>
  <c r="M1766" i="1"/>
  <c r="AL1817" i="1"/>
  <c r="M1817" i="1"/>
  <c r="BI1817" i="1"/>
  <c r="AE1817" i="1" s="1"/>
  <c r="K1817" i="1"/>
  <c r="AX1817" i="1"/>
  <c r="BC1818" i="1"/>
  <c r="AV1818" i="1"/>
  <c r="BI1826" i="1"/>
  <c r="AE1826" i="1" s="1"/>
  <c r="K1826" i="1"/>
  <c r="AX1826" i="1"/>
  <c r="BC1827" i="1"/>
  <c r="BC1828" i="1"/>
  <c r="AL1833" i="1"/>
  <c r="M1833" i="1"/>
  <c r="BC1833" i="1"/>
  <c r="AL1873" i="1"/>
  <c r="M1873" i="1"/>
  <c r="BC1873" i="1"/>
  <c r="BC1875" i="1"/>
  <c r="AV1924" i="1"/>
  <c r="BC1924" i="1"/>
  <c r="AL1988" i="1"/>
  <c r="M1988" i="1"/>
  <c r="BC1988" i="1"/>
  <c r="AV1988" i="1"/>
  <c r="BH2036" i="1"/>
  <c r="AD2036" i="1" s="1"/>
  <c r="J2036" i="1"/>
  <c r="AW2036" i="1"/>
  <c r="AV2224" i="1"/>
  <c r="BC2224" i="1"/>
  <c r="BI1745" i="1"/>
  <c r="AE1745" i="1" s="1"/>
  <c r="AL1752" i="1"/>
  <c r="AL1762" i="1"/>
  <c r="BI1765" i="1"/>
  <c r="AE1765" i="1" s="1"/>
  <c r="K1765" i="1"/>
  <c r="AX1765" i="1"/>
  <c r="AV1765" i="1" s="1"/>
  <c r="BI1794" i="1"/>
  <c r="AE1794" i="1" s="1"/>
  <c r="K1794" i="1"/>
  <c r="AX1794" i="1"/>
  <c r="BC1794" i="1" s="1"/>
  <c r="BI1803" i="1"/>
  <c r="AE1803" i="1" s="1"/>
  <c r="K1803" i="1"/>
  <c r="K1777" i="1" s="1"/>
  <c r="E52" i="2" s="1"/>
  <c r="AX1803" i="1"/>
  <c r="AV1803" i="1" s="1"/>
  <c r="BI1812" i="1"/>
  <c r="K1812" i="1"/>
  <c r="AX1812" i="1"/>
  <c r="BC1812" i="1" s="1"/>
  <c r="K1824" i="1"/>
  <c r="BI1838" i="1"/>
  <c r="AE1838" i="1" s="1"/>
  <c r="K1838" i="1"/>
  <c r="AX1838" i="1"/>
  <c r="BI1847" i="1"/>
  <c r="AE1847" i="1" s="1"/>
  <c r="K1847" i="1"/>
  <c r="AX1847" i="1"/>
  <c r="BI1856" i="1"/>
  <c r="AE1856" i="1" s="1"/>
  <c r="K1856" i="1"/>
  <c r="AX1856" i="1"/>
  <c r="BI1883" i="1"/>
  <c r="AE1883" i="1" s="1"/>
  <c r="K1883" i="1"/>
  <c r="AX1883" i="1"/>
  <c r="AV1883" i="1" s="1"/>
  <c r="AL1897" i="1"/>
  <c r="M1897" i="1"/>
  <c r="BH1908" i="1"/>
  <c r="AD1908" i="1" s="1"/>
  <c r="J1908" i="1"/>
  <c r="AW1908" i="1"/>
  <c r="BC1913" i="1"/>
  <c r="J1944" i="1"/>
  <c r="BH1944" i="1"/>
  <c r="AD1944" i="1" s="1"/>
  <c r="AW1944" i="1"/>
  <c r="AV1991" i="1"/>
  <c r="BC1991" i="1"/>
  <c r="BI2036" i="1"/>
  <c r="AE2036" i="1" s="1"/>
  <c r="K2036" i="1"/>
  <c r="AX2036" i="1"/>
  <c r="K1709" i="1"/>
  <c r="K1712" i="1"/>
  <c r="K1715" i="1"/>
  <c r="K1718" i="1"/>
  <c r="K1721" i="1"/>
  <c r="K1724" i="1"/>
  <c r="K1726" i="1"/>
  <c r="K1734" i="1"/>
  <c r="AV1740" i="1"/>
  <c r="AV1741" i="1"/>
  <c r="AV1750" i="1"/>
  <c r="AL1815" i="1"/>
  <c r="BI1832" i="1"/>
  <c r="AE1832" i="1" s="1"/>
  <c r="K1832" i="1"/>
  <c r="AX1832" i="1"/>
  <c r="AL1842" i="1"/>
  <c r="M1842" i="1"/>
  <c r="BC1842" i="1"/>
  <c r="AL1851" i="1"/>
  <c r="M1851" i="1"/>
  <c r="BC1851" i="1"/>
  <c r="AL1861" i="1"/>
  <c r="M1861" i="1"/>
  <c r="BC1861" i="1"/>
  <c r="AL1903" i="1"/>
  <c r="K1932" i="1"/>
  <c r="BI1932" i="1"/>
  <c r="AE1932" i="1" s="1"/>
  <c r="AX1932" i="1"/>
  <c r="AV1932" i="1" s="1"/>
  <c r="AX1944" i="1"/>
  <c r="BI1944" i="1"/>
  <c r="AE1944" i="1" s="1"/>
  <c r="AV2223" i="1"/>
  <c r="AL1744" i="1"/>
  <c r="K1745" i="1"/>
  <c r="BI1747" i="1"/>
  <c r="AE1747" i="1" s="1"/>
  <c r="AL1754" i="1"/>
  <c r="K1755" i="1"/>
  <c r="BI1757" i="1"/>
  <c r="AE1757" i="1" s="1"/>
  <c r="BI1762" i="1"/>
  <c r="AE1762" i="1" s="1"/>
  <c r="AX1762" i="1"/>
  <c r="AV1762" i="1" s="1"/>
  <c r="AT1813" i="1"/>
  <c r="BI1871" i="1"/>
  <c r="AE1871" i="1" s="1"/>
  <c r="K1871" i="1"/>
  <c r="AX1871" i="1"/>
  <c r="AL1891" i="1"/>
  <c r="M1891" i="1"/>
  <c r="BH1917" i="1"/>
  <c r="AD1917" i="1" s="1"/>
  <c r="J1917" i="1"/>
  <c r="AW1917" i="1"/>
  <c r="AL1944" i="1"/>
  <c r="M1944" i="1"/>
  <c r="BC2289" i="1"/>
  <c r="AV2289" i="1"/>
  <c r="BC2295" i="1"/>
  <c r="AV2295" i="1"/>
  <c r="M1695" i="1"/>
  <c r="M1697" i="1"/>
  <c r="M1700" i="1"/>
  <c r="M1703" i="1"/>
  <c r="M1706" i="1"/>
  <c r="M1709" i="1"/>
  <c r="M1712" i="1"/>
  <c r="M1715" i="1"/>
  <c r="M1718" i="1"/>
  <c r="M1721" i="1"/>
  <c r="M1724" i="1"/>
  <c r="M1726" i="1"/>
  <c r="M1734" i="1"/>
  <c r="BI1736" i="1"/>
  <c r="AE1736" i="1" s="1"/>
  <c r="BI1758" i="1"/>
  <c r="AE1758" i="1" s="1"/>
  <c r="BC1763" i="1"/>
  <c r="BC1766" i="1"/>
  <c r="K1768" i="1"/>
  <c r="K1767" i="1" s="1"/>
  <c r="E51" i="2" s="1"/>
  <c r="BI1823" i="1"/>
  <c r="AE1823" i="1" s="1"/>
  <c r="K1823" i="1"/>
  <c r="AX1823" i="1"/>
  <c r="AV1823" i="1" s="1"/>
  <c r="BC1824" i="1"/>
  <c r="L1889" i="1"/>
  <c r="F54" i="2" s="1"/>
  <c r="I54" i="2" s="1"/>
  <c r="AT1889" i="1"/>
  <c r="BI1896" i="1"/>
  <c r="AE1896" i="1" s="1"/>
  <c r="K1896" i="1"/>
  <c r="AX1896" i="1"/>
  <c r="AV1896" i="1" s="1"/>
  <c r="AL1909" i="1"/>
  <c r="AL1918" i="1"/>
  <c r="AL2055" i="1"/>
  <c r="M2055" i="1"/>
  <c r="BC2055" i="1"/>
  <c r="AL2086" i="1"/>
  <c r="M2086" i="1"/>
  <c r="BC2086" i="1"/>
  <c r="BF2137" i="1"/>
  <c r="O2136" i="1"/>
  <c r="G58" i="2" s="1"/>
  <c r="K2222" i="1"/>
  <c r="BI2222" i="1"/>
  <c r="AE2222" i="1" s="1"/>
  <c r="BH2252" i="1"/>
  <c r="AD2252" i="1" s="1"/>
  <c r="AW2252" i="1"/>
  <c r="AL2320" i="1"/>
  <c r="M2320" i="1"/>
  <c r="BH2353" i="1"/>
  <c r="AD2353" i="1" s="1"/>
  <c r="J2353" i="1"/>
  <c r="AW2353" i="1"/>
  <c r="J1764" i="1"/>
  <c r="J1816" i="1"/>
  <c r="J1819" i="1"/>
  <c r="O1889" i="1"/>
  <c r="G54" i="2" s="1"/>
  <c r="BH1906" i="1"/>
  <c r="AD1906" i="1" s="1"/>
  <c r="BH1913" i="1"/>
  <c r="AD1913" i="1" s="1"/>
  <c r="BH1930" i="1"/>
  <c r="AD1930" i="1" s="1"/>
  <c r="K1950" i="1"/>
  <c r="BH1985" i="1"/>
  <c r="AD1985" i="1" s="1"/>
  <c r="J1985" i="1"/>
  <c r="AW1985" i="1"/>
  <c r="AV2026" i="1"/>
  <c r="AV2058" i="1"/>
  <c r="AV2088" i="1"/>
  <c r="AL2130" i="1"/>
  <c r="AU2089" i="1" s="1"/>
  <c r="M2130" i="1"/>
  <c r="BC2130" i="1"/>
  <c r="BH2135" i="1"/>
  <c r="J2135" i="1"/>
  <c r="AW2135" i="1"/>
  <c r="BF2222" i="1"/>
  <c r="O2221" i="1"/>
  <c r="G61" i="2" s="1"/>
  <c r="J2252" i="1"/>
  <c r="BI2252" i="1"/>
  <c r="AE2252" i="1" s="1"/>
  <c r="K2252" i="1"/>
  <c r="AX2252" i="1"/>
  <c r="AW2257" i="1"/>
  <c r="J2257" i="1"/>
  <c r="BH2257" i="1"/>
  <c r="AD2257" i="1" s="1"/>
  <c r="BC2274" i="1"/>
  <c r="AV2274" i="1"/>
  <c r="K2341" i="1"/>
  <c r="BI2341" i="1"/>
  <c r="AE2341" i="1" s="1"/>
  <c r="BI2353" i="1"/>
  <c r="AE2353" i="1" s="1"/>
  <c r="K2353" i="1"/>
  <c r="AW1903" i="1"/>
  <c r="AX1942" i="1"/>
  <c r="BH1948" i="1"/>
  <c r="AD1948" i="1" s="1"/>
  <c r="J1948" i="1"/>
  <c r="AW1948" i="1"/>
  <c r="AL1950" i="1"/>
  <c r="M1950" i="1"/>
  <c r="BI1985" i="1"/>
  <c r="AE1985" i="1" s="1"/>
  <c r="K1985" i="1"/>
  <c r="AX1985" i="1"/>
  <c r="L1992" i="1"/>
  <c r="F55" i="2" s="1"/>
  <c r="I55" i="2" s="1"/>
  <c r="BC2010" i="1"/>
  <c r="BI2135" i="1"/>
  <c r="K2135" i="1"/>
  <c r="AX2135" i="1"/>
  <c r="AX2222" i="1"/>
  <c r="AV2222" i="1" s="1"/>
  <c r="AW2303" i="1"/>
  <c r="J2303" i="1"/>
  <c r="BH2303" i="1"/>
  <c r="AD2303" i="1" s="1"/>
  <c r="AL2338" i="1"/>
  <c r="M2338" i="1"/>
  <c r="AX2353" i="1"/>
  <c r="AV1824" i="1"/>
  <c r="AV1827" i="1"/>
  <c r="AV1833" i="1"/>
  <c r="AV1836" i="1"/>
  <c r="AV1842" i="1"/>
  <c r="AV1845" i="1"/>
  <c r="AV1848" i="1"/>
  <c r="AV1851" i="1"/>
  <c r="AV1854" i="1"/>
  <c r="AV1857" i="1"/>
  <c r="AV1861" i="1"/>
  <c r="AV1867" i="1"/>
  <c r="AV1873" i="1"/>
  <c r="AV1879" i="1"/>
  <c r="AV1885" i="1"/>
  <c r="AV1891" i="1"/>
  <c r="AV1894" i="1"/>
  <c r="AV1900" i="1"/>
  <c r="AX1908" i="1"/>
  <c r="AV1909" i="1"/>
  <c r="AX1917" i="1"/>
  <c r="AV1918" i="1"/>
  <c r="K1926" i="1"/>
  <c r="AX1946" i="1"/>
  <c r="J1960" i="1"/>
  <c r="K1963" i="1"/>
  <c r="AL1979" i="1"/>
  <c r="M1979" i="1"/>
  <c r="BC1979" i="1"/>
  <c r="AV1979" i="1"/>
  <c r="BH1995" i="1"/>
  <c r="AD1995" i="1" s="1"/>
  <c r="J1995" i="1"/>
  <c r="AW1995" i="1"/>
  <c r="BC2026" i="1"/>
  <c r="BC2058" i="1"/>
  <c r="BC2088" i="1"/>
  <c r="AS2136" i="1"/>
  <c r="AX2341" i="1"/>
  <c r="AV2341" i="1" s="1"/>
  <c r="J1913" i="1"/>
  <c r="BI1995" i="1"/>
  <c r="AE1995" i="1" s="1"/>
  <c r="K1995" i="1"/>
  <c r="AX1995" i="1"/>
  <c r="O2025" i="1"/>
  <c r="G56" i="2" s="1"/>
  <c r="BH2051" i="1"/>
  <c r="AD2051" i="1" s="1"/>
  <c r="J2051" i="1"/>
  <c r="AW2051" i="1"/>
  <c r="BH2084" i="1"/>
  <c r="AD2084" i="1" s="1"/>
  <c r="J2084" i="1"/>
  <c r="AW2084" i="1"/>
  <c r="L2089" i="1"/>
  <c r="F57" i="2" s="1"/>
  <c r="I57" i="2" s="1"/>
  <c r="BC2132" i="1"/>
  <c r="AW2287" i="1"/>
  <c r="J2287" i="1"/>
  <c r="BH2287" i="1"/>
  <c r="AD2287" i="1" s="1"/>
  <c r="J1741" i="1"/>
  <c r="AV1904" i="1"/>
  <c r="BH1905" i="1"/>
  <c r="AD1905" i="1" s="1"/>
  <c r="J1905" i="1"/>
  <c r="K1906" i="1"/>
  <c r="AV1910" i="1"/>
  <c r="BH1911" i="1"/>
  <c r="AD1911" i="1" s="1"/>
  <c r="J1911" i="1"/>
  <c r="K1913" i="1"/>
  <c r="BH1922" i="1"/>
  <c r="AD1922" i="1" s="1"/>
  <c r="J1922" i="1"/>
  <c r="AW1922" i="1"/>
  <c r="AL1924" i="1"/>
  <c r="M1924" i="1"/>
  <c r="AX1948" i="1"/>
  <c r="BH1956" i="1"/>
  <c r="AD1956" i="1" s="1"/>
  <c r="J1956" i="1"/>
  <c r="AW1956" i="1"/>
  <c r="AL1960" i="1"/>
  <c r="M1960" i="1"/>
  <c r="BH1976" i="1"/>
  <c r="AD1976" i="1" s="1"/>
  <c r="J1976" i="1"/>
  <c r="AW1976" i="1"/>
  <c r="AL2021" i="1"/>
  <c r="M2021" i="1"/>
  <c r="BC2021" i="1"/>
  <c r="BI2051" i="1"/>
  <c r="AE2051" i="1" s="1"/>
  <c r="K2051" i="1"/>
  <c r="AX2051" i="1"/>
  <c r="BI2084" i="1"/>
  <c r="AE2084" i="1" s="1"/>
  <c r="K2084" i="1"/>
  <c r="AX2084" i="1"/>
  <c r="BH2110" i="1"/>
  <c r="AD2110" i="1" s="1"/>
  <c r="J2110" i="1"/>
  <c r="AW2110" i="1"/>
  <c r="M2244" i="1"/>
  <c r="J1930" i="1"/>
  <c r="BI1942" i="1"/>
  <c r="AE1942" i="1" s="1"/>
  <c r="AL1970" i="1"/>
  <c r="M1970" i="1"/>
  <c r="BC1970" i="1"/>
  <c r="AV1970" i="1"/>
  <c r="BI1976" i="1"/>
  <c r="AE1976" i="1" s="1"/>
  <c r="K1976" i="1"/>
  <c r="AX1976" i="1"/>
  <c r="BC1982" i="1"/>
  <c r="AV2024" i="1"/>
  <c r="AL2044" i="1"/>
  <c r="M2044" i="1"/>
  <c r="BC2044" i="1"/>
  <c r="AL2079" i="1"/>
  <c r="M2079" i="1"/>
  <c r="BC2079" i="1"/>
  <c r="BI2110" i="1"/>
  <c r="AE2110" i="1" s="1"/>
  <c r="K2110" i="1"/>
  <c r="AX2110" i="1"/>
  <c r="AL2207" i="1"/>
  <c r="AU2136" i="1" s="1"/>
  <c r="M2207" i="1"/>
  <c r="M2136" i="1" s="1"/>
  <c r="AW2254" i="1"/>
  <c r="J2254" i="1"/>
  <c r="BH2254" i="1"/>
  <c r="AD2254" i="1" s="1"/>
  <c r="BH1903" i="1"/>
  <c r="AD1903" i="1" s="1"/>
  <c r="BI1908" i="1"/>
  <c r="AE1908" i="1" s="1"/>
  <c r="BI1917" i="1"/>
  <c r="AE1917" i="1" s="1"/>
  <c r="BH1967" i="1"/>
  <c r="AD1967" i="1" s="1"/>
  <c r="J1967" i="1"/>
  <c r="AW1967" i="1"/>
  <c r="BI1979" i="1"/>
  <c r="AE1979" i="1" s="1"/>
  <c r="J2216" i="1"/>
  <c r="D60" i="2" s="1"/>
  <c r="M1820" i="1"/>
  <c r="M1823" i="1"/>
  <c r="M1826" i="1"/>
  <c r="M1829" i="1"/>
  <c r="M1832" i="1"/>
  <c r="M1835" i="1"/>
  <c r="M1838" i="1"/>
  <c r="M1841" i="1"/>
  <c r="M1844" i="1"/>
  <c r="M1847" i="1"/>
  <c r="M1850" i="1"/>
  <c r="M1853" i="1"/>
  <c r="M1856" i="1"/>
  <c r="M1859" i="1"/>
  <c r="M1865" i="1"/>
  <c r="M1871" i="1"/>
  <c r="M1877" i="1"/>
  <c r="M1883" i="1"/>
  <c r="M1888" i="1"/>
  <c r="M1890" i="1"/>
  <c r="M1893" i="1"/>
  <c r="M1896" i="1"/>
  <c r="M1899" i="1"/>
  <c r="BI1909" i="1"/>
  <c r="AE1909" i="1" s="1"/>
  <c r="BI1918" i="1"/>
  <c r="AE1918" i="1" s="1"/>
  <c r="AV1926" i="1"/>
  <c r="BH1928" i="1"/>
  <c r="AD1928" i="1" s="1"/>
  <c r="J1928" i="1"/>
  <c r="AW1928" i="1"/>
  <c r="AL1930" i="1"/>
  <c r="M1930" i="1"/>
  <c r="BI1946" i="1"/>
  <c r="AE1946" i="1" s="1"/>
  <c r="BI1950" i="1"/>
  <c r="AE1950" i="1" s="1"/>
  <c r="BH2301" i="1"/>
  <c r="AD2301" i="1" s="1"/>
  <c r="AW2301" i="1"/>
  <c r="J1757" i="1"/>
  <c r="J1760" i="1"/>
  <c r="J1763" i="1"/>
  <c r="J1766" i="1"/>
  <c r="J1768" i="1"/>
  <c r="J1767" i="1" s="1"/>
  <c r="D51" i="2" s="1"/>
  <c r="J1797" i="1"/>
  <c r="J1806" i="1"/>
  <c r="J1815" i="1"/>
  <c r="J1818" i="1"/>
  <c r="J1821" i="1"/>
  <c r="J1824" i="1"/>
  <c r="J1827" i="1"/>
  <c r="J1830" i="1"/>
  <c r="J1833" i="1"/>
  <c r="J1836" i="1"/>
  <c r="J1839" i="1"/>
  <c r="J1842" i="1"/>
  <c r="J1845" i="1"/>
  <c r="J1848" i="1"/>
  <c r="J1851" i="1"/>
  <c r="J1854" i="1"/>
  <c r="J1857" i="1"/>
  <c r="J1861" i="1"/>
  <c r="J1867" i="1"/>
  <c r="J1873" i="1"/>
  <c r="J1879" i="1"/>
  <c r="J1885" i="1"/>
  <c r="J1891" i="1"/>
  <c r="J1894" i="1"/>
  <c r="J1897" i="1"/>
  <c r="J1900" i="1"/>
  <c r="BC1901" i="1"/>
  <c r="O1992" i="1"/>
  <c r="G55" i="2" s="1"/>
  <c r="BH2013" i="1"/>
  <c r="AD2013" i="1" s="1"/>
  <c r="J2013" i="1"/>
  <c r="AW2013" i="1"/>
  <c r="L2025" i="1"/>
  <c r="F56" i="2" s="1"/>
  <c r="I56" i="2" s="1"/>
  <c r="BC2047" i="1"/>
  <c r="BC2082" i="1"/>
  <c r="J2301" i="1"/>
  <c r="BI2301" i="1"/>
  <c r="AE2301" i="1" s="1"/>
  <c r="K2301" i="1"/>
  <c r="AX2301" i="1"/>
  <c r="AW2304" i="1"/>
  <c r="J2304" i="1"/>
  <c r="BH2304" i="1"/>
  <c r="AD2304" i="1" s="1"/>
  <c r="AL2217" i="1"/>
  <c r="AU2216" i="1" s="1"/>
  <c r="M2217" i="1"/>
  <c r="M2216" i="1" s="1"/>
  <c r="AL2226" i="1"/>
  <c r="M2226" i="1"/>
  <c r="AL2233" i="1"/>
  <c r="M2233" i="1"/>
  <c r="AL2235" i="1"/>
  <c r="M2235" i="1"/>
  <c r="AL2240" i="1"/>
  <c r="AL2242" i="1"/>
  <c r="M2242" i="1"/>
  <c r="AL2243" i="1"/>
  <c r="M2243" i="1"/>
  <c r="AL2244" i="1"/>
  <c r="AL2245" i="1"/>
  <c r="M2245" i="1"/>
  <c r="AL2246" i="1"/>
  <c r="M2246" i="1"/>
  <c r="AL2248" i="1"/>
  <c r="AL2250" i="1"/>
  <c r="M2250" i="1"/>
  <c r="AV2250" i="1"/>
  <c r="AV2278" i="1"/>
  <c r="K2324" i="1"/>
  <c r="BI2324" i="1"/>
  <c r="AE2324" i="1" s="1"/>
  <c r="BH2350" i="1"/>
  <c r="AD2350" i="1" s="1"/>
  <c r="J2350" i="1"/>
  <c r="AW2350" i="1"/>
  <c r="BI2217" i="1"/>
  <c r="AE2217" i="1" s="1"/>
  <c r="K2217" i="1"/>
  <c r="K2216" i="1" s="1"/>
  <c r="E60" i="2" s="1"/>
  <c r="BI2226" i="1"/>
  <c r="AE2226" i="1" s="1"/>
  <c r="K2226" i="1"/>
  <c r="BI2235" i="1"/>
  <c r="AE2235" i="1" s="1"/>
  <c r="K2235" i="1"/>
  <c r="BI2243" i="1"/>
  <c r="AE2243" i="1" s="1"/>
  <c r="K2243" i="1"/>
  <c r="BI2246" i="1"/>
  <c r="AE2246" i="1" s="1"/>
  <c r="K2246" i="1"/>
  <c r="BC2310" i="1"/>
  <c r="AV2310" i="1"/>
  <c r="AV2312" i="1"/>
  <c r="AL2324" i="1"/>
  <c r="M2324" i="1"/>
  <c r="AW2336" i="1"/>
  <c r="BH2336" i="1"/>
  <c r="AD2336" i="1" s="1"/>
  <c r="BI2350" i="1"/>
  <c r="AE2350" i="1" s="1"/>
  <c r="K2350" i="1"/>
  <c r="AV2395" i="1"/>
  <c r="BC2395" i="1"/>
  <c r="BC2276" i="1"/>
  <c r="AV2276" i="1"/>
  <c r="BC2297" i="1"/>
  <c r="AV2297" i="1"/>
  <c r="AX2324" i="1"/>
  <c r="AV2324" i="1" s="1"/>
  <c r="BI2336" i="1"/>
  <c r="AE2336" i="1" s="1"/>
  <c r="AX2336" i="1"/>
  <c r="AW2339" i="1"/>
  <c r="BH2339" i="1"/>
  <c r="AD2339" i="1" s="1"/>
  <c r="BI2386" i="1"/>
  <c r="AE2386" i="1" s="1"/>
  <c r="K2386" i="1"/>
  <c r="AX2386" i="1"/>
  <c r="AV2021" i="1"/>
  <c r="AV2044" i="1"/>
  <c r="AV2055" i="1"/>
  <c r="AV2079" i="1"/>
  <c r="AV2086" i="1"/>
  <c r="AV2130" i="1"/>
  <c r="AW2217" i="1"/>
  <c r="AW2226" i="1"/>
  <c r="AW2235" i="1"/>
  <c r="AW2243" i="1"/>
  <c r="AW2246" i="1"/>
  <c r="BC2250" i="1"/>
  <c r="J2271" i="1"/>
  <c r="BI2274" i="1"/>
  <c r="AE2274" i="1" s="1"/>
  <c r="K2274" i="1"/>
  <c r="BC2278" i="1"/>
  <c r="J2290" i="1"/>
  <c r="BI2295" i="1"/>
  <c r="AE2295" i="1" s="1"/>
  <c r="K2295" i="1"/>
  <c r="J2306" i="1"/>
  <c r="AL2336" i="1"/>
  <c r="M2336" i="1"/>
  <c r="J2339" i="1"/>
  <c r="BI2339" i="1"/>
  <c r="AE2339" i="1" s="1"/>
  <c r="K2339" i="1"/>
  <c r="BF2350" i="1"/>
  <c r="O2345" i="1"/>
  <c r="G63" i="2" s="1"/>
  <c r="AV2209" i="1"/>
  <c r="AV2220" i="1"/>
  <c r="AX2228" i="1"/>
  <c r="AV2228" i="1" s="1"/>
  <c r="AX2240" i="1"/>
  <c r="BC2240" i="1" s="1"/>
  <c r="AX2244" i="1"/>
  <c r="AV2244" i="1" s="1"/>
  <c r="AW2319" i="1"/>
  <c r="BH2319" i="1"/>
  <c r="AD2319" i="1" s="1"/>
  <c r="AL2339" i="1"/>
  <c r="M2339" i="1"/>
  <c r="AV2390" i="1"/>
  <c r="BC2390" i="1"/>
  <c r="AL2271" i="1"/>
  <c r="AL2290" i="1"/>
  <c r="AL2306" i="1"/>
  <c r="BI2319" i="1"/>
  <c r="AE2319" i="1" s="1"/>
  <c r="AX2319" i="1"/>
  <c r="AW2322" i="1"/>
  <c r="BH2322" i="1"/>
  <c r="AD2322" i="1" s="1"/>
  <c r="AT2345" i="1"/>
  <c r="BC2373" i="1"/>
  <c r="AV2373" i="1"/>
  <c r="BH2383" i="1"/>
  <c r="AD2383" i="1" s="1"/>
  <c r="J2383" i="1"/>
  <c r="AW2383" i="1"/>
  <c r="AL2213" i="1"/>
  <c r="AL2214" i="1"/>
  <c r="M2214" i="1"/>
  <c r="AL2215" i="1"/>
  <c r="M2215" i="1"/>
  <c r="AL2222" i="1"/>
  <c r="AL2223" i="1"/>
  <c r="M2223" i="1"/>
  <c r="AL2224" i="1"/>
  <c r="M2224" i="1"/>
  <c r="L2225" i="1"/>
  <c r="F62" i="2" s="1"/>
  <c r="I62" i="2" s="1"/>
  <c r="BH2228" i="1"/>
  <c r="AD2228" i="1" s="1"/>
  <c r="BH2240" i="1"/>
  <c r="AD2240" i="1" s="1"/>
  <c r="BH2244" i="1"/>
  <c r="AD2244" i="1" s="1"/>
  <c r="BH2248" i="1"/>
  <c r="AD2248" i="1" s="1"/>
  <c r="BH2250" i="1"/>
  <c r="AD2250" i="1" s="1"/>
  <c r="BC2271" i="1"/>
  <c r="AV2271" i="1"/>
  <c r="BH2276" i="1"/>
  <c r="AD2276" i="1" s="1"/>
  <c r="BH2278" i="1"/>
  <c r="AD2278" i="1" s="1"/>
  <c r="BC2290" i="1"/>
  <c r="AV2290" i="1"/>
  <c r="BH2297" i="1"/>
  <c r="AD2297" i="1" s="1"/>
  <c r="BH2300" i="1"/>
  <c r="AD2300" i="1" s="1"/>
  <c r="BC2306" i="1"/>
  <c r="AV2306" i="1"/>
  <c r="BC2308" i="1"/>
  <c r="AL2319" i="1"/>
  <c r="M2319" i="1"/>
  <c r="J2322" i="1"/>
  <c r="BI2322" i="1"/>
  <c r="AE2322" i="1" s="1"/>
  <c r="K2322" i="1"/>
  <c r="BH2359" i="1"/>
  <c r="AD2359" i="1" s="1"/>
  <c r="J2359" i="1"/>
  <c r="AW2359" i="1"/>
  <c r="AV2371" i="1"/>
  <c r="BC2371" i="1"/>
  <c r="BH2209" i="1"/>
  <c r="AD2209" i="1" s="1"/>
  <c r="BI2215" i="1"/>
  <c r="K2215" i="1"/>
  <c r="BH2220" i="1"/>
  <c r="BC2222" i="1"/>
  <c r="BI2224" i="1"/>
  <c r="K2224" i="1"/>
  <c r="BH2233" i="1"/>
  <c r="AD2233" i="1" s="1"/>
  <c r="BH2242" i="1"/>
  <c r="AD2242" i="1" s="1"/>
  <c r="BH2245" i="1"/>
  <c r="AD2245" i="1" s="1"/>
  <c r="BI2266" i="1"/>
  <c r="AE2266" i="1" s="1"/>
  <c r="K2266" i="1"/>
  <c r="BC2272" i="1"/>
  <c r="BI2289" i="1"/>
  <c r="AE2289" i="1" s="1"/>
  <c r="K2289" i="1"/>
  <c r="BC2292" i="1"/>
  <c r="BI2305" i="1"/>
  <c r="AE2305" i="1" s="1"/>
  <c r="K2305" i="1"/>
  <c r="AL2322" i="1"/>
  <c r="M2322" i="1"/>
  <c r="AW2338" i="1"/>
  <c r="BH2338" i="1"/>
  <c r="AD2338" i="1" s="1"/>
  <c r="AS2345" i="1"/>
  <c r="BI2359" i="1"/>
  <c r="AE2359" i="1" s="1"/>
  <c r="K2359" i="1"/>
  <c r="AX2359" i="1"/>
  <c r="BC2369" i="1"/>
  <c r="AV2369" i="1"/>
  <c r="BI2383" i="1"/>
  <c r="AE2383" i="1" s="1"/>
  <c r="K2383" i="1"/>
  <c r="AX2383" i="1"/>
  <c r="BC2394" i="1"/>
  <c r="AV2394" i="1"/>
  <c r="AL2348" i="1"/>
  <c r="M2348" i="1"/>
  <c r="BH2379" i="1"/>
  <c r="AD2379" i="1" s="1"/>
  <c r="J2379" i="1"/>
  <c r="AW2379" i="1"/>
  <c r="BC2388" i="1"/>
  <c r="AV2388" i="1"/>
  <c r="AV2398" i="1"/>
  <c r="BC2398" i="1"/>
  <c r="AL2402" i="1"/>
  <c r="M2402" i="1"/>
  <c r="AV2416" i="1"/>
  <c r="BC2416" i="1"/>
  <c r="AL2318" i="1"/>
  <c r="M2318" i="1"/>
  <c r="AL2334" i="1"/>
  <c r="M2334" i="1"/>
  <c r="BC2361" i="1"/>
  <c r="AV2361" i="1"/>
  <c r="BI2379" i="1"/>
  <c r="AE2379" i="1" s="1"/>
  <c r="K2379" i="1"/>
  <c r="AX2379" i="1"/>
  <c r="AL2466" i="1"/>
  <c r="M2466" i="1"/>
  <c r="M2471" i="1"/>
  <c r="AL2317" i="1"/>
  <c r="M2317" i="1"/>
  <c r="BI2318" i="1"/>
  <c r="AE2318" i="1" s="1"/>
  <c r="K2318" i="1"/>
  <c r="AL2332" i="1"/>
  <c r="M2332" i="1"/>
  <c r="BI2334" i="1"/>
  <c r="AE2334" i="1" s="1"/>
  <c r="K2334" i="1"/>
  <c r="BC2351" i="1"/>
  <c r="AV2351" i="1"/>
  <c r="BC2355" i="1"/>
  <c r="AV2355" i="1"/>
  <c r="BC2364" i="1"/>
  <c r="BH2375" i="1"/>
  <c r="AD2375" i="1" s="1"/>
  <c r="J2375" i="1"/>
  <c r="AW2375" i="1"/>
  <c r="AL2461" i="1"/>
  <c r="M2461" i="1"/>
  <c r="M2257" i="1"/>
  <c r="M2272" i="1"/>
  <c r="M2278" i="1"/>
  <c r="M2288" i="1"/>
  <c r="M2292" i="1"/>
  <c r="M2300" i="1"/>
  <c r="M2304" i="1"/>
  <c r="M2308" i="1"/>
  <c r="J2310" i="1"/>
  <c r="K2316" i="1"/>
  <c r="BC2316" i="1"/>
  <c r="AV2318" i="1"/>
  <c r="K2330" i="1"/>
  <c r="BC2330" i="1"/>
  <c r="AV2346" i="1"/>
  <c r="BC2348" i="1"/>
  <c r="BC2352" i="1"/>
  <c r="BC2357" i="1"/>
  <c r="BI2375" i="1"/>
  <c r="AE2375" i="1" s="1"/>
  <c r="K2375" i="1"/>
  <c r="AX2375" i="1"/>
  <c r="BC2384" i="1"/>
  <c r="AV2384" i="1"/>
  <c r="BC2385" i="1"/>
  <c r="AL2397" i="1"/>
  <c r="M2397" i="1"/>
  <c r="AX2429" i="1"/>
  <c r="BI2429" i="1"/>
  <c r="AE2429" i="1" s="1"/>
  <c r="AL2458" i="1"/>
  <c r="M2458" i="1"/>
  <c r="AL2316" i="1"/>
  <c r="M2316" i="1"/>
  <c r="AL2330" i="1"/>
  <c r="M2330" i="1"/>
  <c r="AX2334" i="1"/>
  <c r="BC2334" i="1" s="1"/>
  <c r="J2342" i="1"/>
  <c r="BC2343" i="1"/>
  <c r="AV2343" i="1"/>
  <c r="BH2372" i="1"/>
  <c r="AD2372" i="1" s="1"/>
  <c r="J2372" i="1"/>
  <c r="AW2372" i="1"/>
  <c r="BC2397" i="1"/>
  <c r="AL2455" i="1"/>
  <c r="M2455" i="1"/>
  <c r="AL2310" i="1"/>
  <c r="M2310" i="1"/>
  <c r="M2312" i="1"/>
  <c r="AL2314" i="1"/>
  <c r="M2314" i="1"/>
  <c r="AV2316" i="1"/>
  <c r="AL2329" i="1"/>
  <c r="M2329" i="1"/>
  <c r="AV2330" i="1"/>
  <c r="BI2343" i="1"/>
  <c r="AE2343" i="1" s="1"/>
  <c r="K2343" i="1"/>
  <c r="BI2372" i="1"/>
  <c r="AE2372" i="1" s="1"/>
  <c r="K2372" i="1"/>
  <c r="AX2372" i="1"/>
  <c r="BC2381" i="1"/>
  <c r="AV2381" i="1"/>
  <c r="BH2392" i="1"/>
  <c r="AD2392" i="1" s="1"/>
  <c r="J2392" i="1"/>
  <c r="AW2392" i="1"/>
  <c r="AL2452" i="1"/>
  <c r="M2452" i="1"/>
  <c r="BI2314" i="1"/>
  <c r="AE2314" i="1" s="1"/>
  <c r="K2314" i="1"/>
  <c r="AL2326" i="1"/>
  <c r="M2326" i="1"/>
  <c r="BI2329" i="1"/>
  <c r="AE2329" i="1" s="1"/>
  <c r="K2329" i="1"/>
  <c r="AL2342" i="1"/>
  <c r="M2342" i="1"/>
  <c r="AV2342" i="1"/>
  <c r="BH2344" i="1"/>
  <c r="BH2346" i="1"/>
  <c r="AD2346" i="1" s="1"/>
  <c r="BH2351" i="1"/>
  <c r="AD2351" i="1" s="1"/>
  <c r="BH2355" i="1"/>
  <c r="AD2355" i="1" s="1"/>
  <c r="BH2367" i="1"/>
  <c r="AD2367" i="1" s="1"/>
  <c r="J2367" i="1"/>
  <c r="AW2367" i="1"/>
  <c r="BC2382" i="1"/>
  <c r="BI2392" i="1"/>
  <c r="AE2392" i="1" s="1"/>
  <c r="K2392" i="1"/>
  <c r="AX2392" i="1"/>
  <c r="BI2396" i="1"/>
  <c r="AE2396" i="1" s="1"/>
  <c r="K2396" i="1"/>
  <c r="AX2396" i="1"/>
  <c r="J2401" i="1"/>
  <c r="BH2401" i="1"/>
  <c r="AD2401" i="1" s="1"/>
  <c r="AW2401" i="1"/>
  <c r="AL2447" i="1"/>
  <c r="M2447" i="1"/>
  <c r="M2252" i="1"/>
  <c r="M2266" i="1"/>
  <c r="M2274" i="1"/>
  <c r="M2281" i="1"/>
  <c r="M2289" i="1"/>
  <c r="M2295" i="1"/>
  <c r="M2301" i="1"/>
  <c r="M2305" i="1"/>
  <c r="BH2318" i="1"/>
  <c r="AD2318" i="1" s="1"/>
  <c r="BH2334" i="1"/>
  <c r="AD2334" i="1" s="1"/>
  <c r="BI2367" i="1"/>
  <c r="AE2367" i="1" s="1"/>
  <c r="K2367" i="1"/>
  <c r="AX2367" i="1"/>
  <c r="AV2374" i="1"/>
  <c r="BC2376" i="1"/>
  <c r="AV2376" i="1"/>
  <c r="BH2386" i="1"/>
  <c r="AD2386" i="1" s="1"/>
  <c r="J2386" i="1"/>
  <c r="AW2386" i="1"/>
  <c r="K2401" i="1"/>
  <c r="BI2401" i="1"/>
  <c r="AE2401" i="1" s="1"/>
  <c r="AX2401" i="1"/>
  <c r="BI2408" i="1"/>
  <c r="AE2408" i="1" s="1"/>
  <c r="K2408" i="1"/>
  <c r="AX2408" i="1"/>
  <c r="BC2408" i="1" s="1"/>
  <c r="AL2415" i="1"/>
  <c r="M2415" i="1"/>
  <c r="BH2420" i="1"/>
  <c r="AD2420" i="1" s="1"/>
  <c r="J2420" i="1"/>
  <c r="BI2421" i="1"/>
  <c r="AE2421" i="1" s="1"/>
  <c r="K2421" i="1"/>
  <c r="AX2421" i="1"/>
  <c r="BC2421" i="1" s="1"/>
  <c r="AL2429" i="1"/>
  <c r="M2429" i="1"/>
  <c r="AL2440" i="1"/>
  <c r="M2440" i="1"/>
  <c r="BC2505" i="1"/>
  <c r="AV2505" i="1"/>
  <c r="BI2593" i="1"/>
  <c r="AG2593" i="1" s="1"/>
  <c r="K2593" i="1"/>
  <c r="AX2593" i="1"/>
  <c r="M2341" i="1"/>
  <c r="M2344" i="1"/>
  <c r="M2346" i="1"/>
  <c r="M2351" i="1"/>
  <c r="M2355" i="1"/>
  <c r="M2361" i="1"/>
  <c r="M2369" i="1"/>
  <c r="M2373" i="1"/>
  <c r="M2376" i="1"/>
  <c r="M2381" i="1"/>
  <c r="M2384" i="1"/>
  <c r="M2388" i="1"/>
  <c r="M2394" i="1"/>
  <c r="BH2395" i="1"/>
  <c r="AD2395" i="1" s="1"/>
  <c r="J2398" i="1"/>
  <c r="BI2398" i="1"/>
  <c r="AE2398" i="1" s="1"/>
  <c r="K2404" i="1"/>
  <c r="AL2406" i="1"/>
  <c r="M2406" i="1"/>
  <c r="BI2410" i="1"/>
  <c r="AE2410" i="1" s="1"/>
  <c r="AL2420" i="1"/>
  <c r="M2420" i="1"/>
  <c r="BI2423" i="1"/>
  <c r="AE2423" i="1" s="1"/>
  <c r="AL2435" i="1"/>
  <c r="M2435" i="1"/>
  <c r="AL2404" i="1"/>
  <c r="M2404" i="1"/>
  <c r="BC2463" i="1"/>
  <c r="K2481" i="1"/>
  <c r="BI2481" i="1"/>
  <c r="AE2481" i="1" s="1"/>
  <c r="AX2481" i="1"/>
  <c r="AV2481" i="1" s="1"/>
  <c r="AV2397" i="1"/>
  <c r="BI2403" i="1"/>
  <c r="AE2403" i="1" s="1"/>
  <c r="K2403" i="1"/>
  <c r="K2419" i="1"/>
  <c r="BI2435" i="1"/>
  <c r="AE2435" i="1" s="1"/>
  <c r="BI2451" i="1"/>
  <c r="AE2451" i="1" s="1"/>
  <c r="K2451" i="1"/>
  <c r="AX2451" i="1"/>
  <c r="BC2451" i="1" s="1"/>
  <c r="BI2454" i="1"/>
  <c r="AE2454" i="1" s="1"/>
  <c r="K2454" i="1"/>
  <c r="AX2454" i="1"/>
  <c r="BC2454" i="1" s="1"/>
  <c r="BI2457" i="1"/>
  <c r="AE2457" i="1" s="1"/>
  <c r="K2457" i="1"/>
  <c r="AX2457" i="1"/>
  <c r="BC2457" i="1" s="1"/>
  <c r="BI2460" i="1"/>
  <c r="AE2460" i="1" s="1"/>
  <c r="K2460" i="1"/>
  <c r="AX2460" i="1"/>
  <c r="BC2460" i="1" s="1"/>
  <c r="AV2497" i="1"/>
  <c r="AL2549" i="1"/>
  <c r="M2549" i="1"/>
  <c r="L2517" i="1"/>
  <c r="AX2552" i="1"/>
  <c r="AV2552" i="1" s="1"/>
  <c r="BI2552" i="1"/>
  <c r="AG2552" i="1" s="1"/>
  <c r="K2552" i="1"/>
  <c r="AX2404" i="1"/>
  <c r="AV2404" i="1" s="1"/>
  <c r="BC2406" i="1"/>
  <c r="BH2412" i="1"/>
  <c r="AD2412" i="1" s="1"/>
  <c r="J2412" i="1"/>
  <c r="BI2414" i="1"/>
  <c r="AE2414" i="1" s="1"/>
  <c r="K2414" i="1"/>
  <c r="AX2414" i="1"/>
  <c r="BC2414" i="1" s="1"/>
  <c r="AL2419" i="1"/>
  <c r="M2419" i="1"/>
  <c r="BC2420" i="1"/>
  <c r="BH2425" i="1"/>
  <c r="AD2425" i="1" s="1"/>
  <c r="J2425" i="1"/>
  <c r="BI2427" i="1"/>
  <c r="AE2427" i="1" s="1"/>
  <c r="K2427" i="1"/>
  <c r="AX2427" i="1"/>
  <c r="BC2427" i="1" s="1"/>
  <c r="BI2443" i="1"/>
  <c r="AE2443" i="1" s="1"/>
  <c r="K2443" i="1"/>
  <c r="AX2443" i="1"/>
  <c r="AV2443" i="1" s="1"/>
  <c r="BI2446" i="1"/>
  <c r="K2446" i="1"/>
  <c r="AX2446" i="1"/>
  <c r="AV2446" i="1" s="1"/>
  <c r="AV2454" i="1"/>
  <c r="BC2467" i="1"/>
  <c r="AV2467" i="1"/>
  <c r="BC2492" i="1"/>
  <c r="AV2492" i="1"/>
  <c r="M2352" i="1"/>
  <c r="M2357" i="1"/>
  <c r="M2364" i="1"/>
  <c r="M2371" i="1"/>
  <c r="M2374" i="1"/>
  <c r="M2377" i="1"/>
  <c r="M2382" i="1"/>
  <c r="M2385" i="1"/>
  <c r="M2390" i="1"/>
  <c r="M2395" i="1"/>
  <c r="BC2402" i="1"/>
  <c r="AX2403" i="1"/>
  <c r="BC2403" i="1" s="1"/>
  <c r="AL2412" i="1"/>
  <c r="M2412" i="1"/>
  <c r="AL2425" i="1"/>
  <c r="M2425" i="1"/>
  <c r="BI2433" i="1"/>
  <c r="AE2433" i="1" s="1"/>
  <c r="K2433" i="1"/>
  <c r="AX2433" i="1"/>
  <c r="BC2433" i="1" s="1"/>
  <c r="BI2439" i="1"/>
  <c r="AE2439" i="1" s="1"/>
  <c r="K2439" i="1"/>
  <c r="AX2439" i="1"/>
  <c r="AV2439" i="1" s="1"/>
  <c r="J2464" i="1"/>
  <c r="BH2464" i="1"/>
  <c r="AD2464" i="1" s="1"/>
  <c r="AW2464" i="1"/>
  <c r="AW2412" i="1"/>
  <c r="AX2419" i="1"/>
  <c r="AW2425" i="1"/>
  <c r="K2464" i="1"/>
  <c r="BI2464" i="1"/>
  <c r="AE2464" i="1" s="1"/>
  <c r="AX2464" i="1"/>
  <c r="BH2402" i="1"/>
  <c r="AD2402" i="1" s="1"/>
  <c r="BH2404" i="1"/>
  <c r="AD2404" i="1" s="1"/>
  <c r="BC2519" i="1"/>
  <c r="AL2410" i="1"/>
  <c r="M2410" i="1"/>
  <c r="BH2416" i="1"/>
  <c r="AD2416" i="1" s="1"/>
  <c r="J2416" i="1"/>
  <c r="BI2417" i="1"/>
  <c r="AE2417" i="1" s="1"/>
  <c r="K2417" i="1"/>
  <c r="AX2417" i="1"/>
  <c r="BC2417" i="1" s="1"/>
  <c r="AL2423" i="1"/>
  <c r="M2423" i="1"/>
  <c r="M2343" i="1"/>
  <c r="M2350" i="1"/>
  <c r="M2353" i="1"/>
  <c r="M2359" i="1"/>
  <c r="M2367" i="1"/>
  <c r="M2372" i="1"/>
  <c r="M2375" i="1"/>
  <c r="M2379" i="1"/>
  <c r="M2383" i="1"/>
  <c r="M2386" i="1"/>
  <c r="M2392" i="1"/>
  <c r="J2397" i="1"/>
  <c r="BH2403" i="1"/>
  <c r="AD2403" i="1" s="1"/>
  <c r="AL2416" i="1"/>
  <c r="M2416" i="1"/>
  <c r="BH2467" i="1"/>
  <c r="AD2467" i="1" s="1"/>
  <c r="J2489" i="1"/>
  <c r="AV2496" i="1"/>
  <c r="BC2500" i="1"/>
  <c r="AV2500" i="1"/>
  <c r="BC2503" i="1"/>
  <c r="AV2503" i="1"/>
  <c r="AV2518" i="1"/>
  <c r="AL2552" i="1"/>
  <c r="M2552" i="1"/>
  <c r="J2431" i="1"/>
  <c r="J2437" i="1"/>
  <c r="J2442" i="1"/>
  <c r="J2445" i="1"/>
  <c r="BH2445" i="1"/>
  <c r="AD2445" i="1" s="1"/>
  <c r="J2449" i="1"/>
  <c r="J2453" i="1"/>
  <c r="J2456" i="1"/>
  <c r="J2459" i="1"/>
  <c r="J2462" i="1"/>
  <c r="BI2471" i="1"/>
  <c r="AE2471" i="1" s="1"/>
  <c r="K2471" i="1"/>
  <c r="AL2473" i="1"/>
  <c r="M2473" i="1"/>
  <c r="BH2477" i="1"/>
  <c r="AD2477" i="1" s="1"/>
  <c r="BI2485" i="1"/>
  <c r="AE2485" i="1" s="1"/>
  <c r="K2485" i="1"/>
  <c r="J2491" i="1"/>
  <c r="AX2496" i="1"/>
  <c r="BC2496" i="1" s="1"/>
  <c r="BI2496" i="1"/>
  <c r="AE2496" i="1" s="1"/>
  <c r="K2496" i="1"/>
  <c r="BI2619" i="1"/>
  <c r="AG2619" i="1" s="1"/>
  <c r="K2619" i="1"/>
  <c r="AX2619" i="1"/>
  <c r="BC2619" i="1" s="1"/>
  <c r="BH2495" i="1"/>
  <c r="AD2495" i="1" s="1"/>
  <c r="J2495" i="1"/>
  <c r="BH2514" i="1"/>
  <c r="AD2514" i="1" s="1"/>
  <c r="J2514" i="1"/>
  <c r="AW2514" i="1"/>
  <c r="BC2555" i="1"/>
  <c r="AV2555" i="1"/>
  <c r="J2608" i="1"/>
  <c r="BH2608" i="1"/>
  <c r="AF2608" i="1" s="1"/>
  <c r="AW2608" i="1"/>
  <c r="M2467" i="1"/>
  <c r="M2474" i="1"/>
  <c r="J2477" i="1"/>
  <c r="AX2487" i="1"/>
  <c r="BC2487" i="1" s="1"/>
  <c r="AL2490" i="1"/>
  <c r="M2492" i="1"/>
  <c r="AL2493" i="1"/>
  <c r="BH2510" i="1"/>
  <c r="AD2510" i="1" s="1"/>
  <c r="J2510" i="1"/>
  <c r="AW2510" i="1"/>
  <c r="AS2517" i="1"/>
  <c r="BI2587" i="1"/>
  <c r="AG2587" i="1" s="1"/>
  <c r="K2587" i="1"/>
  <c r="AX2587" i="1"/>
  <c r="AW2410" i="1"/>
  <c r="AW2415" i="1"/>
  <c r="AW2419" i="1"/>
  <c r="AW2423" i="1"/>
  <c r="AW2429" i="1"/>
  <c r="M2431" i="1"/>
  <c r="AW2435" i="1"/>
  <c r="M2437" i="1"/>
  <c r="AW2440" i="1"/>
  <c r="M2442" i="1"/>
  <c r="AW2444" i="1"/>
  <c r="M2445" i="1"/>
  <c r="AW2447" i="1"/>
  <c r="M2449" i="1"/>
  <c r="AW2452" i="1"/>
  <c r="M2453" i="1"/>
  <c r="AW2455" i="1"/>
  <c r="M2456" i="1"/>
  <c r="AW2458" i="1"/>
  <c r="M2459" i="1"/>
  <c r="AW2461" i="1"/>
  <c r="M2462" i="1"/>
  <c r="BH2463" i="1"/>
  <c r="AD2463" i="1" s="1"/>
  <c r="AW2466" i="1"/>
  <c r="AX2471" i="1"/>
  <c r="AX2472" i="1"/>
  <c r="BC2472" i="1" s="1"/>
  <c r="AW2473" i="1"/>
  <c r="AX2485" i="1"/>
  <c r="BI2489" i="1"/>
  <c r="AE2489" i="1" s="1"/>
  <c r="K2489" i="1"/>
  <c r="BC2490" i="1"/>
  <c r="AV2490" i="1"/>
  <c r="BC2494" i="1"/>
  <c r="BH2496" i="1"/>
  <c r="AD2496" i="1" s="1"/>
  <c r="J2604" i="1"/>
  <c r="BH2604" i="1"/>
  <c r="AF2604" i="1" s="1"/>
  <c r="AW2604" i="1"/>
  <c r="BI2467" i="1"/>
  <c r="AE2467" i="1" s="1"/>
  <c r="K2467" i="1"/>
  <c r="AL2469" i="1"/>
  <c r="BI2474" i="1"/>
  <c r="AE2474" i="1" s="1"/>
  <c r="K2474" i="1"/>
  <c r="AL2477" i="1"/>
  <c r="M2477" i="1"/>
  <c r="AW2491" i="1"/>
  <c r="BI2493" i="1"/>
  <c r="AE2493" i="1" s="1"/>
  <c r="K2493" i="1"/>
  <c r="AW2495" i="1"/>
  <c r="BH2506" i="1"/>
  <c r="AD2506" i="1" s="1"/>
  <c r="J2506" i="1"/>
  <c r="AW2506" i="1"/>
  <c r="AX2524" i="1"/>
  <c r="K2524" i="1"/>
  <c r="BI2524" i="1"/>
  <c r="AG2524" i="1" s="1"/>
  <c r="BI2554" i="1"/>
  <c r="AG2554" i="1" s="1"/>
  <c r="K2554" i="1"/>
  <c r="AX2554" i="1"/>
  <c r="BH2487" i="1"/>
  <c r="AD2487" i="1" s="1"/>
  <c r="AX2493" i="1"/>
  <c r="BC2493" i="1" s="1"/>
  <c r="AL2520" i="1"/>
  <c r="M2520" i="1"/>
  <c r="BF2600" i="1"/>
  <c r="O2517" i="1"/>
  <c r="M2463" i="1"/>
  <c r="BH2471" i="1"/>
  <c r="AD2471" i="1" s="1"/>
  <c r="BH2472" i="1"/>
  <c r="AD2472" i="1" s="1"/>
  <c r="AV2476" i="1"/>
  <c r="BH2485" i="1"/>
  <c r="AD2485" i="1" s="1"/>
  <c r="AX2489" i="1"/>
  <c r="BC2489" i="1" s="1"/>
  <c r="BH2499" i="1"/>
  <c r="AD2499" i="1" s="1"/>
  <c r="J2499" i="1"/>
  <c r="AW2499" i="1"/>
  <c r="BH2502" i="1"/>
  <c r="AD2502" i="1" s="1"/>
  <c r="J2502" i="1"/>
  <c r="AW2502" i="1"/>
  <c r="AX2474" i="1"/>
  <c r="BC2474" i="1" s="1"/>
  <c r="AL2481" i="1"/>
  <c r="BC2509" i="1"/>
  <c r="AV2509" i="1"/>
  <c r="M2544" i="1"/>
  <c r="J2410" i="1"/>
  <c r="J2415" i="1"/>
  <c r="J2419" i="1"/>
  <c r="J2423" i="1"/>
  <c r="J2429" i="1"/>
  <c r="J2435" i="1"/>
  <c r="J2440" i="1"/>
  <c r="J2444" i="1"/>
  <c r="J2447" i="1"/>
  <c r="BI2463" i="1"/>
  <c r="AE2463" i="1" s="1"/>
  <c r="K2463" i="1"/>
  <c r="J2466" i="1"/>
  <c r="BC2469" i="1"/>
  <c r="BI2479" i="1"/>
  <c r="AE2479" i="1" s="1"/>
  <c r="K2479" i="1"/>
  <c r="BC2481" i="1"/>
  <c r="AL2483" i="1"/>
  <c r="M2483" i="1"/>
  <c r="BH2490" i="1"/>
  <c r="AD2490" i="1" s="1"/>
  <c r="BH2493" i="1"/>
  <c r="AD2493" i="1" s="1"/>
  <c r="AX2519" i="1"/>
  <c r="K2519" i="1"/>
  <c r="BI2519" i="1"/>
  <c r="AG2519" i="1" s="1"/>
  <c r="AV2553" i="1"/>
  <c r="BC2553" i="1"/>
  <c r="BI2557" i="1"/>
  <c r="AG2557" i="1" s="1"/>
  <c r="K2557" i="1"/>
  <c r="AX2557" i="1"/>
  <c r="AL2564" i="1"/>
  <c r="M2564" i="1"/>
  <c r="AL2570" i="1"/>
  <c r="M2570" i="1"/>
  <c r="AL2576" i="1"/>
  <c r="M2576" i="1"/>
  <c r="AL2582" i="1"/>
  <c r="M2582" i="1"/>
  <c r="BH2600" i="1"/>
  <c r="AF2600" i="1" s="1"/>
  <c r="J2600" i="1"/>
  <c r="AW2600" i="1"/>
  <c r="AW2611" i="1"/>
  <c r="J2611" i="1"/>
  <c r="BH2611" i="1"/>
  <c r="AF2611" i="1" s="1"/>
  <c r="K2500" i="1"/>
  <c r="BI2500" i="1"/>
  <c r="AE2500" i="1" s="1"/>
  <c r="K2503" i="1"/>
  <c r="BI2503" i="1"/>
  <c r="AE2503" i="1" s="1"/>
  <c r="K2507" i="1"/>
  <c r="BI2507" i="1"/>
  <c r="AE2507" i="1" s="1"/>
  <c r="K2511" i="1"/>
  <c r="BI2511" i="1"/>
  <c r="AV2519" i="1"/>
  <c r="AL2546" i="1"/>
  <c r="M2546" i="1"/>
  <c r="BI2551" i="1"/>
  <c r="AG2551" i="1" s="1"/>
  <c r="K2551" i="1"/>
  <c r="AX2551" i="1"/>
  <c r="BI2563" i="1"/>
  <c r="AG2563" i="1" s="1"/>
  <c r="K2563" i="1"/>
  <c r="AX2563" i="1"/>
  <c r="BI2569" i="1"/>
  <c r="AG2569" i="1" s="1"/>
  <c r="K2569" i="1"/>
  <c r="AX2569" i="1"/>
  <c r="BI2575" i="1"/>
  <c r="AG2575" i="1" s="1"/>
  <c r="K2575" i="1"/>
  <c r="AX2575" i="1"/>
  <c r="BI2581" i="1"/>
  <c r="AG2581" i="1" s="1"/>
  <c r="K2581" i="1"/>
  <c r="AX2581" i="1"/>
  <c r="AL2543" i="1"/>
  <c r="M2543" i="1"/>
  <c r="AL2544" i="1"/>
  <c r="BI2548" i="1"/>
  <c r="AG2548" i="1" s="1"/>
  <c r="K2548" i="1"/>
  <c r="AX2548" i="1"/>
  <c r="AL2597" i="1"/>
  <c r="M2597" i="1"/>
  <c r="AV2598" i="1"/>
  <c r="M2500" i="1"/>
  <c r="M2503" i="1"/>
  <c r="M2507" i="1"/>
  <c r="M2511" i="1"/>
  <c r="M2515" i="1"/>
  <c r="M2521" i="1"/>
  <c r="AL2540" i="1"/>
  <c r="M2540" i="1"/>
  <c r="BI2545" i="1"/>
  <c r="AG2545" i="1" s="1"/>
  <c r="K2545" i="1"/>
  <c r="AX2545" i="1"/>
  <c r="BC2549" i="1"/>
  <c r="AV2550" i="1"/>
  <c r="AV2562" i="1"/>
  <c r="AV2568" i="1"/>
  <c r="AV2574" i="1"/>
  <c r="AV2580" i="1"/>
  <c r="AV2586" i="1"/>
  <c r="AL2591" i="1"/>
  <c r="M2591" i="1"/>
  <c r="BC2602" i="1"/>
  <c r="AV2602" i="1"/>
  <c r="AV2603" i="1"/>
  <c r="BI2518" i="1"/>
  <c r="AG2518" i="1" s="1"/>
  <c r="BH2521" i="1"/>
  <c r="AF2521" i="1" s="1"/>
  <c r="J2521" i="1"/>
  <c r="BI2523" i="1"/>
  <c r="AG2523" i="1" s="1"/>
  <c r="AL2537" i="1"/>
  <c r="M2537" i="1"/>
  <c r="AL2538" i="1"/>
  <c r="BI2542" i="1"/>
  <c r="AG2542" i="1" s="1"/>
  <c r="K2542" i="1"/>
  <c r="AX2542" i="1"/>
  <c r="BC2546" i="1"/>
  <c r="AL2561" i="1"/>
  <c r="M2561" i="1"/>
  <c r="BC2561" i="1"/>
  <c r="AV2561" i="1"/>
  <c r="AL2567" i="1"/>
  <c r="M2567" i="1"/>
  <c r="AL2573" i="1"/>
  <c r="M2573" i="1"/>
  <c r="AL2579" i="1"/>
  <c r="M2579" i="1"/>
  <c r="AL2585" i="1"/>
  <c r="M2585" i="1"/>
  <c r="AV2607" i="1"/>
  <c r="M2522" i="1"/>
  <c r="AL2529" i="1"/>
  <c r="AL2534" i="1"/>
  <c r="M2534" i="1"/>
  <c r="AL2535" i="1"/>
  <c r="BI2539" i="1"/>
  <c r="AG2539" i="1" s="1"/>
  <c r="K2539" i="1"/>
  <c r="AX2539" i="1"/>
  <c r="BC2543" i="1"/>
  <c r="AV2544" i="1"/>
  <c r="BC2547" i="1"/>
  <c r="BI2596" i="1"/>
  <c r="AG2596" i="1" s="1"/>
  <c r="K2596" i="1"/>
  <c r="AX2596" i="1"/>
  <c r="BH2635" i="1"/>
  <c r="AF2635" i="1" s="1"/>
  <c r="J2635" i="1"/>
  <c r="AW2635" i="1"/>
  <c r="M2639" i="1"/>
  <c r="K2518" i="1"/>
  <c r="K2523" i="1"/>
  <c r="BC2526" i="1"/>
  <c r="AL2531" i="1"/>
  <c r="M2531" i="1"/>
  <c r="AL2532" i="1"/>
  <c r="BI2536" i="1"/>
  <c r="AG2536" i="1" s="1"/>
  <c r="K2536" i="1"/>
  <c r="AX2536" i="1"/>
  <c r="BC2540" i="1"/>
  <c r="AV2541" i="1"/>
  <c r="BC2544" i="1"/>
  <c r="BI2590" i="1"/>
  <c r="AG2590" i="1" s="1"/>
  <c r="K2590" i="1"/>
  <c r="AX2590" i="1"/>
  <c r="AV2601" i="1"/>
  <c r="BH2623" i="1"/>
  <c r="AF2623" i="1" s="1"/>
  <c r="J2623" i="1"/>
  <c r="AW2623" i="1"/>
  <c r="BH2632" i="1"/>
  <c r="AF2632" i="1" s="1"/>
  <c r="J2632" i="1"/>
  <c r="AW2632" i="1"/>
  <c r="M2488" i="1"/>
  <c r="M2491" i="1"/>
  <c r="M2494" i="1"/>
  <c r="M2497" i="1"/>
  <c r="M2501" i="1"/>
  <c r="M2505" i="1"/>
  <c r="M2509" i="1"/>
  <c r="M2512" i="1"/>
  <c r="AW2521" i="1"/>
  <c r="BI2533" i="1"/>
  <c r="AG2533" i="1" s="1"/>
  <c r="K2533" i="1"/>
  <c r="AX2533" i="1"/>
  <c r="AV2534" i="1"/>
  <c r="BC2537" i="1"/>
  <c r="AV2538" i="1"/>
  <c r="BI2549" i="1"/>
  <c r="AG2549" i="1" s="1"/>
  <c r="AV2559" i="1"/>
  <c r="BI2560" i="1"/>
  <c r="AG2560" i="1" s="1"/>
  <c r="K2560" i="1"/>
  <c r="AX2560" i="1"/>
  <c r="BI2566" i="1"/>
  <c r="AG2566" i="1" s="1"/>
  <c r="K2566" i="1"/>
  <c r="AX2566" i="1"/>
  <c r="BI2572" i="1"/>
  <c r="AG2572" i="1" s="1"/>
  <c r="K2572" i="1"/>
  <c r="AX2572" i="1"/>
  <c r="BI2578" i="1"/>
  <c r="AG2578" i="1" s="1"/>
  <c r="K2578" i="1"/>
  <c r="AX2578" i="1"/>
  <c r="BI2584" i="1"/>
  <c r="AG2584" i="1" s="1"/>
  <c r="K2584" i="1"/>
  <c r="AX2584" i="1"/>
  <c r="BC2606" i="1"/>
  <c r="BH2609" i="1"/>
  <c r="AF2609" i="1" s="1"/>
  <c r="AW2609" i="1"/>
  <c r="BI2613" i="1"/>
  <c r="AG2613" i="1" s="1"/>
  <c r="K2613" i="1"/>
  <c r="AX2613" i="1"/>
  <c r="BI2546" i="1"/>
  <c r="AG2546" i="1" s="1"/>
  <c r="AL2558" i="1"/>
  <c r="M2558" i="1"/>
  <c r="BC2558" i="1"/>
  <c r="AV2558" i="1"/>
  <c r="AL2612" i="1"/>
  <c r="M2612" i="1"/>
  <c r="K2492" i="1"/>
  <c r="K2495" i="1"/>
  <c r="K2499" i="1"/>
  <c r="K2502" i="1"/>
  <c r="K2506" i="1"/>
  <c r="K2510" i="1"/>
  <c r="K2514" i="1"/>
  <c r="M2524" i="1"/>
  <c r="K2525" i="1"/>
  <c r="BI2526" i="1"/>
  <c r="AG2526" i="1" s="1"/>
  <c r="BC2529" i="1"/>
  <c r="AV2532" i="1"/>
  <c r="BC2535" i="1"/>
  <c r="BI2543" i="1"/>
  <c r="AG2543" i="1" s="1"/>
  <c r="AL2555" i="1"/>
  <c r="M2555" i="1"/>
  <c r="AV2565" i="1"/>
  <c r="AV2571" i="1"/>
  <c r="AV2577" i="1"/>
  <c r="AV2583" i="1"/>
  <c r="AL2588" i="1"/>
  <c r="M2588" i="1"/>
  <c r="BC2588" i="1"/>
  <c r="AL2594" i="1"/>
  <c r="M2594" i="1"/>
  <c r="BH2667" i="1"/>
  <c r="AF2667" i="1" s="1"/>
  <c r="J2667" i="1"/>
  <c r="AW2667" i="1"/>
  <c r="BH2602" i="1"/>
  <c r="AF2602" i="1" s="1"/>
  <c r="BI2604" i="1"/>
  <c r="AG2604" i="1" s="1"/>
  <c r="K2604" i="1"/>
  <c r="AL2609" i="1"/>
  <c r="M2609" i="1"/>
  <c r="BH2626" i="1"/>
  <c r="AF2626" i="1" s="1"/>
  <c r="J2626" i="1"/>
  <c r="AW2626" i="1"/>
  <c r="BH2629" i="1"/>
  <c r="AF2629" i="1" s="1"/>
  <c r="J2629" i="1"/>
  <c r="AW2629" i="1"/>
  <c r="BC2639" i="1"/>
  <c r="J2647" i="1"/>
  <c r="BH2647" i="1"/>
  <c r="AF2647" i="1" s="1"/>
  <c r="AW2647" i="1"/>
  <c r="BH2650" i="1"/>
  <c r="AF2650" i="1" s="1"/>
  <c r="AW2650" i="1"/>
  <c r="J2650" i="1"/>
  <c r="AL2682" i="1"/>
  <c r="M2682" i="1"/>
  <c r="L2748" i="1"/>
  <c r="F80" i="2" s="1"/>
  <c r="I80" i="2" s="1"/>
  <c r="M2749" i="1"/>
  <c r="M2748" i="1" s="1"/>
  <c r="AL2749" i="1"/>
  <c r="AU2748" i="1" s="1"/>
  <c r="BH2606" i="1"/>
  <c r="AF2606" i="1" s="1"/>
  <c r="BH2617" i="1"/>
  <c r="AF2617" i="1" s="1"/>
  <c r="J2617" i="1"/>
  <c r="AW2617" i="1"/>
  <c r="BI2647" i="1"/>
  <c r="AG2647" i="1" s="1"/>
  <c r="K2647" i="1"/>
  <c r="AX2647" i="1"/>
  <c r="BH2658" i="1"/>
  <c r="AF2658" i="1" s="1"/>
  <c r="J2658" i="1"/>
  <c r="AW2658" i="1"/>
  <c r="BI2610" i="1"/>
  <c r="AG2610" i="1" s="1"/>
  <c r="K2610" i="1"/>
  <c r="AX2638" i="1"/>
  <c r="K2638" i="1"/>
  <c r="BI2638" i="1"/>
  <c r="AG2638" i="1" s="1"/>
  <c r="BC2643" i="1"/>
  <c r="AW2692" i="1"/>
  <c r="J2692" i="1"/>
  <c r="BH2692" i="1"/>
  <c r="AF2692" i="1" s="1"/>
  <c r="AW2724" i="1"/>
  <c r="J2724" i="1"/>
  <c r="BH2724" i="1"/>
  <c r="AB2724" i="1" s="1"/>
  <c r="AV2564" i="1"/>
  <c r="AV2567" i="1"/>
  <c r="AV2570" i="1"/>
  <c r="AV2573" i="1"/>
  <c r="AV2576" i="1"/>
  <c r="AV2582" i="1"/>
  <c r="AV2585" i="1"/>
  <c r="AV2588" i="1"/>
  <c r="AV2594" i="1"/>
  <c r="AV2597" i="1"/>
  <c r="BI2601" i="1"/>
  <c r="AG2601" i="1" s="1"/>
  <c r="K2601" i="1"/>
  <c r="BI2622" i="1"/>
  <c r="AG2622" i="1" s="1"/>
  <c r="K2622" i="1"/>
  <c r="BI2663" i="1"/>
  <c r="AG2663" i="1" s="1"/>
  <c r="K2663" i="1"/>
  <c r="AX2663" i="1"/>
  <c r="AV2663" i="1" s="1"/>
  <c r="AX2610" i="1"/>
  <c r="BC2610" i="1" s="1"/>
  <c r="BC2634" i="1"/>
  <c r="AV2634" i="1"/>
  <c r="BI2642" i="1"/>
  <c r="AG2642" i="1" s="1"/>
  <c r="K2642" i="1"/>
  <c r="AX2642" i="1"/>
  <c r="AV2642" i="1" s="1"/>
  <c r="AL2692" i="1"/>
  <c r="M2692" i="1"/>
  <c r="J2524" i="1"/>
  <c r="J2527" i="1"/>
  <c r="J2530" i="1"/>
  <c r="J2533" i="1"/>
  <c r="J2536" i="1"/>
  <c r="J2539" i="1"/>
  <c r="J2542" i="1"/>
  <c r="J2545" i="1"/>
  <c r="J2548" i="1"/>
  <c r="J2551" i="1"/>
  <c r="AW2605" i="1"/>
  <c r="BI2616" i="1"/>
  <c r="AG2616" i="1" s="1"/>
  <c r="K2616" i="1"/>
  <c r="AX2622" i="1"/>
  <c r="BC2622" i="1" s="1"/>
  <c r="BI2625" i="1"/>
  <c r="AG2625" i="1" s="1"/>
  <c r="K2625" i="1"/>
  <c r="BC2631" i="1"/>
  <c r="AV2631" i="1"/>
  <c r="BH2649" i="1"/>
  <c r="AF2649" i="1" s="1"/>
  <c r="J2649" i="1"/>
  <c r="AW2649" i="1"/>
  <c r="AL2652" i="1"/>
  <c r="M2652" i="1"/>
  <c r="AW2671" i="1"/>
  <c r="BH2671" i="1"/>
  <c r="AF2671" i="1" s="1"/>
  <c r="J2671" i="1"/>
  <c r="O2774" i="1"/>
  <c r="G82" i="2" s="1"/>
  <c r="BF2775" i="1"/>
  <c r="AX2601" i="1"/>
  <c r="BC2601" i="1" s="1"/>
  <c r="AL2615" i="1"/>
  <c r="M2615" i="1"/>
  <c r="BH2620" i="1"/>
  <c r="AF2620" i="1" s="1"/>
  <c r="J2620" i="1"/>
  <c r="AW2620" i="1"/>
  <c r="BC2636" i="1"/>
  <c r="AV2636" i="1"/>
  <c r="M2649" i="1"/>
  <c r="BI2678" i="1"/>
  <c r="AG2678" i="1" s="1"/>
  <c r="K2678" i="1"/>
  <c r="AX2678" i="1"/>
  <c r="AV2678" i="1" s="1"/>
  <c r="BI2608" i="1"/>
  <c r="AG2608" i="1" s="1"/>
  <c r="BH2614" i="1"/>
  <c r="AF2614" i="1" s="1"/>
  <c r="J2614" i="1"/>
  <c r="AW2614" i="1"/>
  <c r="AX2616" i="1"/>
  <c r="BC2616" i="1" s="1"/>
  <c r="AX2625" i="1"/>
  <c r="AV2646" i="1"/>
  <c r="AL2685" i="1"/>
  <c r="BC2630" i="1"/>
  <c r="AV2630" i="1"/>
  <c r="M2770" i="1"/>
  <c r="AL2770" i="1"/>
  <c r="BC2810" i="1"/>
  <c r="J2555" i="1"/>
  <c r="J2558" i="1"/>
  <c r="J2561" i="1"/>
  <c r="J2564" i="1"/>
  <c r="J2567" i="1"/>
  <c r="J2570" i="1"/>
  <c r="J2573" i="1"/>
  <c r="J2576" i="1"/>
  <c r="J2579" i="1"/>
  <c r="J2582" i="1"/>
  <c r="J2585" i="1"/>
  <c r="J2588" i="1"/>
  <c r="J2591" i="1"/>
  <c r="J2594" i="1"/>
  <c r="J2597" i="1"/>
  <c r="AX2598" i="1"/>
  <c r="BC2598" i="1" s="1"/>
  <c r="BI2607" i="1"/>
  <c r="AG2607" i="1" s="1"/>
  <c r="K2607" i="1"/>
  <c r="BC2644" i="1"/>
  <c r="AV2644" i="1"/>
  <c r="K2639" i="1"/>
  <c r="BI2639" i="1"/>
  <c r="AG2639" i="1" s="1"/>
  <c r="K2643" i="1"/>
  <c r="BC2645" i="1"/>
  <c r="M2647" i="1"/>
  <c r="BH2652" i="1"/>
  <c r="AF2652" i="1" s="1"/>
  <c r="J2652" i="1"/>
  <c r="BC2654" i="1"/>
  <c r="BI2675" i="1"/>
  <c r="AG2675" i="1" s="1"/>
  <c r="K2675" i="1"/>
  <c r="AX2675" i="1"/>
  <c r="AV2675" i="1" s="1"/>
  <c r="BI2687" i="1"/>
  <c r="AG2687" i="1" s="1"/>
  <c r="K2687" i="1"/>
  <c r="AX2687" i="1"/>
  <c r="AV2687" i="1" s="1"/>
  <c r="M2800" i="1"/>
  <c r="AL2800" i="1"/>
  <c r="BH2643" i="1"/>
  <c r="AF2643" i="1" s="1"/>
  <c r="J2643" i="1"/>
  <c r="BI2648" i="1"/>
  <c r="AG2648" i="1" s="1"/>
  <c r="K2648" i="1"/>
  <c r="BI2651" i="1"/>
  <c r="AG2651" i="1" s="1"/>
  <c r="K2651" i="1"/>
  <c r="AL2658" i="1"/>
  <c r="M2658" i="1"/>
  <c r="BH2659" i="1"/>
  <c r="AF2659" i="1" s="1"/>
  <c r="AL2667" i="1"/>
  <c r="M2667" i="1"/>
  <c r="BH2668" i="1"/>
  <c r="AF2668" i="1" s="1"/>
  <c r="AW2674" i="1"/>
  <c r="BH2674" i="1"/>
  <c r="AF2674" i="1" s="1"/>
  <c r="J2674" i="1"/>
  <c r="BC2686" i="1"/>
  <c r="AV2686" i="1"/>
  <c r="AW2716" i="1"/>
  <c r="BH2716" i="1"/>
  <c r="AB2716" i="1" s="1"/>
  <c r="BH2653" i="1"/>
  <c r="AF2653" i="1" s="1"/>
  <c r="J2656" i="1"/>
  <c r="BI2681" i="1"/>
  <c r="AG2681" i="1" s="1"/>
  <c r="K2681" i="1"/>
  <c r="AX2681" i="1"/>
  <c r="AV2681" i="1" s="1"/>
  <c r="AW2689" i="1"/>
  <c r="J2689" i="1"/>
  <c r="BH2689" i="1"/>
  <c r="AF2689" i="1" s="1"/>
  <c r="AV2706" i="1"/>
  <c r="J2716" i="1"/>
  <c r="AX2741" i="1"/>
  <c r="BC2741" i="1" s="1"/>
  <c r="K2741" i="1"/>
  <c r="K2735" i="1" s="1"/>
  <c r="AX2763" i="1"/>
  <c r="BC2763" i="1" s="1"/>
  <c r="K2763" i="1"/>
  <c r="M2618" i="1"/>
  <c r="M2621" i="1"/>
  <c r="M2624" i="1"/>
  <c r="M2627" i="1"/>
  <c r="M2630" i="1"/>
  <c r="M2633" i="1"/>
  <c r="M2636" i="1"/>
  <c r="BI2637" i="1"/>
  <c r="AG2637" i="1" s="1"/>
  <c r="AV2639" i="1"/>
  <c r="M2640" i="1"/>
  <c r="BI2641" i="1"/>
  <c r="AG2641" i="1" s="1"/>
  <c r="AV2643" i="1"/>
  <c r="M2644" i="1"/>
  <c r="BI2645" i="1"/>
  <c r="AG2645" i="1" s="1"/>
  <c r="BC2648" i="1"/>
  <c r="BC2651" i="1"/>
  <c r="BI2657" i="1"/>
  <c r="AG2657" i="1" s="1"/>
  <c r="K2657" i="1"/>
  <c r="BH2661" i="1"/>
  <c r="AF2661" i="1" s="1"/>
  <c r="J2661" i="1"/>
  <c r="BI2666" i="1"/>
  <c r="AG2666" i="1" s="1"/>
  <c r="K2666" i="1"/>
  <c r="BH2670" i="1"/>
  <c r="AF2670" i="1" s="1"/>
  <c r="J2670" i="1"/>
  <c r="AW2677" i="1"/>
  <c r="BH2677" i="1"/>
  <c r="AF2677" i="1" s="1"/>
  <c r="J2677" i="1"/>
  <c r="BI2684" i="1"/>
  <c r="AG2684" i="1" s="1"/>
  <c r="K2684" i="1"/>
  <c r="AX2684" i="1"/>
  <c r="AV2684" i="1" s="1"/>
  <c r="AV2685" i="1"/>
  <c r="AL2689" i="1"/>
  <c r="M2689" i="1"/>
  <c r="AV2703" i="1"/>
  <c r="L2715" i="1"/>
  <c r="F71" i="2" s="1"/>
  <c r="I71" i="2" s="1"/>
  <c r="AS2735" i="1"/>
  <c r="BC2816" i="1"/>
  <c r="AV2816" i="1"/>
  <c r="AX2821" i="1"/>
  <c r="AV2821" i="1" s="1"/>
  <c r="K2821" i="1"/>
  <c r="BI2821" i="1"/>
  <c r="J2613" i="1"/>
  <c r="J2616" i="1"/>
  <c r="J2619" i="1"/>
  <c r="J2622" i="1"/>
  <c r="J2625" i="1"/>
  <c r="J2628" i="1"/>
  <c r="J2631" i="1"/>
  <c r="J2634" i="1"/>
  <c r="BH2640" i="1"/>
  <c r="AF2640" i="1" s="1"/>
  <c r="J2640" i="1"/>
  <c r="K2641" i="1"/>
  <c r="O2699" i="1"/>
  <c r="G68" i="2" s="1"/>
  <c r="AX2777" i="1"/>
  <c r="BC2777" i="1" s="1"/>
  <c r="K2777" i="1"/>
  <c r="BC2815" i="1"/>
  <c r="AV2815" i="1"/>
  <c r="K2628" i="1"/>
  <c r="K2631" i="1"/>
  <c r="K2634" i="1"/>
  <c r="BH2655" i="1"/>
  <c r="AF2655" i="1" s="1"/>
  <c r="J2655" i="1"/>
  <c r="BC2657" i="1"/>
  <c r="AL2661" i="1"/>
  <c r="M2661" i="1"/>
  <c r="AW2661" i="1"/>
  <c r="BH2662" i="1"/>
  <c r="AF2662" i="1" s="1"/>
  <c r="BC2666" i="1"/>
  <c r="AL2670" i="1"/>
  <c r="M2670" i="1"/>
  <c r="AW2670" i="1"/>
  <c r="AW2680" i="1"/>
  <c r="BH2680" i="1"/>
  <c r="AF2680" i="1" s="1"/>
  <c r="J2680" i="1"/>
  <c r="BC2684" i="1"/>
  <c r="AL2709" i="1"/>
  <c r="M2709" i="1"/>
  <c r="O2732" i="1"/>
  <c r="G74" i="2" s="1"/>
  <c r="AL2655" i="1"/>
  <c r="M2655" i="1"/>
  <c r="AL2673" i="1"/>
  <c r="M2673" i="1"/>
  <c r="BC2673" i="1"/>
  <c r="AV2673" i="1"/>
  <c r="AW2683" i="1"/>
  <c r="BH2683" i="1"/>
  <c r="AF2683" i="1" s="1"/>
  <c r="J2683" i="1"/>
  <c r="AW2688" i="1"/>
  <c r="J2688" i="1"/>
  <c r="BC2696" i="1"/>
  <c r="AV2696" i="1"/>
  <c r="AW2720" i="1"/>
  <c r="J2720" i="1"/>
  <c r="BH2757" i="1"/>
  <c r="AB2757" i="1" s="1"/>
  <c r="J2757" i="1"/>
  <c r="AW2757" i="1"/>
  <c r="M2628" i="1"/>
  <c r="M2631" i="1"/>
  <c r="M2634" i="1"/>
  <c r="BH2637" i="1"/>
  <c r="AF2637" i="1" s="1"/>
  <c r="J2637" i="1"/>
  <c r="AW2640" i="1"/>
  <c r="AW2655" i="1"/>
  <c r="J2659" i="1"/>
  <c r="BI2660" i="1"/>
  <c r="AG2660" i="1" s="1"/>
  <c r="K2660" i="1"/>
  <c r="BH2664" i="1"/>
  <c r="AF2664" i="1" s="1"/>
  <c r="J2664" i="1"/>
  <c r="J2668" i="1"/>
  <c r="BI2669" i="1"/>
  <c r="AG2669" i="1" s="1"/>
  <c r="K2669" i="1"/>
  <c r="AL2676" i="1"/>
  <c r="M2676" i="1"/>
  <c r="BC2676" i="1"/>
  <c r="AV2676" i="1"/>
  <c r="J2696" i="1"/>
  <c r="AL2700" i="1"/>
  <c r="M2700" i="1"/>
  <c r="AL2707" i="1"/>
  <c r="BI2720" i="1"/>
  <c r="AC2720" i="1" s="1"/>
  <c r="K2720" i="1"/>
  <c r="AX2720" i="1"/>
  <c r="AW2733" i="1"/>
  <c r="J2733" i="1"/>
  <c r="J2732" i="1" s="1"/>
  <c r="D74" i="2" s="1"/>
  <c r="BH2733" i="1"/>
  <c r="BC2739" i="1"/>
  <c r="BI2741" i="1"/>
  <c r="AX2757" i="1"/>
  <c r="K2757" i="1"/>
  <c r="BI2763" i="1"/>
  <c r="AC2763" i="1" s="1"/>
  <c r="AL2804" i="1"/>
  <c r="M2804" i="1"/>
  <c r="J2808" i="1"/>
  <c r="BI2654" i="1"/>
  <c r="AG2654" i="1" s="1"/>
  <c r="K2654" i="1"/>
  <c r="AL2696" i="1"/>
  <c r="M2696" i="1"/>
  <c r="AL2720" i="1"/>
  <c r="M2720" i="1"/>
  <c r="BH2775" i="1"/>
  <c r="AB2775" i="1" s="1"/>
  <c r="J2775" i="1"/>
  <c r="J2774" i="1" s="1"/>
  <c r="D82" i="2" s="1"/>
  <c r="AW2775" i="1"/>
  <c r="BH2646" i="1"/>
  <c r="AF2646" i="1" s="1"/>
  <c r="J2646" i="1"/>
  <c r="AL2664" i="1"/>
  <c r="M2664" i="1"/>
  <c r="BC2664" i="1"/>
  <c r="AV2664" i="1"/>
  <c r="BI2672" i="1"/>
  <c r="AG2672" i="1" s="1"/>
  <c r="K2672" i="1"/>
  <c r="AX2672" i="1"/>
  <c r="AV2672" i="1" s="1"/>
  <c r="AL2679" i="1"/>
  <c r="M2679" i="1"/>
  <c r="BC2679" i="1"/>
  <c r="AV2679" i="1"/>
  <c r="AV2690" i="1"/>
  <c r="BF2720" i="1"/>
  <c r="O2715" i="1"/>
  <c r="G71" i="2" s="1"/>
  <c r="L2729" i="1"/>
  <c r="F73" i="2" s="1"/>
  <c r="I73" i="2" s="1"/>
  <c r="M2730" i="1"/>
  <c r="M2729" i="1" s="1"/>
  <c r="O2756" i="1"/>
  <c r="G81" i="2" s="1"/>
  <c r="BF2757" i="1"/>
  <c r="AX2775" i="1"/>
  <c r="K2775" i="1"/>
  <c r="AX2650" i="1"/>
  <c r="AX2653" i="1"/>
  <c r="BC2653" i="1" s="1"/>
  <c r="AX2656" i="1"/>
  <c r="BC2656" i="1" s="1"/>
  <c r="AX2659" i="1"/>
  <c r="BC2659" i="1" s="1"/>
  <c r="AX2662" i="1"/>
  <c r="AV2662" i="1" s="1"/>
  <c r="AX2665" i="1"/>
  <c r="BC2665" i="1" s="1"/>
  <c r="AX2668" i="1"/>
  <c r="BC2668" i="1" s="1"/>
  <c r="AX2671" i="1"/>
  <c r="J2673" i="1"/>
  <c r="AX2674" i="1"/>
  <c r="J2676" i="1"/>
  <c r="AX2677" i="1"/>
  <c r="J2679" i="1"/>
  <c r="AX2680" i="1"/>
  <c r="J2682" i="1"/>
  <c r="AX2683" i="1"/>
  <c r="BI2703" i="1"/>
  <c r="AC2703" i="1" s="1"/>
  <c r="K2703" i="1"/>
  <c r="O2705" i="1"/>
  <c r="G69" i="2" s="1"/>
  <c r="J2707" i="1"/>
  <c r="J2705" i="1" s="1"/>
  <c r="D69" i="2" s="1"/>
  <c r="O2710" i="1"/>
  <c r="G70" i="2" s="1"/>
  <c r="J2730" i="1"/>
  <c r="J2729" i="1" s="1"/>
  <c r="D73" i="2" s="1"/>
  <c r="BC2749" i="1"/>
  <c r="L2756" i="1"/>
  <c r="F81" i="2" s="1"/>
  <c r="I81" i="2" s="1"/>
  <c r="AL2757" i="1"/>
  <c r="BC2809" i="1"/>
  <c r="O2811" i="1"/>
  <c r="BI2820" i="1"/>
  <c r="K2820" i="1"/>
  <c r="AL2695" i="1"/>
  <c r="M2695" i="1"/>
  <c r="BC2695" i="1"/>
  <c r="AL2706" i="1"/>
  <c r="M2706" i="1"/>
  <c r="BC2707" i="1"/>
  <c r="BC2730" i="1"/>
  <c r="K2745" i="1"/>
  <c r="K2744" i="1" s="1"/>
  <c r="E79" i="2" s="1"/>
  <c r="BI2749" i="1"/>
  <c r="AC2749" i="1" s="1"/>
  <c r="BH2770" i="1"/>
  <c r="AB2770" i="1" s="1"/>
  <c r="J2770" i="1"/>
  <c r="BH2800" i="1"/>
  <c r="J2800" i="1"/>
  <c r="AL2686" i="1"/>
  <c r="M2686" i="1"/>
  <c r="AL2694" i="1"/>
  <c r="BI2706" i="1"/>
  <c r="AC2706" i="1" s="1"/>
  <c r="K2706" i="1"/>
  <c r="BH2726" i="1"/>
  <c r="AB2726" i="1" s="1"/>
  <c r="BH2739" i="1"/>
  <c r="AD2739" i="1" s="1"/>
  <c r="J2739" i="1"/>
  <c r="AL2745" i="1"/>
  <c r="AU2744" i="1" s="1"/>
  <c r="BC2792" i="1"/>
  <c r="AV2792" i="1"/>
  <c r="BI2800" i="1"/>
  <c r="K2800" i="1"/>
  <c r="AX2800" i="1"/>
  <c r="BC2800" i="1" s="1"/>
  <c r="BH2804" i="1"/>
  <c r="J2804" i="1"/>
  <c r="AL2812" i="1"/>
  <c r="AU2811" i="1" s="1"/>
  <c r="M2812" i="1"/>
  <c r="M2811" i="1" s="1"/>
  <c r="BC2812" i="1"/>
  <c r="BH2818" i="1"/>
  <c r="J2818" i="1"/>
  <c r="J2817" i="1" s="1"/>
  <c r="D90" i="2" s="1"/>
  <c r="BH2820" i="1"/>
  <c r="AL2823" i="1"/>
  <c r="AU2822" i="1" s="1"/>
  <c r="M2823" i="1"/>
  <c r="M2822" i="1" s="1"/>
  <c r="K2650" i="1"/>
  <c r="K2653" i="1"/>
  <c r="K2656" i="1"/>
  <c r="K2659" i="1"/>
  <c r="K2662" i="1"/>
  <c r="K2665" i="1"/>
  <c r="K2668" i="1"/>
  <c r="K2671" i="1"/>
  <c r="K2674" i="1"/>
  <c r="K2677" i="1"/>
  <c r="K2680" i="1"/>
  <c r="K2683" i="1"/>
  <c r="BC2694" i="1"/>
  <c r="BH2703" i="1"/>
  <c r="AB2703" i="1" s="1"/>
  <c r="AL2711" i="1"/>
  <c r="AU2710" i="1" s="1"/>
  <c r="M2711" i="1"/>
  <c r="M2710" i="1" s="1"/>
  <c r="M2741" i="1"/>
  <c r="AL2741" i="1"/>
  <c r="AU2735" i="1" s="1"/>
  <c r="M2745" i="1"/>
  <c r="M2744" i="1" s="1"/>
  <c r="BH2745" i="1"/>
  <c r="AB2745" i="1" s="1"/>
  <c r="J2745" i="1"/>
  <c r="J2744" i="1" s="1"/>
  <c r="D79" i="2" s="1"/>
  <c r="BC2801" i="1"/>
  <c r="AV2801" i="1"/>
  <c r="BI2804" i="1"/>
  <c r="K2804" i="1"/>
  <c r="AX2804" i="1"/>
  <c r="BC2804" i="1" s="1"/>
  <c r="BC2685" i="1"/>
  <c r="AL2693" i="1"/>
  <c r="M2693" i="1"/>
  <c r="BI2694" i="1"/>
  <c r="AG2694" i="1" s="1"/>
  <c r="K2694" i="1"/>
  <c r="BC2706" i="1"/>
  <c r="AV2736" i="1"/>
  <c r="AL2775" i="1"/>
  <c r="AU2774" i="1" s="1"/>
  <c r="BC2806" i="1"/>
  <c r="AV2806" i="1"/>
  <c r="AV2818" i="1"/>
  <c r="AL2828" i="1"/>
  <c r="AU2827" i="1" s="1"/>
  <c r="BH2828" i="1"/>
  <c r="AD2828" i="1" s="1"/>
  <c r="J2828" i="1"/>
  <c r="J2827" i="1" s="1"/>
  <c r="BI2828" i="1"/>
  <c r="AE2828" i="1" s="1"/>
  <c r="K2828" i="1"/>
  <c r="K2827" i="1" s="1"/>
  <c r="AX2828" i="1"/>
  <c r="BC2691" i="1"/>
  <c r="AL2716" i="1"/>
  <c r="M2716" i="1"/>
  <c r="O2735" i="1"/>
  <c r="BH2749" i="1"/>
  <c r="AB2749" i="1" s="1"/>
  <c r="J2749" i="1"/>
  <c r="J2748" i="1" s="1"/>
  <c r="D80" i="2" s="1"/>
  <c r="BI2770" i="1"/>
  <c r="AC2770" i="1" s="1"/>
  <c r="BI2801" i="1"/>
  <c r="AL2809" i="1"/>
  <c r="AU2808" i="1" s="1"/>
  <c r="M2809" i="1"/>
  <c r="M2808" i="1" s="1"/>
  <c r="AW2828" i="1"/>
  <c r="BI2832" i="1"/>
  <c r="AG2832" i="1" s="1"/>
  <c r="K2832" i="1"/>
  <c r="K2830" i="1" s="1"/>
  <c r="M2690" i="1"/>
  <c r="BI2691" i="1"/>
  <c r="AG2691" i="1" s="1"/>
  <c r="K2691" i="1"/>
  <c r="BH2694" i="1"/>
  <c r="AF2694" i="1" s="1"/>
  <c r="L2705" i="1"/>
  <c r="O2729" i="1"/>
  <c r="G73" i="2" s="1"/>
  <c r="BF2745" i="1"/>
  <c r="BI2809" i="1"/>
  <c r="K2809" i="1"/>
  <c r="K2808" i="1" s="1"/>
  <c r="E87" i="2" s="1"/>
  <c r="AL2816" i="1"/>
  <c r="AU2814" i="1" s="1"/>
  <c r="M2816" i="1"/>
  <c r="M2814" i="1" s="1"/>
  <c r="L2814" i="1"/>
  <c r="AL2703" i="1"/>
  <c r="M2703" i="1"/>
  <c r="BC2726" i="1"/>
  <c r="AT2756" i="1"/>
  <c r="AS2791" i="1"/>
  <c r="BI2816" i="1"/>
  <c r="K2816" i="1"/>
  <c r="K2814" i="1" s="1"/>
  <c r="E89" i="2" s="1"/>
  <c r="BI2818" i="1"/>
  <c r="BC2820" i="1"/>
  <c r="L2822" i="1"/>
  <c r="F92" i="2" s="1"/>
  <c r="I92" i="2" s="1"/>
  <c r="BH2823" i="1"/>
  <c r="L2830" i="1"/>
  <c r="AL2831" i="1"/>
  <c r="AU2830" i="1" s="1"/>
  <c r="M2831" i="1"/>
  <c r="BC2832" i="1"/>
  <c r="K2700" i="1"/>
  <c r="K2709" i="1"/>
  <c r="K2711" i="1"/>
  <c r="K2710" i="1" s="1"/>
  <c r="E70" i="2" s="1"/>
  <c r="K2716" i="1"/>
  <c r="J2736" i="1"/>
  <c r="K2823" i="1"/>
  <c r="K2822" i="1" s="1"/>
  <c r="E92" i="2" s="1"/>
  <c r="J2825" i="1"/>
  <c r="J2824" i="1" s="1"/>
  <c r="D93" i="2" s="1"/>
  <c r="K2690" i="1"/>
  <c r="K2693" i="1"/>
  <c r="K2696" i="1"/>
  <c r="J2766" i="1"/>
  <c r="J2796" i="1"/>
  <c r="J2803" i="1"/>
  <c r="BF2816" i="1"/>
  <c r="M2832" i="1"/>
  <c r="M2780" i="1" l="1"/>
  <c r="J2780" i="1"/>
  <c r="D84" i="2" s="1"/>
  <c r="K2780" i="1"/>
  <c r="E84" i="2" s="1"/>
  <c r="BC1255" i="1"/>
  <c r="BC1600" i="1"/>
  <c r="BC1588" i="1"/>
  <c r="BC1666" i="1"/>
  <c r="BC1920" i="1"/>
  <c r="AV2599" i="1"/>
  <c r="BC772" i="1"/>
  <c r="AV1102" i="1"/>
  <c r="M2791" i="1"/>
  <c r="BC1586" i="1"/>
  <c r="AV1164" i="1"/>
  <c r="AV1641" i="1"/>
  <c r="BC298" i="1"/>
  <c r="AV1072" i="1"/>
  <c r="AV2528" i="1"/>
  <c r="BC2642" i="1"/>
  <c r="AV2579" i="1"/>
  <c r="AV2619" i="1"/>
  <c r="AV1760" i="1"/>
  <c r="AV1631" i="1"/>
  <c r="AV1632" i="1"/>
  <c r="M120" i="1"/>
  <c r="BC862" i="1"/>
  <c r="AV2522" i="1"/>
  <c r="AU1992" i="1"/>
  <c r="BC364" i="1"/>
  <c r="BC130" i="1"/>
  <c r="AV1524" i="1"/>
  <c r="AV1567" i="1"/>
  <c r="AV2402" i="1"/>
  <c r="BC2497" i="1"/>
  <c r="M2819" i="1"/>
  <c r="AV2515" i="1"/>
  <c r="K677" i="1"/>
  <c r="E25" i="2" s="1"/>
  <c r="BC2462" i="1"/>
  <c r="BC2501" i="1"/>
  <c r="I45" i="4"/>
  <c r="I24" i="3" s="1"/>
  <c r="M2089" i="1"/>
  <c r="BC1602" i="1"/>
  <c r="AV693" i="1"/>
  <c r="BC1614" i="1"/>
  <c r="M2735" i="1"/>
  <c r="M2734" i="1" s="1"/>
  <c r="AV2628" i="1"/>
  <c r="AV2474" i="1"/>
  <c r="BC1293" i="1"/>
  <c r="AV970" i="1"/>
  <c r="BC284" i="1"/>
  <c r="AV1144" i="1"/>
  <c r="BC2266" i="1"/>
  <c r="AV1566" i="1"/>
  <c r="AV1689" i="1"/>
  <c r="AV2408" i="1"/>
  <c r="BC1946" i="1"/>
  <c r="K2089" i="1"/>
  <c r="E57" i="2" s="1"/>
  <c r="AV1201" i="1"/>
  <c r="K2715" i="1"/>
  <c r="E71" i="2" s="1"/>
  <c r="AV2344" i="1"/>
  <c r="AV1963" i="1"/>
  <c r="BC1636" i="1"/>
  <c r="BC1651" i="1"/>
  <c r="M1265" i="1"/>
  <c r="K684" i="1"/>
  <c r="E26" i="2" s="1"/>
  <c r="AV1483" i="1"/>
  <c r="AV1133" i="1"/>
  <c r="BC1890" i="1"/>
  <c r="BC213" i="1"/>
  <c r="BC2831" i="1"/>
  <c r="BC2783" i="1"/>
  <c r="AV2783" i="1"/>
  <c r="O2743" i="1"/>
  <c r="G78" i="2" s="1"/>
  <c r="BC2445" i="1"/>
  <c r="AV2248" i="1"/>
  <c r="AV2003" i="1"/>
  <c r="AV1951" i="1"/>
  <c r="BC1765" i="1"/>
  <c r="AV1700" i="1"/>
  <c r="BC1628" i="1"/>
  <c r="AV1624" i="1"/>
  <c r="M1383" i="1"/>
  <c r="AV73" i="1"/>
  <c r="BC2709" i="1"/>
  <c r="BC665" i="1"/>
  <c r="BC1584" i="1"/>
  <c r="AV1702" i="1"/>
  <c r="BC1697" i="1"/>
  <c r="BC1613" i="1"/>
  <c r="AU998" i="1"/>
  <c r="BC1072" i="1"/>
  <c r="AV654" i="1"/>
  <c r="BC1699" i="1"/>
  <c r="BC1582" i="1"/>
  <c r="AV1582" i="1"/>
  <c r="AV2652" i="1"/>
  <c r="AV2512" i="1"/>
  <c r="AV2460" i="1"/>
  <c r="AV1993" i="1"/>
  <c r="AV2207" i="1"/>
  <c r="AV1703" i="1"/>
  <c r="AV1238" i="1"/>
  <c r="J75" i="1"/>
  <c r="D14" i="2" s="1"/>
  <c r="BC273" i="1"/>
  <c r="AV1834" i="1"/>
  <c r="AU2715" i="1"/>
  <c r="BC2300" i="1"/>
  <c r="M1645" i="1"/>
  <c r="AV1815" i="1"/>
  <c r="J14" i="1"/>
  <c r="D13" i="2" s="1"/>
  <c r="AV772" i="1"/>
  <c r="BC1102" i="1"/>
  <c r="BC85" i="1"/>
  <c r="BC1557" i="1"/>
  <c r="BC1689" i="1"/>
  <c r="AV2477" i="1"/>
  <c r="J1992" i="1"/>
  <c r="D55" i="2" s="1"/>
  <c r="AV1598" i="1"/>
  <c r="BC2592" i="1"/>
  <c r="AV1831" i="1"/>
  <c r="M2221" i="1"/>
  <c r="J2089" i="1"/>
  <c r="D57" i="2" s="1"/>
  <c r="AV1812" i="1"/>
  <c r="AV1351" i="1"/>
  <c r="AV1378" i="1"/>
  <c r="BC1571" i="1"/>
  <c r="F76" i="2"/>
  <c r="I76" i="2" s="1"/>
  <c r="O2829" i="1"/>
  <c r="G96" i="2" s="1"/>
  <c r="G97" i="2"/>
  <c r="AV2741" i="1"/>
  <c r="BC2678" i="1"/>
  <c r="M2756" i="1"/>
  <c r="BC1973" i="1"/>
  <c r="K1992" i="1"/>
  <c r="E55" i="2" s="1"/>
  <c r="AV1794" i="1"/>
  <c r="BC1691" i="1"/>
  <c r="BC542" i="1"/>
  <c r="BC112" i="1"/>
  <c r="BC65" i="1"/>
  <c r="AV882" i="1"/>
  <c r="AV1606" i="1"/>
  <c r="O2742" i="1"/>
  <c r="G77" i="2" s="1"/>
  <c r="G88" i="2"/>
  <c r="AV1897" i="1"/>
  <c r="AV1764" i="1"/>
  <c r="AU1616" i="1"/>
  <c r="AV1150" i="1"/>
  <c r="BC624" i="1"/>
  <c r="BC504" i="1"/>
  <c r="AV1600" i="1"/>
  <c r="AV1881" i="1"/>
  <c r="AV2625" i="1"/>
  <c r="BC2789" i="1"/>
  <c r="AV2789" i="1"/>
  <c r="O2516" i="1"/>
  <c r="G64" i="2" s="1"/>
  <c r="G65" i="2"/>
  <c r="BC1883" i="1"/>
  <c r="K1637" i="1"/>
  <c r="E46" i="2" s="1"/>
  <c r="K2774" i="1"/>
  <c r="E82" i="2" s="1"/>
  <c r="K2025" i="1"/>
  <c r="E56" i="2" s="1"/>
  <c r="J998" i="1"/>
  <c r="D29" i="2" s="1"/>
  <c r="BC2613" i="1"/>
  <c r="AV2825" i="1"/>
  <c r="BC2821" i="1"/>
  <c r="L2829" i="1"/>
  <c r="F96" i="2" s="1"/>
  <c r="F97" i="2"/>
  <c r="I97" i="2" s="1"/>
  <c r="K2829" i="1"/>
  <c r="E96" i="2" s="1"/>
  <c r="E97" i="2"/>
  <c r="J2829" i="1"/>
  <c r="D96" i="2" s="1"/>
  <c r="D97" i="2"/>
  <c r="K2826" i="1"/>
  <c r="E94" i="2" s="1"/>
  <c r="E95" i="2"/>
  <c r="J2826" i="1"/>
  <c r="D94" i="2" s="1"/>
  <c r="D95" i="2"/>
  <c r="AV2823" i="1"/>
  <c r="L2807" i="1"/>
  <c r="F86" i="2" s="1"/>
  <c r="F89" i="2"/>
  <c r="I89" i="2" s="1"/>
  <c r="J2807" i="1"/>
  <c r="D86" i="2" s="1"/>
  <c r="D87" i="2"/>
  <c r="AU2791" i="1"/>
  <c r="K2791" i="1"/>
  <c r="E85" i="2" s="1"/>
  <c r="AV2804" i="1"/>
  <c r="J2791" i="1"/>
  <c r="D85" i="2" s="1"/>
  <c r="AV2796" i="1"/>
  <c r="BC2796" i="1"/>
  <c r="L2742" i="1"/>
  <c r="F77" i="2" s="1"/>
  <c r="J2756" i="1"/>
  <c r="D81" i="2" s="1"/>
  <c r="AV2766" i="1"/>
  <c r="BC2766" i="1"/>
  <c r="AV2763" i="1"/>
  <c r="O2734" i="1"/>
  <c r="G75" i="2" s="1"/>
  <c r="G76" i="2"/>
  <c r="K2734" i="1"/>
  <c r="E75" i="2" s="1"/>
  <c r="E76" i="2"/>
  <c r="J2715" i="1"/>
  <c r="D71" i="2" s="1"/>
  <c r="K2705" i="1"/>
  <c r="E69" i="2" s="1"/>
  <c r="M2705" i="1"/>
  <c r="L2698" i="1"/>
  <c r="F67" i="2" s="1"/>
  <c r="F69" i="2"/>
  <c r="I69" i="2" s="1"/>
  <c r="L2697" i="1"/>
  <c r="F66" i="2" s="1"/>
  <c r="AV2700" i="1"/>
  <c r="AV2615" i="1"/>
  <c r="BC2530" i="1"/>
  <c r="AV2530" i="1"/>
  <c r="BC2625" i="1"/>
  <c r="J2517" i="1"/>
  <c r="BC2591" i="1"/>
  <c r="AU2517" i="1"/>
  <c r="BC2693" i="1"/>
  <c r="AV2693" i="1"/>
  <c r="AV2682" i="1"/>
  <c r="BC2527" i="1"/>
  <c r="AV2527" i="1"/>
  <c r="AV2520" i="1"/>
  <c r="BC2615" i="1"/>
  <c r="AV2613" i="1"/>
  <c r="AV2656" i="1"/>
  <c r="AV2633" i="1"/>
  <c r="AV2616" i="1"/>
  <c r="AV2523" i="1"/>
  <c r="BC2595" i="1"/>
  <c r="AV2556" i="1"/>
  <c r="BC2556" i="1"/>
  <c r="AV2618" i="1"/>
  <c r="BC2618" i="1"/>
  <c r="AV2659" i="1"/>
  <c r="L2516" i="1"/>
  <c r="F64" i="2" s="1"/>
  <c r="F65" i="2"/>
  <c r="I65" i="2" s="1"/>
  <c r="F98" i="2" s="1"/>
  <c r="BC2660" i="1"/>
  <c r="AV2660" i="1"/>
  <c r="BC2621" i="1"/>
  <c r="AV2610" i="1"/>
  <c r="BC2531" i="1"/>
  <c r="C18" i="3"/>
  <c r="C19" i="3"/>
  <c r="BC2488" i="1"/>
  <c r="AV2488" i="1"/>
  <c r="BC2483" i="1"/>
  <c r="AV2483" i="1"/>
  <c r="AV2457" i="1"/>
  <c r="AV2456" i="1"/>
  <c r="BC2456" i="1"/>
  <c r="AV2459" i="1"/>
  <c r="BC2459" i="1"/>
  <c r="AV2449" i="1"/>
  <c r="BC2449" i="1"/>
  <c r="BC2443" i="1"/>
  <c r="AV2442" i="1"/>
  <c r="BC2442" i="1"/>
  <c r="AV2433" i="1"/>
  <c r="AV2431" i="1"/>
  <c r="AV2421" i="1"/>
  <c r="AV2403" i="1"/>
  <c r="BC2400" i="1"/>
  <c r="AV2400" i="1"/>
  <c r="AU2345" i="1"/>
  <c r="J2345" i="1"/>
  <c r="D63" i="2" s="1"/>
  <c r="K2345" i="1"/>
  <c r="E63" i="2" s="1"/>
  <c r="BC2341" i="1"/>
  <c r="AV2317" i="1"/>
  <c r="J2225" i="1"/>
  <c r="D62" i="2" s="1"/>
  <c r="BC2244" i="1"/>
  <c r="BC2242" i="1"/>
  <c r="AV2242" i="1"/>
  <c r="BC2228" i="1"/>
  <c r="M2212" i="1"/>
  <c r="AV2090" i="1"/>
  <c r="BC2090" i="1"/>
  <c r="J2025" i="1"/>
  <c r="D56" i="2" s="1"/>
  <c r="AU2025" i="1"/>
  <c r="M2025" i="1"/>
  <c r="M1992" i="1"/>
  <c r="BC1932" i="1"/>
  <c r="J1889" i="1"/>
  <c r="D54" i="2" s="1"/>
  <c r="BC1898" i="1"/>
  <c r="BC1907" i="1"/>
  <c r="BC1888" i="1"/>
  <c r="AU1889" i="1"/>
  <c r="BC1899" i="1"/>
  <c r="AV1863" i="1"/>
  <c r="AV1825" i="1"/>
  <c r="AV1852" i="1"/>
  <c r="BC1806" i="1"/>
  <c r="AV1806" i="1"/>
  <c r="BC1809" i="1"/>
  <c r="AV1809" i="1"/>
  <c r="J1813" i="1"/>
  <c r="D53" i="2" s="1"/>
  <c r="BC1778" i="1"/>
  <c r="AV1778" i="1"/>
  <c r="BC1797" i="1"/>
  <c r="AV1797" i="1"/>
  <c r="BC1820" i="1"/>
  <c r="AV1843" i="1"/>
  <c r="BC1762" i="1"/>
  <c r="BC1743" i="1"/>
  <c r="AV1743" i="1"/>
  <c r="BC1753" i="1"/>
  <c r="AV1753" i="1"/>
  <c r="BC1749" i="1"/>
  <c r="AV1749" i="1"/>
  <c r="AU1725" i="1"/>
  <c r="BC1742" i="1"/>
  <c r="AV1742" i="1"/>
  <c r="AV1751" i="1"/>
  <c r="BC1751" i="1"/>
  <c r="BC1761" i="1"/>
  <c r="AV1761" i="1"/>
  <c r="M1669" i="1"/>
  <c r="AU1669" i="1"/>
  <c r="BC1673" i="1"/>
  <c r="BC1667" i="1"/>
  <c r="J1669" i="1"/>
  <c r="D48" i="2" s="1"/>
  <c r="BC1606" i="1"/>
  <c r="AV1563" i="1"/>
  <c r="BC1563" i="1"/>
  <c r="AV1611" i="1"/>
  <c r="AU1587" i="1"/>
  <c r="AV1597" i="1"/>
  <c r="BC1561" i="1"/>
  <c r="BC1649" i="1"/>
  <c r="K1607" i="1"/>
  <c r="E43" i="2" s="1"/>
  <c r="J1630" i="1"/>
  <c r="D45" i="2" s="1"/>
  <c r="K1630" i="1"/>
  <c r="E45" i="2" s="1"/>
  <c r="AU1637" i="1"/>
  <c r="BC1552" i="1"/>
  <c r="M1637" i="1"/>
  <c r="BC1611" i="1"/>
  <c r="M1607" i="1"/>
  <c r="J1637" i="1"/>
  <c r="D46" i="2" s="1"/>
  <c r="AU1645" i="1"/>
  <c r="J1570" i="1"/>
  <c r="D40" i="2" s="1"/>
  <c r="M1548" i="1"/>
  <c r="M1616" i="1"/>
  <c r="M1599" i="1"/>
  <c r="K1599" i="1"/>
  <c r="E42" i="2" s="1"/>
  <c r="AU1548" i="1"/>
  <c r="K1587" i="1"/>
  <c r="E41" i="2" s="1"/>
  <c r="BC1598" i="1"/>
  <c r="K1570" i="1"/>
  <c r="E40" i="2" s="1"/>
  <c r="AV1560" i="1"/>
  <c r="BC1560" i="1"/>
  <c r="J1599" i="1"/>
  <c r="D42" i="2" s="1"/>
  <c r="BC1638" i="1"/>
  <c r="AV1614" i="1"/>
  <c r="AV1619" i="1"/>
  <c r="AV1434" i="1"/>
  <c r="AV1492" i="1"/>
  <c r="BC1492" i="1"/>
  <c r="C17" i="3"/>
  <c r="AU1383" i="1"/>
  <c r="AV1468" i="1"/>
  <c r="BC1468" i="1"/>
  <c r="BC1384" i="1"/>
  <c r="AV1391" i="1"/>
  <c r="BC1391" i="1"/>
  <c r="AV1340" i="1"/>
  <c r="AV1310" i="1"/>
  <c r="BC1310" i="1"/>
  <c r="AV1278" i="1"/>
  <c r="O12" i="1"/>
  <c r="G11" i="2" s="1"/>
  <c r="BC1262" i="1"/>
  <c r="M1174" i="1"/>
  <c r="AU1174" i="1"/>
  <c r="C16" i="3"/>
  <c r="K1174" i="1"/>
  <c r="E36" i="2" s="1"/>
  <c r="J1166" i="1"/>
  <c r="D33" i="2" s="1"/>
  <c r="BC1172" i="1"/>
  <c r="BC1154" i="1"/>
  <c r="AV1154" i="1"/>
  <c r="K1129" i="1"/>
  <c r="E31" i="2" s="1"/>
  <c r="K1157" i="1"/>
  <c r="E32" i="2" s="1"/>
  <c r="AU1129" i="1"/>
  <c r="BC1144" i="1"/>
  <c r="BC1090" i="1"/>
  <c r="AV1090" i="1"/>
  <c r="K998" i="1"/>
  <c r="E29" i="2" s="1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L2833" i="1"/>
  <c r="BC2447" i="1"/>
  <c r="AV2447" i="1"/>
  <c r="BC1948" i="1"/>
  <c r="AV1948" i="1"/>
  <c r="BC1871" i="1"/>
  <c r="AV1871" i="1"/>
  <c r="J1548" i="1"/>
  <c r="D39" i="2" s="1"/>
  <c r="BC1264" i="1"/>
  <c r="AV1264" i="1"/>
  <c r="BC1559" i="1"/>
  <c r="AV1559" i="1"/>
  <c r="BC1579" i="1"/>
  <c r="J361" i="1"/>
  <c r="D20" i="2" s="1"/>
  <c r="BC867" i="1"/>
  <c r="AV867" i="1"/>
  <c r="AV1097" i="1"/>
  <c r="AV681" i="1"/>
  <c r="BC681" i="1"/>
  <c r="BC206" i="1"/>
  <c r="AV206" i="1"/>
  <c r="BC83" i="1"/>
  <c r="AV83" i="1"/>
  <c r="O2807" i="1"/>
  <c r="G86" i="2" s="1"/>
  <c r="BC2733" i="1"/>
  <c r="AV2733" i="1"/>
  <c r="BC2688" i="1"/>
  <c r="AV2688" i="1"/>
  <c r="BC2661" i="1"/>
  <c r="AV2661" i="1"/>
  <c r="AV2677" i="1"/>
  <c r="BC2677" i="1"/>
  <c r="BC2620" i="1"/>
  <c r="AV2620" i="1"/>
  <c r="BC2521" i="1"/>
  <c r="AV2521" i="1"/>
  <c r="BC2536" i="1"/>
  <c r="AV2536" i="1"/>
  <c r="BC2466" i="1"/>
  <c r="AV2466" i="1"/>
  <c r="BC2587" i="1"/>
  <c r="AV2587" i="1"/>
  <c r="BC2396" i="1"/>
  <c r="AV2396" i="1"/>
  <c r="AU2221" i="1"/>
  <c r="BC2319" i="1"/>
  <c r="AV2319" i="1"/>
  <c r="BC2246" i="1"/>
  <c r="AV2246" i="1"/>
  <c r="K2225" i="1"/>
  <c r="E62" i="2" s="1"/>
  <c r="BC2051" i="1"/>
  <c r="AV2051" i="1"/>
  <c r="BC2252" i="1"/>
  <c r="AV2252" i="1"/>
  <c r="BC1908" i="1"/>
  <c r="AV1908" i="1"/>
  <c r="BC1736" i="1"/>
  <c r="AV1736" i="1"/>
  <c r="M1630" i="1"/>
  <c r="BC1718" i="1"/>
  <c r="AV1718" i="1"/>
  <c r="K2212" i="1"/>
  <c r="E59" i="2" s="1"/>
  <c r="BC1829" i="1"/>
  <c r="AV1829" i="1"/>
  <c r="BC1746" i="1"/>
  <c r="AV1746" i="1"/>
  <c r="K1645" i="1"/>
  <c r="E47" i="2" s="1"/>
  <c r="K1669" i="1"/>
  <c r="E48" i="2" s="1"/>
  <c r="J1645" i="1"/>
  <c r="D47" i="2" s="1"/>
  <c r="AV1744" i="1"/>
  <c r="BC1744" i="1"/>
  <c r="AV1373" i="1"/>
  <c r="M998" i="1"/>
  <c r="M677" i="1"/>
  <c r="AV1592" i="1"/>
  <c r="BC1592" i="1"/>
  <c r="AV1586" i="1"/>
  <c r="AV525" i="1"/>
  <c r="BC525" i="1"/>
  <c r="K361" i="1"/>
  <c r="E20" i="2" s="1"/>
  <c r="AV1591" i="1"/>
  <c r="BC945" i="1"/>
  <c r="AV945" i="1"/>
  <c r="BC1046" i="1"/>
  <c r="AV1046" i="1"/>
  <c r="BC406" i="1"/>
  <c r="AV406" i="1"/>
  <c r="BC276" i="1"/>
  <c r="AV276" i="1"/>
  <c r="M75" i="1"/>
  <c r="BC1590" i="1"/>
  <c r="AV1590" i="1"/>
  <c r="BC2635" i="1"/>
  <c r="AV2635" i="1"/>
  <c r="BC2495" i="1"/>
  <c r="AV2495" i="1"/>
  <c r="AV2487" i="1"/>
  <c r="BC1573" i="1"/>
  <c r="AV1573" i="1"/>
  <c r="BC1562" i="1"/>
  <c r="AV1562" i="1"/>
  <c r="BC2439" i="1"/>
  <c r="J1607" i="1"/>
  <c r="D43" i="2" s="1"/>
  <c r="BC1593" i="1"/>
  <c r="AV1593" i="1"/>
  <c r="M2715" i="1"/>
  <c r="BC2687" i="1"/>
  <c r="BC2724" i="1"/>
  <c r="AV2724" i="1"/>
  <c r="BC2672" i="1"/>
  <c r="BC2584" i="1"/>
  <c r="AV2584" i="1"/>
  <c r="BC2560" i="1"/>
  <c r="AV2560" i="1"/>
  <c r="BC2623" i="1"/>
  <c r="AV2623" i="1"/>
  <c r="BC2596" i="1"/>
  <c r="AV2596" i="1"/>
  <c r="BC2581" i="1"/>
  <c r="AV2581" i="1"/>
  <c r="BC2552" i="1"/>
  <c r="BC2554" i="1"/>
  <c r="AV2554" i="1"/>
  <c r="BC2491" i="1"/>
  <c r="AV2491" i="1"/>
  <c r="BC2444" i="1"/>
  <c r="AV2444" i="1"/>
  <c r="AV2472" i="1"/>
  <c r="BC2446" i="1"/>
  <c r="BC2392" i="1"/>
  <c r="AV2392" i="1"/>
  <c r="BC2375" i="1"/>
  <c r="AV2375" i="1"/>
  <c r="BC2322" i="1"/>
  <c r="AV2322" i="1"/>
  <c r="AV1830" i="1"/>
  <c r="BC1847" i="1"/>
  <c r="AV1847" i="1"/>
  <c r="BC2036" i="1"/>
  <c r="AV2036" i="1"/>
  <c r="BC1817" i="1"/>
  <c r="AV1817" i="1"/>
  <c r="BC2320" i="1"/>
  <c r="AV2320" i="1"/>
  <c r="BC1835" i="1"/>
  <c r="AV1835" i="1"/>
  <c r="AV1675" i="1"/>
  <c r="BC1675" i="1"/>
  <c r="AU1630" i="1"/>
  <c r="BC1715" i="1"/>
  <c r="AV1715" i="1"/>
  <c r="AV1609" i="1"/>
  <c r="BC1609" i="1"/>
  <c r="J1383" i="1"/>
  <c r="D38" i="2" s="1"/>
  <c r="K1616" i="1"/>
  <c r="E44" i="2" s="1"/>
  <c r="AV1212" i="1"/>
  <c r="BC1212" i="1"/>
  <c r="BC1418" i="1"/>
  <c r="AV1418" i="1"/>
  <c r="AU1265" i="1"/>
  <c r="BC1583" i="1"/>
  <c r="AV1583" i="1"/>
  <c r="J1129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13" i="1"/>
  <c r="BC1147" i="1"/>
  <c r="AV1147" i="1"/>
  <c r="BC279" i="1"/>
  <c r="AV279" i="1"/>
  <c r="M1777" i="1"/>
  <c r="BC1721" i="1"/>
  <c r="AV1721" i="1"/>
  <c r="AV2674" i="1"/>
  <c r="BC2674" i="1"/>
  <c r="AV2671" i="1"/>
  <c r="BC2671" i="1"/>
  <c r="BC2658" i="1"/>
  <c r="AV2658" i="1"/>
  <c r="BC2551" i="1"/>
  <c r="AV2551" i="1"/>
  <c r="AV2493" i="1"/>
  <c r="BC2379" i="1"/>
  <c r="AV2379" i="1"/>
  <c r="BC2243" i="1"/>
  <c r="AV2243" i="1"/>
  <c r="BC2110" i="1"/>
  <c r="AV2110" i="1"/>
  <c r="AV2257" i="1"/>
  <c r="BC2257" i="1"/>
  <c r="AV2288" i="1"/>
  <c r="BC2288" i="1"/>
  <c r="BC1712" i="1"/>
  <c r="AV1712" i="1"/>
  <c r="BC1756" i="1"/>
  <c r="AV1756" i="1"/>
  <c r="BC1642" i="1"/>
  <c r="AV1642" i="1"/>
  <c r="AV1663" i="1"/>
  <c r="BC1663" i="1"/>
  <c r="BC1623" i="1"/>
  <c r="AV1623" i="1"/>
  <c r="BC1550" i="1"/>
  <c r="AV1550" i="1"/>
  <c r="BC1258" i="1"/>
  <c r="AV1258" i="1"/>
  <c r="BC1512" i="1"/>
  <c r="AV1512" i="1"/>
  <c r="BC1335" i="1"/>
  <c r="AV1335" i="1"/>
  <c r="BC1850" i="1"/>
  <c r="AV1850" i="1"/>
  <c r="BC1556" i="1"/>
  <c r="AV1556" i="1"/>
  <c r="BC1181" i="1"/>
  <c r="AV1181" i="1"/>
  <c r="AU468" i="1"/>
  <c r="BC272" i="1"/>
  <c r="AV272" i="1"/>
  <c r="BC67" i="1"/>
  <c r="AV67" i="1"/>
  <c r="BC921" i="1"/>
  <c r="AV921" i="1"/>
  <c r="K468" i="1"/>
  <c r="E22" i="2" s="1"/>
  <c r="AV2665" i="1"/>
  <c r="BC2514" i="1"/>
  <c r="AV2514" i="1"/>
  <c r="BC1376" i="1"/>
  <c r="AV1376" i="1"/>
  <c r="BC2471" i="1"/>
  <c r="AV2471" i="1"/>
  <c r="BC2372" i="1"/>
  <c r="AV2372" i="1"/>
  <c r="J2735" i="1"/>
  <c r="AV2828" i="1"/>
  <c r="BC2828" i="1"/>
  <c r="AU2756" i="1"/>
  <c r="AV2683" i="1"/>
  <c r="BC2683" i="1"/>
  <c r="O2698" i="1"/>
  <c r="G67" i="2" s="1"/>
  <c r="O2697" i="1"/>
  <c r="G66" i="2" s="1"/>
  <c r="L2743" i="1"/>
  <c r="F78" i="2" s="1"/>
  <c r="BC2629" i="1"/>
  <c r="AV2629" i="1"/>
  <c r="BC2461" i="1"/>
  <c r="AV2461" i="1"/>
  <c r="BC2440" i="1"/>
  <c r="AV2440" i="1"/>
  <c r="AV2425" i="1"/>
  <c r="BC2425" i="1"/>
  <c r="BC2404" i="1"/>
  <c r="BC2213" i="1"/>
  <c r="AV2240" i="1"/>
  <c r="J1777" i="1"/>
  <c r="D52" i="2" s="1"/>
  <c r="M1889" i="1"/>
  <c r="AV1967" i="1"/>
  <c r="BC1967" i="1"/>
  <c r="BC1976" i="1"/>
  <c r="AV1976" i="1"/>
  <c r="BC1922" i="1"/>
  <c r="AV1922" i="1"/>
  <c r="BC1995" i="1"/>
  <c r="AV1995" i="1"/>
  <c r="K2221" i="1"/>
  <c r="E61" i="2" s="1"/>
  <c r="BC1865" i="1"/>
  <c r="AV1865" i="1"/>
  <c r="BC1896" i="1"/>
  <c r="BC2061" i="1"/>
  <c r="AV2061" i="1"/>
  <c r="BC1709" i="1"/>
  <c r="AV1709" i="1"/>
  <c r="AV1657" i="1"/>
  <c r="BC1657" i="1"/>
  <c r="AV1640" i="1"/>
  <c r="BC1640" i="1"/>
  <c r="BC2281" i="1"/>
  <c r="AV2281" i="1"/>
  <c r="AV1612" i="1"/>
  <c r="BC1612" i="1"/>
  <c r="BC1356" i="1"/>
  <c r="AV1356" i="1"/>
  <c r="L1173" i="1"/>
  <c r="F35" i="2" s="1"/>
  <c r="BC1576" i="1"/>
  <c r="AV1576" i="1"/>
  <c r="AV1323" i="1"/>
  <c r="BC1168" i="1"/>
  <c r="AV1168" i="1"/>
  <c r="BC1156" i="1"/>
  <c r="AV1156" i="1"/>
  <c r="AV1595" i="1"/>
  <c r="BC1595" i="1"/>
  <c r="AV1382" i="1"/>
  <c r="BC1130" i="1"/>
  <c r="AV1130" i="1"/>
  <c r="BC362" i="1"/>
  <c r="AV362" i="1"/>
  <c r="BC176" i="1"/>
  <c r="AV176" i="1"/>
  <c r="M14" i="1"/>
  <c r="BC1877" i="1"/>
  <c r="AV1877" i="1"/>
  <c r="BC2647" i="1"/>
  <c r="AV2647" i="1"/>
  <c r="AV1754" i="1"/>
  <c r="BC1754" i="1"/>
  <c r="BC1625" i="1"/>
  <c r="AV1625" i="1"/>
  <c r="BC1664" i="1"/>
  <c r="AV1664" i="1"/>
  <c r="AV1589" i="1"/>
  <c r="BC1589" i="1"/>
  <c r="M2807" i="1"/>
  <c r="AV2757" i="1"/>
  <c r="BC2757" i="1"/>
  <c r="BC2681" i="1"/>
  <c r="BC2692" i="1"/>
  <c r="AV2692" i="1"/>
  <c r="BC2667" i="1"/>
  <c r="AV2667" i="1"/>
  <c r="BC2578" i="1"/>
  <c r="AV2578" i="1"/>
  <c r="BC2545" i="1"/>
  <c r="AV2545" i="1"/>
  <c r="BC2575" i="1"/>
  <c r="AV2575" i="1"/>
  <c r="BC2510" i="1"/>
  <c r="AV2510" i="1"/>
  <c r="AV2451" i="1"/>
  <c r="BC2235" i="1"/>
  <c r="AV2235" i="1"/>
  <c r="BC2350" i="1"/>
  <c r="AV2350" i="1"/>
  <c r="AV1903" i="1"/>
  <c r="BC1903" i="1"/>
  <c r="AV1832" i="1"/>
  <c r="BC1832" i="1"/>
  <c r="BC1838" i="1"/>
  <c r="AV1838" i="1"/>
  <c r="BC1853" i="1"/>
  <c r="AV1853" i="1"/>
  <c r="BC1859" i="1"/>
  <c r="AV1859" i="1"/>
  <c r="K1696" i="1"/>
  <c r="E49" i="2" s="1"/>
  <c r="J1696" i="1"/>
  <c r="D49" i="2" s="1"/>
  <c r="AV1621" i="1"/>
  <c r="BC1621" i="1"/>
  <c r="AV1604" i="1"/>
  <c r="BC1604" i="1"/>
  <c r="K1383" i="1"/>
  <c r="E38" i="2" s="1"/>
  <c r="BC899" i="1"/>
  <c r="AV899" i="1"/>
  <c r="BC1132" i="1"/>
  <c r="AV1132" i="1"/>
  <c r="AV650" i="1"/>
  <c r="BC650" i="1"/>
  <c r="BC844" i="1"/>
  <c r="AV844" i="1"/>
  <c r="BC357" i="1"/>
  <c r="AV357" i="1"/>
  <c r="BC253" i="1"/>
  <c r="AV253" i="1"/>
  <c r="AV450" i="1"/>
  <c r="BC1856" i="1"/>
  <c r="AV1856" i="1"/>
  <c r="AV2304" i="1"/>
  <c r="BC2304" i="1"/>
  <c r="BC2254" i="1"/>
  <c r="AV2254" i="1"/>
  <c r="BC2137" i="1"/>
  <c r="AV2137" i="1"/>
  <c r="AU2705" i="1"/>
  <c r="AV2775" i="1"/>
  <c r="BC2775" i="1"/>
  <c r="M2699" i="1"/>
  <c r="AV2680" i="1"/>
  <c r="BC2680" i="1"/>
  <c r="BC2662" i="1"/>
  <c r="BC2605" i="1"/>
  <c r="AV2605" i="1"/>
  <c r="AV2653" i="1"/>
  <c r="BC2542" i="1"/>
  <c r="AV2542" i="1"/>
  <c r="BC2458" i="1"/>
  <c r="AV2458" i="1"/>
  <c r="BC2435" i="1"/>
  <c r="AV2435" i="1"/>
  <c r="BC2608" i="1"/>
  <c r="AV2608" i="1"/>
  <c r="AV2412" i="1"/>
  <c r="BC2412" i="1"/>
  <c r="AU2212" i="1"/>
  <c r="M2225" i="1"/>
  <c r="AV2414" i="1"/>
  <c r="BC1917" i="1"/>
  <c r="AV1917" i="1"/>
  <c r="AU1777" i="1"/>
  <c r="K1889" i="1"/>
  <c r="E54" i="2" s="1"/>
  <c r="BC1695" i="1"/>
  <c r="AV1695" i="1"/>
  <c r="AV1814" i="1"/>
  <c r="BC1814" i="1"/>
  <c r="BC1841" i="1"/>
  <c r="AV1841" i="1"/>
  <c r="BC1553" i="1"/>
  <c r="AV1553" i="1"/>
  <c r="BC1450" i="1"/>
  <c r="BC1487" i="1"/>
  <c r="AV1487" i="1"/>
  <c r="J1587" i="1"/>
  <c r="D41" i="2" s="1"/>
  <c r="BC1644" i="1"/>
  <c r="AV1644" i="1"/>
  <c r="J468" i="1"/>
  <c r="D22" i="2" s="1"/>
  <c r="BC697" i="1"/>
  <c r="AV697" i="1"/>
  <c r="O1173" i="1"/>
  <c r="G35" i="2" s="1"/>
  <c r="BC136" i="1"/>
  <c r="AV136" i="1"/>
  <c r="AV2689" i="1"/>
  <c r="BC2689" i="1"/>
  <c r="BC2303" i="1"/>
  <c r="AV2303" i="1"/>
  <c r="AU1813" i="1"/>
  <c r="BC1388" i="1"/>
  <c r="AV1388" i="1"/>
  <c r="AV2800" i="1"/>
  <c r="K2756" i="1"/>
  <c r="AU2699" i="1"/>
  <c r="BC2670" i="1"/>
  <c r="AV2670" i="1"/>
  <c r="BC2663" i="1"/>
  <c r="BC2626" i="1"/>
  <c r="AV2626" i="1"/>
  <c r="BC2590" i="1"/>
  <c r="AV2590" i="1"/>
  <c r="BC2611" i="1"/>
  <c r="AV2611" i="1"/>
  <c r="BC2557" i="1"/>
  <c r="AV2557" i="1"/>
  <c r="BC2524" i="1"/>
  <c r="AV2524" i="1"/>
  <c r="BC2464" i="1"/>
  <c r="AV2464" i="1"/>
  <c r="M2345" i="1"/>
  <c r="AV2334" i="1"/>
  <c r="BC2383" i="1"/>
  <c r="AV2383" i="1"/>
  <c r="BC2226" i="1"/>
  <c r="AV2226" i="1"/>
  <c r="AU2225" i="1"/>
  <c r="BC1928" i="1"/>
  <c r="AV1928" i="1"/>
  <c r="BC2287" i="1"/>
  <c r="AV2287" i="1"/>
  <c r="AV2427" i="1"/>
  <c r="K1725" i="1"/>
  <c r="E50" i="2" s="1"/>
  <c r="BC1893" i="1"/>
  <c r="BC1803" i="1"/>
  <c r="BC1724" i="1"/>
  <c r="AV1724" i="1"/>
  <c r="K1813" i="1"/>
  <c r="E53" i="2" s="1"/>
  <c r="AV1651" i="1"/>
  <c r="BC1652" i="1"/>
  <c r="AV1596" i="1"/>
  <c r="BC1596" i="1"/>
  <c r="K1548" i="1"/>
  <c r="E39" i="2" s="1"/>
  <c r="AV1617" i="1"/>
  <c r="BC1617" i="1"/>
  <c r="BC1079" i="1"/>
  <c r="AV1079" i="1"/>
  <c r="BC1442" i="1"/>
  <c r="AV1442" i="1"/>
  <c r="BC1266" i="1"/>
  <c r="AV1266" i="1"/>
  <c r="M1570" i="1"/>
  <c r="AV460" i="1"/>
  <c r="BC460" i="1"/>
  <c r="AV629" i="1"/>
  <c r="BC629" i="1"/>
  <c r="BC962" i="1"/>
  <c r="AV962" i="1"/>
  <c r="M1129" i="1"/>
  <c r="AV1175" i="1"/>
  <c r="BC1175" i="1"/>
  <c r="BC343" i="1"/>
  <c r="AV343" i="1"/>
  <c r="BC229" i="1"/>
  <c r="AV229" i="1"/>
  <c r="M127" i="1"/>
  <c r="AV528" i="1"/>
  <c r="O13" i="1"/>
  <c r="G12" i="2" s="1"/>
  <c r="BC467" i="1"/>
  <c r="BC2566" i="1"/>
  <c r="AV2566" i="1"/>
  <c r="BC2499" i="1"/>
  <c r="AV2499" i="1"/>
  <c r="K2699" i="1"/>
  <c r="E68" i="2" s="1"/>
  <c r="AV2777" i="1"/>
  <c r="AV2716" i="1"/>
  <c r="BC2716" i="1"/>
  <c r="BC2614" i="1"/>
  <c r="AV2614" i="1"/>
  <c r="BC2649" i="1"/>
  <c r="AV2649" i="1"/>
  <c r="BC2572" i="1"/>
  <c r="AV2572" i="1"/>
  <c r="BC2539" i="1"/>
  <c r="AV2539" i="1"/>
  <c r="BC2548" i="1"/>
  <c r="AV2548" i="1"/>
  <c r="BC2569" i="1"/>
  <c r="AV2569" i="1"/>
  <c r="BC2600" i="1"/>
  <c r="AV2600" i="1"/>
  <c r="BC2502" i="1"/>
  <c r="AV2502" i="1"/>
  <c r="BC2506" i="1"/>
  <c r="AV2506" i="1"/>
  <c r="BC2455" i="1"/>
  <c r="AV2455" i="1"/>
  <c r="BC2429" i="1"/>
  <c r="AV2429" i="1"/>
  <c r="BC2324" i="1"/>
  <c r="BC2367" i="1"/>
  <c r="AV2367" i="1"/>
  <c r="BC2338" i="1"/>
  <c r="AV2338" i="1"/>
  <c r="BC2359" i="1"/>
  <c r="AV2359" i="1"/>
  <c r="BC2217" i="1"/>
  <c r="AV2217" i="1"/>
  <c r="BC2339" i="1"/>
  <c r="AV2339" i="1"/>
  <c r="BC1985" i="1"/>
  <c r="AV1985" i="1"/>
  <c r="BC2353" i="1"/>
  <c r="AV2353" i="1"/>
  <c r="M1696" i="1"/>
  <c r="BC1942" i="1"/>
  <c r="AV1942" i="1"/>
  <c r="BC1844" i="1"/>
  <c r="AV1844" i="1"/>
  <c r="BC1633" i="1"/>
  <c r="BC1706" i="1"/>
  <c r="AV1706" i="1"/>
  <c r="BC1659" i="1"/>
  <c r="AV1659" i="1"/>
  <c r="AV1601" i="1"/>
  <c r="BC1601" i="1"/>
  <c r="BC1627" i="1"/>
  <c r="AV1627" i="1"/>
  <c r="BC1307" i="1"/>
  <c r="AV1307" i="1"/>
  <c r="J1616" i="1"/>
  <c r="D44" i="2" s="1"/>
  <c r="J1265" i="1"/>
  <c r="D37" i="2" s="1"/>
  <c r="BC1141" i="1"/>
  <c r="AV1141" i="1"/>
  <c r="AU1570" i="1"/>
  <c r="BC1250" i="1"/>
  <c r="AV1250" i="1"/>
  <c r="AV536" i="1"/>
  <c r="BC536" i="1"/>
  <c r="M405" i="1"/>
  <c r="M209" i="1"/>
  <c r="BC447" i="1"/>
  <c r="AV447" i="1"/>
  <c r="L12" i="1"/>
  <c r="F11" i="2" s="1"/>
  <c r="J1174" i="1"/>
  <c r="D36" i="2" s="1"/>
  <c r="AV685" i="1"/>
  <c r="BC685" i="1"/>
  <c r="M468" i="1"/>
  <c r="BC2415" i="1"/>
  <c r="AV2415" i="1"/>
  <c r="BC2410" i="1"/>
  <c r="AV2410" i="1"/>
  <c r="BC2655" i="1"/>
  <c r="AV2655" i="1"/>
  <c r="BC2720" i="1"/>
  <c r="AV2720" i="1"/>
  <c r="BC2638" i="1"/>
  <c r="AV2638" i="1"/>
  <c r="K2517" i="1"/>
  <c r="BC2485" i="1"/>
  <c r="AV2485" i="1"/>
  <c r="BC2423" i="1"/>
  <c r="AV2423" i="1"/>
  <c r="BC2386" i="1"/>
  <c r="AV2386" i="1"/>
  <c r="AV2417" i="1"/>
  <c r="BC2336" i="1"/>
  <c r="AV2336" i="1"/>
  <c r="BC2013" i="1"/>
  <c r="AV2013" i="1"/>
  <c r="BC1956" i="1"/>
  <c r="AV1956" i="1"/>
  <c r="AV1944" i="1"/>
  <c r="BC1944" i="1"/>
  <c r="BC1826" i="1"/>
  <c r="AV1826" i="1"/>
  <c r="AV2489" i="1"/>
  <c r="AV1648" i="1"/>
  <c r="BC1648" i="1"/>
  <c r="BC1823" i="1"/>
  <c r="BC1726" i="1"/>
  <c r="AV1726" i="1"/>
  <c r="BC1662" i="1"/>
  <c r="AV1662" i="1"/>
  <c r="AV1117" i="1"/>
  <c r="BC1117" i="1"/>
  <c r="M861" i="1"/>
  <c r="BC1061" i="1"/>
  <c r="AV1061" i="1"/>
  <c r="BC1453" i="1"/>
  <c r="AV1453" i="1"/>
  <c r="AV1195" i="1"/>
  <c r="BC1195" i="1"/>
  <c r="BC1007" i="1"/>
  <c r="AV1007" i="1"/>
  <c r="AV510" i="1"/>
  <c r="BC510" i="1"/>
  <c r="BC1056" i="1"/>
  <c r="AV1056" i="1"/>
  <c r="BC475" i="1"/>
  <c r="BC309" i="1"/>
  <c r="AV309" i="1"/>
  <c r="BC214" i="1"/>
  <c r="AV214" i="1"/>
  <c r="BC121" i="1"/>
  <c r="AV121" i="1"/>
  <c r="BC2609" i="1"/>
  <c r="AV2609" i="1"/>
  <c r="BC2632" i="1"/>
  <c r="AV2632" i="1"/>
  <c r="BC2563" i="1"/>
  <c r="AV2563" i="1"/>
  <c r="BC210" i="1"/>
  <c r="AV210" i="1"/>
  <c r="BC1158" i="1"/>
  <c r="AV1158" i="1"/>
  <c r="M2830" i="1"/>
  <c r="M2829" i="1" s="1"/>
  <c r="M2743" i="1"/>
  <c r="K2819" i="1"/>
  <c r="AV2668" i="1"/>
  <c r="BC2640" i="1"/>
  <c r="AV2640" i="1"/>
  <c r="BC2617" i="1"/>
  <c r="AV2617" i="1"/>
  <c r="BC2650" i="1"/>
  <c r="AV2650" i="1"/>
  <c r="AV2533" i="1"/>
  <c r="BC2533" i="1"/>
  <c r="BC2675" i="1"/>
  <c r="M2517" i="1"/>
  <c r="M2516" i="1" s="1"/>
  <c r="BC2604" i="1"/>
  <c r="AV2604" i="1"/>
  <c r="BC2473" i="1"/>
  <c r="AV2473" i="1"/>
  <c r="BC2452" i="1"/>
  <c r="AV2452" i="1"/>
  <c r="BC2419" i="1"/>
  <c r="AV2419" i="1"/>
  <c r="BC2593" i="1"/>
  <c r="AV2593" i="1"/>
  <c r="BC2401" i="1"/>
  <c r="AV2401" i="1"/>
  <c r="BC2301" i="1"/>
  <c r="AV2301" i="1"/>
  <c r="BC2084" i="1"/>
  <c r="AV2084" i="1"/>
  <c r="BC2135" i="1"/>
  <c r="AV2135" i="1"/>
  <c r="M1725" i="1"/>
  <c r="BC1661" i="1"/>
  <c r="AV1661" i="1"/>
  <c r="AV1615" i="1"/>
  <c r="BC1615" i="1"/>
  <c r="BC1626" i="1"/>
  <c r="AV1626" i="1"/>
  <c r="M1587" i="1"/>
  <c r="J1725" i="1"/>
  <c r="D50" i="2" s="1"/>
  <c r="BC1734" i="1"/>
  <c r="AV1734" i="1"/>
  <c r="AV1643" i="1"/>
  <c r="BC1643" i="1"/>
  <c r="AV1660" i="1"/>
  <c r="BC1660" i="1"/>
  <c r="AV1672" i="1"/>
  <c r="BC1672" i="1"/>
  <c r="BC1681" i="1"/>
  <c r="AV1681" i="1"/>
  <c r="BC1568" i="1"/>
  <c r="AV1568" i="1"/>
  <c r="AV1585" i="1"/>
  <c r="BC1565" i="1"/>
  <c r="AV1565" i="1"/>
  <c r="K1265" i="1"/>
  <c r="BC1622" i="1"/>
  <c r="AV1622" i="1"/>
  <c r="BC1134" i="1"/>
  <c r="AV1134" i="1"/>
  <c r="M361" i="1"/>
  <c r="BC975" i="1"/>
  <c r="AV975" i="1"/>
  <c r="J405" i="1"/>
  <c r="D21" i="2" s="1"/>
  <c r="J209" i="1"/>
  <c r="D19" i="2" s="1"/>
  <c r="BC886" i="1"/>
  <c r="AV886" i="1"/>
  <c r="BC1668" i="1"/>
  <c r="AV1668" i="1"/>
  <c r="BC119" i="1"/>
  <c r="AV119" i="1"/>
  <c r="J2742" i="1" l="1"/>
  <c r="D77" i="2" s="1"/>
  <c r="J2698" i="1"/>
  <c r="D67" i="2" s="1"/>
  <c r="J2743" i="1"/>
  <c r="D78" i="2" s="1"/>
  <c r="M2742" i="1"/>
  <c r="K2807" i="1"/>
  <c r="E86" i="2" s="1"/>
  <c r="E91" i="2"/>
  <c r="K2743" i="1"/>
  <c r="E78" i="2" s="1"/>
  <c r="E81" i="2"/>
  <c r="J2734" i="1"/>
  <c r="D75" i="2" s="1"/>
  <c r="D76" i="2"/>
  <c r="J2516" i="1"/>
  <c r="D64" i="2" s="1"/>
  <c r="D65" i="2"/>
  <c r="K2516" i="1"/>
  <c r="E64" i="2" s="1"/>
  <c r="E65" i="2"/>
  <c r="M1173" i="1"/>
  <c r="K1173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697" i="1"/>
  <c r="E66" i="2" s="1"/>
  <c r="K2698" i="1"/>
  <c r="E67" i="2" s="1"/>
  <c r="I28" i="3"/>
  <c r="I29" i="3" s="1"/>
  <c r="K2742" i="1"/>
  <c r="E77" i="2" s="1"/>
  <c r="J2697" i="1"/>
  <c r="D66" i="2" s="1"/>
  <c r="M2833" i="1"/>
  <c r="M12" i="1"/>
  <c r="M13" i="1"/>
  <c r="J12" i="1"/>
  <c r="D11" i="2" s="1"/>
  <c r="J1173" i="1"/>
  <c r="D35" i="2" s="1"/>
  <c r="M2698" i="1"/>
  <c r="M2697" i="1"/>
  <c r="K12" i="1"/>
  <c r="E11" i="2" s="1"/>
</calcChain>
</file>

<file path=xl/sharedStrings.xml><?xml version="1.0" encoding="utf-8"?>
<sst xmlns="http://schemas.openxmlformats.org/spreadsheetml/2006/main" count="17552" uniqueCount="4315">
  <si>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</si>
  <si>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</si>
  <si>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</si>
  <si>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</si>
  <si>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</si>
  <si>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</si>
  <si>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</si>
  <si>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</si>
  <si>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</si>
  <si>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</si>
  <si>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</si>
  <si>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</si>
  <si>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</si>
  <si>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</si>
  <si>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</si>
  <si>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</si>
  <si>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</si>
  <si>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</si>
  <si>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</si>
  <si>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</si>
  <si>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</si>
  <si>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</si>
  <si>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</si>
  <si>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</si>
  <si>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</si>
  <si>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</si>
  <si>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</si>
  <si>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</si>
  <si>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</si>
  <si>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</si>
  <si>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</si>
  <si>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</si>
  <si>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</si>
  <si>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</si>
  <si>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</si>
  <si>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</si>
  <si>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</si>
  <si>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</si>
  <si>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</si>
  <si>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</si>
  <si>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</si>
  <si>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</si>
  <si>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</si>
  <si>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</si>
  <si>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</si>
  <si>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</si>
  <si>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</si>
  <si>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</si>
  <si>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</si>
  <si>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</si>
  <si>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</si>
  <si>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</si>
  <si>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</si>
  <si>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</si>
  <si>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</si>
  <si>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</si>
  <si>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</si>
  <si>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</si>
  <si>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</si>
  <si>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</si>
  <si>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</si>
  <si>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</si>
  <si>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</si>
  <si>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</si>
  <si>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</si>
  <si>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</si>
  <si>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</si>
  <si>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</si>
  <si>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</si>
  <si>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</si>
  <si>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</si>
  <si>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</si>
  <si>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</si>
  <si>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</si>
  <si>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</si>
  <si>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</si>
  <si>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</si>
  <si>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</si>
  <si>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</si>
  <si>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</si>
  <si>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</si>
  <si>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</si>
  <si>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</si>
  <si>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</si>
  <si>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</si>
  <si>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</si>
  <si>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</si>
  <si>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</si>
  <si>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</si>
  <si>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</si>
  <si>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</si>
  <si>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</si>
  <si>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</si>
  <si>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</si>
  <si>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</si>
  <si>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</si>
  <si>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</si>
  <si>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</si>
  <si>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</si>
  <si>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</si>
  <si>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</si>
  <si>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</si>
  <si>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</si>
  <si>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</si>
  <si>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</si>
  <si>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</si>
  <si>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</si>
  <si>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</si>
  <si>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</si>
  <si>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</si>
  <si>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</si>
  <si>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</si>
  <si>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</si>
  <si>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</si>
  <si>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</si>
  <si>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</si>
  <si>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</si>
  <si>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</si>
  <si>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</si>
  <si>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</si>
  <si>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</si>
  <si>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</si>
  <si>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</si>
  <si>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</si>
  <si>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</si>
  <si>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</si>
  <si>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</si>
  <si>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</si>
  <si>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</si>
  <si>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</si>
  <si>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</si>
  <si>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</si>
  <si>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</si>
  <si>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</si>
  <si>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</si>
  <si>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</si>
  <si>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</si>
  <si>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</si>
  <si>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</si>
  <si>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</si>
  <si>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</si>
  <si>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</si>
  <si>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</si>
  <si>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</si>
  <si>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</si>
  <si>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</si>
  <si>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</si>
  <si>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</si>
  <si>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</si>
  <si>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</si>
  <si>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</si>
  <si>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</si>
  <si>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</si>
  <si>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</si>
  <si>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</si>
  <si>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</si>
  <si>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</si>
  <si>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</si>
  <si>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</si>
  <si>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</si>
  <si>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</si>
  <si>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</si>
  <si>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</si>
  <si>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</si>
  <si>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</si>
  <si>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</si>
  <si>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</si>
  <si>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</si>
  <si>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</si>
  <si>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</si>
  <si>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</si>
  <si>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</si>
  <si>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</si>
  <si>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</si>
  <si>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</si>
  <si>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</si>
  <si>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</si>
  <si>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</si>
  <si>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</si>
  <si>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</si>
  <si>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</si>
  <si>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</si>
  <si>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</si>
  <si>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</si>
  <si>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</si>
  <si>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</si>
  <si>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</si>
  <si>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</si>
  <si>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</si>
  <si>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</si>
  <si>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</si>
  <si>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</si>
  <si>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</si>
  <si>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</si>
  <si>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</si>
  <si>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</si>
  <si>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</si>
  <si>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</si>
  <si>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</si>
  <si>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</si>
  <si>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</si>
  <si>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</si>
  <si>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</si>
  <si>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</si>
  <si>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</si>
  <si>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</si>
  <si>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</si>
  <si>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</si>
  <si>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</si>
  <si>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</si>
  <si>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</si>
  <si>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</si>
  <si>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</si>
  <si>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</si>
  <si>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</si>
  <si>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</si>
  <si>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</si>
  <si>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</si>
  <si>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</si>
  <si>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</si>
  <si>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</si>
  <si>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</si>
  <si>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</si>
  <si>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</si>
  <si>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</si>
  <si>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</si>
  <si>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</si>
  <si>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</si>
  <si>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</si>
  <si>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</si>
  <si>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</si>
  <si>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</si>
  <si>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</si>
  <si>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</si>
  <si>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</si>
  <si>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</si>
  <si>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</si>
  <si>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</si>
  <si>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</si>
  <si>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</si>
  <si>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</si>
  <si>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</si>
  <si>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</si>
  <si>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</si>
  <si>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</si>
  <si>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</si>
  <si>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</si>
  <si>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</si>
  <si>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</si>
  <si>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</si>
  <si>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</si>
  <si>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</si>
  <si>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</si>
  <si>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</si>
  <si>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</si>
  <si>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</si>
  <si>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</si>
  <si>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</si>
  <si>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</si>
  <si>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</si>
  <si>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</si>
  <si>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</si>
  <si>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</si>
  <si>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</si>
  <si>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</si>
  <si>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</si>
  <si>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</si>
  <si>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</si>
  <si>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</si>
  <si>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</si>
  <si>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</si>
  <si>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</si>
  <si>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</si>
  <si>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</si>
  <si>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</si>
  <si>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</si>
  <si>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</si>
  <si>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</si>
  <si>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</si>
  <si>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</si>
  <si>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</si>
  <si>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</si>
  <si>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</si>
  <si>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</si>
  <si>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</si>
  <si>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</si>
  <si>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</si>
  <si>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</si>
  <si>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</si>
  <si>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</si>
  <si>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</si>
  <si>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</si>
  <si>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</si>
  <si>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</si>
  <si>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</si>
  <si>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</si>
  <si>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</si>
  <si>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</si>
  <si>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</si>
  <si>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</si>
  <si>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</si>
  <si>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</si>
  <si>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</si>
  <si>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</si>
  <si>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</si>
  <si>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</si>
  <si>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</si>
  <si>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</si>
  <si>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</si>
  <si>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</si>
  <si>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</si>
  <si>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</si>
  <si>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</si>
  <si>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</si>
  <si>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</si>
  <si>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</si>
  <si>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</si>
  <si>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</si>
  <si>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</si>
  <si>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</si>
  <si>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</si>
  <si>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</si>
  <si>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</si>
  <si>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</si>
  <si>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</si>
  <si>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</si>
  <si>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</si>
  <si>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</si>
  <si>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</si>
  <si>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</si>
  <si>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</si>
  <si>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</si>
  <si>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</si>
  <si>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</si>
  <si>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</si>
  <si>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</si>
  <si>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</si>
  <si>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</si>
  <si>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</si>
  <si>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</si>
  <si>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</si>
  <si>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</si>
  <si>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</si>
  <si>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</si>
  <si>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</si>
  <si>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</si>
  <si>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</si>
  <si>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</si>
  <si>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</si>
  <si>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</si>
  <si>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</si>
  <si>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</si>
  <si>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</si>
  <si>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</si>
  <si>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</si>
  <si>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</si>
  <si>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</si>
  <si>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</si>
  <si>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</si>
  <si>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</si>
  <si>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</si>
  <si>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</si>
  <si>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</si>
  <si>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</si>
  <si>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</si>
  <si>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</si>
  <si>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</si>
  <si>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</si>
  <si>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</si>
  <si>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</si>
  <si>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</si>
  <si>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</si>
  <si>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</si>
  <si>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</si>
  <si>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</si>
  <si>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</si>
  <si>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</si>
  <si>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</si>
  <si>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</si>
  <si>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</si>
  <si>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</si>
  <si>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</si>
  <si>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</si>
  <si>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</si>
  <si>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</si>
  <si>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</si>
  <si>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</si>
  <si>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</si>
  <si>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</si>
  <si>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</si>
  <si>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</si>
  <si>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</si>
  <si>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</si>
  <si>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</si>
  <si>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</si>
  <si>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</si>
  <si>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</si>
  <si>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</si>
  <si>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</si>
  <si>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</si>
  <si>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</si>
  <si>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</si>
  <si>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</si>
  <si>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</si>
  <si>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</si>
  <si>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</si>
  <si>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</si>
  <si>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</si>
  <si>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</si>
  <si>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</si>
  <si>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</si>
  <si>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</si>
  <si>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</si>
  <si>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</si>
  <si>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</si>
  <si>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</si>
  <si>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</si>
  <si>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</si>
  <si>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</si>
  <si>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</si>
  <si>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</si>
  <si>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</si>
  <si>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</si>
  <si>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</si>
  <si>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</si>
  <si>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</si>
  <si>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</si>
  <si>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</si>
  <si>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</si>
  <si>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</si>
  <si>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</si>
  <si>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</si>
  <si>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</si>
  <si>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</si>
  <si>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</si>
  <si>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</si>
  <si>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</si>
  <si>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</si>
  <si>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</si>
  <si>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</si>
  <si>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</si>
  <si>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</si>
  <si>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</si>
  <si>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</si>
  <si>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</si>
  <si>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</si>
  <si>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</si>
  <si>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</si>
  <si>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</si>
  <si>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</si>
  <si>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</si>
  <si>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</si>
  <si>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</si>
  <si>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</si>
  <si>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</si>
  <si>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</si>
  <si>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</si>
  <si>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</si>
  <si>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</si>
  <si>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</si>
  <si>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</si>
  <si>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</si>
  <si>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</si>
  <si>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</si>
  <si>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</si>
  <si>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</si>
  <si>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</si>
  <si>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</si>
  <si>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</si>
  <si>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</si>
  <si>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</si>
  <si>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</si>
  <si>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</si>
  <si>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</si>
  <si>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</si>
  <si>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</si>
  <si>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</si>
  <si>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</si>
  <si>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</si>
  <si>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</si>
  <si>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</si>
  <si>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</si>
  <si>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</si>
  <si>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</si>
  <si>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</si>
  <si>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</si>
  <si>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</si>
  <si>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</si>
  <si>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</si>
  <si>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</si>
  <si>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</si>
  <si>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</si>
  <si>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</si>
  <si>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</si>
  <si>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</si>
  <si>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</si>
  <si>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</si>
  <si>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</si>
  <si>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</si>
  <si>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</si>
  <si>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</si>
  <si>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</si>
  <si>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</si>
  <si>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</si>
  <si>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</si>
  <si>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</si>
  <si>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</si>
  <si>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</si>
  <si>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</si>
  <si>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</si>
  <si>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</si>
  <si>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</si>
  <si>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</si>
  <si>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</si>
  <si>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</si>
  <si>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</si>
  <si>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</si>
  <si>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</si>
  <si>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</si>
  <si>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</si>
  <si>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</si>
  <si>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</si>
  <si>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</si>
  <si>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</si>
  <si>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</si>
  <si>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</si>
  <si>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</si>
  <si>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</si>
  <si>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</si>
  <si>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</si>
  <si>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</si>
  <si>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</si>
  <si>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</si>
  <si>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</si>
  <si>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</si>
  <si>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</si>
  <si>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</si>
  <si>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</si>
  <si>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</si>
  <si>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</si>
  <si>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</si>
  <si>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</si>
  <si>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</si>
  <si>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</si>
  <si>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</si>
  <si>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</si>
  <si>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</si>
  <si>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</si>
  <si>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</si>
  <si>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</si>
  <si>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</si>
  <si>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</si>
  <si>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</si>
  <si>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</si>
  <si>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</si>
  <si>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</si>
  <si>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</si>
  <si>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</si>
  <si>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</si>
  <si>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</si>
  <si>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</si>
  <si>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</si>
  <si>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</si>
  <si>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</si>
  <si>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</si>
  <si>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</si>
  <si>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</si>
  <si>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</si>
  <si>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</si>
  <si>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</si>
  <si>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</si>
  <si>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</si>
  <si>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</si>
  <si>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</si>
  <si>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</si>
  <si>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</si>
  <si>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</si>
  <si>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</si>
  <si>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</si>
  <si>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</si>
  <si>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</si>
  <si>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</si>
  <si>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</si>
  <si>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</si>
  <si>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</si>
  <si>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</si>
  <si>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</si>
  <si>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</si>
  <si>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</si>
  <si>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</si>
  <si>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</si>
  <si>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</si>
  <si>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</si>
  <si>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</si>
  <si>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</si>
  <si>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</si>
  <si>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</si>
  <si>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</si>
  <si>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</si>
  <si>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</si>
  <si>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</si>
  <si>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</si>
  <si>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</si>
  <si>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</si>
  <si>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</si>
  <si>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</si>
  <si>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</si>
  <si>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</si>
  <si>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</si>
  <si>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</si>
  <si>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</si>
  <si>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</si>
  <si>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</si>
  <si>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</si>
  <si>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</si>
  <si>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</si>
  <si>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</si>
  <si>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</si>
  <si>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</si>
  <si>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</si>
  <si>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</si>
  <si>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</si>
  <si>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</si>
  <si>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</si>
  <si>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</si>
  <si>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</si>
  <si>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</si>
  <si>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</si>
  <si>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</si>
  <si>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</si>
  <si>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</si>
  <si>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</si>
  <si>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</si>
  <si>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</si>
  <si>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</si>
  <si>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</si>
  <si>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</si>
  <si>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</si>
  <si>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</si>
  <si>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</si>
  <si>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</si>
  <si>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</si>
  <si>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</si>
  <si>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</si>
  <si>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</si>
  <si>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</si>
  <si>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</si>
  <si>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</si>
  <si>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</si>
  <si>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</si>
  <si>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</si>
  <si>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</si>
  <si>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</si>
  <si>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</si>
  <si>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</si>
  <si>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</si>
  <si>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</si>
  <si>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</si>
  <si>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</si>
  <si>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</si>
  <si>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</si>
  <si>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</si>
  <si>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</si>
  <si>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</si>
  <si>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</si>
  <si>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</si>
  <si>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</si>
  <si>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</si>
  <si>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</si>
  <si>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</si>
  <si>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</si>
  <si>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</si>
  <si>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</si>
  <si>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</si>
  <si>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</si>
  <si>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</si>
  <si>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</si>
  <si>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</si>
  <si>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</si>
  <si>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</si>
  <si>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</si>
  <si>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</si>
  <si>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</si>
  <si>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</si>
  <si>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</si>
  <si>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</si>
  <si>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</si>
  <si>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</si>
  <si>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</si>
  <si>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</si>
  <si>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</si>
  <si>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</si>
  <si>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</si>
  <si>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</si>
  <si>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</si>
  <si>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</si>
  <si>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</si>
  <si>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</si>
  <si>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</si>
  <si>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</si>
  <si>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</si>
  <si>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</si>
  <si>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</si>
  <si>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</si>
  <si>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</si>
  <si>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</si>
  <si>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</si>
  <si>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</si>
  <si>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</si>
  <si>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</si>
  <si>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</si>
  <si>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</si>
  <si>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</si>
  <si>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</si>
  <si>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</si>
  <si>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</si>
  <si>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</si>
  <si>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</si>
  <si>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</si>
  <si>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</si>
  <si>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</si>
  <si>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</si>
  <si>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</si>
  <si>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</si>
  <si>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</si>
  <si>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</si>
  <si>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</si>
  <si>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</si>
  <si>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</si>
  <si>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</si>
  <si>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</si>
  <si>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</si>
  <si>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</si>
  <si>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</si>
  <si>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</si>
  <si>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</si>
  <si>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</si>
  <si>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</si>
  <si>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</si>
  <si>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</si>
  <si>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</si>
  <si>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</si>
  <si>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</si>
  <si>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</si>
  <si>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</si>
  <si>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</si>
  <si>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</si>
  <si>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</si>
  <si>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</si>
  <si>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</si>
  <si>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</si>
  <si>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</si>
  <si>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</si>
  <si>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</si>
  <si>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</si>
  <si>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</si>
  <si>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</si>
  <si>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</si>
  <si>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</si>
  <si>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</si>
  <si>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</si>
  <si>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</si>
  <si>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</si>
  <si>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</si>
  <si>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</si>
  <si>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</si>
  <si>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</si>
  <si>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</si>
  <si>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</si>
  <si>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</si>
  <si>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</si>
  <si>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</si>
  <si>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</si>
  <si>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</si>
  <si>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</si>
  <si>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</si>
  <si>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</si>
  <si>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</si>
  <si>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</si>
  <si>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</si>
  <si>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</si>
  <si>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</si>
  <si>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</si>
  <si>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</si>
  <si>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</si>
  <si>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</si>
  <si>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</si>
  <si>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</si>
  <si>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</si>
  <si>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</si>
  <si>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</si>
  <si>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</si>
  <si>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</si>
  <si>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</si>
  <si>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</si>
  <si>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</si>
  <si>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</si>
  <si>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</si>
  <si>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</si>
  <si>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</si>
  <si>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</si>
  <si>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</si>
  <si>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</si>
  <si>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</si>
  <si>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</si>
  <si>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</si>
  <si>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</si>
  <si>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</si>
  <si>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</si>
  <si>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</si>
  <si>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</si>
  <si>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</si>
  <si>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</si>
  <si>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</si>
  <si>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</si>
  <si>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</si>
  <si>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</si>
  <si>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</si>
  <si>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</si>
  <si>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</si>
  <si>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</si>
  <si>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</si>
  <si>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</si>
  <si>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</si>
  <si>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</si>
  <si>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</si>
  <si>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</si>
  <si>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</si>
  <si>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</si>
  <si>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</si>
  <si>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</si>
  <si>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</si>
  <si>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</si>
  <si>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</si>
  <si>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</si>
  <si>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</si>
  <si>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</si>
  <si>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</si>
  <si>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</si>
  <si>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</si>
  <si>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</si>
  <si>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</si>
  <si>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</si>
  <si>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</si>
  <si>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</si>
  <si>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</si>
  <si>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</si>
  <si>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</si>
  <si>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</si>
  <si>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</si>
  <si>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</si>
  <si>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</si>
  <si>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</si>
  <si>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</si>
  <si>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</si>
  <si>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</si>
  <si>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</si>
  <si>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</si>
  <si>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</si>
  <si>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</si>
  <si>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</si>
  <si>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</si>
  <si>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</si>
  <si>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</si>
  <si>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</si>
  <si>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</si>
  <si>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</si>
  <si>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</si>
  <si>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</si>
  <si>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</si>
  <si>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</si>
  <si>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</si>
  <si>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</si>
  <si>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</si>
  <si>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</si>
  <si>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</si>
  <si>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</si>
  <si>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</si>
  <si>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</si>
  <si>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</si>
  <si>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</si>
  <si>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</si>
  <si>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</si>
  <si>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</si>
  <si>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</si>
  <si>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</si>
  <si>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</si>
  <si>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</si>
  <si>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</si>
  <si>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</si>
  <si>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</si>
  <si>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</si>
  <si>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</si>
  <si>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</si>
  <si>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</si>
  <si>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</si>
  <si>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</si>
  <si>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</si>
  <si>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</si>
  <si>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</si>
  <si>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</si>
  <si>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</si>
  <si>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</si>
  <si>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</si>
  <si>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</si>
  <si>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</si>
  <si>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</si>
  <si>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</si>
  <si>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</si>
  <si>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</si>
  <si>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</si>
  <si>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</si>
  <si>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</si>
  <si>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</si>
  <si>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</si>
  <si>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</si>
  <si>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</si>
  <si>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</si>
  <si>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</si>
  <si>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</si>
  <si>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</si>
  <si>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</si>
  <si>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</si>
  <si>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</si>
  <si>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</si>
  <si>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</si>
  <si>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</si>
  <si>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</si>
  <si>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</si>
  <si>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</si>
  <si>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</si>
  <si>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</si>
  <si>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</si>
  <si>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</si>
  <si>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</si>
  <si>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</si>
  <si>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</si>
  <si>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</si>
  <si>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</si>
  <si>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</si>
  <si>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</si>
  <si>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</si>
  <si>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</si>
  <si>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</si>
  <si>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</si>
  <si>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</si>
  <si>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</si>
  <si>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</si>
  <si>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</si>
  <si>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</si>
  <si>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</si>
  <si>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</si>
  <si>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</si>
  <si>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</si>
  <si>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</si>
  <si>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</si>
  <si>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</si>
  <si>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</si>
  <si>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</si>
  <si>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</si>
  <si>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</si>
  <si>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</si>
  <si>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</si>
  <si>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</si>
  <si>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</si>
  <si>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</si>
  <si>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</si>
  <si>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</si>
  <si>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</si>
  <si>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</si>
  <si>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</si>
  <si>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</si>
  <si>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</si>
  <si>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</si>
  <si>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</si>
  <si>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</si>
  <si>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</si>
  <si>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</si>
  <si>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</si>
  <si>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</si>
  <si>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</si>
  <si>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</si>
  <si>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</si>
  <si>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</si>
  <si>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</si>
  <si>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</si>
  <si>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</si>
  <si>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</si>
  <si>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</si>
  <si>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</si>
  <si>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</si>
  <si>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</si>
  <si>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</si>
  <si>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</si>
  <si>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</si>
  <si>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</si>
  <si>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</si>
  <si>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</si>
  <si>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</si>
  <si>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</si>
  <si>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</si>
  <si>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</si>
  <si>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</si>
  <si>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</si>
  <si>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</si>
  <si>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</si>
  <si>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</si>
  <si>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</si>
  <si>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</si>
  <si>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</si>
  <si>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</si>
  <si>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</si>
  <si>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</si>
  <si>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</si>
  <si>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</si>
  <si>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</si>
  <si>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</si>
  <si>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</si>
  <si>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</si>
  <si>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</si>
  <si>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</si>
  <si>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</si>
  <si>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</si>
  <si>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</si>
  <si>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</si>
  <si>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</si>
  <si>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</si>
  <si>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</si>
  <si>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</si>
  <si>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</si>
  <si>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</si>
  <si>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</si>
  <si>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</si>
  <si>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</si>
  <si>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</si>
  <si>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</si>
  <si>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</si>
  <si>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</si>
  <si>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</si>
  <si>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</si>
  <si>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</si>
  <si>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</si>
  <si>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</si>
  <si>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</si>
  <si>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</si>
  <si>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</si>
  <si>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</si>
  <si>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</si>
  <si>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</si>
  <si>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</si>
  <si>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</si>
  <si>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</si>
  <si>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</si>
  <si>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</si>
  <si>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</si>
  <si>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</si>
  <si>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</si>
  <si>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</si>
  <si>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</si>
  <si>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</si>
  <si>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</si>
  <si>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</si>
  <si>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</si>
  <si>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</si>
  <si>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</si>
  <si>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</si>
  <si>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</si>
  <si>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</si>
  <si>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</si>
  <si>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</si>
  <si>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</si>
  <si>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</si>
  <si>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</si>
  <si>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</si>
  <si>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</si>
  <si>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</si>
  <si>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</si>
  <si>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</si>
  <si>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</si>
  <si>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</si>
  <si>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</si>
  <si>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</si>
  <si>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</si>
  <si>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</si>
  <si>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</si>
  <si>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</si>
  <si>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</si>
  <si>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</si>
  <si>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</si>
  <si>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</si>
  <si>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</si>
  <si>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</si>
  <si>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</si>
  <si>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</si>
  <si>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</si>
  <si>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</si>
  <si>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</si>
  <si>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</si>
  <si>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</si>
  <si>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</si>
  <si>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</si>
  <si>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</si>
  <si>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</si>
  <si>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</si>
  <si>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1,8+44,7+11,9+44,1+40,5+261+22,5+32,2+9,2+9,0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</si>
  <si>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</si>
  <si>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</si>
  <si>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</si>
  <si>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</si>
  <si>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</si>
  <si>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</si>
  <si>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</si>
  <si>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</si>
  <si>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</si>
  <si>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</si>
  <si>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</si>
  <si>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</si>
  <si>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</si>
  <si>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</si>
  <si>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</si>
  <si>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</si>
  <si>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</si>
  <si>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</si>
  <si>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</si>
  <si>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</si>
  <si>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</si>
  <si>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</si>
  <si>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(1,8+44,7+11,9+44,1+40,5+261+22,5+32,2+9,2+9,0)*4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</si>
  <si>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</si>
  <si>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</si>
  <si>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</si>
  <si>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</si>
  <si>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</si>
  <si>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</si>
  <si>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</si>
  <si>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</si>
  <si>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</si>
  <si>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</si>
  <si>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</si>
  <si>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</si>
  <si>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</si>
  <si>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</si>
  <si>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</si>
  <si>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</si>
  <si>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</si>
  <si>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</si>
  <si>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</si>
  <si>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</si>
  <si>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</si>
  <si>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</si>
  <si>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</si>
  <si>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</si>
  <si>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</si>
  <si>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</si>
  <si>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</si>
  <si>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</si>
  <si>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</si>
  <si>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</si>
  <si>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</si>
  <si>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</si>
  <si>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</si>
  <si>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</si>
  <si>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</si>
  <si>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</si>
  <si>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</si>
  <si>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</si>
  <si>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</si>
  <si>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</si>
  <si>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</si>
  <si>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</si>
  <si>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</si>
  <si>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</si>
  <si>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</si>
  <si>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</si>
  <si>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</si>
  <si>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</si>
  <si>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</si>
  <si>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</si>
  <si>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</si>
  <si>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</si>
  <si>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</si>
  <si>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</si>
  <si>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</si>
  <si>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</si>
  <si>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</si>
  <si>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</si>
  <si>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</si>
  <si>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</si>
  <si>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</si>
  <si>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</si>
  <si>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</si>
  <si>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</si>
  <si>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</si>
  <si>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</si>
  <si>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</si>
  <si>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</si>
  <si>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</si>
  <si>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</si>
  <si>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</si>
  <si>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</si>
  <si>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</si>
  <si>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</si>
  <si>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</si>
  <si>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</si>
  <si>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</si>
  <si>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</si>
  <si>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</si>
  <si>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</si>
  <si>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</si>
  <si>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</si>
  <si>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</si>
  <si>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</si>
  <si>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</si>
  <si>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</si>
  <si>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</si>
  <si>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</si>
  <si>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</si>
  <si>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</si>
  <si>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</si>
  <si>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</si>
  <si>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</si>
  <si>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</si>
  <si>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</si>
  <si>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</si>
  <si>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</si>
  <si>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</si>
  <si>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</si>
  <si>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</si>
  <si>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</si>
  <si>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</si>
  <si>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</si>
  <si>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</si>
  <si>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</si>
  <si>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</si>
  <si>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</si>
  <si>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</si>
  <si>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</si>
  <si>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</si>
  <si>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</si>
  <si>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</si>
  <si>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</si>
  <si>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</si>
  <si>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</si>
  <si>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</si>
  <si>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</si>
  <si>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</si>
  <si>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</si>
  <si>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</si>
  <si>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</si>
  <si>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</si>
  <si>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</si>
  <si>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</si>
  <si>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</si>
  <si>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</si>
  <si>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</si>
  <si>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</si>
  <si>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</si>
  <si>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</si>
  <si>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</si>
  <si>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</si>
  <si>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</si>
  <si>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</si>
  <si>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</si>
  <si>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</si>
  <si>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</si>
  <si>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</si>
  <si>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</si>
  <si>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</si>
  <si>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</si>
  <si>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</si>
  <si>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</si>
  <si>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</si>
  <si>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</si>
  <si>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</si>
  <si>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</si>
  <si>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</si>
  <si>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</si>
  <si>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</si>
  <si>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</si>
  <si>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</si>
  <si>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</si>
  <si>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</si>
  <si>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</si>
  <si>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</si>
  <si>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</si>
  <si>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</si>
  <si>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</si>
  <si>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</si>
  <si>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</si>
  <si>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</si>
  <si>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</si>
  <si>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</si>
  <si>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</si>
  <si>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</si>
  <si>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</si>
  <si>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</si>
  <si>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</si>
  <si>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</si>
  <si>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</si>
  <si>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</si>
  <si>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</si>
  <si>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</si>
  <si>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</si>
  <si>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</si>
  <si>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</si>
  <si>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</si>
  <si>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</si>
  <si>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</si>
  <si>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</si>
  <si>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</si>
  <si>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</si>
  <si>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</si>
  <si>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</si>
  <si>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</si>
  <si>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</si>
  <si>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</si>
  <si>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</si>
  <si>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</si>
  <si>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</si>
  <si>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</si>
  <si>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</si>
  <si>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</si>
  <si>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</si>
  <si>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</si>
  <si>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</si>
  <si>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</si>
  <si>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</si>
  <si>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</si>
  <si>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</si>
  <si>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</si>
  <si>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</si>
  <si>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</si>
  <si>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</si>
  <si>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</si>
  <si>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</si>
  <si>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</si>
  <si>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</si>
  <si>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</si>
  <si>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</si>
  <si>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</si>
  <si>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</si>
  <si>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</si>
  <si>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</si>
  <si>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</si>
  <si>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</si>
  <si>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</si>
  <si>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</si>
  <si>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</si>
  <si>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</si>
  <si>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</si>
  <si>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</si>
  <si>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</si>
  <si>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</si>
  <si>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</si>
  <si>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</si>
  <si>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</si>
  <si>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</si>
  <si>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</si>
  <si>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</si>
  <si>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</si>
  <si>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</si>
  <si>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</si>
  <si>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</si>
  <si>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</si>
  <si>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</si>
  <si>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</si>
  <si>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</si>
  <si>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</si>
  <si>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</si>
  <si>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</si>
  <si>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</si>
  <si>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</si>
  <si>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</si>
  <si>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</si>
  <si>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</si>
  <si>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</si>
  <si>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</si>
  <si>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</si>
  <si>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</si>
  <si>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2 vrstvy - pásy ve specifikaci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</si>
  <si>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</si>
  <si>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</si>
  <si>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</si>
  <si>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</si>
  <si>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</si>
  <si>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</si>
  <si>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</si>
  <si>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</si>
  <si>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</si>
  <si>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</si>
  <si>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</si>
  <si>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</si>
  <si>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</si>
  <si>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</si>
  <si>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</si>
  <si>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</si>
  <si>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</si>
  <si>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</si>
  <si>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</si>
  <si>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</si>
  <si>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</si>
  <si>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</si>
  <si>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</si>
  <si>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</si>
  <si>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</si>
  <si>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</si>
  <si>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</si>
  <si>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</si>
  <si>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</si>
  <si>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</si>
  <si>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</si>
  <si>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</si>
  <si>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</si>
  <si>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</si>
  <si>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</si>
  <si>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</si>
  <si>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</si>
  <si>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</si>
  <si>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</si>
  <si>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</si>
  <si>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</si>
  <si>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</si>
  <si>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</si>
  <si>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</si>
  <si>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</si>
  <si>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</si>
  <si>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</si>
  <si>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</si>
  <si>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</si>
  <si>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</si>
  <si>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</si>
  <si>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</si>
  <si>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</si>
  <si>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</si>
  <si>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</si>
  <si>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</si>
  <si>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</si>
  <si>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</si>
  <si>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</si>
  <si>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</si>
  <si>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</si>
  <si>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</si>
  <si>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</si>
  <si>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</si>
  <si>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</si>
  <si>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</si>
  <si>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</si>
  <si>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</si>
  <si>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</si>
  <si>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</si>
  <si>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</si>
  <si>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</si>
  <si>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</si>
  <si>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</si>
  <si>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</si>
  <si>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</si>
  <si>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</si>
  <si>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</si>
  <si>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</si>
  <si>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</si>
  <si>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</si>
  <si>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</si>
  <si>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</si>
  <si>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</si>
  <si>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</si>
  <si>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</si>
  <si>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</si>
  <si>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</si>
  <si>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</si>
  <si>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</si>
  <si>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</si>
  <si>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</si>
  <si>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</si>
  <si>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</si>
  <si>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</si>
  <si>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</si>
  <si>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</si>
  <si>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</si>
  <si>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</si>
  <si>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</si>
  <si>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</si>
  <si>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</si>
  <si>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</si>
  <si>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</si>
  <si>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</si>
  <si>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</si>
  <si>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</si>
  <si>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</si>
  <si>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</si>
  <si>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</si>
  <si>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</si>
  <si>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</si>
  <si>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</si>
  <si>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</si>
  <si>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</si>
  <si>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</si>
  <si>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</si>
  <si>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</si>
  <si>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</si>
  <si>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</si>
  <si>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</si>
  <si>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</si>
  <si>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</si>
  <si>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</si>
  <si>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</si>
  <si>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</si>
  <si>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</si>
  <si>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</si>
  <si>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</si>
  <si>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</si>
  <si>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</si>
  <si>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</si>
  <si>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</si>
  <si>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</si>
  <si>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</si>
  <si>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</si>
  <si>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</si>
  <si>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</si>
  <si>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</si>
  <si>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</si>
  <si>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</si>
  <si>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</si>
  <si>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</si>
  <si>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</si>
  <si>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</si>
  <si>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</si>
  <si>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</si>
  <si>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</si>
  <si>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</si>
  <si>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</si>
  <si>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</si>
  <si>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</si>
  <si>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</si>
  <si>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</si>
  <si>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</si>
  <si>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</si>
  <si>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</si>
  <si>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</si>
  <si>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</si>
  <si>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</si>
  <si>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</si>
  <si>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</si>
  <si>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</si>
  <si>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</si>
  <si>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</si>
  <si>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</si>
  <si>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</si>
  <si>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</si>
  <si>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</si>
  <si>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(1,8+44,7+11,9+44,1+40,5+261+22,5+32,2+9,2+9,0)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</si>
  <si>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</si>
  <si>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</si>
  <si>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</si>
  <si>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</si>
  <si>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</si>
  <si>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</si>
  <si>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</si>
  <si>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</si>
  <si>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(1,8+44,7+11,9+44,1+40,5+261+22,5+32,2+9,2+9,0)*2</t>
  </si>
  <si>
    <t>(26,7+15,2+3,6+3,2+3,7+3,2+9,8+23,5+14,8+2,4+3,6+7,3+1,3)*2</t>
  </si>
  <si>
    <t>;ztratné 2%; 23,808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</si>
  <si>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</si>
  <si>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</si>
  <si>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</si>
  <si>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</si>
  <si>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</si>
  <si>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</si>
  <si>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</si>
  <si>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</si>
  <si>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</si>
  <si>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</si>
  <si>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</si>
  <si>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</si>
  <si>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</si>
  <si>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</si>
  <si>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</si>
  <si>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</si>
  <si>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</si>
  <si>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</si>
  <si>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</si>
  <si>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</si>
  <si>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</si>
  <si>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</si>
  <si>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</si>
  <si>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</si>
  <si>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</si>
  <si>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</si>
  <si>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</si>
  <si>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</si>
  <si>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</si>
  <si>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</si>
  <si>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</si>
  <si>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</si>
  <si>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</si>
  <si>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</si>
  <si>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</si>
  <si>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</si>
  <si>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</si>
  <si>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</si>
  <si>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</si>
  <si>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</si>
  <si>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</si>
  <si>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</si>
  <si>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</si>
  <si>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</si>
  <si>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</si>
  <si>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</si>
  <si>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</si>
  <si>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</si>
  <si>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</si>
  <si>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</si>
  <si>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</si>
  <si>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</si>
  <si>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</si>
  <si>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</si>
  <si>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</si>
  <si>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</si>
  <si>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</si>
  <si>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</si>
  <si>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</si>
  <si>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</si>
  <si>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</si>
  <si>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</si>
  <si>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</si>
  <si>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</si>
  <si>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</si>
  <si>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</si>
  <si>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</si>
  <si>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</si>
  <si>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</si>
  <si>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</si>
  <si>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</si>
  <si>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</si>
  <si>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</si>
  <si>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</si>
  <si>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</si>
  <si>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</si>
  <si>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</si>
  <si>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</si>
  <si>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</si>
  <si>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</si>
  <si>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</si>
  <si>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</si>
  <si>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</si>
  <si>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</si>
  <si>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</si>
  <si>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</si>
  <si>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</si>
  <si>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</si>
  <si>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</si>
  <si>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</si>
  <si>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</si>
  <si>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</si>
  <si>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</si>
  <si>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</si>
  <si>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</si>
  <si>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</si>
  <si>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</si>
  <si>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</si>
  <si>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</si>
  <si>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</si>
  <si>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</si>
  <si>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</si>
  <si>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</si>
  <si>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</si>
  <si>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</si>
  <si>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</si>
  <si>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</si>
  <si>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</si>
  <si>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</si>
  <si>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</si>
  <si>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</si>
  <si>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</si>
  <si>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</si>
  <si>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</si>
  <si>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</si>
  <si>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</si>
  <si>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</si>
  <si>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</si>
  <si>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</si>
  <si>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</si>
  <si>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</si>
  <si>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</si>
  <si>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</si>
  <si>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</si>
  <si>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</si>
  <si>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</si>
  <si>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</si>
  <si>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</si>
  <si>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</si>
  <si>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</si>
  <si>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</si>
  <si>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</si>
  <si>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</si>
  <si>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</si>
  <si>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</si>
  <si>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</si>
  <si>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</si>
  <si>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</si>
  <si>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</si>
  <si>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</si>
  <si>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</si>
  <si>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</si>
  <si>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</si>
  <si>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</si>
  <si>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</si>
  <si>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</si>
  <si>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</si>
  <si>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</si>
  <si>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</si>
  <si>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</si>
  <si>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</si>
  <si>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</si>
  <si>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</si>
  <si>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</si>
  <si>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</si>
  <si>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</si>
  <si>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</si>
  <si>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</si>
  <si>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</si>
  <si>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</si>
  <si>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</si>
  <si>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</si>
  <si>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</si>
  <si>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</si>
  <si>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</si>
  <si>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</si>
  <si>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</si>
  <si>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</si>
  <si>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</si>
  <si>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</si>
  <si>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</si>
  <si>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</si>
  <si>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</si>
  <si>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</si>
  <si>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</si>
  <si>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</si>
  <si>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</si>
  <si>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</si>
  <si>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</si>
  <si>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</si>
  <si>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</si>
  <si>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</si>
  <si>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</si>
  <si>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</si>
  <si>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</si>
  <si>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</si>
  <si>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</si>
  <si>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</si>
  <si>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</si>
  <si>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</si>
  <si>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</si>
  <si>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</si>
  <si>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</si>
  <si>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</si>
  <si>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</si>
  <si>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</si>
  <si>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</si>
  <si>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</si>
  <si>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</si>
  <si>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</si>
  <si>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</si>
  <si>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</si>
  <si>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</si>
  <si>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</si>
  <si>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</si>
  <si>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</si>
  <si>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</si>
  <si>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</si>
  <si>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</si>
  <si>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</si>
  <si>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</si>
  <si>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</si>
  <si>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</si>
  <si>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</si>
  <si>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</si>
  <si>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</si>
  <si>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</si>
  <si>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</si>
  <si>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</si>
  <si>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</si>
  <si>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</si>
  <si>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</si>
  <si>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</si>
  <si>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</si>
  <si>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</si>
  <si>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</si>
  <si>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</si>
  <si>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</si>
  <si>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</si>
  <si>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</si>
  <si>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</si>
  <si>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</si>
  <si>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</si>
  <si>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</si>
  <si>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</si>
  <si>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</si>
  <si>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</si>
  <si>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</si>
  <si>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</si>
  <si>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</si>
  <si>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</si>
  <si>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</si>
  <si>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</si>
  <si>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</si>
  <si>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</si>
  <si>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</si>
  <si>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</si>
  <si>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</si>
  <si>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</si>
  <si>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</si>
  <si>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</si>
  <si>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</si>
  <si>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</si>
  <si>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</si>
  <si>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</si>
  <si>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</si>
  <si>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</si>
  <si>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</si>
  <si>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</si>
  <si>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</si>
  <si>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</si>
  <si>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</si>
  <si>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</si>
  <si>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</si>
  <si>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</si>
  <si>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</si>
  <si>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</si>
  <si>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</si>
  <si>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</si>
  <si>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</si>
  <si>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</si>
  <si>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</si>
  <si>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</si>
  <si>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</si>
  <si>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</si>
  <si>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</si>
  <si>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</si>
  <si>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</si>
  <si>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</si>
  <si>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</si>
  <si>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</si>
  <si>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</si>
  <si>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</si>
  <si>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</si>
  <si>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</si>
  <si>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</si>
  <si>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</si>
  <si>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</si>
  <si>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</si>
  <si>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</si>
  <si>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</si>
  <si>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</si>
  <si>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</si>
  <si>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</si>
  <si>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</si>
  <si>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</si>
  <si>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</si>
  <si>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</si>
  <si>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</si>
  <si>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</si>
  <si>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</si>
  <si>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</si>
  <si>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</si>
  <si>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</si>
  <si>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</si>
  <si>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</si>
  <si>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</si>
  <si>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</si>
  <si>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</si>
  <si>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</si>
  <si>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</si>
  <si>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</si>
  <si>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</si>
  <si>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</si>
  <si>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</si>
  <si>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</si>
  <si>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</si>
  <si>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</si>
  <si>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</si>
  <si>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</si>
  <si>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</si>
  <si>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</si>
  <si>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</si>
  <si>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</si>
  <si>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</si>
  <si>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</si>
  <si>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</si>
  <si>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</si>
  <si>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</si>
  <si>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</si>
  <si>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</si>
  <si>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</si>
  <si>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</si>
  <si>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</si>
  <si>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</si>
  <si>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</si>
  <si>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</si>
  <si>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</si>
  <si>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</si>
  <si>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</si>
  <si>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</si>
  <si>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</si>
  <si>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</si>
  <si>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</si>
  <si>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</si>
  <si>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</si>
  <si>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</si>
  <si>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</si>
  <si>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</si>
  <si>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</si>
  <si>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</si>
  <si>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</si>
  <si>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</si>
  <si>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</si>
  <si>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</si>
  <si>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</si>
  <si>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</si>
  <si>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</si>
  <si>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</si>
  <si>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</si>
  <si>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</si>
  <si>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</si>
  <si>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</si>
  <si>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</si>
  <si>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</si>
  <si>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</si>
  <si>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</si>
  <si>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</si>
  <si>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</si>
  <si>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</si>
  <si>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</si>
  <si>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</si>
  <si>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</si>
  <si>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</si>
  <si>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</si>
  <si>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</si>
  <si>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</si>
  <si>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</si>
  <si>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</si>
  <si>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</si>
  <si>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</si>
  <si>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</si>
  <si>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</si>
  <si>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</si>
  <si>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</si>
  <si>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</si>
  <si>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</si>
  <si>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</si>
  <si>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</si>
  <si>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</si>
  <si>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</si>
  <si>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</si>
  <si>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</si>
  <si>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</si>
  <si>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</si>
  <si>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</si>
  <si>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</si>
  <si>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</si>
  <si>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</si>
  <si>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</si>
  <si>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</si>
  <si>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</si>
  <si>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</si>
  <si>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</si>
  <si>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</si>
  <si>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</si>
  <si>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</si>
  <si>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</si>
  <si>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</si>
  <si>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</si>
  <si>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</si>
  <si>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</si>
  <si>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</si>
  <si>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</si>
  <si>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</si>
  <si>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</si>
  <si>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</si>
  <si>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</si>
  <si>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</si>
  <si>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</si>
  <si>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</si>
  <si>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</si>
  <si>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</si>
  <si>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</si>
  <si>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</si>
  <si>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</si>
  <si>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</si>
  <si>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</si>
  <si>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</si>
  <si>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</si>
  <si>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</si>
  <si>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</si>
  <si>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</si>
  <si>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</si>
  <si>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</si>
  <si>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</si>
  <si>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</si>
  <si>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</si>
  <si>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</si>
  <si>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</si>
  <si>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</si>
  <si>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</si>
  <si>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</si>
  <si>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</si>
  <si>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</si>
  <si>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</si>
  <si>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</si>
  <si>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</si>
  <si>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</si>
  <si>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</si>
  <si>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</si>
  <si>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</si>
  <si>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</si>
  <si>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</si>
  <si>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</si>
  <si>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</si>
  <si>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</si>
  <si>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</si>
  <si>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</si>
  <si>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</si>
  <si>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</si>
  <si>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</si>
  <si>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</si>
  <si>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</si>
  <si>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</si>
  <si>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</si>
  <si>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</si>
  <si>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</si>
  <si>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</si>
  <si>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</si>
  <si>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</si>
  <si>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</si>
  <si>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</si>
  <si>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</si>
  <si>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</si>
  <si>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</si>
  <si>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</si>
  <si>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</si>
  <si>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</si>
  <si>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</si>
  <si>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</si>
  <si>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</si>
  <si>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</si>
  <si>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</si>
  <si>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</si>
  <si>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</si>
  <si>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</si>
  <si>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</si>
  <si>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</si>
  <si>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</si>
  <si>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</si>
  <si>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</si>
  <si>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</si>
  <si>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</si>
  <si>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</si>
  <si>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</si>
  <si>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</si>
  <si>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</si>
  <si>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</si>
  <si>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</si>
  <si>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</si>
  <si>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</si>
  <si>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</si>
  <si>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</si>
  <si>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</si>
  <si>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</si>
  <si>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</si>
  <si>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</si>
  <si>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</si>
  <si>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</si>
  <si>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</si>
  <si>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</si>
  <si>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</si>
  <si>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</si>
  <si>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</si>
  <si>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</si>
  <si>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</si>
  <si>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</si>
  <si>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</si>
  <si>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</si>
  <si>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</si>
  <si>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</si>
  <si>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</si>
  <si>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</si>
  <si>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</si>
  <si>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</si>
  <si>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</si>
  <si>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</si>
  <si>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</si>
  <si>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</si>
  <si>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</si>
  <si>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</si>
  <si>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</si>
  <si>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</si>
  <si>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</si>
  <si>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</si>
  <si>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</si>
  <si>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</si>
  <si>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</si>
  <si>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</si>
  <si>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</si>
  <si>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</si>
  <si>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</si>
  <si>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</si>
  <si>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</si>
  <si>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</si>
  <si>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</si>
  <si>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</si>
  <si>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</si>
  <si>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</si>
  <si>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</si>
  <si>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</si>
  <si>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</si>
  <si>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</si>
  <si>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</si>
  <si>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</si>
  <si>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</si>
  <si>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</si>
  <si>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</si>
  <si>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</si>
  <si>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</si>
  <si>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</si>
  <si>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</si>
  <si>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</si>
  <si>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</si>
  <si>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</si>
  <si>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</si>
  <si>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</si>
  <si>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</si>
  <si>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</si>
  <si>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</si>
  <si>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</si>
  <si>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</si>
  <si>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</si>
  <si>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</si>
  <si>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</si>
  <si>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</si>
  <si>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</si>
  <si>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</si>
  <si>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</si>
  <si>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</si>
  <si>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</si>
  <si>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</si>
  <si>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</si>
  <si>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</si>
  <si>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</si>
  <si>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</si>
  <si>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</si>
  <si>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</si>
  <si>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</si>
  <si>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</si>
  <si>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</si>
  <si>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</si>
  <si>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</si>
  <si>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</si>
  <si>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</si>
  <si>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</si>
  <si>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</si>
  <si>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</si>
  <si>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</si>
  <si>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</si>
  <si>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</si>
  <si>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</si>
  <si>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</si>
  <si>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</si>
  <si>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</si>
  <si>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</si>
  <si>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</si>
  <si>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</si>
  <si>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</si>
  <si>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</si>
  <si>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</si>
  <si>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</si>
  <si>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</si>
  <si>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</si>
  <si>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</si>
  <si>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</si>
  <si>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</si>
  <si>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</si>
  <si>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</si>
  <si>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</si>
  <si>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</si>
  <si>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</si>
  <si>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</si>
  <si>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</si>
  <si>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</si>
  <si>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</si>
  <si>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</si>
  <si>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</si>
  <si>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</si>
  <si>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</si>
  <si>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</si>
  <si>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</si>
  <si>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</si>
  <si>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</si>
  <si>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</si>
  <si>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</si>
  <si>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</si>
  <si>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</si>
  <si>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</si>
  <si>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</si>
  <si>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</si>
  <si>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</si>
  <si>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</si>
  <si>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</si>
  <si>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</si>
  <si>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</si>
  <si>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</si>
  <si>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</si>
  <si>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</si>
  <si>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</si>
  <si>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</si>
  <si>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</si>
  <si>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</si>
  <si>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</si>
  <si>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</si>
  <si>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</si>
  <si>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</si>
  <si>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</si>
  <si>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</si>
  <si>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</si>
  <si>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</si>
  <si>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</si>
  <si>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</si>
  <si>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</si>
  <si>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</si>
  <si>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</si>
  <si>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</si>
  <si>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</si>
  <si>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</si>
  <si>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</si>
  <si>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</si>
  <si>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</si>
  <si>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</si>
  <si>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</si>
  <si>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</si>
  <si>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</si>
  <si>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</si>
  <si>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</si>
  <si>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</si>
  <si>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</si>
  <si>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</si>
  <si>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</si>
  <si>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</si>
  <si>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</si>
  <si>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</si>
  <si>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</si>
  <si>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</si>
  <si>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</si>
  <si>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</si>
  <si>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</si>
  <si>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</si>
  <si>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</si>
  <si>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</si>
  <si>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</si>
  <si>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</si>
  <si>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</si>
  <si>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</si>
  <si>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</si>
  <si>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</si>
  <si>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</si>
  <si>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</si>
  <si>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</si>
  <si>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</si>
  <si>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</si>
  <si>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</si>
  <si>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</si>
  <si>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</si>
  <si>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</si>
  <si>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</si>
  <si>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</si>
  <si>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</si>
  <si>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</si>
  <si>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</si>
  <si>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</si>
  <si>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</si>
  <si>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</si>
  <si>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</si>
  <si>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</si>
  <si>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</si>
  <si>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</si>
  <si>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</si>
  <si>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</si>
  <si>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</si>
  <si>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</si>
  <si>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</si>
  <si>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</si>
  <si>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</si>
  <si>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</si>
  <si>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</si>
  <si>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</si>
  <si>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</si>
  <si>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</si>
  <si>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</si>
  <si>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</si>
  <si>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</si>
  <si>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</si>
  <si>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</si>
  <si>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</si>
  <si>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</si>
  <si>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</si>
  <si>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</si>
  <si>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</si>
  <si>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</si>
  <si>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</si>
  <si>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</si>
  <si>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</si>
  <si>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</si>
  <si>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</si>
  <si>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</si>
  <si>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</si>
  <si>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</si>
  <si>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</si>
  <si>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</si>
  <si>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</si>
  <si>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</si>
  <si>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</si>
  <si>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</si>
  <si>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</si>
  <si>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</si>
  <si>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</si>
  <si>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</si>
  <si>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</si>
  <si>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</si>
  <si>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</si>
  <si>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</si>
  <si>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</si>
  <si>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</si>
  <si>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</si>
  <si>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</si>
  <si>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</si>
  <si>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</si>
  <si>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</si>
  <si>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</si>
  <si>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</si>
  <si>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</si>
  <si>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</si>
  <si>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</si>
  <si>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</si>
  <si>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</si>
  <si>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</si>
  <si>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</si>
  <si>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</si>
  <si>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</si>
  <si>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</si>
  <si>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</si>
  <si>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</si>
  <si>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</si>
  <si>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</si>
  <si>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</si>
  <si>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</si>
  <si>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</si>
  <si>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</si>
  <si>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</si>
  <si>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</si>
  <si>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</si>
  <si>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</si>
  <si>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</si>
  <si>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</si>
  <si>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</si>
  <si>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</si>
  <si>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</si>
  <si>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</si>
  <si>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</si>
  <si>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</si>
  <si>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</si>
  <si>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</si>
  <si>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</si>
  <si>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</si>
  <si>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</si>
  <si>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</si>
  <si>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</si>
  <si>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</si>
  <si>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</si>
  <si>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</si>
  <si>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</si>
  <si>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</si>
  <si>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</si>
  <si>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</si>
  <si>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</si>
  <si>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</si>
  <si>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</si>
  <si>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</si>
  <si>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</si>
  <si>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</si>
  <si>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</si>
  <si>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</si>
  <si>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</si>
  <si>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</si>
  <si>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</si>
  <si>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</si>
  <si>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</si>
  <si>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</si>
  <si>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</si>
  <si>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</si>
  <si>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</si>
  <si>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</si>
  <si>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</si>
  <si>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</si>
  <si>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</si>
  <si>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</si>
  <si>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</si>
  <si>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</si>
  <si>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</si>
  <si>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</si>
  <si>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</si>
  <si>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</si>
  <si>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</si>
  <si>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</si>
  <si>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</si>
  <si>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</si>
  <si>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</si>
  <si>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</si>
  <si>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</si>
  <si>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</si>
  <si>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</si>
  <si>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</si>
  <si>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</si>
  <si>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</si>
  <si>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</si>
  <si>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</si>
  <si>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</si>
  <si>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</si>
  <si>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</si>
  <si>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</si>
  <si>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</si>
  <si>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</si>
  <si>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</si>
  <si>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</si>
  <si>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</si>
  <si>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</si>
  <si>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</si>
  <si>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</si>
  <si>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</si>
  <si>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</si>
  <si>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</si>
  <si>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</si>
  <si>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</si>
  <si>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</si>
  <si>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</si>
  <si>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</si>
  <si>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</si>
  <si>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</si>
  <si>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</si>
  <si>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</si>
  <si>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</si>
  <si>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</si>
  <si>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</si>
  <si>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</si>
  <si>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</si>
  <si>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</si>
  <si>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</si>
  <si>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</si>
  <si>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</si>
  <si>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</si>
  <si>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</si>
  <si>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</si>
  <si>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</si>
  <si>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</si>
  <si>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</si>
  <si>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</si>
  <si>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</si>
  <si>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</si>
  <si>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</si>
  <si>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</si>
  <si>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</si>
  <si>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</si>
  <si>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</si>
  <si>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</si>
  <si>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</si>
  <si>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</si>
  <si>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</si>
  <si>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</si>
  <si>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</si>
  <si>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</si>
  <si>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</si>
  <si>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</si>
  <si>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</si>
  <si>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</si>
  <si>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</si>
  <si>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</si>
  <si>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</si>
  <si>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</si>
  <si>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</si>
  <si>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</si>
  <si>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</si>
  <si>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</si>
  <si>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</si>
  <si>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</si>
  <si>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</si>
  <si>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</si>
  <si>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</si>
  <si>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</si>
  <si>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</si>
  <si>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</si>
  <si>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</si>
  <si>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</si>
  <si>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</si>
  <si>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</si>
  <si>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</si>
  <si>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</si>
  <si>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</si>
  <si>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</si>
  <si>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</si>
  <si>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</si>
  <si>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</si>
  <si>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</si>
  <si>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</si>
  <si>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</si>
  <si>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</si>
  <si>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</si>
  <si>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</si>
  <si>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</si>
  <si>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</si>
  <si>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</si>
  <si>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</si>
  <si>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</si>
  <si>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</si>
  <si>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</si>
  <si>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</si>
  <si>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</si>
  <si>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</si>
  <si>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</si>
  <si>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</si>
  <si>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</si>
  <si>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</si>
  <si>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</si>
  <si>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</si>
  <si>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</si>
  <si>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</si>
  <si>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</si>
  <si>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</si>
  <si>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</si>
  <si>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</si>
  <si>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</si>
  <si>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</si>
  <si>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</si>
  <si>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</si>
  <si>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</si>
  <si>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</si>
  <si>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</si>
  <si>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</si>
  <si>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</si>
  <si>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</si>
  <si>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</si>
  <si>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</si>
  <si>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</si>
  <si>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</si>
  <si>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</si>
  <si>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</si>
  <si>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</si>
  <si>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</si>
  <si>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</si>
  <si>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</si>
  <si>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</si>
  <si>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</si>
  <si>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</si>
  <si>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</si>
  <si>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</si>
  <si>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</si>
  <si>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</si>
  <si>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</si>
  <si>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</si>
  <si>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</si>
  <si>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</si>
  <si>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</si>
  <si>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</si>
  <si>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</si>
  <si>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</si>
  <si>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</si>
  <si>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</si>
  <si>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</si>
  <si>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</si>
  <si>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</si>
  <si>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</si>
  <si>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</si>
  <si>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</si>
  <si>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</si>
  <si>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</si>
  <si>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</si>
  <si>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</si>
  <si>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</si>
  <si>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</si>
  <si>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</si>
  <si>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</si>
  <si>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</si>
  <si>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</si>
  <si>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</si>
  <si>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</si>
  <si>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</si>
  <si>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</si>
  <si>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</si>
  <si>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</si>
  <si>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</si>
  <si>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</si>
  <si>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</si>
  <si>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</si>
  <si>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</si>
  <si>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</si>
  <si>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</si>
  <si>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</si>
  <si>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</si>
  <si>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</si>
  <si>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</si>
  <si>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</si>
  <si>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</si>
  <si>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</si>
  <si>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</si>
  <si>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</si>
  <si>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</si>
  <si>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</si>
  <si>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</si>
  <si>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</si>
  <si>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</si>
  <si>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</si>
  <si>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</si>
  <si>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</si>
  <si>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</si>
  <si>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</si>
  <si>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</si>
  <si>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</si>
  <si>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</si>
  <si>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</si>
  <si>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</si>
  <si>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</si>
  <si>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</si>
  <si>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</si>
  <si>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</si>
  <si>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</si>
  <si>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</si>
  <si>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</si>
  <si>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</si>
  <si>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</si>
  <si>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</si>
  <si>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</si>
  <si>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</si>
  <si>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</si>
  <si>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</si>
  <si>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</si>
  <si>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</si>
  <si>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</si>
  <si>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</si>
  <si>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</si>
  <si>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</si>
  <si>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</si>
  <si>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</si>
  <si>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</si>
  <si>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</si>
  <si>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</si>
  <si>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</si>
  <si>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</si>
  <si>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</si>
  <si>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</si>
  <si>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</si>
  <si>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</si>
  <si>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</si>
  <si>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</si>
  <si>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</si>
  <si>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</si>
  <si>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</si>
  <si>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</si>
  <si>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</si>
  <si>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</si>
  <si>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</si>
  <si>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</si>
  <si>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</si>
  <si>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</si>
  <si>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</si>
  <si>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</si>
  <si>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</si>
  <si>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</si>
  <si>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</si>
  <si>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</si>
  <si>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</si>
  <si>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</si>
  <si>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</si>
  <si>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</si>
  <si>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</si>
  <si>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</si>
  <si>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</si>
  <si>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</si>
  <si>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</si>
  <si>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</si>
  <si>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</si>
  <si>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</si>
  <si>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</si>
  <si>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</si>
  <si>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</si>
  <si>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</si>
  <si>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</si>
  <si>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</si>
  <si>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</si>
  <si>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</si>
  <si>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</si>
  <si>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</si>
  <si>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</si>
  <si>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</si>
  <si>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</si>
  <si>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</si>
  <si>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</si>
  <si>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</si>
  <si>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</si>
  <si>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</si>
  <si>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</si>
  <si>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</si>
  <si>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</si>
  <si>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</si>
  <si>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</si>
  <si>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</si>
  <si>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</si>
  <si>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</si>
  <si>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</si>
  <si>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</si>
  <si>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</si>
  <si>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</si>
  <si>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</si>
  <si>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</si>
  <si>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</si>
  <si>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</si>
  <si>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</si>
  <si>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</si>
  <si>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</si>
  <si>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</si>
  <si>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</si>
  <si>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</si>
  <si>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</si>
  <si>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</si>
  <si>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</si>
  <si>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</si>
  <si>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</si>
  <si>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</si>
  <si>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</si>
  <si>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</si>
  <si>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</si>
  <si>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</si>
  <si>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</si>
  <si>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</si>
  <si>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</si>
  <si>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</si>
  <si>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</si>
  <si>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</si>
  <si>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</si>
  <si>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</si>
  <si>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</si>
  <si>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</si>
  <si>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</si>
  <si>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</si>
  <si>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</si>
  <si>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</si>
  <si>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</si>
  <si>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</si>
  <si>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</si>
  <si>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</si>
  <si>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</si>
  <si>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</si>
  <si>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816,712</t>
  </si>
  <si>
    <t>;ztratné 10%; 81,6712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</si>
  <si>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</si>
  <si>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</si>
  <si>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</si>
  <si>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</si>
  <si>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</si>
  <si>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</si>
  <si>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</si>
  <si>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</si>
  <si>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</si>
  <si>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</si>
  <si>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;ztratné 10%; 1,2376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</si>
  <si>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</si>
  <si>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</si>
  <si>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</si>
  <si>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</si>
  <si>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</si>
  <si>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</si>
  <si>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</si>
  <si>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</si>
  <si>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</si>
  <si>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</si>
  <si>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</si>
  <si>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</si>
  <si>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</si>
  <si>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</si>
  <si>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</si>
  <si>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</si>
  <si>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</si>
  <si>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</si>
  <si>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</si>
  <si>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</si>
  <si>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</si>
  <si>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</si>
  <si>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</si>
  <si>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</si>
  <si>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</si>
  <si>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</si>
  <si>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</si>
  <si>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</si>
  <si>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</si>
  <si>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</si>
  <si>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476,9+20*1,4*(0,152+0,29)+330,5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</si>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</sst>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5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26" sqref="I2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3" t="s">
        <v>4234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5">
      <c r="A2" s="105" t="s">
        <v>1</v>
      </c>
      <c r="B2" s="106"/>
      <c r="C2" s="116" t="str">
        <f>'Soupis dodávek a prací'!D2</f>
        <v>Nové stanovište ZZS SK Benešov</v>
      </c>
      <c r="D2" s="117"/>
      <c r="E2" s="110" t="s">
        <v>5</v>
      </c>
      <c r="F2" s="110" t="str">
        <f>'Soupis dodávek a prací'!J2</f>
        <v>Zdravotnická záchraná služba Stredoceského kraje</v>
      </c>
      <c r="G2" s="106"/>
      <c r="H2" s="110" t="s">
        <v>4235</v>
      </c>
      <c r="I2" s="112" t="s">
        <v>54</v>
      </c>
    </row>
    <row r="3" spans="1:9" ht="15" customHeight="1" x14ac:dyDescent="0.25">
      <c r="A3" s="107"/>
      <c r="B3" s="108"/>
      <c r="C3" s="118"/>
      <c r="D3" s="118"/>
      <c r="E3" s="108"/>
      <c r="F3" s="108"/>
      <c r="G3" s="108"/>
      <c r="H3" s="108"/>
      <c r="I3" s="113"/>
    </row>
    <row r="4" spans="1:9" x14ac:dyDescent="0.25">
      <c r="A4" s="109" t="s">
        <v>7</v>
      </c>
      <c r="B4" s="108"/>
      <c r="C4" s="111" t="str">
        <f>'Soupis dodávek a prací'!D4</f>
        <v xml:space="preserve"> </v>
      </c>
      <c r="D4" s="108"/>
      <c r="E4" s="111" t="s">
        <v>9</v>
      </c>
      <c r="F4" s="111" t="str">
        <f>'Soupis dodávek a prací'!J4</f>
        <v>Mag. Arch. Jaroslav Trávnícek</v>
      </c>
      <c r="G4" s="108"/>
      <c r="H4" s="111" t="s">
        <v>4235</v>
      </c>
      <c r="I4" s="113" t="s">
        <v>54</v>
      </c>
    </row>
    <row r="5" spans="1:9" ht="15" customHeight="1" x14ac:dyDescent="0.25">
      <c r="A5" s="107"/>
      <c r="B5" s="108"/>
      <c r="C5" s="108"/>
      <c r="D5" s="108"/>
      <c r="E5" s="108"/>
      <c r="F5" s="108"/>
      <c r="G5" s="108"/>
      <c r="H5" s="108"/>
      <c r="I5" s="113"/>
    </row>
    <row r="6" spans="1:9" x14ac:dyDescent="0.25">
      <c r="A6" s="109" t="s">
        <v>11</v>
      </c>
      <c r="B6" s="108"/>
      <c r="C6" s="111" t="str">
        <f>'Soupis dodávek a prací'!D6</f>
        <v>na parc. c. 1833/1, 1833/2, 1833/4, 1833/9, 1833/10, 1834/2, 1834/4, 1834/7, 1838 v k.ú. Benešov u P</v>
      </c>
      <c r="D6" s="108"/>
      <c r="E6" s="111" t="s">
        <v>14</v>
      </c>
      <c r="F6" s="111" t="str">
        <f>'Soupis dodávek a prací'!J6</f>
        <v>dle výberového rízení</v>
      </c>
      <c r="G6" s="108"/>
      <c r="H6" s="111" t="s">
        <v>4235</v>
      </c>
      <c r="I6" s="113" t="s">
        <v>54</v>
      </c>
    </row>
    <row r="7" spans="1:9" ht="25.5" customHeight="1" x14ac:dyDescent="0.25">
      <c r="A7" s="107"/>
      <c r="B7" s="108"/>
      <c r="C7" s="108"/>
      <c r="D7" s="108"/>
      <c r="E7" s="108"/>
      <c r="F7" s="108"/>
      <c r="G7" s="108"/>
      <c r="H7" s="108"/>
      <c r="I7" s="113"/>
    </row>
    <row r="8" spans="1:9" x14ac:dyDescent="0.25">
      <c r="A8" s="109" t="s">
        <v>8</v>
      </c>
      <c r="B8" s="108"/>
      <c r="C8" s="111" t="str">
        <f>'Soupis dodávek a prací'!H4</f>
        <v xml:space="preserve"> </v>
      </c>
      <c r="D8" s="108"/>
      <c r="E8" s="111" t="s">
        <v>13</v>
      </c>
      <c r="F8" s="111" t="str">
        <f>'Soupis dodávek a prací'!H6</f>
        <v xml:space="preserve"> </v>
      </c>
      <c r="G8" s="108"/>
      <c r="H8" s="108" t="s">
        <v>4236</v>
      </c>
      <c r="I8" s="114">
        <v>968</v>
      </c>
    </row>
    <row r="9" spans="1:9" x14ac:dyDescent="0.25">
      <c r="A9" s="107"/>
      <c r="B9" s="108"/>
      <c r="C9" s="108"/>
      <c r="D9" s="108"/>
      <c r="E9" s="108"/>
      <c r="F9" s="108"/>
      <c r="G9" s="108"/>
      <c r="H9" s="108"/>
      <c r="I9" s="115"/>
    </row>
    <row r="10" spans="1:9" x14ac:dyDescent="0.25">
      <c r="A10" s="109" t="s">
        <v>16</v>
      </c>
      <c r="B10" s="108"/>
      <c r="C10" s="111" t="str">
        <f>'Soupis dodávek a prací'!D8</f>
        <v xml:space="preserve"> </v>
      </c>
      <c r="D10" s="108"/>
      <c r="E10" s="111" t="s">
        <v>19</v>
      </c>
      <c r="F10" s="111" t="str">
        <f>'Soupis dodávek a prací'!J8</f>
        <v> </v>
      </c>
      <c r="G10" s="108"/>
      <c r="H10" s="108" t="s">
        <v>4237</v>
      </c>
      <c r="I10" s="120">
        <f>'Soupis dodávek a prací'!H8</f>
        <v>45389</v>
      </c>
    </row>
    <row r="11" spans="1:9" x14ac:dyDescent="0.25">
      <c r="A11" s="125"/>
      <c r="B11" s="119"/>
      <c r="C11" s="119"/>
      <c r="D11" s="119"/>
      <c r="E11" s="119"/>
      <c r="F11" s="119"/>
      <c r="G11" s="119"/>
      <c r="H11" s="119"/>
      <c r="I11" s="121"/>
    </row>
    <row r="12" spans="1:9" ht="23.25" x14ac:dyDescent="0.25">
      <c r="A12" s="122" t="s">
        <v>4238</v>
      </c>
      <c r="B12" s="122"/>
      <c r="C12" s="122"/>
      <c r="D12" s="122"/>
      <c r="E12" s="122"/>
      <c r="F12" s="122"/>
      <c r="G12" s="122"/>
      <c r="H12" s="122"/>
      <c r="I12" s="122"/>
    </row>
    <row r="13" spans="1:9" ht="26.25" customHeight="1" x14ac:dyDescent="0.25">
      <c r="A13" s="33" t="s">
        <v>4239</v>
      </c>
      <c r="B13" s="123" t="s">
        <v>4240</v>
      </c>
      <c r="C13" s="124"/>
      <c r="D13" s="34" t="s">
        <v>4241</v>
      </c>
      <c r="E13" s="123" t="s">
        <v>4242</v>
      </c>
      <c r="F13" s="124"/>
      <c r="G13" s="34" t="s">
        <v>4243</v>
      </c>
      <c r="H13" s="123" t="s">
        <v>4244</v>
      </c>
      <c r="I13" s="124"/>
    </row>
    <row r="14" spans="1:9" ht="15.75" x14ac:dyDescent="0.25">
      <c r="A14" s="35" t="s">
        <v>56</v>
      </c>
      <c r="B14" s="36" t="s">
        <v>4245</v>
      </c>
      <c r="C14" s="37">
        <f>SUM('Soupis dodávek a prací'!AB12:AB2832)</f>
        <v>0</v>
      </c>
      <c r="D14" s="132" t="s">
        <v>4246</v>
      </c>
      <c r="E14" s="133"/>
      <c r="F14" s="37">
        <f>VORN!I15</f>
        <v>0</v>
      </c>
      <c r="G14" s="132" t="s">
        <v>4247</v>
      </c>
      <c r="H14" s="133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prací'!AC12:AC2832)</f>
        <v>0</v>
      </c>
      <c r="D15" s="132" t="s">
        <v>4248</v>
      </c>
      <c r="E15" s="133"/>
      <c r="F15" s="37">
        <f>VORN!I16</f>
        <v>0</v>
      </c>
      <c r="G15" s="132" t="s">
        <v>4249</v>
      </c>
      <c r="H15" s="133"/>
      <c r="I15" s="38">
        <f>VORN!I22</f>
        <v>0</v>
      </c>
    </row>
    <row r="16" spans="1:9" ht="15.75" x14ac:dyDescent="0.25">
      <c r="A16" s="35" t="s">
        <v>1355</v>
      </c>
      <c r="B16" s="36" t="s">
        <v>4245</v>
      </c>
      <c r="C16" s="37">
        <f>SUM('Soupis dodávek a prací'!AD12:AD2832)</f>
        <v>0</v>
      </c>
      <c r="D16" s="132" t="s">
        <v>4250</v>
      </c>
      <c r="E16" s="133"/>
      <c r="F16" s="37">
        <f>VORN!I17</f>
        <v>0</v>
      </c>
      <c r="G16" s="132" t="s">
        <v>4198</v>
      </c>
      <c r="H16" s="133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prací'!AE12:AE2832)</f>
        <v>0</v>
      </c>
      <c r="D17" s="132" t="s">
        <v>54</v>
      </c>
      <c r="E17" s="133"/>
      <c r="F17" s="38" t="s">
        <v>54</v>
      </c>
      <c r="G17" s="132" t="s">
        <v>4206</v>
      </c>
      <c r="H17" s="133"/>
      <c r="I17" s="38">
        <f>VORN!I24</f>
        <v>0</v>
      </c>
    </row>
    <row r="18" spans="1:9" ht="15.75" x14ac:dyDescent="0.25">
      <c r="A18" s="35" t="s">
        <v>4251</v>
      </c>
      <c r="B18" s="36" t="s">
        <v>4245</v>
      </c>
      <c r="C18" s="37">
        <f>SUM('Soupis dodávek a prací'!AF12:AF2832)</f>
        <v>0</v>
      </c>
      <c r="D18" s="132" t="s">
        <v>54</v>
      </c>
      <c r="E18" s="133"/>
      <c r="F18" s="38" t="s">
        <v>54</v>
      </c>
      <c r="G18" s="132" t="s">
        <v>4252</v>
      </c>
      <c r="H18" s="133"/>
      <c r="I18" s="38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prací'!AG12:AG2832)</f>
        <v>0</v>
      </c>
      <c r="D19" s="132" t="s">
        <v>54</v>
      </c>
      <c r="E19" s="133"/>
      <c r="F19" s="38" t="s">
        <v>54</v>
      </c>
      <c r="G19" s="132" t="s">
        <v>4253</v>
      </c>
      <c r="H19" s="133"/>
      <c r="I19" s="38">
        <f>VORN!I26</f>
        <v>0</v>
      </c>
    </row>
    <row r="20" spans="1:9" ht="15.75" x14ac:dyDescent="0.25">
      <c r="A20" s="126" t="s">
        <v>4254</v>
      </c>
      <c r="B20" s="127"/>
      <c r="C20" s="37">
        <f>SUM('Soupis dodávek a prací'!AH12:AH2832)</f>
        <v>0</v>
      </c>
      <c r="D20" s="132" t="s">
        <v>54</v>
      </c>
      <c r="E20" s="133"/>
      <c r="F20" s="38" t="s">
        <v>54</v>
      </c>
      <c r="G20" s="132" t="s">
        <v>54</v>
      </c>
      <c r="H20" s="133"/>
      <c r="I20" s="38" t="s">
        <v>54</v>
      </c>
    </row>
    <row r="21" spans="1:9" ht="15.75" x14ac:dyDescent="0.25">
      <c r="A21" s="128" t="s">
        <v>4255</v>
      </c>
      <c r="B21" s="129"/>
      <c r="C21" s="40">
        <f>SUM('Soupis dodávek a prací'!Z12:Z2832)</f>
        <v>0</v>
      </c>
      <c r="D21" s="134" t="s">
        <v>54</v>
      </c>
      <c r="E21" s="135"/>
      <c r="F21" s="41" t="s">
        <v>54</v>
      </c>
      <c r="G21" s="134" t="s">
        <v>54</v>
      </c>
      <c r="H21" s="135"/>
      <c r="I21" s="41" t="s">
        <v>54</v>
      </c>
    </row>
    <row r="22" spans="1:9" ht="16.5" customHeight="1" x14ac:dyDescent="0.25">
      <c r="A22" s="130" t="s">
        <v>4256</v>
      </c>
      <c r="B22" s="131"/>
      <c r="C22" s="42">
        <f>SUM(C14:C21)</f>
        <v>0</v>
      </c>
      <c r="D22" s="136" t="s">
        <v>4257</v>
      </c>
      <c r="E22" s="131"/>
      <c r="F22" s="42">
        <f>SUM(F14:F21)</f>
        <v>0</v>
      </c>
      <c r="G22" s="136" t="s">
        <v>4258</v>
      </c>
      <c r="H22" s="131"/>
      <c r="I22" s="43" t="s">
        <v>4259</v>
      </c>
    </row>
    <row r="23" spans="1:9" ht="15.75" x14ac:dyDescent="0.25">
      <c r="D23" s="126" t="s">
        <v>4260</v>
      </c>
      <c r="E23" s="127"/>
      <c r="F23" s="44">
        <v>0</v>
      </c>
      <c r="G23" s="137" t="s">
        <v>4261</v>
      </c>
      <c r="H23" s="127"/>
      <c r="I23" s="37">
        <v>0</v>
      </c>
    </row>
    <row r="24" spans="1:9" ht="15.75" x14ac:dyDescent="0.25">
      <c r="G24" s="126" t="s">
        <v>4262</v>
      </c>
      <c r="H24" s="127"/>
      <c r="I24" s="37">
        <f>vorn_sum</f>
        <v>0</v>
      </c>
    </row>
    <row r="25" spans="1:9" ht="15.75" x14ac:dyDescent="0.25">
      <c r="G25" s="126" t="s">
        <v>4263</v>
      </c>
      <c r="H25" s="127"/>
      <c r="I25" s="37">
        <v>0</v>
      </c>
    </row>
    <row r="27" spans="1:9" ht="15.75" x14ac:dyDescent="0.25">
      <c r="A27" s="138" t="s">
        <v>4264</v>
      </c>
      <c r="B27" s="139"/>
      <c r="C27" s="45">
        <f>SUM('Soupis dodávek a prací'!AJ12:AJ2832)</f>
        <v>0</v>
      </c>
    </row>
    <row r="28" spans="1:9" ht="15.75" x14ac:dyDescent="0.25">
      <c r="A28" s="140" t="s">
        <v>4265</v>
      </c>
      <c r="B28" s="141"/>
      <c r="C28" s="46">
        <f>SUM('Soupis dodávek a prací'!AK12:AK2832)</f>
        <v>0</v>
      </c>
      <c r="D28" s="142" t="s">
        <v>4266</v>
      </c>
      <c r="E28" s="139"/>
      <c r="F28" s="45">
        <f>ROUND(C28*(12/100),2)</f>
        <v>0</v>
      </c>
      <c r="G28" s="142" t="s">
        <v>4267</v>
      </c>
      <c r="H28" s="139"/>
      <c r="I28" s="45">
        <f>SUM(C27:C29)</f>
        <v>0</v>
      </c>
    </row>
    <row r="29" spans="1:9" ht="15.75" x14ac:dyDescent="0.25">
      <c r="A29" s="140" t="s">
        <v>4268</v>
      </c>
      <c r="B29" s="141"/>
      <c r="C29" s="46">
        <f>SUM('Soupis dodávek a prací'!AL12:AL2832)</f>
        <v>0</v>
      </c>
      <c r="D29" s="143" t="s">
        <v>4269</v>
      </c>
      <c r="E29" s="141"/>
      <c r="F29" s="46">
        <f>ROUND(C29*(21/100),2)</f>
        <v>0</v>
      </c>
      <c r="G29" s="143" t="s">
        <v>4270</v>
      </c>
      <c r="H29" s="141"/>
      <c r="I29" s="46">
        <f>SUM(F28:F29)+I28</f>
        <v>0</v>
      </c>
    </row>
    <row r="31" spans="1:9" x14ac:dyDescent="0.25">
      <c r="A31" s="155" t="s">
        <v>4271</v>
      </c>
      <c r="B31" s="147"/>
      <c r="C31" s="148"/>
      <c r="D31" s="146" t="s">
        <v>4272</v>
      </c>
      <c r="E31" s="147"/>
      <c r="F31" s="148"/>
      <c r="G31" s="146" t="s">
        <v>4273</v>
      </c>
      <c r="H31" s="147"/>
      <c r="I31" s="148"/>
    </row>
    <row r="32" spans="1:9" x14ac:dyDescent="0.25">
      <c r="A32" s="156" t="s">
        <v>54</v>
      </c>
      <c r="B32" s="150"/>
      <c r="C32" s="151"/>
      <c r="D32" s="149" t="s">
        <v>54</v>
      </c>
      <c r="E32" s="150"/>
      <c r="F32" s="151"/>
      <c r="G32" s="149" t="s">
        <v>54</v>
      </c>
      <c r="H32" s="150"/>
      <c r="I32" s="151"/>
    </row>
    <row r="33" spans="1:9" x14ac:dyDescent="0.25">
      <c r="A33" s="156" t="s">
        <v>54</v>
      </c>
      <c r="B33" s="150"/>
      <c r="C33" s="151"/>
      <c r="D33" s="149" t="s">
        <v>54</v>
      </c>
      <c r="E33" s="150"/>
      <c r="F33" s="151"/>
      <c r="G33" s="149" t="s">
        <v>54</v>
      </c>
      <c r="H33" s="150"/>
      <c r="I33" s="151"/>
    </row>
    <row r="34" spans="1:9" x14ac:dyDescent="0.25">
      <c r="A34" s="156" t="s">
        <v>54</v>
      </c>
      <c r="B34" s="150"/>
      <c r="C34" s="151"/>
      <c r="D34" s="149" t="s">
        <v>54</v>
      </c>
      <c r="E34" s="150"/>
      <c r="F34" s="151"/>
      <c r="G34" s="149" t="s">
        <v>54</v>
      </c>
      <c r="H34" s="150"/>
      <c r="I34" s="151"/>
    </row>
    <row r="35" spans="1:9" x14ac:dyDescent="0.25">
      <c r="A35" s="157" t="s">
        <v>4274</v>
      </c>
      <c r="B35" s="153"/>
      <c r="C35" s="154"/>
      <c r="D35" s="152" t="s">
        <v>4274</v>
      </c>
      <c r="E35" s="153"/>
      <c r="F35" s="154"/>
      <c r="G35" s="152" t="s">
        <v>4274</v>
      </c>
      <c r="H35" s="153"/>
      <c r="I35" s="154"/>
    </row>
    <row r="36" spans="1:9" x14ac:dyDescent="0.25">
      <c r="A36" s="47" t="s">
        <v>4226</v>
      </c>
    </row>
    <row r="37" spans="1:9" ht="409.6" customHeight="1" x14ac:dyDescent="0.25">
      <c r="A37" s="144" t="s">
        <v>4312</v>
      </c>
      <c r="B37" s="145"/>
      <c r="C37" s="145"/>
      <c r="D37" s="145"/>
      <c r="E37" s="145"/>
      <c r="F37" s="145"/>
      <c r="G37" s="145"/>
      <c r="H37" s="145"/>
      <c r="I37" s="145"/>
    </row>
  </sheetData>
  <sheetProtection algorithmName="SHA-512" hashValue="nWwDraJirPrqgYF8dQQniHyJ+wcHdvA1lN0LYPLO4eLIfavjF+KZjyarQid2cV0uN+F6HAc/K+SdyV2a46lOSA==" saltValue="Irs6GYDi3jdD5hxV54215Q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51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04" t="s">
        <v>4227</v>
      </c>
      <c r="B1" s="104"/>
      <c r="C1" s="104"/>
      <c r="D1" s="104"/>
      <c r="E1" s="104"/>
      <c r="F1" s="104"/>
      <c r="G1" s="104"/>
    </row>
    <row r="2" spans="1:9" x14ac:dyDescent="0.25">
      <c r="A2" s="105" t="s">
        <v>1</v>
      </c>
      <c r="B2" s="106"/>
      <c r="C2" s="116" t="str">
        <f>'Soupis dodávek a prací'!D2</f>
        <v>Nové stanovište ZZS SK Benešov</v>
      </c>
      <c r="D2" s="106" t="s">
        <v>3</v>
      </c>
      <c r="E2" s="162" t="s">
        <v>4</v>
      </c>
      <c r="F2" s="110" t="s">
        <v>5</v>
      </c>
      <c r="G2" s="160" t="str">
        <f>'Soupis dodávek a prací'!J2</f>
        <v>Zdravotnická záchraná služba Stredoceského kraje</v>
      </c>
    </row>
    <row r="3" spans="1:9" ht="15" customHeight="1" x14ac:dyDescent="0.25">
      <c r="A3" s="107"/>
      <c r="B3" s="108"/>
      <c r="C3" s="118"/>
      <c r="D3" s="108"/>
      <c r="E3" s="163"/>
      <c r="F3" s="108"/>
      <c r="G3" s="115"/>
    </row>
    <row r="4" spans="1:9" x14ac:dyDescent="0.25">
      <c r="A4" s="109" t="s">
        <v>7</v>
      </c>
      <c r="B4" s="108"/>
      <c r="C4" s="111" t="str">
        <f>'Soupis dodávek a prací'!D4</f>
        <v xml:space="preserve"> </v>
      </c>
      <c r="D4" s="108" t="s">
        <v>8</v>
      </c>
      <c r="E4" s="163" t="s">
        <v>4</v>
      </c>
      <c r="F4" s="111" t="s">
        <v>9</v>
      </c>
      <c r="G4" s="120" t="str">
        <f>'Soupis dodávek a prací'!J4</f>
        <v>Mag. Arch. Jaroslav Trávnícek</v>
      </c>
    </row>
    <row r="5" spans="1:9" ht="15" customHeight="1" x14ac:dyDescent="0.25">
      <c r="A5" s="107"/>
      <c r="B5" s="108"/>
      <c r="C5" s="108"/>
      <c r="D5" s="108"/>
      <c r="E5" s="163"/>
      <c r="F5" s="108"/>
      <c r="G5" s="115"/>
    </row>
    <row r="6" spans="1:9" x14ac:dyDescent="0.25">
      <c r="A6" s="109" t="s">
        <v>11</v>
      </c>
      <c r="B6" s="108"/>
      <c r="C6" s="111" t="str">
        <f>'Soupis dodávek a prací'!D6</f>
        <v>na parc. c. 1833/1, 1833/2, 1833/4, 1833/9, 1833/10, 1834/2, 1834/4, 1834/7, 1838 v k.ú. Benešov u P</v>
      </c>
      <c r="D6" s="108" t="s">
        <v>13</v>
      </c>
      <c r="E6" s="163" t="s">
        <v>4</v>
      </c>
      <c r="F6" s="111" t="s">
        <v>14</v>
      </c>
      <c r="G6" s="120" t="str">
        <f>'Soupis dodávek a prací'!J6</f>
        <v>dle výberového rízení</v>
      </c>
    </row>
    <row r="7" spans="1:9" ht="15" customHeight="1" x14ac:dyDescent="0.25">
      <c r="A7" s="107"/>
      <c r="B7" s="108"/>
      <c r="C7" s="108"/>
      <c r="D7" s="108"/>
      <c r="E7" s="163"/>
      <c r="F7" s="108"/>
      <c r="G7" s="115"/>
    </row>
    <row r="8" spans="1:9" x14ac:dyDescent="0.25">
      <c r="A8" s="109" t="s">
        <v>19</v>
      </c>
      <c r="B8" s="108"/>
      <c r="C8" s="111" t="str">
        <f>'Soupis dodávek a prací'!J8</f>
        <v> </v>
      </c>
      <c r="D8" s="108" t="s">
        <v>17</v>
      </c>
      <c r="E8" s="163" t="s">
        <v>18</v>
      </c>
      <c r="F8" s="108" t="s">
        <v>17</v>
      </c>
      <c r="G8" s="120">
        <f>'Soupis dodávek a prací'!H8</f>
        <v>45389</v>
      </c>
    </row>
    <row r="9" spans="1:9" x14ac:dyDescent="0.25">
      <c r="A9" s="158"/>
      <c r="B9" s="159"/>
      <c r="C9" s="159"/>
      <c r="D9" s="159"/>
      <c r="E9" s="164"/>
      <c r="F9" s="159"/>
      <c r="G9" s="161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4228</v>
      </c>
      <c r="E10" s="30" t="s">
        <v>4229</v>
      </c>
      <c r="F10" s="30" t="s">
        <v>4230</v>
      </c>
      <c r="G10" s="31" t="s">
        <v>4231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18249.784685553099</v>
      </c>
      <c r="H11" s="56" t="s">
        <v>4232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3757.9637647089999</v>
      </c>
      <c r="H12" s="60" t="s">
        <v>4232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4233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4233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4233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4233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4233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4233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4233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4233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4233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4233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4233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4233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4233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4233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4233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4233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979.59020142850011</v>
      </c>
      <c r="H29" s="32" t="s">
        <v>4233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1220</v>
      </c>
      <c r="D30" s="67">
        <f>'Soupis dodávek a prací'!J1101</f>
        <v>0</v>
      </c>
      <c r="E30" s="67">
        <f>'Soupis dodávek a prací'!K1101</f>
        <v>0</v>
      </c>
      <c r="F30" s="67">
        <f>'Soupis dodávek a prací'!L1101</f>
        <v>0</v>
      </c>
      <c r="G30" s="67">
        <f>'Soupis dodávek a prací'!O1101</f>
        <v>1.0279520999999998</v>
      </c>
      <c r="H30" s="32" t="s">
        <v>4233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1270</v>
      </c>
      <c r="D31" s="67">
        <f>'Soupis dodávek a prací'!J1129</f>
        <v>0</v>
      </c>
      <c r="E31" s="67">
        <f>'Soupis dodávek a prací'!K1129</f>
        <v>0</v>
      </c>
      <c r="F31" s="67">
        <f>'Soupis dodávek a prací'!L1129</f>
        <v>0</v>
      </c>
      <c r="G31" s="67">
        <f>'Soupis dodávek a prací'!O1129</f>
        <v>29.642601745</v>
      </c>
      <c r="H31" s="32" t="s">
        <v>4233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1318</v>
      </c>
      <c r="D32" s="67">
        <f>'Soupis dodávek a prací'!J1157</f>
        <v>0</v>
      </c>
      <c r="E32" s="67">
        <f>'Soupis dodávek a prací'!K1157</f>
        <v>0</v>
      </c>
      <c r="F32" s="67">
        <f>'Soupis dodávek a prací'!L1157</f>
        <v>0</v>
      </c>
      <c r="G32" s="67">
        <f>'Soupis dodávek a prací'!O1157</f>
        <v>6.4804779999999992E-2</v>
      </c>
      <c r="H32" s="32" t="s">
        <v>4233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1336</v>
      </c>
      <c r="D33" s="67">
        <f>'Soupis dodávek a prací'!J1166</f>
        <v>0</v>
      </c>
      <c r="E33" s="67">
        <f>'Soupis dodávek a prací'!K1166</f>
        <v>0</v>
      </c>
      <c r="F33" s="67">
        <f>'Soupis dodávek a prací'!L1166</f>
        <v>0</v>
      </c>
      <c r="G33" s="67">
        <f>'Soupis dodávek a prací'!O1166</f>
        <v>0</v>
      </c>
      <c r="H33" s="32" t="s">
        <v>4233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1350</v>
      </c>
      <c r="D34" s="67">
        <f>'Soupis dodávek a prací'!J1171</f>
        <v>0</v>
      </c>
      <c r="E34" s="67">
        <f>'Soupis dodávek a prací'!K1171</f>
        <v>0</v>
      </c>
      <c r="F34" s="67">
        <f>'Soupis dodávek a prací'!L1171</f>
        <v>0</v>
      </c>
      <c r="G34" s="67">
        <f>'Soupis dodávek a prací'!O1171</f>
        <v>0</v>
      </c>
      <c r="H34" s="32" t="s">
        <v>4233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1355</v>
      </c>
      <c r="D35" s="65">
        <f>'Soupis dodávek a prací'!J1173</f>
        <v>0</v>
      </c>
      <c r="E35" s="65">
        <f>'Soupis dodávek a prací'!K1173</f>
        <v>0</v>
      </c>
      <c r="F35" s="65">
        <f>'Soupis dodávek a prací'!L1173</f>
        <v>0</v>
      </c>
      <c r="G35" s="65">
        <f>'Soupis dodávek a prací'!O1173</f>
        <v>14491.820920844102</v>
      </c>
      <c r="H35" s="60" t="s">
        <v>4232</v>
      </c>
      <c r="I35" s="59">
        <f t="shared" si="0"/>
        <v>0</v>
      </c>
    </row>
    <row r="36" spans="1:9" x14ac:dyDescent="0.25">
      <c r="A36" s="66" t="s">
        <v>55</v>
      </c>
      <c r="B36" s="66" t="s">
        <v>1356</v>
      </c>
      <c r="C36" s="66" t="s">
        <v>1357</v>
      </c>
      <c r="D36" s="67">
        <f>'Soupis dodávek a prací'!J1174</f>
        <v>0</v>
      </c>
      <c r="E36" s="67">
        <f>'Soupis dodávek a prací'!K1174</f>
        <v>0</v>
      </c>
      <c r="F36" s="67">
        <f>'Soupis dodávek a prací'!L1174</f>
        <v>0</v>
      </c>
      <c r="G36" s="67">
        <f>'Soupis dodávek a prací'!O1174</f>
        <v>23.264356550799999</v>
      </c>
      <c r="H36" s="32" t="s">
        <v>4233</v>
      </c>
      <c r="I36" s="23">
        <f t="shared" si="0"/>
        <v>0</v>
      </c>
    </row>
    <row r="37" spans="1:9" x14ac:dyDescent="0.25">
      <c r="A37" s="66" t="s">
        <v>55</v>
      </c>
      <c r="B37" s="66" t="s">
        <v>1450</v>
      </c>
      <c r="C37" s="66" t="s">
        <v>1451</v>
      </c>
      <c r="D37" s="67">
        <f>'Soupis dodávek a prací'!J1265</f>
        <v>0</v>
      </c>
      <c r="E37" s="67">
        <f>'Soupis dodávek a prací'!K1265</f>
        <v>0</v>
      </c>
      <c r="F37" s="67">
        <f>'Soupis dodávek a prací'!L1265</f>
        <v>0</v>
      </c>
      <c r="G37" s="67">
        <f>'Soupis dodávek a prací'!O1265</f>
        <v>22.119479360499998</v>
      </c>
      <c r="H37" s="32" t="s">
        <v>4233</v>
      </c>
      <c r="I37" s="23">
        <f t="shared" si="0"/>
        <v>0</v>
      </c>
    </row>
    <row r="38" spans="1:9" x14ac:dyDescent="0.25">
      <c r="A38" s="66" t="s">
        <v>55</v>
      </c>
      <c r="B38" s="66" t="s">
        <v>1522</v>
      </c>
      <c r="C38" s="66" t="s">
        <v>1523</v>
      </c>
      <c r="D38" s="67">
        <f>'Soupis dodávek a prací'!J1383</f>
        <v>0</v>
      </c>
      <c r="E38" s="67">
        <f>'Soupis dodávek a prací'!K1383</f>
        <v>0</v>
      </c>
      <c r="F38" s="67">
        <f>'Soupis dodávek a prací'!L1383</f>
        <v>0</v>
      </c>
      <c r="G38" s="67">
        <f>'Soupis dodávek a prací'!O1383</f>
        <v>32.251211821300004</v>
      </c>
      <c r="H38" s="32" t="s">
        <v>4233</v>
      </c>
      <c r="I38" s="23">
        <f t="shared" si="0"/>
        <v>0</v>
      </c>
    </row>
    <row r="39" spans="1:9" x14ac:dyDescent="0.25">
      <c r="A39" s="66" t="s">
        <v>55</v>
      </c>
      <c r="B39" s="66" t="s">
        <v>1647</v>
      </c>
      <c r="C39" s="66" t="s">
        <v>1648</v>
      </c>
      <c r="D39" s="67">
        <f>'Soupis dodávek a prací'!J1548</f>
        <v>0</v>
      </c>
      <c r="E39" s="67">
        <f>'Soupis dodávek a prací'!K1548</f>
        <v>0</v>
      </c>
      <c r="F39" s="67">
        <f>'Soupis dodávek a prací'!L1548</f>
        <v>0</v>
      </c>
      <c r="G39" s="67">
        <f>'Soupis dodávek a prací'!O1548</f>
        <v>0</v>
      </c>
      <c r="H39" s="32" t="s">
        <v>4233</v>
      </c>
      <c r="I39" s="23">
        <f t="shared" si="0"/>
        <v>0</v>
      </c>
    </row>
    <row r="40" spans="1:9" x14ac:dyDescent="0.25">
      <c r="A40" s="66" t="s">
        <v>55</v>
      </c>
      <c r="B40" s="66" t="s">
        <v>1716</v>
      </c>
      <c r="C40" s="66" t="s">
        <v>1717</v>
      </c>
      <c r="D40" s="67">
        <f>'Soupis dodávek a prací'!J1570</f>
        <v>0</v>
      </c>
      <c r="E40" s="67">
        <f>'Soupis dodávek a prací'!K1570</f>
        <v>0</v>
      </c>
      <c r="F40" s="67">
        <f>'Soupis dodávek a prací'!L1570</f>
        <v>0</v>
      </c>
      <c r="G40" s="67">
        <f>'Soupis dodávek a prací'!O1570</f>
        <v>0</v>
      </c>
      <c r="H40" s="32" t="s">
        <v>4233</v>
      </c>
      <c r="I40" s="23">
        <f t="shared" si="0"/>
        <v>0</v>
      </c>
    </row>
    <row r="41" spans="1:9" x14ac:dyDescent="0.25">
      <c r="A41" s="66" t="s">
        <v>55</v>
      </c>
      <c r="B41" s="66" t="s">
        <v>1760</v>
      </c>
      <c r="C41" s="66" t="s">
        <v>1761</v>
      </c>
      <c r="D41" s="67">
        <f>'Soupis dodávek a prací'!J1587</f>
        <v>0</v>
      </c>
      <c r="E41" s="67">
        <f>'Soupis dodávek a prací'!K1587</f>
        <v>0</v>
      </c>
      <c r="F41" s="67">
        <f>'Soupis dodávek a prací'!L1587</f>
        <v>0</v>
      </c>
      <c r="G41" s="67">
        <f>'Soupis dodávek a prací'!O1587</f>
        <v>0</v>
      </c>
      <c r="H41" s="32" t="s">
        <v>4233</v>
      </c>
      <c r="I41" s="23">
        <f t="shared" si="0"/>
        <v>0</v>
      </c>
    </row>
    <row r="42" spans="1:9" x14ac:dyDescent="0.25">
      <c r="A42" s="66" t="s">
        <v>55</v>
      </c>
      <c r="B42" s="66" t="s">
        <v>1792</v>
      </c>
      <c r="C42" s="66" t="s">
        <v>1793</v>
      </c>
      <c r="D42" s="67">
        <f>'Soupis dodávek a prací'!J1599</f>
        <v>0</v>
      </c>
      <c r="E42" s="67">
        <f>'Soupis dodávek a prací'!K1599</f>
        <v>0</v>
      </c>
      <c r="F42" s="67">
        <f>'Soupis dodávek a prací'!L1599</f>
        <v>0</v>
      </c>
      <c r="G42" s="67">
        <f>'Soupis dodávek a prací'!O1599</f>
        <v>0</v>
      </c>
      <c r="H42" s="32" t="s">
        <v>4233</v>
      </c>
      <c r="I42" s="23">
        <f t="shared" si="0"/>
        <v>0</v>
      </c>
    </row>
    <row r="43" spans="1:9" x14ac:dyDescent="0.25">
      <c r="A43" s="66" t="s">
        <v>55</v>
      </c>
      <c r="B43" s="66" t="s">
        <v>1815</v>
      </c>
      <c r="C43" s="66" t="s">
        <v>1816</v>
      </c>
      <c r="D43" s="67">
        <f>'Soupis dodávek a prací'!J1607</f>
        <v>0</v>
      </c>
      <c r="E43" s="67">
        <f>'Soupis dodávek a prací'!K1607</f>
        <v>0</v>
      </c>
      <c r="F43" s="67">
        <f>'Soupis dodávek a prací'!L1607</f>
        <v>0</v>
      </c>
      <c r="G43" s="67">
        <f>'Soupis dodávek a prací'!O1607</f>
        <v>0</v>
      </c>
      <c r="H43" s="32" t="s">
        <v>4233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1839</v>
      </c>
      <c r="C44" s="66" t="s">
        <v>1840</v>
      </c>
      <c r="D44" s="67">
        <f>'Soupis dodávek a prací'!J1616</f>
        <v>0</v>
      </c>
      <c r="E44" s="67">
        <f>'Soupis dodávek a prací'!K1616</f>
        <v>0</v>
      </c>
      <c r="F44" s="67">
        <f>'Soupis dodávek a prací'!L1616</f>
        <v>0</v>
      </c>
      <c r="G44" s="67">
        <f>'Soupis dodávek a prací'!O1616</f>
        <v>0</v>
      </c>
      <c r="H44" s="32" t="s">
        <v>4233</v>
      </c>
      <c r="I44" s="23">
        <f t="shared" si="1"/>
        <v>0</v>
      </c>
    </row>
    <row r="45" spans="1:9" x14ac:dyDescent="0.25">
      <c r="A45" s="66" t="s">
        <v>55</v>
      </c>
      <c r="B45" s="66" t="s">
        <v>1874</v>
      </c>
      <c r="C45" s="66" t="s">
        <v>1875</v>
      </c>
      <c r="D45" s="67">
        <f>'Soupis dodávek a prací'!J1630</f>
        <v>0</v>
      </c>
      <c r="E45" s="67">
        <f>'Soupis dodávek a prací'!K1630</f>
        <v>0</v>
      </c>
      <c r="F45" s="67">
        <f>'Soupis dodávek a prací'!L1630</f>
        <v>0</v>
      </c>
      <c r="G45" s="67">
        <f>'Soupis dodávek a prací'!O1630</f>
        <v>0</v>
      </c>
      <c r="H45" s="32" t="s">
        <v>4233</v>
      </c>
      <c r="I45" s="23">
        <f t="shared" si="1"/>
        <v>0</v>
      </c>
    </row>
    <row r="46" spans="1:9" x14ac:dyDescent="0.25">
      <c r="A46" s="66" t="s">
        <v>55</v>
      </c>
      <c r="B46" s="66" t="s">
        <v>1893</v>
      </c>
      <c r="C46" s="66" t="s">
        <v>1894</v>
      </c>
      <c r="D46" s="67">
        <f>'Soupis dodávek a prací'!J1637</f>
        <v>0</v>
      </c>
      <c r="E46" s="67">
        <f>'Soupis dodávek a prací'!K1637</f>
        <v>0</v>
      </c>
      <c r="F46" s="67">
        <f>'Soupis dodávek a prací'!L1637</f>
        <v>0</v>
      </c>
      <c r="G46" s="67">
        <f>'Soupis dodávek a prací'!O1637</f>
        <v>0</v>
      </c>
      <c r="H46" s="32" t="s">
        <v>4233</v>
      </c>
      <c r="I46" s="23">
        <f t="shared" si="1"/>
        <v>0</v>
      </c>
    </row>
    <row r="47" spans="1:9" x14ac:dyDescent="0.25">
      <c r="A47" s="66" t="s">
        <v>55</v>
      </c>
      <c r="B47" s="66" t="s">
        <v>1914</v>
      </c>
      <c r="C47" s="66" t="s">
        <v>1915</v>
      </c>
      <c r="D47" s="67">
        <f>'Soupis dodávek a prací'!J1645</f>
        <v>0</v>
      </c>
      <c r="E47" s="67">
        <f>'Soupis dodávek a prací'!K1645</f>
        <v>0</v>
      </c>
      <c r="F47" s="67">
        <f>'Soupis dodávek a prací'!L1645</f>
        <v>0</v>
      </c>
      <c r="G47" s="67">
        <f>'Soupis dodávek a prací'!O1645</f>
        <v>0.10897999999999999</v>
      </c>
      <c r="H47" s="32" t="s">
        <v>4233</v>
      </c>
      <c r="I47" s="23">
        <f t="shared" si="1"/>
        <v>0</v>
      </c>
    </row>
    <row r="48" spans="1:9" x14ac:dyDescent="0.25">
      <c r="A48" s="66" t="s">
        <v>55</v>
      </c>
      <c r="B48" s="66" t="s">
        <v>1986</v>
      </c>
      <c r="C48" s="66" t="s">
        <v>1987</v>
      </c>
      <c r="D48" s="67">
        <f>'Soupis dodávek a prací'!J1669</f>
        <v>0</v>
      </c>
      <c r="E48" s="67">
        <f>'Soupis dodávek a prací'!K1669</f>
        <v>0</v>
      </c>
      <c r="F48" s="67">
        <f>'Soupis dodávek a prací'!L1669</f>
        <v>0</v>
      </c>
      <c r="G48" s="67">
        <f>'Soupis dodávek a prací'!O1669</f>
        <v>1.3903000000000001</v>
      </c>
      <c r="H48" s="32" t="s">
        <v>4233</v>
      </c>
      <c r="I48" s="23">
        <f t="shared" si="1"/>
        <v>0</v>
      </c>
    </row>
    <row r="49" spans="1:9" x14ac:dyDescent="0.25">
      <c r="A49" s="66" t="s">
        <v>55</v>
      </c>
      <c r="B49" s="66" t="s">
        <v>2049</v>
      </c>
      <c r="C49" s="66" t="s">
        <v>2050</v>
      </c>
      <c r="D49" s="67">
        <f>'Soupis dodávek a prací'!J1696</f>
        <v>0</v>
      </c>
      <c r="E49" s="67">
        <f>'Soupis dodávek a prací'!K1696</f>
        <v>0</v>
      </c>
      <c r="F49" s="67">
        <f>'Soupis dodávek a prací'!L1696</f>
        <v>0</v>
      </c>
      <c r="G49" s="67">
        <f>'Soupis dodávek a prací'!O1696</f>
        <v>0.10227</v>
      </c>
      <c r="H49" s="32" t="s">
        <v>4233</v>
      </c>
      <c r="I49" s="23">
        <f t="shared" si="1"/>
        <v>0</v>
      </c>
    </row>
    <row r="50" spans="1:9" x14ac:dyDescent="0.25">
      <c r="A50" s="66" t="s">
        <v>55</v>
      </c>
      <c r="B50" s="66" t="s">
        <v>2136</v>
      </c>
      <c r="C50" s="66" t="s">
        <v>2137</v>
      </c>
      <c r="D50" s="67">
        <f>'Soupis dodávek a prací'!J1725</f>
        <v>0</v>
      </c>
      <c r="E50" s="67">
        <f>'Soupis dodávek a prací'!K1725</f>
        <v>0</v>
      </c>
      <c r="F50" s="67">
        <f>'Soupis dodávek a prací'!L1725</f>
        <v>0</v>
      </c>
      <c r="G50" s="67">
        <f>'Soupis dodávek a prací'!O1725</f>
        <v>6.88E-2</v>
      </c>
      <c r="H50" s="32" t="s">
        <v>4233</v>
      </c>
      <c r="I50" s="23">
        <f t="shared" si="1"/>
        <v>0</v>
      </c>
    </row>
    <row r="51" spans="1:9" x14ac:dyDescent="0.25">
      <c r="A51" s="66" t="s">
        <v>55</v>
      </c>
      <c r="B51" s="66" t="s">
        <v>2246</v>
      </c>
      <c r="C51" s="66" t="s">
        <v>2247</v>
      </c>
      <c r="D51" s="67">
        <f>'Soupis dodávek a prací'!J1767</f>
        <v>0</v>
      </c>
      <c r="E51" s="67">
        <f>'Soupis dodávek a prací'!K1767</f>
        <v>0</v>
      </c>
      <c r="F51" s="67">
        <f>'Soupis dodávek a prací'!L1767</f>
        <v>0</v>
      </c>
      <c r="G51" s="67">
        <f>'Soupis dodávek a prací'!O1767</f>
        <v>1.97575794</v>
      </c>
      <c r="H51" s="32" t="s">
        <v>4233</v>
      </c>
      <c r="I51" s="23">
        <f t="shared" si="1"/>
        <v>0</v>
      </c>
    </row>
    <row r="52" spans="1:9" x14ac:dyDescent="0.25">
      <c r="A52" s="66" t="s">
        <v>55</v>
      </c>
      <c r="B52" s="66" t="s">
        <v>2257</v>
      </c>
      <c r="C52" s="66" t="s">
        <v>2258</v>
      </c>
      <c r="D52" s="67">
        <f>'Soupis dodávek a prací'!J1777</f>
        <v>0</v>
      </c>
      <c r="E52" s="67">
        <f>'Soupis dodávek a prací'!K1777</f>
        <v>0</v>
      </c>
      <c r="F52" s="67">
        <f>'Soupis dodávek a prací'!L1777</f>
        <v>0</v>
      </c>
      <c r="G52" s="67">
        <f>'Soupis dodávek a prací'!O1777</f>
        <v>1.8279856000000001</v>
      </c>
      <c r="H52" s="32" t="s">
        <v>4233</v>
      </c>
      <c r="I52" s="23">
        <f t="shared" si="1"/>
        <v>0</v>
      </c>
    </row>
    <row r="53" spans="1:9" x14ac:dyDescent="0.25">
      <c r="A53" s="66" t="s">
        <v>55</v>
      </c>
      <c r="B53" s="66" t="s">
        <v>2323</v>
      </c>
      <c r="C53" s="66" t="s">
        <v>2324</v>
      </c>
      <c r="D53" s="67">
        <f>'Soupis dodávek a prací'!J1813</f>
        <v>0</v>
      </c>
      <c r="E53" s="67">
        <f>'Soupis dodávek a prací'!K1813</f>
        <v>0</v>
      </c>
      <c r="F53" s="67">
        <f>'Soupis dodávek a prací'!L1813</f>
        <v>0</v>
      </c>
      <c r="G53" s="67">
        <f>'Soupis dodávek a prací'!O1813</f>
        <v>1.3749999999999998</v>
      </c>
      <c r="H53" s="32" t="s">
        <v>4233</v>
      </c>
      <c r="I53" s="23">
        <f t="shared" si="1"/>
        <v>0</v>
      </c>
    </row>
    <row r="54" spans="1:9" x14ac:dyDescent="0.25">
      <c r="A54" s="66" t="s">
        <v>55</v>
      </c>
      <c r="B54" s="66" t="s">
        <v>2510</v>
      </c>
      <c r="C54" s="66" t="s">
        <v>2511</v>
      </c>
      <c r="D54" s="67">
        <f>'Soupis dodávek a prací'!J1889</f>
        <v>0</v>
      </c>
      <c r="E54" s="67">
        <f>'Soupis dodávek a prací'!K1889</f>
        <v>0</v>
      </c>
      <c r="F54" s="67">
        <f>'Soupis dodávek a prací'!L1889</f>
        <v>0</v>
      </c>
      <c r="G54" s="67">
        <f>'Soupis dodávek a prací'!O1889</f>
        <v>13738.742829680001</v>
      </c>
      <c r="H54" s="32" t="s">
        <v>4233</v>
      </c>
      <c r="I54" s="23">
        <f t="shared" si="1"/>
        <v>0</v>
      </c>
    </row>
    <row r="55" spans="1:9" x14ac:dyDescent="0.25">
      <c r="A55" s="66" t="s">
        <v>55</v>
      </c>
      <c r="B55" s="66" t="s">
        <v>2704</v>
      </c>
      <c r="C55" s="66" t="s">
        <v>2705</v>
      </c>
      <c r="D55" s="67">
        <f>'Soupis dodávek a prací'!J1992</f>
        <v>0</v>
      </c>
      <c r="E55" s="67">
        <f>'Soupis dodávek a prací'!K1992</f>
        <v>0</v>
      </c>
      <c r="F55" s="67">
        <f>'Soupis dodávek a prací'!L1992</f>
        <v>0</v>
      </c>
      <c r="G55" s="67">
        <f>'Soupis dodávek a prací'!O1992</f>
        <v>4.6041713600000005</v>
      </c>
      <c r="H55" s="32" t="s">
        <v>4233</v>
      </c>
      <c r="I55" s="23">
        <f t="shared" si="1"/>
        <v>0</v>
      </c>
    </row>
    <row r="56" spans="1:9" x14ac:dyDescent="0.25">
      <c r="A56" s="66" t="s">
        <v>55</v>
      </c>
      <c r="B56" s="66" t="s">
        <v>2741</v>
      </c>
      <c r="C56" s="66" t="s">
        <v>2742</v>
      </c>
      <c r="D56" s="67">
        <f>'Soupis dodávek a prací'!J2025</f>
        <v>0</v>
      </c>
      <c r="E56" s="67">
        <f>'Soupis dodávek a prací'!K2025</f>
        <v>0</v>
      </c>
      <c r="F56" s="67">
        <f>'Soupis dodávek a prací'!L2025</f>
        <v>0</v>
      </c>
      <c r="G56" s="67">
        <f>'Soupis dodávek a prací'!O2025</f>
        <v>2.5959515290000001</v>
      </c>
      <c r="H56" s="32" t="s">
        <v>4233</v>
      </c>
      <c r="I56" s="23">
        <f t="shared" si="1"/>
        <v>0</v>
      </c>
    </row>
    <row r="57" spans="1:9" x14ac:dyDescent="0.25">
      <c r="A57" s="66" t="s">
        <v>55</v>
      </c>
      <c r="B57" s="66" t="s">
        <v>2811</v>
      </c>
      <c r="C57" s="66" t="s">
        <v>2812</v>
      </c>
      <c r="D57" s="67">
        <f>'Soupis dodávek a prací'!J2089</f>
        <v>0</v>
      </c>
      <c r="E57" s="67">
        <f>'Soupis dodávek a prací'!K2089</f>
        <v>0</v>
      </c>
      <c r="F57" s="67">
        <f>'Soupis dodávek a prací'!L2089</f>
        <v>0</v>
      </c>
      <c r="G57" s="67">
        <f>'Soupis dodávek a prací'!O2089</f>
        <v>5.7855351915000002</v>
      </c>
      <c r="H57" s="32" t="s">
        <v>4233</v>
      </c>
      <c r="I57" s="23">
        <f t="shared" si="1"/>
        <v>0</v>
      </c>
    </row>
    <row r="58" spans="1:9" x14ac:dyDescent="0.25">
      <c r="A58" s="66" t="s">
        <v>55</v>
      </c>
      <c r="B58" s="66" t="s">
        <v>2859</v>
      </c>
      <c r="C58" s="66" t="s">
        <v>2860</v>
      </c>
      <c r="D58" s="67">
        <f>'Soupis dodávek a prací'!J2136</f>
        <v>0</v>
      </c>
      <c r="E58" s="67">
        <f>'Soupis dodávek a prací'!K2136</f>
        <v>0</v>
      </c>
      <c r="F58" s="67">
        <f>'Soupis dodávek a prací'!L2136</f>
        <v>0</v>
      </c>
      <c r="G58" s="67">
        <f>'Soupis dodávek a prací'!O2136</f>
        <v>1.3750194910000002</v>
      </c>
      <c r="H58" s="32" t="s">
        <v>4233</v>
      </c>
      <c r="I58" s="23">
        <f t="shared" si="1"/>
        <v>0</v>
      </c>
    </row>
    <row r="59" spans="1:9" x14ac:dyDescent="0.25">
      <c r="A59" s="66" t="s">
        <v>55</v>
      </c>
      <c r="B59" s="66" t="s">
        <v>2893</v>
      </c>
      <c r="C59" s="66" t="s">
        <v>2894</v>
      </c>
      <c r="D59" s="67">
        <f>'Soupis dodávek a prací'!J2212</f>
        <v>0</v>
      </c>
      <c r="E59" s="67">
        <f>'Soupis dodávek a prací'!K2212</f>
        <v>0</v>
      </c>
      <c r="F59" s="67">
        <f>'Soupis dodávek a prací'!L2212</f>
        <v>0</v>
      </c>
      <c r="G59" s="67">
        <f>'Soupis dodávek a prací'!O2212</f>
        <v>0.1454</v>
      </c>
      <c r="H59" s="32" t="s">
        <v>4233</v>
      </c>
      <c r="I59" s="23">
        <f t="shared" si="1"/>
        <v>0</v>
      </c>
    </row>
    <row r="60" spans="1:9" x14ac:dyDescent="0.25">
      <c r="A60" s="66" t="s">
        <v>55</v>
      </c>
      <c r="B60" s="66" t="s">
        <v>2905</v>
      </c>
      <c r="C60" s="66" t="s">
        <v>2906</v>
      </c>
      <c r="D60" s="67">
        <f>'Soupis dodávek a prací'!J2216</f>
        <v>0</v>
      </c>
      <c r="E60" s="67">
        <f>'Soupis dodávek a prací'!K2216</f>
        <v>0</v>
      </c>
      <c r="F60" s="67">
        <f>'Soupis dodávek a prací'!L2216</f>
        <v>0</v>
      </c>
      <c r="G60" s="67">
        <f>'Soupis dodávek a prací'!O2216</f>
        <v>0.16669812000000001</v>
      </c>
      <c r="H60" s="32" t="s">
        <v>4233</v>
      </c>
      <c r="I60" s="23">
        <f t="shared" si="1"/>
        <v>0</v>
      </c>
    </row>
    <row r="61" spans="1:9" x14ac:dyDescent="0.25">
      <c r="A61" s="66" t="s">
        <v>55</v>
      </c>
      <c r="B61" s="66" t="s">
        <v>2917</v>
      </c>
      <c r="C61" s="66" t="s">
        <v>2918</v>
      </c>
      <c r="D61" s="67">
        <f>'Soupis dodávek a prací'!J2221</f>
        <v>0</v>
      </c>
      <c r="E61" s="67">
        <f>'Soupis dodávek a prací'!K2221</f>
        <v>0</v>
      </c>
      <c r="F61" s="67">
        <f>'Soupis dodávek a prací'!L2221</f>
        <v>0</v>
      </c>
      <c r="G61" s="67">
        <f>'Soupis dodávek a prací'!O2221</f>
        <v>0.128</v>
      </c>
      <c r="H61" s="32" t="s">
        <v>4233</v>
      </c>
      <c r="I61" s="23">
        <f t="shared" si="1"/>
        <v>0</v>
      </c>
    </row>
    <row r="62" spans="1:9" x14ac:dyDescent="0.25">
      <c r="A62" s="66" t="s">
        <v>55</v>
      </c>
      <c r="B62" s="66" t="s">
        <v>2930</v>
      </c>
      <c r="C62" s="66" t="s">
        <v>2931</v>
      </c>
      <c r="D62" s="67">
        <f>'Soupis dodávek a prací'!J2225</f>
        <v>0</v>
      </c>
      <c r="E62" s="67">
        <f>'Soupis dodávek a prací'!K2225</f>
        <v>0</v>
      </c>
      <c r="F62" s="67">
        <f>'Soupis dodávek a prací'!L2225</f>
        <v>0</v>
      </c>
      <c r="G62" s="67">
        <f>'Soupis dodávek a prací'!O2225</f>
        <v>482.91546720000019</v>
      </c>
      <c r="H62" s="32" t="s">
        <v>4233</v>
      </c>
      <c r="I62" s="23">
        <f t="shared" si="1"/>
        <v>0</v>
      </c>
    </row>
    <row r="63" spans="1:9" x14ac:dyDescent="0.25">
      <c r="A63" s="66" t="s">
        <v>55</v>
      </c>
      <c r="B63" s="66" t="s">
        <v>3137</v>
      </c>
      <c r="C63" s="66" t="s">
        <v>3138</v>
      </c>
      <c r="D63" s="67">
        <f>'Soupis dodávek a prací'!J2345</f>
        <v>0</v>
      </c>
      <c r="E63" s="67">
        <f>'Soupis dodávek a prací'!K2345</f>
        <v>0</v>
      </c>
      <c r="F63" s="67">
        <f>'Soupis dodávek a prací'!L2345</f>
        <v>0</v>
      </c>
      <c r="G63" s="67">
        <f>'Soupis dodávek a prací'!O2345</f>
        <v>170.8777069999999</v>
      </c>
      <c r="H63" s="32" t="s">
        <v>4233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3497</v>
      </c>
      <c r="D64" s="65">
        <f>'Soupis dodávek a prací'!J2516</f>
        <v>0</v>
      </c>
      <c r="E64" s="65">
        <f>'Soupis dodávek a prací'!K2516</f>
        <v>0</v>
      </c>
      <c r="F64" s="65">
        <f>'Soupis dodávek a prací'!L2516</f>
        <v>0</v>
      </c>
      <c r="G64" s="65">
        <f>'Soupis dodávek a prací'!O2516</f>
        <v>0</v>
      </c>
      <c r="H64" s="60" t="s">
        <v>4232</v>
      </c>
      <c r="I64" s="59">
        <f t="shared" si="1"/>
        <v>0</v>
      </c>
    </row>
    <row r="65" spans="1:9" x14ac:dyDescent="0.25">
      <c r="A65" s="66" t="s">
        <v>55</v>
      </c>
      <c r="B65" s="66" t="s">
        <v>3498</v>
      </c>
      <c r="C65" s="66" t="s">
        <v>3499</v>
      </c>
      <c r="D65" s="67">
        <f>'Soupis dodávek a prací'!J2517</f>
        <v>0</v>
      </c>
      <c r="E65" s="67">
        <f>'Soupis dodávek a prací'!K2517</f>
        <v>0</v>
      </c>
      <c r="F65" s="67">
        <f>'Soupis dodávek a prací'!L2517</f>
        <v>0</v>
      </c>
      <c r="G65" s="67">
        <f>'Soupis dodávek a prací'!O2517</f>
        <v>0</v>
      </c>
      <c r="H65" s="32" t="s">
        <v>4233</v>
      </c>
      <c r="I65" s="23">
        <f t="shared" si="1"/>
        <v>0</v>
      </c>
    </row>
    <row r="66" spans="1:9" s="58" customFormat="1" x14ac:dyDescent="0.25">
      <c r="A66" s="68" t="s">
        <v>4027</v>
      </c>
      <c r="B66" s="68" t="s">
        <v>54</v>
      </c>
      <c r="C66" s="68" t="s">
        <v>4028</v>
      </c>
      <c r="D66" s="69">
        <f>'Soupis dodávek a prací'!J2697</f>
        <v>0</v>
      </c>
      <c r="E66" s="69">
        <f>'Soupis dodávek a prací'!K2697</f>
        <v>0</v>
      </c>
      <c r="F66" s="69">
        <f>'Soupis dodávek a prací'!L2697</f>
        <v>0</v>
      </c>
      <c r="G66" s="69">
        <f>'Soupis dodávek a prací'!O2697</f>
        <v>385.07113543999998</v>
      </c>
      <c r="H66" s="56" t="s">
        <v>4232</v>
      </c>
      <c r="I66" s="57">
        <f t="shared" si="1"/>
        <v>0</v>
      </c>
    </row>
    <row r="67" spans="1:9" s="61" customFormat="1" x14ac:dyDescent="0.25">
      <c r="A67" s="64" t="s">
        <v>4027</v>
      </c>
      <c r="B67" s="64" t="s">
        <v>54</v>
      </c>
      <c r="C67" s="64" t="s">
        <v>56</v>
      </c>
      <c r="D67" s="65">
        <f>'Soupis dodávek a prací'!J2698</f>
        <v>0</v>
      </c>
      <c r="E67" s="65">
        <f>'Soupis dodávek a prací'!K2698</f>
        <v>0</v>
      </c>
      <c r="F67" s="65">
        <f>'Soupis dodávek a prací'!L2698</f>
        <v>0</v>
      </c>
      <c r="G67" s="65">
        <f>'Soupis dodávek a prací'!O2698</f>
        <v>385.07113543999998</v>
      </c>
      <c r="H67" s="60" t="s">
        <v>4232</v>
      </c>
      <c r="I67" s="59">
        <f t="shared" si="1"/>
        <v>0</v>
      </c>
    </row>
    <row r="68" spans="1:9" x14ac:dyDescent="0.25">
      <c r="A68" s="66" t="s">
        <v>4027</v>
      </c>
      <c r="B68" s="66" t="s">
        <v>57</v>
      </c>
      <c r="C68" s="66" t="s">
        <v>58</v>
      </c>
      <c r="D68" s="67">
        <f>'Soupis dodávek a prací'!J2699</f>
        <v>0</v>
      </c>
      <c r="E68" s="67">
        <f>'Soupis dodávek a prací'!K2699</f>
        <v>0</v>
      </c>
      <c r="F68" s="67">
        <f>'Soupis dodávek a prací'!L2699</f>
        <v>0</v>
      </c>
      <c r="G68" s="67">
        <f>'Soupis dodávek a prací'!O2699</f>
        <v>0</v>
      </c>
      <c r="H68" s="32" t="s">
        <v>4233</v>
      </c>
      <c r="I68" s="23">
        <f t="shared" si="1"/>
        <v>0</v>
      </c>
    </row>
    <row r="69" spans="1:9" x14ac:dyDescent="0.25">
      <c r="A69" s="66" t="s">
        <v>4027</v>
      </c>
      <c r="B69" s="66" t="s">
        <v>134</v>
      </c>
      <c r="C69" s="66" t="s">
        <v>135</v>
      </c>
      <c r="D69" s="67">
        <f>'Soupis dodávek a prací'!J2705</f>
        <v>0</v>
      </c>
      <c r="E69" s="67">
        <f>'Soupis dodávek a prací'!K2705</f>
        <v>0</v>
      </c>
      <c r="F69" s="67">
        <f>'Soupis dodávek a prací'!L2705</f>
        <v>0</v>
      </c>
      <c r="G69" s="67">
        <f>'Soupis dodávek a prací'!O2705</f>
        <v>0</v>
      </c>
      <c r="H69" s="32" t="s">
        <v>4233</v>
      </c>
      <c r="I69" s="23">
        <f t="shared" si="1"/>
        <v>0</v>
      </c>
    </row>
    <row r="70" spans="1:9" x14ac:dyDescent="0.25">
      <c r="A70" s="66" t="s">
        <v>4027</v>
      </c>
      <c r="B70" s="66" t="s">
        <v>63</v>
      </c>
      <c r="C70" s="66" t="s">
        <v>204</v>
      </c>
      <c r="D70" s="67">
        <f>'Soupis dodávek a prací'!J2710</f>
        <v>0</v>
      </c>
      <c r="E70" s="67">
        <f>'Soupis dodávek a prací'!K2710</f>
        <v>0</v>
      </c>
      <c r="F70" s="67">
        <f>'Soupis dodávek a prací'!L2710</f>
        <v>0</v>
      </c>
      <c r="G70" s="67">
        <f>'Soupis dodávek a prací'!O2710</f>
        <v>13.4525553</v>
      </c>
      <c r="H70" s="32" t="s">
        <v>4233</v>
      </c>
      <c r="I70" s="23">
        <f t="shared" si="1"/>
        <v>0</v>
      </c>
    </row>
    <row r="71" spans="1:9" x14ac:dyDescent="0.25">
      <c r="A71" s="66" t="s">
        <v>4027</v>
      </c>
      <c r="B71" s="66" t="s">
        <v>217</v>
      </c>
      <c r="C71" s="66" t="s">
        <v>218</v>
      </c>
      <c r="D71" s="67">
        <f>'Soupis dodávek a prací'!J2715</f>
        <v>0</v>
      </c>
      <c r="E71" s="67">
        <f>'Soupis dodávek a prací'!K2715</f>
        <v>0</v>
      </c>
      <c r="F71" s="67">
        <f>'Soupis dodávek a prací'!L2715</f>
        <v>0</v>
      </c>
      <c r="G71" s="67">
        <f>'Soupis dodávek a prací'!O2715</f>
        <v>51.137790000000003</v>
      </c>
      <c r="H71" s="32" t="s">
        <v>4233</v>
      </c>
      <c r="I71" s="23">
        <f t="shared" si="1"/>
        <v>0</v>
      </c>
    </row>
    <row r="72" spans="1:9" x14ac:dyDescent="0.25">
      <c r="A72" s="66" t="s">
        <v>4027</v>
      </c>
      <c r="B72" s="66" t="s">
        <v>521</v>
      </c>
      <c r="C72" s="66" t="s">
        <v>4059</v>
      </c>
      <c r="D72" s="67">
        <f>'Soupis dodávek a prací'!J2725</f>
        <v>0</v>
      </c>
      <c r="E72" s="67">
        <f>'Soupis dodávek a prací'!K2725</f>
        <v>0</v>
      </c>
      <c r="F72" s="67">
        <f>'Soupis dodávek a prací'!L2725</f>
        <v>0</v>
      </c>
      <c r="G72" s="67">
        <f>'Soupis dodávek a prací'!O2725</f>
        <v>317.49175513999995</v>
      </c>
      <c r="H72" s="32" t="s">
        <v>4233</v>
      </c>
      <c r="I72" s="23">
        <f t="shared" si="1"/>
        <v>0</v>
      </c>
    </row>
    <row r="73" spans="1:9" x14ac:dyDescent="0.25">
      <c r="A73" s="66" t="s">
        <v>4027</v>
      </c>
      <c r="B73" s="66" t="s">
        <v>525</v>
      </c>
      <c r="C73" s="66" t="s">
        <v>855</v>
      </c>
      <c r="D73" s="67">
        <f>'Soupis dodávek a prací'!J2729</f>
        <v>0</v>
      </c>
      <c r="E73" s="67">
        <f>'Soupis dodávek a prací'!K2729</f>
        <v>0</v>
      </c>
      <c r="F73" s="67">
        <f>'Soupis dodávek a prací'!L2729</f>
        <v>0</v>
      </c>
      <c r="G73" s="67">
        <f>'Soupis dodávek a prací'!O2729</f>
        <v>2.9890349999999999</v>
      </c>
      <c r="H73" s="32" t="s">
        <v>4233</v>
      </c>
      <c r="I73" s="23">
        <f t="shared" si="1"/>
        <v>0</v>
      </c>
    </row>
    <row r="74" spans="1:9" x14ac:dyDescent="0.25">
      <c r="A74" s="66" t="s">
        <v>4027</v>
      </c>
      <c r="B74" s="66" t="s">
        <v>852</v>
      </c>
      <c r="C74" s="66" t="s">
        <v>1350</v>
      </c>
      <c r="D74" s="67">
        <f>'Soupis dodávek a prací'!J2732</f>
        <v>0</v>
      </c>
      <c r="E74" s="67">
        <f>'Soupis dodávek a prací'!K2732</f>
        <v>0</v>
      </c>
      <c r="F74" s="67">
        <f>'Soupis dodávek a prací'!L2732</f>
        <v>0</v>
      </c>
      <c r="G74" s="67">
        <f>'Soupis dodávek a prací'!O2732</f>
        <v>0</v>
      </c>
      <c r="H74" s="32" t="s">
        <v>4233</v>
      </c>
      <c r="I74" s="23">
        <f t="shared" si="1"/>
        <v>0</v>
      </c>
    </row>
    <row r="75" spans="1:9" s="61" customFormat="1" x14ac:dyDescent="0.25">
      <c r="A75" s="64" t="s">
        <v>4027</v>
      </c>
      <c r="B75" s="64" t="s">
        <v>54</v>
      </c>
      <c r="C75" s="64" t="s">
        <v>1355</v>
      </c>
      <c r="D75" s="65">
        <f>'Soupis dodávek a prací'!J2734</f>
        <v>0</v>
      </c>
      <c r="E75" s="65">
        <f>'Soupis dodávek a prací'!K2734</f>
        <v>0</v>
      </c>
      <c r="F75" s="65">
        <f>'Soupis dodávek a prací'!L2734</f>
        <v>0</v>
      </c>
      <c r="G75" s="65">
        <f>'Soupis dodávek a prací'!O2734</f>
        <v>0</v>
      </c>
      <c r="H75" s="60" t="s">
        <v>4232</v>
      </c>
      <c r="I75" s="59">
        <f t="shared" ref="I75:I97" si="2">IF(H75="F",0,F75)</f>
        <v>0</v>
      </c>
    </row>
    <row r="76" spans="1:9" x14ac:dyDescent="0.25">
      <c r="A76" s="66" t="s">
        <v>4027</v>
      </c>
      <c r="B76" s="66" t="s">
        <v>2510</v>
      </c>
      <c r="C76" s="66" t="s">
        <v>2511</v>
      </c>
      <c r="D76" s="67">
        <f>'Soupis dodávek a prací'!J2735</f>
        <v>0</v>
      </c>
      <c r="E76" s="67">
        <f>'Soupis dodávek a prací'!K2735</f>
        <v>0</v>
      </c>
      <c r="F76" s="67">
        <f>'Soupis dodávek a prací'!L2735</f>
        <v>0</v>
      </c>
      <c r="G76" s="67">
        <f>'Soupis dodávek a prací'!O2735</f>
        <v>0</v>
      </c>
      <c r="H76" s="32" t="s">
        <v>4233</v>
      </c>
      <c r="I76" s="23">
        <f t="shared" si="2"/>
        <v>0</v>
      </c>
    </row>
    <row r="77" spans="1:9" s="58" customFormat="1" x14ac:dyDescent="0.25">
      <c r="A77" s="68" t="s">
        <v>4081</v>
      </c>
      <c r="B77" s="68" t="s">
        <v>54</v>
      </c>
      <c r="C77" s="68" t="s">
        <v>4082</v>
      </c>
      <c r="D77" s="69">
        <f>'Soupis dodávek a prací'!J2742</f>
        <v>0</v>
      </c>
      <c r="E77" s="69">
        <f>'Soupis dodávek a prací'!K2742</f>
        <v>0</v>
      </c>
      <c r="F77" s="69">
        <f>'Soupis dodávek a prací'!L2742</f>
        <v>0</v>
      </c>
      <c r="G77" s="69">
        <f>'Soupis dodávek a prací'!O2742</f>
        <v>4000.1700064269999</v>
      </c>
      <c r="H77" s="56" t="s">
        <v>4232</v>
      </c>
      <c r="I77" s="57">
        <f t="shared" si="2"/>
        <v>0</v>
      </c>
    </row>
    <row r="78" spans="1:9" s="61" customFormat="1" x14ac:dyDescent="0.25">
      <c r="A78" s="64" t="s">
        <v>4081</v>
      </c>
      <c r="B78" s="64" t="s">
        <v>54</v>
      </c>
      <c r="C78" s="64" t="s">
        <v>56</v>
      </c>
      <c r="D78" s="65">
        <f>'Soupis dodávek a prací'!J2743</f>
        <v>0</v>
      </c>
      <c r="E78" s="65">
        <f>'Soupis dodávek a prací'!K2743</f>
        <v>0</v>
      </c>
      <c r="F78" s="65">
        <f>'Soupis dodávek a prací'!L2743</f>
        <v>0</v>
      </c>
      <c r="G78" s="65">
        <f>'Soupis dodávek a prací'!O2743</f>
        <v>4000.1700064269999</v>
      </c>
      <c r="H78" s="60" t="s">
        <v>4232</v>
      </c>
      <c r="I78" s="59">
        <f t="shared" si="2"/>
        <v>0</v>
      </c>
    </row>
    <row r="79" spans="1:9" x14ac:dyDescent="0.25">
      <c r="A79" s="66" t="s">
        <v>4081</v>
      </c>
      <c r="B79" s="66" t="s">
        <v>502</v>
      </c>
      <c r="C79" s="66" t="s">
        <v>4083</v>
      </c>
      <c r="D79" s="67">
        <f>'Soupis dodávek a prací'!J2744</f>
        <v>0</v>
      </c>
      <c r="E79" s="67">
        <f>'Soupis dodávek a prací'!K2744</f>
        <v>0</v>
      </c>
      <c r="F79" s="67">
        <f>'Soupis dodávek a prací'!L2744</f>
        <v>0</v>
      </c>
      <c r="G79" s="67">
        <f>'Soupis dodávek a prací'!O2744</f>
        <v>563.01864</v>
      </c>
      <c r="H79" s="32" t="s">
        <v>4233</v>
      </c>
      <c r="I79" s="23">
        <f t="shared" si="2"/>
        <v>0</v>
      </c>
    </row>
    <row r="80" spans="1:9" x14ac:dyDescent="0.25">
      <c r="A80" s="66" t="s">
        <v>4081</v>
      </c>
      <c r="B80" s="66" t="s">
        <v>521</v>
      </c>
      <c r="C80" s="66" t="s">
        <v>4059</v>
      </c>
      <c r="D80" s="67">
        <f>'Soupis dodávek a prací'!J2748</f>
        <v>0</v>
      </c>
      <c r="E80" s="67">
        <f>'Soupis dodávek a prací'!K2748</f>
        <v>0</v>
      </c>
      <c r="F80" s="67">
        <f>'Soupis dodávek a prací'!L2748</f>
        <v>0</v>
      </c>
      <c r="G80" s="67">
        <f>'Soupis dodávek a prací'!O2748</f>
        <v>1091.6435424440001</v>
      </c>
      <c r="H80" s="32" t="s">
        <v>4233</v>
      </c>
      <c r="I80" s="23">
        <f t="shared" si="2"/>
        <v>0</v>
      </c>
    </row>
    <row r="81" spans="1:9" x14ac:dyDescent="0.25">
      <c r="A81" s="66" t="s">
        <v>4081</v>
      </c>
      <c r="B81" s="66" t="s">
        <v>525</v>
      </c>
      <c r="C81" s="66" t="s">
        <v>855</v>
      </c>
      <c r="D81" s="67">
        <f>'Soupis dodávek a prací'!J2756</f>
        <v>0</v>
      </c>
      <c r="E81" s="67">
        <f>'Soupis dodávek a prací'!K2756</f>
        <v>0</v>
      </c>
      <c r="F81" s="67">
        <f>'Soupis dodávek a prací'!L2756</f>
        <v>0</v>
      </c>
      <c r="G81" s="67">
        <f>'Soupis dodávek a prací'!O2756</f>
        <v>648.33508518300005</v>
      </c>
      <c r="H81" s="32" t="s">
        <v>4233</v>
      </c>
      <c r="I81" s="23">
        <f t="shared" si="2"/>
        <v>0</v>
      </c>
    </row>
    <row r="82" spans="1:9" x14ac:dyDescent="0.25">
      <c r="A82" s="66" t="s">
        <v>4081</v>
      </c>
      <c r="B82" s="66" t="s">
        <v>781</v>
      </c>
      <c r="C82" s="66" t="s">
        <v>4117</v>
      </c>
      <c r="D82" s="67">
        <f>'Soupis dodávek a prací'!J2774</f>
        <v>0</v>
      </c>
      <c r="E82" s="67">
        <f>'Soupis dodávek a prací'!K2774</f>
        <v>0</v>
      </c>
      <c r="F82" s="67">
        <f>'Soupis dodávek a prací'!L2774</f>
        <v>0</v>
      </c>
      <c r="G82" s="67">
        <f>'Soupis dodávek a prací'!O2774</f>
        <v>0</v>
      </c>
      <c r="H82" s="32" t="s">
        <v>4233</v>
      </c>
      <c r="I82" s="23">
        <f t="shared" si="2"/>
        <v>0</v>
      </c>
    </row>
    <row r="83" spans="1:9" x14ac:dyDescent="0.25">
      <c r="A83" s="66" t="s">
        <v>4081</v>
      </c>
      <c r="B83" s="66" t="s">
        <v>791</v>
      </c>
      <c r="C83" s="66" t="s">
        <v>4128</v>
      </c>
      <c r="D83" s="67">
        <f>'Soupis dodávek a prací'!J2778</f>
        <v>0</v>
      </c>
      <c r="E83" s="67">
        <f>'Soupis dodávek a prací'!K2778</f>
        <v>0</v>
      </c>
      <c r="F83" s="67">
        <f>'Soupis dodávek a prací'!L2778</f>
        <v>0</v>
      </c>
      <c r="G83" s="67">
        <f>'Soupis dodávek a prací'!O2778</f>
        <v>0</v>
      </c>
      <c r="H83" s="32" t="s">
        <v>4233</v>
      </c>
      <c r="I83" s="23">
        <f t="shared" si="2"/>
        <v>0</v>
      </c>
    </row>
    <row r="84" spans="1:9" x14ac:dyDescent="0.25">
      <c r="A84" s="66" t="s">
        <v>4081</v>
      </c>
      <c r="B84" s="66" t="s">
        <v>811</v>
      </c>
      <c r="C84" s="66" t="s">
        <v>1318</v>
      </c>
      <c r="D84" s="67">
        <f>'Soupis dodávek a prací'!J2780</f>
        <v>0</v>
      </c>
      <c r="E84" s="67">
        <f>'Soupis dodávek a prací'!K2780</f>
        <v>0</v>
      </c>
      <c r="F84" s="67">
        <f>'Soupis dodávek a prací'!L2780</f>
        <v>0</v>
      </c>
      <c r="G84" s="67">
        <f>'Soupis dodávek a prací'!O2780</f>
        <v>2.4000000000000001E-4</v>
      </c>
      <c r="H84" s="32" t="s">
        <v>4233</v>
      </c>
      <c r="I84" s="23">
        <f t="shared" si="2"/>
        <v>0</v>
      </c>
    </row>
    <row r="85" spans="1:9" x14ac:dyDescent="0.25">
      <c r="A85" s="66" t="s">
        <v>4081</v>
      </c>
      <c r="B85" s="66" t="s">
        <v>845</v>
      </c>
      <c r="C85" s="66" t="s">
        <v>1336</v>
      </c>
      <c r="D85" s="67">
        <f>'Soupis dodávek a prací'!J2791</f>
        <v>0</v>
      </c>
      <c r="E85" s="67">
        <f>'Soupis dodávek a prací'!K2791</f>
        <v>0</v>
      </c>
      <c r="F85" s="67">
        <f>'Soupis dodávek a prací'!L2791</f>
        <v>0</v>
      </c>
      <c r="G85" s="67">
        <f>'Soupis dodávek a prací'!O2791</f>
        <v>1697.1724988000001</v>
      </c>
      <c r="H85" s="32" t="s">
        <v>4233</v>
      </c>
      <c r="I85" s="23">
        <f t="shared" si="2"/>
        <v>0</v>
      </c>
    </row>
    <row r="86" spans="1:9" s="61" customFormat="1" x14ac:dyDescent="0.25">
      <c r="A86" s="64" t="s">
        <v>4081</v>
      </c>
      <c r="B86" s="64" t="s">
        <v>4162</v>
      </c>
      <c r="C86" s="64" t="s">
        <v>4163</v>
      </c>
      <c r="D86" s="65">
        <f>'Soupis dodávek a prací'!J2807</f>
        <v>0</v>
      </c>
      <c r="E86" s="65">
        <f>'Soupis dodávek a prací'!K2807</f>
        <v>0</v>
      </c>
      <c r="F86" s="65">
        <f>'Soupis dodávek a prací'!L2807</f>
        <v>0</v>
      </c>
      <c r="G86" s="65">
        <f>'Soupis dodávek a prací'!O2807</f>
        <v>0</v>
      </c>
      <c r="H86" s="60" t="s">
        <v>4232</v>
      </c>
      <c r="I86" s="59">
        <f t="shared" si="2"/>
        <v>0</v>
      </c>
    </row>
    <row r="87" spans="1:9" x14ac:dyDescent="0.25">
      <c r="A87" s="66" t="s">
        <v>4081</v>
      </c>
      <c r="B87" s="66" t="s">
        <v>4164</v>
      </c>
      <c r="C87" s="66" t="s">
        <v>4165</v>
      </c>
      <c r="D87" s="67">
        <f>'Soupis dodávek a prací'!J2808</f>
        <v>0</v>
      </c>
      <c r="E87" s="67">
        <f>'Soupis dodávek a prací'!K2808</f>
        <v>0</v>
      </c>
      <c r="F87" s="67">
        <f>'Soupis dodávek a prací'!L2808</f>
        <v>0</v>
      </c>
      <c r="G87" s="67">
        <f>'Soupis dodávek a prací'!O2808</f>
        <v>0</v>
      </c>
      <c r="H87" s="32" t="s">
        <v>4233</v>
      </c>
      <c r="I87" s="23">
        <f t="shared" si="2"/>
        <v>0</v>
      </c>
    </row>
    <row r="88" spans="1:9" x14ac:dyDescent="0.25">
      <c r="A88" s="66" t="s">
        <v>4081</v>
      </c>
      <c r="B88" s="66" t="s">
        <v>4175</v>
      </c>
      <c r="C88" s="66" t="s">
        <v>4176</v>
      </c>
      <c r="D88" s="67">
        <f>'Soupis dodávek a prací'!J2811</f>
        <v>0</v>
      </c>
      <c r="E88" s="67">
        <f>'Soupis dodávek a prací'!K2811</f>
        <v>0</v>
      </c>
      <c r="F88" s="67">
        <f>'Soupis dodávek a prací'!L2811</f>
        <v>0</v>
      </c>
      <c r="G88" s="67">
        <f>'Soupis dodávek a prací'!O2811</f>
        <v>0</v>
      </c>
      <c r="H88" s="32" t="s">
        <v>4233</v>
      </c>
      <c r="I88" s="23">
        <f t="shared" si="2"/>
        <v>0</v>
      </c>
    </row>
    <row r="89" spans="1:9" x14ac:dyDescent="0.25">
      <c r="A89" s="66" t="s">
        <v>4081</v>
      </c>
      <c r="B89" s="66" t="s">
        <v>4182</v>
      </c>
      <c r="C89" s="66" t="s">
        <v>4183</v>
      </c>
      <c r="D89" s="67">
        <f>'Soupis dodávek a prací'!J2814</f>
        <v>0</v>
      </c>
      <c r="E89" s="67">
        <f>'Soupis dodávek a prací'!K2814</f>
        <v>0</v>
      </c>
      <c r="F89" s="67">
        <f>'Soupis dodávek a prací'!L2814</f>
        <v>0</v>
      </c>
      <c r="G89" s="67">
        <f>'Soupis dodávek a prací'!O2814</f>
        <v>0</v>
      </c>
      <c r="H89" s="32" t="s">
        <v>4233</v>
      </c>
      <c r="I89" s="23">
        <f t="shared" si="2"/>
        <v>0</v>
      </c>
    </row>
    <row r="90" spans="1:9" x14ac:dyDescent="0.25">
      <c r="A90" s="66" t="s">
        <v>4081</v>
      </c>
      <c r="B90" s="66" t="s">
        <v>4191</v>
      </c>
      <c r="C90" s="66" t="s">
        <v>4192</v>
      </c>
      <c r="D90" s="67">
        <f>'Soupis dodávek a prací'!J2817</f>
        <v>0</v>
      </c>
      <c r="E90" s="67">
        <f>'Soupis dodávek a prací'!K2817</f>
        <v>0</v>
      </c>
      <c r="F90" s="67">
        <f>'Soupis dodávek a prací'!L2817</f>
        <v>0</v>
      </c>
      <c r="G90" s="67">
        <f>'Soupis dodávek a prací'!O2817</f>
        <v>0</v>
      </c>
      <c r="H90" s="32" t="s">
        <v>4233</v>
      </c>
      <c r="I90" s="23">
        <f t="shared" si="2"/>
        <v>0</v>
      </c>
    </row>
    <row r="91" spans="1:9" x14ac:dyDescent="0.25">
      <c r="A91" s="66" t="s">
        <v>4081</v>
      </c>
      <c r="B91" s="66" t="s">
        <v>4197</v>
      </c>
      <c r="C91" s="66" t="s">
        <v>4198</v>
      </c>
      <c r="D91" s="67">
        <f>'Soupis dodávek a prací'!J2819</f>
        <v>0</v>
      </c>
      <c r="E91" s="67">
        <f>'Soupis dodávek a prací'!K2819</f>
        <v>0</v>
      </c>
      <c r="F91" s="67">
        <f>'Soupis dodávek a prací'!L2819</f>
        <v>0</v>
      </c>
      <c r="G91" s="67">
        <f>'Soupis dodávek a prací'!O2819</f>
        <v>0</v>
      </c>
      <c r="H91" s="32" t="s">
        <v>4233</v>
      </c>
      <c r="I91" s="23">
        <f t="shared" si="2"/>
        <v>0</v>
      </c>
    </row>
    <row r="92" spans="1:9" x14ac:dyDescent="0.25">
      <c r="A92" s="66" t="s">
        <v>4081</v>
      </c>
      <c r="B92" s="66" t="s">
        <v>4205</v>
      </c>
      <c r="C92" s="66" t="s">
        <v>4206</v>
      </c>
      <c r="D92" s="67">
        <f>'Soupis dodávek a prací'!J2822</f>
        <v>0</v>
      </c>
      <c r="E92" s="67">
        <f>'Soupis dodávek a prací'!K2822</f>
        <v>0</v>
      </c>
      <c r="F92" s="67">
        <f>'Soupis dodávek a prací'!L2822</f>
        <v>0</v>
      </c>
      <c r="G92" s="67">
        <f>'Soupis dodávek a prací'!O2822</f>
        <v>0</v>
      </c>
      <c r="H92" s="32" t="s">
        <v>4233</v>
      </c>
      <c r="I92" s="23">
        <f t="shared" si="2"/>
        <v>0</v>
      </c>
    </row>
    <row r="93" spans="1:9" x14ac:dyDescent="0.25">
      <c r="A93" s="66" t="s">
        <v>4081</v>
      </c>
      <c r="B93" s="66" t="s">
        <v>4210</v>
      </c>
      <c r="C93" s="66" t="s">
        <v>4211</v>
      </c>
      <c r="D93" s="67">
        <f>'Soupis dodávek a prací'!J2824</f>
        <v>0</v>
      </c>
      <c r="E93" s="67">
        <f>'Soupis dodávek a prací'!K2824</f>
        <v>0</v>
      </c>
      <c r="F93" s="67">
        <f>'Soupis dodávek a prací'!L2824</f>
        <v>0</v>
      </c>
      <c r="G93" s="67">
        <f>'Soupis dodávek a prací'!O2824</f>
        <v>0</v>
      </c>
      <c r="H93" s="32" t="s">
        <v>4233</v>
      </c>
      <c r="I93" s="23">
        <f t="shared" si="2"/>
        <v>0</v>
      </c>
    </row>
    <row r="94" spans="1:9" s="61" customFormat="1" x14ac:dyDescent="0.25">
      <c r="A94" s="64" t="s">
        <v>4081</v>
      </c>
      <c r="B94" s="64" t="s">
        <v>54</v>
      </c>
      <c r="C94" s="64" t="s">
        <v>1355</v>
      </c>
      <c r="D94" s="65">
        <f>'Soupis dodávek a prací'!J2826</f>
        <v>0</v>
      </c>
      <c r="E94" s="65">
        <f>'Soupis dodávek a prací'!K2826</f>
        <v>0</v>
      </c>
      <c r="F94" s="65">
        <f>'Soupis dodávek a prací'!L2826</f>
        <v>0</v>
      </c>
      <c r="G94" s="65">
        <f>'Soupis dodávek a prací'!O2826</f>
        <v>0</v>
      </c>
      <c r="H94" s="60" t="s">
        <v>4232</v>
      </c>
      <c r="I94" s="59">
        <f t="shared" si="2"/>
        <v>0</v>
      </c>
    </row>
    <row r="95" spans="1:9" x14ac:dyDescent="0.25">
      <c r="A95" s="66" t="s">
        <v>4081</v>
      </c>
      <c r="B95" s="66" t="s">
        <v>2930</v>
      </c>
      <c r="C95" s="66" t="s">
        <v>2931</v>
      </c>
      <c r="D95" s="67">
        <f>'Soupis dodávek a prací'!J2827</f>
        <v>0</v>
      </c>
      <c r="E95" s="67">
        <f>'Soupis dodávek a prací'!K2827</f>
        <v>0</v>
      </c>
      <c r="F95" s="67">
        <f>'Soupis dodávek a prací'!L2827</f>
        <v>0</v>
      </c>
      <c r="G95" s="67">
        <f>'Soupis dodávek a prací'!O2827</f>
        <v>0</v>
      </c>
      <c r="H95" s="32" t="s">
        <v>4233</v>
      </c>
      <c r="I95" s="23">
        <f t="shared" si="2"/>
        <v>0</v>
      </c>
    </row>
    <row r="96" spans="1:9" s="61" customFormat="1" x14ac:dyDescent="0.25">
      <c r="A96" s="64" t="s">
        <v>4081</v>
      </c>
      <c r="B96" s="64" t="s">
        <v>54</v>
      </c>
      <c r="C96" s="64" t="s">
        <v>3497</v>
      </c>
      <c r="D96" s="65">
        <f>'Soupis dodávek a prací'!J2829</f>
        <v>0</v>
      </c>
      <c r="E96" s="65">
        <f>'Soupis dodávek a prací'!K2829</f>
        <v>0</v>
      </c>
      <c r="F96" s="65">
        <f>'Soupis dodávek a prací'!L2829</f>
        <v>0</v>
      </c>
      <c r="G96" s="65">
        <f>'Soupis dodávek a prací'!O2829</f>
        <v>0</v>
      </c>
      <c r="H96" s="60" t="s">
        <v>4232</v>
      </c>
      <c r="I96" s="59">
        <f t="shared" si="2"/>
        <v>0</v>
      </c>
    </row>
    <row r="97" spans="1:9" x14ac:dyDescent="0.25">
      <c r="A97" s="70" t="s">
        <v>4081</v>
      </c>
      <c r="B97" s="70" t="s">
        <v>3498</v>
      </c>
      <c r="C97" s="70" t="s">
        <v>3499</v>
      </c>
      <c r="D97" s="71">
        <f>'Soupis dodávek a prací'!J2830</f>
        <v>0</v>
      </c>
      <c r="E97" s="71">
        <f>'Soupis dodávek a prací'!K2830</f>
        <v>0</v>
      </c>
      <c r="F97" s="71">
        <f>'Soupis dodávek a prací'!L2830</f>
        <v>0</v>
      </c>
      <c r="G97" s="71">
        <f>'Soupis dodávek a prací'!O2830</f>
        <v>0</v>
      </c>
      <c r="H97" s="32" t="s">
        <v>4233</v>
      </c>
      <c r="I97" s="23">
        <f t="shared" si="2"/>
        <v>0</v>
      </c>
    </row>
    <row r="98" spans="1:9" x14ac:dyDescent="0.25">
      <c r="E98" s="24" t="s">
        <v>4225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35"/>
  <sheetViews>
    <sheetView zoomScaleNormal="100" workbookViewId="0">
      <pane ySplit="11" topLeftCell="A12" activePane="bottomLeft" state="frozen"/>
      <selection pane="bottomLeft" activeCell="E1961" sqref="E1961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05" t="s">
        <v>1</v>
      </c>
      <c r="B2" s="106"/>
      <c r="C2" s="106"/>
      <c r="D2" s="116" t="s">
        <v>2</v>
      </c>
      <c r="E2" s="117"/>
      <c r="F2" s="106" t="s">
        <v>3</v>
      </c>
      <c r="G2" s="106"/>
      <c r="H2" s="162" t="s">
        <v>4</v>
      </c>
      <c r="I2" s="110" t="s">
        <v>5</v>
      </c>
      <c r="J2" s="110" t="s">
        <v>6</v>
      </c>
      <c r="K2" s="106"/>
      <c r="L2" s="106"/>
      <c r="M2" s="106"/>
      <c r="N2" s="106"/>
      <c r="O2" s="106"/>
      <c r="P2" s="169"/>
    </row>
    <row r="3" spans="1:76" x14ac:dyDescent="0.25">
      <c r="A3" s="107"/>
      <c r="B3" s="108"/>
      <c r="C3" s="108"/>
      <c r="D3" s="118"/>
      <c r="E3" s="118"/>
      <c r="F3" s="108"/>
      <c r="G3" s="108"/>
      <c r="H3" s="163"/>
      <c r="I3" s="108"/>
      <c r="J3" s="108"/>
      <c r="K3" s="108"/>
      <c r="L3" s="108"/>
      <c r="M3" s="108"/>
      <c r="N3" s="108"/>
      <c r="O3" s="108"/>
      <c r="P3" s="115"/>
    </row>
    <row r="4" spans="1:76" x14ac:dyDescent="0.25">
      <c r="A4" s="109" t="s">
        <v>7</v>
      </c>
      <c r="B4" s="108"/>
      <c r="C4" s="108"/>
      <c r="D4" s="111" t="s">
        <v>4</v>
      </c>
      <c r="E4" s="108"/>
      <c r="F4" s="108" t="s">
        <v>8</v>
      </c>
      <c r="G4" s="108"/>
      <c r="H4" s="163" t="s">
        <v>4</v>
      </c>
      <c r="I4" s="111" t="s">
        <v>9</v>
      </c>
      <c r="J4" s="111" t="s">
        <v>10</v>
      </c>
      <c r="K4" s="108"/>
      <c r="L4" s="108"/>
      <c r="M4" s="108"/>
      <c r="N4" s="108"/>
      <c r="O4" s="108"/>
      <c r="P4" s="115"/>
    </row>
    <row r="5" spans="1:76" x14ac:dyDescent="0.25">
      <c r="A5" s="107"/>
      <c r="B5" s="108"/>
      <c r="C5" s="108"/>
      <c r="D5" s="108"/>
      <c r="E5" s="108"/>
      <c r="F5" s="108"/>
      <c r="G5" s="108"/>
      <c r="H5" s="163"/>
      <c r="I5" s="108"/>
      <c r="J5" s="108"/>
      <c r="K5" s="108"/>
      <c r="L5" s="108"/>
      <c r="M5" s="108"/>
      <c r="N5" s="108"/>
      <c r="O5" s="108"/>
      <c r="P5" s="115"/>
    </row>
    <row r="6" spans="1:76" x14ac:dyDescent="0.25">
      <c r="A6" s="109" t="s">
        <v>11</v>
      </c>
      <c r="B6" s="108"/>
      <c r="C6" s="108"/>
      <c r="D6" s="111" t="s">
        <v>12</v>
      </c>
      <c r="E6" s="108"/>
      <c r="F6" s="108" t="s">
        <v>13</v>
      </c>
      <c r="G6" s="108"/>
      <c r="H6" s="163" t="s">
        <v>4</v>
      </c>
      <c r="I6" s="111" t="s">
        <v>14</v>
      </c>
      <c r="J6" s="170" t="s">
        <v>15</v>
      </c>
      <c r="K6" s="163"/>
      <c r="L6" s="163"/>
      <c r="M6" s="163"/>
      <c r="N6" s="163"/>
      <c r="O6" s="163"/>
      <c r="P6" s="113"/>
    </row>
    <row r="7" spans="1:76" x14ac:dyDescent="0.25">
      <c r="A7" s="107"/>
      <c r="B7" s="108"/>
      <c r="C7" s="108"/>
      <c r="D7" s="108"/>
      <c r="E7" s="108"/>
      <c r="F7" s="108"/>
      <c r="G7" s="108"/>
      <c r="H7" s="163"/>
      <c r="I7" s="108"/>
      <c r="J7" s="163"/>
      <c r="K7" s="163"/>
      <c r="L7" s="163"/>
      <c r="M7" s="163"/>
      <c r="N7" s="163"/>
      <c r="O7" s="163"/>
      <c r="P7" s="113"/>
    </row>
    <row r="8" spans="1:76" x14ac:dyDescent="0.25">
      <c r="A8" s="109" t="s">
        <v>16</v>
      </c>
      <c r="B8" s="108"/>
      <c r="C8" s="108"/>
      <c r="D8" s="170" t="s">
        <v>4</v>
      </c>
      <c r="E8" s="163"/>
      <c r="F8" s="108" t="s">
        <v>17</v>
      </c>
      <c r="G8" s="108"/>
      <c r="H8" s="174">
        <v>45389</v>
      </c>
      <c r="I8" s="111" t="s">
        <v>19</v>
      </c>
      <c r="J8" s="163" t="s">
        <v>20</v>
      </c>
      <c r="K8" s="163"/>
      <c r="L8" s="163"/>
      <c r="M8" s="163"/>
      <c r="N8" s="163"/>
      <c r="O8" s="163"/>
      <c r="P8" s="113"/>
    </row>
    <row r="9" spans="1:76" x14ac:dyDescent="0.25">
      <c r="A9" s="158"/>
      <c r="B9" s="159"/>
      <c r="C9" s="159"/>
      <c r="D9" s="164"/>
      <c r="E9" s="164"/>
      <c r="F9" s="159"/>
      <c r="G9" s="159"/>
      <c r="H9" s="164"/>
      <c r="I9" s="159"/>
      <c r="J9" s="164"/>
      <c r="K9" s="164"/>
      <c r="L9" s="164"/>
      <c r="M9" s="164"/>
      <c r="N9" s="164"/>
      <c r="O9" s="164"/>
      <c r="P9" s="171"/>
    </row>
    <row r="10" spans="1:76" x14ac:dyDescent="0.25">
      <c r="A10" s="3" t="s">
        <v>4290</v>
      </c>
      <c r="B10" s="4" t="s">
        <v>21</v>
      </c>
      <c r="C10" s="4" t="s">
        <v>22</v>
      </c>
      <c r="D10" s="172" t="s">
        <v>23</v>
      </c>
      <c r="E10" s="173"/>
      <c r="F10" s="4" t="s">
        <v>24</v>
      </c>
      <c r="G10" s="5" t="s">
        <v>25</v>
      </c>
      <c r="H10" s="6" t="s">
        <v>26</v>
      </c>
      <c r="I10" s="7" t="s">
        <v>27</v>
      </c>
      <c r="J10" s="179" t="s">
        <v>28</v>
      </c>
      <c r="K10" s="180"/>
      <c r="L10" s="181"/>
      <c r="M10" s="8" t="s">
        <v>28</v>
      </c>
      <c r="N10" s="165" t="s">
        <v>29</v>
      </c>
      <c r="O10" s="166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177" t="s">
        <v>34</v>
      </c>
      <c r="E11" s="178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78" t="s">
        <v>54</v>
      </c>
      <c r="B12" s="77" t="s">
        <v>55</v>
      </c>
      <c r="C12" s="77" t="s">
        <v>54</v>
      </c>
      <c r="D12" s="167" t="s">
        <v>2</v>
      </c>
      <c r="E12" s="167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1101+J1129+J1157+J1166+J1171+J1174+J1265+J1383+J1548+J1570+J1587+J1599+J1607+J1616+J1630+J1637+J1645+J1669+J1696+J1725+J1767+J1777+J1813+J1889+J1992+J2025+J2089+J2136+J2212+J2216+J2221+J2225+J2345+J2517</f>
        <v>0</v>
      </c>
      <c r="K12" s="79">
        <f>K14+K75+K90+K111+K120+K127+K209+K361+K405+K468+K657+K664+K677+K684+K690+K861+K998+K1101+K1129+K1157+K1166+K1171+K1174+K1265+K1383+K1548+K1570+K1587+K1599+K1607+K1616+K1630+K1637+K1645+K1669+K1696+K1725+K1767+K1777+K1813+K1889+K1992+K2025+K2089+K2136+K2212+K2216+K2221+K2225+K2345+K2517</f>
        <v>0</v>
      </c>
      <c r="L12" s="79">
        <f>L14+L75+L90+L111+L120+L127+L209+L361+L405+L468+L657+L664+L677+L684+L690+L861+L998+L1101+L1129+L1157+L1166+L1171+L1174+L1265+L1383+L1548+L1570+L1587+L1599+L1607+L1616+L1630+L1637+L1645+L1669+L1696+L1725+L1767+L1777+L1813+L1889+L1992+L2025+L2089+L2136+L2212+L2216+L2221+L2225+L2345+L2517</f>
        <v>0</v>
      </c>
      <c r="M12" s="79">
        <f>M14+M75+M90+M111+M120+M127+M209+M361+M405+M468+M657+M664+M677+M684+M690+M861+M998+M1101+M1129+M1157+M1166+M1171+M1174+M1265+M1383+M1548+M1570+M1587+M1599+M1607+M1616+M1630+M1637+M1645+M1669+M1696+M1725+M1767+M1777+M1813+M1889+M1992+M2025+M2089+M2136+M2212+M2216+M2221+M2225+M2345+M2517</f>
        <v>0</v>
      </c>
      <c r="N12" s="80" t="s">
        <v>54</v>
      </c>
      <c r="O12" s="79">
        <f>O14+O75+O90+O111+O120+O127+O209+O361+O405+O468+O657+O664+O677+O684+O690+O861+O998+O1101+O1129+O1157+O1166+O1171+O1174+O1265+O1383+O1548+O1570+O1587+O1599+O1607+O1616+O1630+O1637+O1645+O1669+O1696+O1725+O1767+O1777+O1813+O1889+O1992+O2025+O2089+O2136+O2212+O2216+O2221+O2225+O2345+O2517</f>
        <v>18249.784685553099</v>
      </c>
      <c r="P12" s="80" t="s">
        <v>54</v>
      </c>
    </row>
    <row r="13" spans="1:76" s="81" customFormat="1" x14ac:dyDescent="0.25">
      <c r="A13" s="82" t="s">
        <v>54</v>
      </c>
      <c r="B13" s="73" t="s">
        <v>55</v>
      </c>
      <c r="C13" s="73" t="s">
        <v>54</v>
      </c>
      <c r="D13" s="168" t="s">
        <v>56</v>
      </c>
      <c r="E13" s="168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J14+J75+J90+J111+J120+J127+J209+J361+J405+J468+J657+J664+J677+J684+J690+J861+J998+J1101+J1129+J1157+J1166+J1171</f>
        <v>0</v>
      </c>
      <c r="K13" s="83">
        <f>K14+K75+K90+K111+K120+K127+K209+K361+K405+K468+K657+K664+K677+K684+K690+K861+K998+K1101+K1129+K1157+K1166+K1171</f>
        <v>0</v>
      </c>
      <c r="L13" s="83">
        <f>L14+L75+L90+L111+L120+L127+L209+L361+L405+L468+L657+L664+L677+L684+L690+L861+L998+L1101+L1129+L1157+L1166+L1171</f>
        <v>0</v>
      </c>
      <c r="M13" s="83">
        <f>M14+M75+M90+M111+M120+M127+M209+M361+M405+M468+M657+M664+M677+M684+M690+M861+M998+M1101+M1129+M1157+M1166+M1171</f>
        <v>0</v>
      </c>
      <c r="N13" s="84" t="s">
        <v>54</v>
      </c>
      <c r="O13" s="83">
        <f>O14+O75+O90+O111+O120+O127+O209+O361+O405+O468+O657+O664+O677+O684+O690+O861+O998+O1101+O1129+O1157+O1166+O1171</f>
        <v>3757.9637647089999</v>
      </c>
      <c r="P13" s="84" t="s">
        <v>54</v>
      </c>
    </row>
    <row r="14" spans="1:76" s="81" customFormat="1" x14ac:dyDescent="0.25">
      <c r="A14" s="85" t="s">
        <v>54</v>
      </c>
      <c r="B14" s="74" t="s">
        <v>55</v>
      </c>
      <c r="C14" s="74" t="s">
        <v>57</v>
      </c>
      <c r="D14" s="176" t="s">
        <v>58</v>
      </c>
      <c r="E14" s="176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72" t="s">
        <v>59</v>
      </c>
      <c r="B15" s="72" t="s">
        <v>55</v>
      </c>
      <c r="C15" s="72" t="s">
        <v>60</v>
      </c>
      <c r="D15" s="175" t="s">
        <v>61</v>
      </c>
      <c r="E15" s="175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95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95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95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95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95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95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95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95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95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95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95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95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95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95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95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95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95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95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95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95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95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95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95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95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95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95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95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95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95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95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95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95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95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95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95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95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95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95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95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95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95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95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95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95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95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95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95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95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95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72" t="s">
        <v>118</v>
      </c>
      <c r="B65" s="72" t="s">
        <v>55</v>
      </c>
      <c r="C65" s="72" t="s">
        <v>119</v>
      </c>
      <c r="D65" s="175" t="s">
        <v>120</v>
      </c>
      <c r="E65" s="175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95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72" t="s">
        <v>122</v>
      </c>
      <c r="B67" s="72" t="s">
        <v>55</v>
      </c>
      <c r="C67" s="72" t="s">
        <v>123</v>
      </c>
      <c r="D67" s="175" t="s">
        <v>124</v>
      </c>
      <c r="E67" s="175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95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95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95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95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95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72" t="s">
        <v>130</v>
      </c>
      <c r="B73" s="72" t="s">
        <v>55</v>
      </c>
      <c r="C73" s="72" t="s">
        <v>131</v>
      </c>
      <c r="D73" s="175" t="s">
        <v>132</v>
      </c>
      <c r="E73" s="175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95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85" t="s">
        <v>54</v>
      </c>
      <c r="B75" s="74" t="s">
        <v>55</v>
      </c>
      <c r="C75" s="74" t="s">
        <v>134</v>
      </c>
      <c r="D75" s="176" t="s">
        <v>135</v>
      </c>
      <c r="E75" s="176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72" t="s">
        <v>136</v>
      </c>
      <c r="B76" s="72" t="s">
        <v>55</v>
      </c>
      <c r="C76" s="72" t="s">
        <v>137</v>
      </c>
      <c r="D76" s="175" t="s">
        <v>138</v>
      </c>
      <c r="E76" s="175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95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95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95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95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72" t="s">
        <v>144</v>
      </c>
      <c r="B81" s="72" t="s">
        <v>55</v>
      </c>
      <c r="C81" s="72" t="s">
        <v>145</v>
      </c>
      <c r="D81" s="175" t="s">
        <v>146</v>
      </c>
      <c r="E81" s="175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95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72" t="s">
        <v>148</v>
      </c>
      <c r="B83" s="72" t="s">
        <v>55</v>
      </c>
      <c r="C83" s="72" t="s">
        <v>149</v>
      </c>
      <c r="D83" s="175" t="s">
        <v>150</v>
      </c>
      <c r="E83" s="175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95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72" t="s">
        <v>152</v>
      </c>
      <c r="B85" s="72" t="s">
        <v>55</v>
      </c>
      <c r="C85" s="72" t="s">
        <v>153</v>
      </c>
      <c r="D85" s="175" t="s">
        <v>154</v>
      </c>
      <c r="E85" s="175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72" t="s">
        <v>155</v>
      </c>
      <c r="B86" s="72" t="s">
        <v>55</v>
      </c>
      <c r="C86" s="72" t="s">
        <v>156</v>
      </c>
      <c r="D86" s="175" t="s">
        <v>157</v>
      </c>
      <c r="E86" s="175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95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95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95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85" t="s">
        <v>54</v>
      </c>
      <c r="B90" s="74" t="s">
        <v>55</v>
      </c>
      <c r="C90" s="74" t="s">
        <v>160</v>
      </c>
      <c r="D90" s="176" t="s">
        <v>161</v>
      </c>
      <c r="E90" s="176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72" t="s">
        <v>162</v>
      </c>
      <c r="B91" s="72" t="s">
        <v>55</v>
      </c>
      <c r="C91" s="72" t="s">
        <v>163</v>
      </c>
      <c r="D91" s="175" t="s">
        <v>164</v>
      </c>
      <c r="E91" s="175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95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95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95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95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95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95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95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95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95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95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95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95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95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95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95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95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95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95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95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85" t="s">
        <v>54</v>
      </c>
      <c r="B111" s="74" t="s">
        <v>55</v>
      </c>
      <c r="C111" s="74" t="s">
        <v>187</v>
      </c>
      <c r="D111" s="176" t="s">
        <v>188</v>
      </c>
      <c r="E111" s="176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72" t="s">
        <v>189</v>
      </c>
      <c r="B112" s="72" t="s">
        <v>55</v>
      </c>
      <c r="C112" s="72" t="s">
        <v>190</v>
      </c>
      <c r="D112" s="175" t="s">
        <v>191</v>
      </c>
      <c r="E112" s="175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95"/>
      <c r="B113" s="95"/>
      <c r="C113" s="95"/>
      <c r="D113" s="182" t="s">
        <v>194</v>
      </c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</row>
    <row r="114" spans="1:76" s="81" customFormat="1" x14ac:dyDescent="0.25">
      <c r="A114" s="95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95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95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95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95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72" t="s">
        <v>200</v>
      </c>
      <c r="B119" s="72" t="s">
        <v>55</v>
      </c>
      <c r="C119" s="72" t="s">
        <v>201</v>
      </c>
      <c r="D119" s="175" t="s">
        <v>202</v>
      </c>
      <c r="E119" s="175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85" t="s">
        <v>54</v>
      </c>
      <c r="B120" s="74" t="s">
        <v>55</v>
      </c>
      <c r="C120" s="74" t="s">
        <v>63</v>
      </c>
      <c r="D120" s="176" t="s">
        <v>204</v>
      </c>
      <c r="E120" s="176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72" t="s">
        <v>57</v>
      </c>
      <c r="B121" s="72" t="s">
        <v>55</v>
      </c>
      <c r="C121" s="72" t="s">
        <v>205</v>
      </c>
      <c r="D121" s="175" t="s">
        <v>206</v>
      </c>
      <c r="E121" s="175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95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72" t="s">
        <v>210</v>
      </c>
      <c r="B123" s="72" t="s">
        <v>55</v>
      </c>
      <c r="C123" s="72" t="s">
        <v>211</v>
      </c>
      <c r="D123" s="175" t="s">
        <v>212</v>
      </c>
      <c r="E123" s="175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95"/>
      <c r="B124" s="95"/>
      <c r="C124" s="95"/>
      <c r="D124" s="182" t="s">
        <v>214</v>
      </c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</row>
    <row r="125" spans="1:76" s="81" customFormat="1" x14ac:dyDescent="0.25">
      <c r="A125" s="95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95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85" t="s">
        <v>54</v>
      </c>
      <c r="B127" s="74" t="s">
        <v>55</v>
      </c>
      <c r="C127" s="74" t="s">
        <v>217</v>
      </c>
      <c r="D127" s="176" t="s">
        <v>218</v>
      </c>
      <c r="E127" s="176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72" t="s">
        <v>219</v>
      </c>
      <c r="B128" s="72" t="s">
        <v>55</v>
      </c>
      <c r="C128" s="72" t="s">
        <v>220</v>
      </c>
      <c r="D128" s="175" t="s">
        <v>221</v>
      </c>
      <c r="E128" s="175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95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72" t="s">
        <v>134</v>
      </c>
      <c r="B130" s="72" t="s">
        <v>55</v>
      </c>
      <c r="C130" s="72" t="s">
        <v>226</v>
      </c>
      <c r="D130" s="175" t="s">
        <v>227</v>
      </c>
      <c r="E130" s="175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95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95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95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95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95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72" t="s">
        <v>160</v>
      </c>
      <c r="B136" s="72" t="s">
        <v>55</v>
      </c>
      <c r="C136" s="72" t="s">
        <v>229</v>
      </c>
      <c r="D136" s="175" t="s">
        <v>230</v>
      </c>
      <c r="E136" s="175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95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95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95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95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95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95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95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95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95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95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95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95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95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95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72" t="s">
        <v>187</v>
      </c>
      <c r="B151" s="72" t="s">
        <v>55</v>
      </c>
      <c r="C151" s="72" t="s">
        <v>231</v>
      </c>
      <c r="D151" s="175" t="s">
        <v>232</v>
      </c>
      <c r="E151" s="175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95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95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95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95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95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95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95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95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95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95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95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95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95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95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95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95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95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95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95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95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72" t="s">
        <v>233</v>
      </c>
      <c r="B172" s="72" t="s">
        <v>55</v>
      </c>
      <c r="C172" s="72" t="s">
        <v>234</v>
      </c>
      <c r="D172" s="175" t="s">
        <v>235</v>
      </c>
      <c r="E172" s="175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95"/>
      <c r="B173" s="95"/>
      <c r="C173" s="95"/>
      <c r="D173" s="182" t="s">
        <v>236</v>
      </c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</row>
    <row r="174" spans="1:76" s="81" customFormat="1" x14ac:dyDescent="0.25">
      <c r="A174" s="95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95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72" t="s">
        <v>240</v>
      </c>
      <c r="B176" s="72" t="s">
        <v>55</v>
      </c>
      <c r="C176" s="72" t="s">
        <v>241</v>
      </c>
      <c r="D176" s="175" t="s">
        <v>242</v>
      </c>
      <c r="E176" s="175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95"/>
      <c r="B177" s="95"/>
      <c r="C177" s="95"/>
      <c r="D177" s="182" t="s">
        <v>236</v>
      </c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</row>
    <row r="178" spans="1:76" s="81" customFormat="1" x14ac:dyDescent="0.25">
      <c r="A178" s="95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95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72" t="s">
        <v>63</v>
      </c>
      <c r="B180" s="72" t="s">
        <v>55</v>
      </c>
      <c r="C180" s="72" t="s">
        <v>244</v>
      </c>
      <c r="D180" s="175" t="s">
        <v>245</v>
      </c>
      <c r="E180" s="175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95"/>
      <c r="B181" s="95"/>
      <c r="C181" s="95"/>
      <c r="D181" s="182" t="s">
        <v>236</v>
      </c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</row>
    <row r="182" spans="1:76" s="81" customFormat="1" x14ac:dyDescent="0.25">
      <c r="A182" s="95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95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95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95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95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95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95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95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95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95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72" t="s">
        <v>255</v>
      </c>
      <c r="B192" s="72" t="s">
        <v>55</v>
      </c>
      <c r="C192" s="72" t="s">
        <v>256</v>
      </c>
      <c r="D192" s="175" t="s">
        <v>257</v>
      </c>
      <c r="E192" s="175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95"/>
      <c r="B193" s="95"/>
      <c r="C193" s="95"/>
      <c r="D193" s="182" t="s">
        <v>236</v>
      </c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</row>
    <row r="194" spans="1:76" s="81" customFormat="1" x14ac:dyDescent="0.25">
      <c r="A194" s="95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95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95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95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95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72" t="s">
        <v>262</v>
      </c>
      <c r="B199" s="72" t="s">
        <v>55</v>
      </c>
      <c r="C199" s="72" t="s">
        <v>263</v>
      </c>
      <c r="D199" s="175" t="s">
        <v>264</v>
      </c>
      <c r="E199" s="175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95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95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72" t="s">
        <v>265</v>
      </c>
      <c r="B202" s="72" t="s">
        <v>55</v>
      </c>
      <c r="C202" s="72" t="s">
        <v>266</v>
      </c>
      <c r="D202" s="175" t="s">
        <v>267</v>
      </c>
      <c r="E202" s="175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95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95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72" t="s">
        <v>269</v>
      </c>
      <c r="B205" s="72" t="s">
        <v>55</v>
      </c>
      <c r="C205" s="72" t="s">
        <v>270</v>
      </c>
      <c r="D205" s="175" t="s">
        <v>271</v>
      </c>
      <c r="E205" s="175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72" t="s">
        <v>272</v>
      </c>
      <c r="B206" s="72" t="s">
        <v>55</v>
      </c>
      <c r="C206" s="72" t="s">
        <v>273</v>
      </c>
      <c r="D206" s="175" t="s">
        <v>274</v>
      </c>
      <c r="E206" s="175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95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95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85" t="s">
        <v>54</v>
      </c>
      <c r="B209" s="74" t="s">
        <v>55</v>
      </c>
      <c r="C209" s="74" t="s">
        <v>277</v>
      </c>
      <c r="D209" s="176" t="s">
        <v>278</v>
      </c>
      <c r="E209" s="176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72" t="s">
        <v>217</v>
      </c>
      <c r="B210" s="72" t="s">
        <v>55</v>
      </c>
      <c r="C210" s="72" t="s">
        <v>279</v>
      </c>
      <c r="D210" s="175" t="s">
        <v>280</v>
      </c>
      <c r="E210" s="175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95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72" t="s">
        <v>284</v>
      </c>
      <c r="B212" s="72" t="s">
        <v>55</v>
      </c>
      <c r="C212" s="72" t="s">
        <v>285</v>
      </c>
      <c r="D212" s="175" t="s">
        <v>286</v>
      </c>
      <c r="E212" s="175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72" t="s">
        <v>288</v>
      </c>
      <c r="B213" s="72" t="s">
        <v>55</v>
      </c>
      <c r="C213" s="72" t="s">
        <v>289</v>
      </c>
      <c r="D213" s="175" t="s">
        <v>290</v>
      </c>
      <c r="E213" s="175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72" t="s">
        <v>291</v>
      </c>
      <c r="B214" s="72" t="s">
        <v>55</v>
      </c>
      <c r="C214" s="72" t="s">
        <v>292</v>
      </c>
      <c r="D214" s="175" t="s">
        <v>293</v>
      </c>
      <c r="E214" s="175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95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95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72" t="s">
        <v>277</v>
      </c>
      <c r="B217" s="72" t="s">
        <v>55</v>
      </c>
      <c r="C217" s="72" t="s">
        <v>296</v>
      </c>
      <c r="D217" s="175" t="s">
        <v>297</v>
      </c>
      <c r="E217" s="175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95"/>
      <c r="B218" s="95"/>
      <c r="C218" s="95"/>
      <c r="D218" s="182" t="s">
        <v>298</v>
      </c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</row>
    <row r="219" spans="1:76" s="81" customFormat="1" x14ac:dyDescent="0.25">
      <c r="A219" s="95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95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95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95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72" t="s">
        <v>303</v>
      </c>
      <c r="B223" s="72" t="s">
        <v>55</v>
      </c>
      <c r="C223" s="72" t="s">
        <v>304</v>
      </c>
      <c r="D223" s="175" t="s">
        <v>305</v>
      </c>
      <c r="E223" s="175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95"/>
      <c r="B224" s="95"/>
      <c r="C224" s="95"/>
      <c r="D224" s="182" t="s">
        <v>306</v>
      </c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</row>
    <row r="225" spans="1:76" s="81" customFormat="1" x14ac:dyDescent="0.25">
      <c r="A225" s="95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95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95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95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72" t="s">
        <v>310</v>
      </c>
      <c r="B229" s="72" t="s">
        <v>55</v>
      </c>
      <c r="C229" s="72" t="s">
        <v>311</v>
      </c>
      <c r="D229" s="175" t="s">
        <v>312</v>
      </c>
      <c r="E229" s="175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95"/>
      <c r="B230" s="95"/>
      <c r="C230" s="95"/>
      <c r="D230" s="182" t="s">
        <v>313</v>
      </c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</row>
    <row r="231" spans="1:76" s="81" customFormat="1" x14ac:dyDescent="0.25">
      <c r="A231" s="95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95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95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95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95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72" t="s">
        <v>317</v>
      </c>
      <c r="B236" s="72" t="s">
        <v>55</v>
      </c>
      <c r="C236" s="72" t="s">
        <v>318</v>
      </c>
      <c r="D236" s="175" t="s">
        <v>319</v>
      </c>
      <c r="E236" s="175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95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95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95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95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95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95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95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95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95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95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72" t="s">
        <v>329</v>
      </c>
      <c r="B247" s="72" t="s">
        <v>55</v>
      </c>
      <c r="C247" s="72" t="s">
        <v>330</v>
      </c>
      <c r="D247" s="175" t="s">
        <v>331</v>
      </c>
      <c r="E247" s="175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95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95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95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95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95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72" t="s">
        <v>335</v>
      </c>
      <c r="B253" s="72" t="s">
        <v>55</v>
      </c>
      <c r="C253" s="72" t="s">
        <v>336</v>
      </c>
      <c r="D253" s="175" t="s">
        <v>337</v>
      </c>
      <c r="E253" s="175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95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95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95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95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95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95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95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95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95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95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95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95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95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95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95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72" t="s">
        <v>351</v>
      </c>
      <c r="B269" s="72" t="s">
        <v>55</v>
      </c>
      <c r="C269" s="72" t="s">
        <v>352</v>
      </c>
      <c r="D269" s="175" t="s">
        <v>353</v>
      </c>
      <c r="E269" s="175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72" t="s">
        <v>354</v>
      </c>
      <c r="B270" s="72" t="s">
        <v>55</v>
      </c>
      <c r="C270" s="72" t="s">
        <v>355</v>
      </c>
      <c r="D270" s="175" t="s">
        <v>356</v>
      </c>
      <c r="E270" s="175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95"/>
      <c r="B271" s="95"/>
      <c r="C271" s="95"/>
      <c r="D271" s="182" t="s">
        <v>357</v>
      </c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</row>
    <row r="272" spans="1:76" s="81" customFormat="1" x14ac:dyDescent="0.25">
      <c r="A272" s="72" t="s">
        <v>358</v>
      </c>
      <c r="B272" s="72" t="s">
        <v>55</v>
      </c>
      <c r="C272" s="72" t="s">
        <v>359</v>
      </c>
      <c r="D272" s="175" t="s">
        <v>360</v>
      </c>
      <c r="E272" s="175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72" t="s">
        <v>361</v>
      </c>
      <c r="B273" s="72" t="s">
        <v>55</v>
      </c>
      <c r="C273" s="72" t="s">
        <v>362</v>
      </c>
      <c r="D273" s="175" t="s">
        <v>363</v>
      </c>
      <c r="E273" s="175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72" t="s">
        <v>364</v>
      </c>
      <c r="B274" s="72" t="s">
        <v>55</v>
      </c>
      <c r="C274" s="72" t="s">
        <v>365</v>
      </c>
      <c r="D274" s="175" t="s">
        <v>366</v>
      </c>
      <c r="E274" s="175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95"/>
      <c r="B275" s="95"/>
      <c r="C275" s="95"/>
      <c r="D275" s="182" t="s">
        <v>367</v>
      </c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</row>
    <row r="276" spans="1:76" s="81" customFormat="1" x14ac:dyDescent="0.25">
      <c r="A276" s="72" t="s">
        <v>368</v>
      </c>
      <c r="B276" s="72" t="s">
        <v>55</v>
      </c>
      <c r="C276" s="72" t="s">
        <v>369</v>
      </c>
      <c r="D276" s="175" t="s">
        <v>370</v>
      </c>
      <c r="E276" s="175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72" t="s">
        <v>372</v>
      </c>
      <c r="B277" s="72" t="s">
        <v>55</v>
      </c>
      <c r="C277" s="72" t="s">
        <v>373</v>
      </c>
      <c r="D277" s="175" t="s">
        <v>374</v>
      </c>
      <c r="E277" s="175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72" t="s">
        <v>375</v>
      </c>
      <c r="B278" s="72" t="s">
        <v>55</v>
      </c>
      <c r="C278" s="72" t="s">
        <v>376</v>
      </c>
      <c r="D278" s="175" t="s">
        <v>377</v>
      </c>
      <c r="E278" s="175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72" t="s">
        <v>378</v>
      </c>
      <c r="B279" s="72" t="s">
        <v>55</v>
      </c>
      <c r="C279" s="72" t="s">
        <v>379</v>
      </c>
      <c r="D279" s="175" t="s">
        <v>380</v>
      </c>
      <c r="E279" s="175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95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95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95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95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72" t="s">
        <v>385</v>
      </c>
      <c r="B284" s="72" t="s">
        <v>55</v>
      </c>
      <c r="C284" s="72" t="s">
        <v>386</v>
      </c>
      <c r="D284" s="175" t="s">
        <v>387</v>
      </c>
      <c r="E284" s="175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95"/>
      <c r="B285" s="95"/>
      <c r="C285" s="95"/>
      <c r="D285" s="182" t="s">
        <v>388</v>
      </c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</row>
    <row r="286" spans="1:76" s="81" customFormat="1" x14ac:dyDescent="0.25">
      <c r="A286" s="95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95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95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95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95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95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95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95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95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95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95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95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72" t="s">
        <v>400</v>
      </c>
      <c r="B298" s="72" t="s">
        <v>55</v>
      </c>
      <c r="C298" s="72" t="s">
        <v>386</v>
      </c>
      <c r="D298" s="175" t="s">
        <v>401</v>
      </c>
      <c r="E298" s="175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95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95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95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95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95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95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95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95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95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95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72" t="s">
        <v>412</v>
      </c>
      <c r="B309" s="72" t="s">
        <v>55</v>
      </c>
      <c r="C309" s="72" t="s">
        <v>413</v>
      </c>
      <c r="D309" s="175" t="s">
        <v>414</v>
      </c>
      <c r="E309" s="175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95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95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95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95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95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95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95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95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95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95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95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95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95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95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95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95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95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95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95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95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95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95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95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95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95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95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72" t="s">
        <v>436</v>
      </c>
      <c r="B336" s="72" t="s">
        <v>55</v>
      </c>
      <c r="C336" s="72" t="s">
        <v>437</v>
      </c>
      <c r="D336" s="175" t="s">
        <v>438</v>
      </c>
      <c r="E336" s="175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72" t="s">
        <v>439</v>
      </c>
      <c r="B337" s="72" t="s">
        <v>55</v>
      </c>
      <c r="C337" s="72" t="s">
        <v>440</v>
      </c>
      <c r="D337" s="175" t="s">
        <v>441</v>
      </c>
      <c r="E337" s="175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95"/>
      <c r="B338" s="95"/>
      <c r="C338" s="95"/>
      <c r="D338" s="182" t="s">
        <v>442</v>
      </c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</row>
    <row r="339" spans="1:76" s="81" customFormat="1" x14ac:dyDescent="0.25">
      <c r="A339" s="95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95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95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95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72" t="s">
        <v>444</v>
      </c>
      <c r="B343" s="72" t="s">
        <v>55</v>
      </c>
      <c r="C343" s="72" t="s">
        <v>445</v>
      </c>
      <c r="D343" s="175" t="s">
        <v>441</v>
      </c>
      <c r="E343" s="175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95"/>
      <c r="B344" s="95"/>
      <c r="C344" s="95"/>
      <c r="D344" s="182" t="s">
        <v>446</v>
      </c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</row>
    <row r="345" spans="1:76" s="81" customFormat="1" x14ac:dyDescent="0.25">
      <c r="A345" s="95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95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95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95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72" t="s">
        <v>447</v>
      </c>
      <c r="B349" s="72" t="s">
        <v>55</v>
      </c>
      <c r="C349" s="72" t="s">
        <v>448</v>
      </c>
      <c r="D349" s="175" t="s">
        <v>449</v>
      </c>
      <c r="E349" s="175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95"/>
      <c r="B350" s="95"/>
      <c r="C350" s="95"/>
      <c r="D350" s="182" t="s">
        <v>450</v>
      </c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</row>
    <row r="351" spans="1:76" s="81" customFormat="1" x14ac:dyDescent="0.25">
      <c r="A351" s="95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95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72" t="s">
        <v>451</v>
      </c>
      <c r="B353" s="72" t="s">
        <v>55</v>
      </c>
      <c r="C353" s="72" t="s">
        <v>452</v>
      </c>
      <c r="D353" s="175" t="s">
        <v>449</v>
      </c>
      <c r="E353" s="175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95"/>
      <c r="B354" s="95"/>
      <c r="C354" s="95"/>
      <c r="D354" s="182" t="s">
        <v>453</v>
      </c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</row>
    <row r="355" spans="1:76" s="81" customFormat="1" x14ac:dyDescent="0.25">
      <c r="A355" s="95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95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72" t="s">
        <v>454</v>
      </c>
      <c r="B357" s="72" t="s">
        <v>55</v>
      </c>
      <c r="C357" s="72" t="s">
        <v>455</v>
      </c>
      <c r="D357" s="175" t="s">
        <v>456</v>
      </c>
      <c r="E357" s="175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95"/>
      <c r="B358" s="95"/>
      <c r="C358" s="95"/>
      <c r="D358" s="182" t="s">
        <v>457</v>
      </c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</row>
    <row r="359" spans="1:76" s="81" customFormat="1" x14ac:dyDescent="0.25">
      <c r="A359" s="95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95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85" t="s">
        <v>54</v>
      </c>
      <c r="B361" s="74" t="s">
        <v>55</v>
      </c>
      <c r="C361" s="74" t="s">
        <v>310</v>
      </c>
      <c r="D361" s="176" t="s">
        <v>459</v>
      </c>
      <c r="E361" s="176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72" t="s">
        <v>460</v>
      </c>
      <c r="B362" s="72" t="s">
        <v>55</v>
      </c>
      <c r="C362" s="72" t="s">
        <v>461</v>
      </c>
      <c r="D362" s="175" t="s">
        <v>462</v>
      </c>
      <c r="E362" s="175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95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72" t="s">
        <v>466</v>
      </c>
      <c r="B364" s="72" t="s">
        <v>55</v>
      </c>
      <c r="C364" s="72" t="s">
        <v>467</v>
      </c>
      <c r="D364" s="175" t="s">
        <v>468</v>
      </c>
      <c r="E364" s="175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95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95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95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95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95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95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95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95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95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95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95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95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95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95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95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95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95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95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95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72" t="s">
        <v>502</v>
      </c>
      <c r="B384" s="72" t="s">
        <v>55</v>
      </c>
      <c r="C384" s="72" t="s">
        <v>503</v>
      </c>
      <c r="D384" s="175" t="s">
        <v>504</v>
      </c>
      <c r="E384" s="175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95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95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95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95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95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95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95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95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95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95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95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95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95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95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95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95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95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95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95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72" t="s">
        <v>521</v>
      </c>
      <c r="B404" s="72" t="s">
        <v>55</v>
      </c>
      <c r="C404" s="72" t="s">
        <v>522</v>
      </c>
      <c r="D404" s="175" t="s">
        <v>523</v>
      </c>
      <c r="E404" s="175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85" t="s">
        <v>54</v>
      </c>
      <c r="B405" s="74" t="s">
        <v>55</v>
      </c>
      <c r="C405" s="74" t="s">
        <v>317</v>
      </c>
      <c r="D405" s="176" t="s">
        <v>524</v>
      </c>
      <c r="E405" s="176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72" t="s">
        <v>525</v>
      </c>
      <c r="B406" s="72" t="s">
        <v>55</v>
      </c>
      <c r="C406" s="72" t="s">
        <v>526</v>
      </c>
      <c r="D406" s="175" t="s">
        <v>527</v>
      </c>
      <c r="E406" s="175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95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95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95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95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95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95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72" t="s">
        <v>533</v>
      </c>
      <c r="B413" s="72" t="s">
        <v>55</v>
      </c>
      <c r="C413" s="72" t="s">
        <v>534</v>
      </c>
      <c r="D413" s="175" t="s">
        <v>535</v>
      </c>
      <c r="E413" s="175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95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95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95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95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95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95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72" t="s">
        <v>540</v>
      </c>
      <c r="B420" s="72" t="s">
        <v>55</v>
      </c>
      <c r="C420" s="72" t="s">
        <v>541</v>
      </c>
      <c r="D420" s="175" t="s">
        <v>542</v>
      </c>
      <c r="E420" s="175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95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95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95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95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95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95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95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95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72" t="s">
        <v>549</v>
      </c>
      <c r="B429" s="72" t="s">
        <v>55</v>
      </c>
      <c r="C429" s="72" t="s">
        <v>550</v>
      </c>
      <c r="D429" s="175" t="s">
        <v>551</v>
      </c>
      <c r="E429" s="175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95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95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95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95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95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95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95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95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95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95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72" t="s">
        <v>560</v>
      </c>
      <c r="B440" s="72" t="s">
        <v>55</v>
      </c>
      <c r="C440" s="72" t="s">
        <v>561</v>
      </c>
      <c r="D440" s="175" t="s">
        <v>562</v>
      </c>
      <c r="E440" s="175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95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95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72" t="s">
        <v>564</v>
      </c>
      <c r="B443" s="72" t="s">
        <v>55</v>
      </c>
      <c r="C443" s="72" t="s">
        <v>565</v>
      </c>
      <c r="D443" s="175" t="s">
        <v>566</v>
      </c>
      <c r="E443" s="175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95"/>
      <c r="B444" s="95"/>
      <c r="C444" s="95"/>
      <c r="D444" s="182" t="s">
        <v>567</v>
      </c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</row>
    <row r="445" spans="1:76" s="81" customFormat="1" ht="25.5" x14ac:dyDescent="0.25">
      <c r="A445" s="95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95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72" t="s">
        <v>570</v>
      </c>
      <c r="B447" s="72" t="s">
        <v>55</v>
      </c>
      <c r="C447" s="72" t="s">
        <v>571</v>
      </c>
      <c r="D447" s="175" t="s">
        <v>572</v>
      </c>
      <c r="E447" s="175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95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95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72" t="s">
        <v>575</v>
      </c>
      <c r="B450" s="72" t="s">
        <v>55</v>
      </c>
      <c r="C450" s="72" t="s">
        <v>576</v>
      </c>
      <c r="D450" s="175" t="s">
        <v>577</v>
      </c>
      <c r="E450" s="175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95"/>
      <c r="B451" s="95"/>
      <c r="C451" s="95"/>
      <c r="D451" s="76" t="s">
        <v>59</v>
      </c>
      <c r="E451" s="76" t="s">
        <v>4314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72" t="s">
        <v>580</v>
      </c>
      <c r="B452" s="72" t="s">
        <v>55</v>
      </c>
      <c r="C452" s="72" t="s">
        <v>581</v>
      </c>
      <c r="D452" s="175" t="s">
        <v>582</v>
      </c>
      <c r="E452" s="175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95"/>
      <c r="B453" s="95"/>
      <c r="C453" s="95"/>
      <c r="D453" s="182" t="s">
        <v>583</v>
      </c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</row>
    <row r="454" spans="1:76" s="81" customFormat="1" x14ac:dyDescent="0.25">
      <c r="A454" s="95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95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95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95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95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95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72" t="s">
        <v>590</v>
      </c>
      <c r="B460" s="72" t="s">
        <v>55</v>
      </c>
      <c r="C460" s="72" t="s">
        <v>591</v>
      </c>
      <c r="D460" s="175" t="s">
        <v>592</v>
      </c>
      <c r="E460" s="175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95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95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95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95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95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95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72" t="s">
        <v>597</v>
      </c>
      <c r="B467" s="72" t="s">
        <v>55</v>
      </c>
      <c r="C467" s="72" t="s">
        <v>598</v>
      </c>
      <c r="D467" s="175" t="s">
        <v>599</v>
      </c>
      <c r="E467" s="175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85" t="s">
        <v>54</v>
      </c>
      <c r="B468" s="74" t="s">
        <v>55</v>
      </c>
      <c r="C468" s="74" t="s">
        <v>364</v>
      </c>
      <c r="D468" s="176" t="s">
        <v>600</v>
      </c>
      <c r="E468" s="176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72" t="s">
        <v>601</v>
      </c>
      <c r="B469" s="72" t="s">
        <v>55</v>
      </c>
      <c r="C469" s="72" t="s">
        <v>602</v>
      </c>
      <c r="D469" s="175" t="s">
        <v>603</v>
      </c>
      <c r="E469" s="175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95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95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95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95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95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72" t="s">
        <v>611</v>
      </c>
      <c r="B475" s="72" t="s">
        <v>55</v>
      </c>
      <c r="C475" s="72" t="s">
        <v>612</v>
      </c>
      <c r="D475" s="175" t="s">
        <v>613</v>
      </c>
      <c r="E475" s="175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95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95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95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95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95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72" t="s">
        <v>616</v>
      </c>
      <c r="B481" s="72" t="s">
        <v>55</v>
      </c>
      <c r="C481" s="72" t="s">
        <v>617</v>
      </c>
      <c r="D481" s="175" t="s">
        <v>618</v>
      </c>
      <c r="E481" s="175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95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95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95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95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95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95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95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95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72" t="s">
        <v>627</v>
      </c>
      <c r="B490" s="72" t="s">
        <v>55</v>
      </c>
      <c r="C490" s="72" t="s">
        <v>628</v>
      </c>
      <c r="D490" s="175" t="s">
        <v>629</v>
      </c>
      <c r="E490" s="175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95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95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95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95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95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95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95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95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95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95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95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95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95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72" t="s">
        <v>637</v>
      </c>
      <c r="B504" s="72" t="s">
        <v>55</v>
      </c>
      <c r="C504" s="72" t="s">
        <v>638</v>
      </c>
      <c r="D504" s="175" t="s">
        <v>639</v>
      </c>
      <c r="E504" s="175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72" t="s">
        <v>640</v>
      </c>
      <c r="B505" s="72" t="s">
        <v>55</v>
      </c>
      <c r="C505" s="72" t="s">
        <v>641</v>
      </c>
      <c r="D505" s="175" t="s">
        <v>642</v>
      </c>
      <c r="E505" s="175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95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95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95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95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72" t="s">
        <v>645</v>
      </c>
      <c r="B510" s="72" t="s">
        <v>55</v>
      </c>
      <c r="C510" s="72" t="s">
        <v>646</v>
      </c>
      <c r="D510" s="175" t="s">
        <v>647</v>
      </c>
      <c r="E510" s="175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95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95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95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95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72" t="s">
        <v>650</v>
      </c>
      <c r="B515" s="72" t="s">
        <v>55</v>
      </c>
      <c r="C515" s="72" t="s">
        <v>651</v>
      </c>
      <c r="D515" s="175" t="s">
        <v>652</v>
      </c>
      <c r="E515" s="175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95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95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95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95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72" t="s">
        <v>658</v>
      </c>
      <c r="B520" s="72" t="s">
        <v>55</v>
      </c>
      <c r="C520" s="72" t="s">
        <v>659</v>
      </c>
      <c r="D520" s="175" t="s">
        <v>660</v>
      </c>
      <c r="E520" s="175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95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95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95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95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72" t="s">
        <v>665</v>
      </c>
      <c r="B525" s="72" t="s">
        <v>55</v>
      </c>
      <c r="C525" s="72" t="s">
        <v>666</v>
      </c>
      <c r="D525" s="175" t="s">
        <v>667</v>
      </c>
      <c r="E525" s="175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72" t="s">
        <v>669</v>
      </c>
      <c r="B526" s="72" t="s">
        <v>55</v>
      </c>
      <c r="C526" s="72" t="s">
        <v>670</v>
      </c>
      <c r="D526" s="175" t="s">
        <v>671</v>
      </c>
      <c r="E526" s="175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72" t="s">
        <v>672</v>
      </c>
      <c r="B527" s="72" t="s">
        <v>55</v>
      </c>
      <c r="C527" s="72" t="s">
        <v>666</v>
      </c>
      <c r="D527" s="175" t="s">
        <v>673</v>
      </c>
      <c r="E527" s="175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72" t="s">
        <v>674</v>
      </c>
      <c r="B528" s="72" t="s">
        <v>55</v>
      </c>
      <c r="C528" s="72" t="s">
        <v>675</v>
      </c>
      <c r="D528" s="175" t="s">
        <v>676</v>
      </c>
      <c r="E528" s="175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95"/>
      <c r="B529" s="95"/>
      <c r="C529" s="95"/>
      <c r="D529" s="182" t="s">
        <v>677</v>
      </c>
      <c r="E529" s="182"/>
      <c r="F529" s="182"/>
      <c r="G529" s="182"/>
      <c r="H529" s="182"/>
      <c r="I529" s="182"/>
      <c r="J529" s="182"/>
      <c r="K529" s="182"/>
      <c r="L529" s="182"/>
      <c r="M529" s="182"/>
      <c r="N529" s="182"/>
      <c r="O529" s="182"/>
      <c r="P529" s="182"/>
    </row>
    <row r="530" spans="1:76" s="81" customFormat="1" x14ac:dyDescent="0.25">
      <c r="A530" s="95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95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72" t="s">
        <v>679</v>
      </c>
      <c r="B532" s="72" t="s">
        <v>55</v>
      </c>
      <c r="C532" s="72" t="s">
        <v>680</v>
      </c>
      <c r="D532" s="175" t="s">
        <v>681</v>
      </c>
      <c r="E532" s="175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95"/>
      <c r="B533" s="95"/>
      <c r="C533" s="95"/>
      <c r="D533" s="182" t="s">
        <v>677</v>
      </c>
      <c r="E533" s="182"/>
      <c r="F533" s="182"/>
      <c r="G533" s="182"/>
      <c r="H533" s="182"/>
      <c r="I533" s="182"/>
      <c r="J533" s="182"/>
      <c r="K533" s="182"/>
      <c r="L533" s="182"/>
      <c r="M533" s="182"/>
      <c r="N533" s="182"/>
      <c r="O533" s="182"/>
      <c r="P533" s="182"/>
    </row>
    <row r="534" spans="1:76" s="81" customFormat="1" x14ac:dyDescent="0.25">
      <c r="A534" s="95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95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72" t="s">
        <v>683</v>
      </c>
      <c r="B536" s="72" t="s">
        <v>55</v>
      </c>
      <c r="C536" s="72" t="s">
        <v>684</v>
      </c>
      <c r="D536" s="175" t="s">
        <v>685</v>
      </c>
      <c r="E536" s="175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95"/>
      <c r="B537" s="95"/>
      <c r="C537" s="95"/>
      <c r="D537" s="182" t="s">
        <v>677</v>
      </c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</row>
    <row r="538" spans="1:76" s="81" customFormat="1" x14ac:dyDescent="0.25">
      <c r="A538" s="95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95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95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95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72" t="s">
        <v>688</v>
      </c>
      <c r="B542" s="72" t="s">
        <v>55</v>
      </c>
      <c r="C542" s="72" t="s">
        <v>689</v>
      </c>
      <c r="D542" s="175" t="s">
        <v>690</v>
      </c>
      <c r="E542" s="175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95"/>
      <c r="B543" s="95"/>
      <c r="C543" s="95"/>
      <c r="D543" s="182" t="s">
        <v>677</v>
      </c>
      <c r="E543" s="182"/>
      <c r="F543" s="182"/>
      <c r="G543" s="182"/>
      <c r="H543" s="182"/>
      <c r="I543" s="182"/>
      <c r="J543" s="182"/>
      <c r="K543" s="182"/>
      <c r="L543" s="182"/>
      <c r="M543" s="182"/>
      <c r="N543" s="182"/>
      <c r="O543" s="182"/>
      <c r="P543" s="182"/>
    </row>
    <row r="544" spans="1:76" s="81" customFormat="1" x14ac:dyDescent="0.25">
      <c r="A544" s="95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95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95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95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72" t="s">
        <v>694</v>
      </c>
      <c r="B548" s="72" t="s">
        <v>55</v>
      </c>
      <c r="C548" s="72" t="s">
        <v>695</v>
      </c>
      <c r="D548" s="175" t="s">
        <v>696</v>
      </c>
      <c r="E548" s="175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95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95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95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95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95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95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95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95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95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95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95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95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95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95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95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95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95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95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95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95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95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95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95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95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95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95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95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95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95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95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95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95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95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95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95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72" t="s">
        <v>736</v>
      </c>
      <c r="B584" s="72" t="s">
        <v>55</v>
      </c>
      <c r="C584" s="72" t="s">
        <v>737</v>
      </c>
      <c r="D584" s="175" t="s">
        <v>738</v>
      </c>
      <c r="E584" s="175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95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95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95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95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95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95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95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95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95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95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95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95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95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95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95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95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95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95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95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95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95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95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95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95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95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95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95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95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95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95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95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95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95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95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95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95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95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95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72" t="s">
        <v>771</v>
      </c>
      <c r="B623" s="72" t="s">
        <v>55</v>
      </c>
      <c r="C623" s="72" t="s">
        <v>772</v>
      </c>
      <c r="D623" s="175" t="s">
        <v>773</v>
      </c>
      <c r="E623" s="175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72" t="s">
        <v>774</v>
      </c>
      <c r="B624" s="72" t="s">
        <v>55</v>
      </c>
      <c r="C624" s="72" t="s">
        <v>775</v>
      </c>
      <c r="D624" s="175" t="s">
        <v>776</v>
      </c>
      <c r="E624" s="175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95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95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95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95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72" t="s">
        <v>781</v>
      </c>
      <c r="B629" s="72" t="s">
        <v>55</v>
      </c>
      <c r="C629" s="72" t="s">
        <v>782</v>
      </c>
      <c r="D629" s="175" t="s">
        <v>783</v>
      </c>
      <c r="E629" s="175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95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95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95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95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95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95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95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95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95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72" t="s">
        <v>791</v>
      </c>
      <c r="B639" s="72" t="s">
        <v>55</v>
      </c>
      <c r="C639" s="72" t="s">
        <v>792</v>
      </c>
      <c r="D639" s="175" t="s">
        <v>793</v>
      </c>
      <c r="E639" s="175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72" t="s">
        <v>794</v>
      </c>
      <c r="B640" s="72" t="s">
        <v>55</v>
      </c>
      <c r="C640" s="72" t="s">
        <v>795</v>
      </c>
      <c r="D640" s="175" t="s">
        <v>796</v>
      </c>
      <c r="E640" s="175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95"/>
      <c r="B641" s="95"/>
      <c r="C641" s="95"/>
      <c r="D641" s="182" t="s">
        <v>797</v>
      </c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</row>
    <row r="642" spans="1:76" s="81" customFormat="1" x14ac:dyDescent="0.25">
      <c r="A642" s="95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95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95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95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95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95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95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95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72" t="s">
        <v>803</v>
      </c>
      <c r="B650" s="72" t="s">
        <v>55</v>
      </c>
      <c r="C650" s="72" t="s">
        <v>804</v>
      </c>
      <c r="D650" s="175" t="s">
        <v>805</v>
      </c>
      <c r="E650" s="175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72" t="s">
        <v>806</v>
      </c>
      <c r="B651" s="72" t="s">
        <v>55</v>
      </c>
      <c r="C651" s="72" t="s">
        <v>807</v>
      </c>
      <c r="D651" s="175" t="s">
        <v>808</v>
      </c>
      <c r="E651" s="175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95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95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72" t="s">
        <v>811</v>
      </c>
      <c r="B654" s="72" t="s">
        <v>55</v>
      </c>
      <c r="C654" s="72" t="s">
        <v>812</v>
      </c>
      <c r="D654" s="175" t="s">
        <v>813</v>
      </c>
      <c r="E654" s="175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95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95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85" t="s">
        <v>54</v>
      </c>
      <c r="B657" s="74" t="s">
        <v>55</v>
      </c>
      <c r="C657" s="74" t="s">
        <v>372</v>
      </c>
      <c r="D657" s="176" t="s">
        <v>816</v>
      </c>
      <c r="E657" s="176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72" t="s">
        <v>817</v>
      </c>
      <c r="B658" s="72" t="s">
        <v>55</v>
      </c>
      <c r="C658" s="72" t="s">
        <v>818</v>
      </c>
      <c r="D658" s="175" t="s">
        <v>819</v>
      </c>
      <c r="E658" s="175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95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95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95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95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95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85" t="s">
        <v>54</v>
      </c>
      <c r="B664" s="74" t="s">
        <v>55</v>
      </c>
      <c r="C664" s="74" t="s">
        <v>375</v>
      </c>
      <c r="D664" s="176" t="s">
        <v>825</v>
      </c>
      <c r="E664" s="176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72" t="s">
        <v>826</v>
      </c>
      <c r="B665" s="72" t="s">
        <v>55</v>
      </c>
      <c r="C665" s="72" t="s">
        <v>827</v>
      </c>
      <c r="D665" s="175" t="s">
        <v>828</v>
      </c>
      <c r="E665" s="175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95"/>
      <c r="B666" s="95"/>
      <c r="C666" s="95"/>
      <c r="D666" s="182" t="s">
        <v>830</v>
      </c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</row>
    <row r="667" spans="1:76" s="81" customFormat="1" x14ac:dyDescent="0.25">
      <c r="A667" s="95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95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95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95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95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95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95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95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95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95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85" t="s">
        <v>54</v>
      </c>
      <c r="B677" s="74" t="s">
        <v>55</v>
      </c>
      <c r="C677" s="74" t="s">
        <v>466</v>
      </c>
      <c r="D677" s="176" t="s">
        <v>844</v>
      </c>
      <c r="E677" s="176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72" t="s">
        <v>845</v>
      </c>
      <c r="B678" s="72" t="s">
        <v>55</v>
      </c>
      <c r="C678" s="72" t="s">
        <v>846</v>
      </c>
      <c r="D678" s="175" t="s">
        <v>847</v>
      </c>
      <c r="E678" s="175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95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95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72" t="s">
        <v>852</v>
      </c>
      <c r="B681" s="72" t="s">
        <v>55</v>
      </c>
      <c r="C681" s="72" t="s">
        <v>853</v>
      </c>
      <c r="D681" s="175" t="s">
        <v>854</v>
      </c>
      <c r="E681" s="175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95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95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85" t="s">
        <v>54</v>
      </c>
      <c r="B684" s="74" t="s">
        <v>55</v>
      </c>
      <c r="C684" s="74" t="s">
        <v>525</v>
      </c>
      <c r="D684" s="176" t="s">
        <v>855</v>
      </c>
      <c r="E684" s="176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72" t="s">
        <v>856</v>
      </c>
      <c r="B685" s="72" t="s">
        <v>55</v>
      </c>
      <c r="C685" s="72" t="s">
        <v>857</v>
      </c>
      <c r="D685" s="175" t="s">
        <v>858</v>
      </c>
      <c r="E685" s="175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95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72" t="s">
        <v>862</v>
      </c>
      <c r="B687" s="72" t="s">
        <v>55</v>
      </c>
      <c r="C687" s="72" t="s">
        <v>863</v>
      </c>
      <c r="D687" s="175" t="s">
        <v>864</v>
      </c>
      <c r="E687" s="175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95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95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85" t="s">
        <v>54</v>
      </c>
      <c r="B690" s="74" t="s">
        <v>55</v>
      </c>
      <c r="C690" s="74" t="s">
        <v>533</v>
      </c>
      <c r="D690" s="176" t="s">
        <v>866</v>
      </c>
      <c r="E690" s="176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72" t="s">
        <v>867</v>
      </c>
      <c r="B691" s="72" t="s">
        <v>55</v>
      </c>
      <c r="C691" s="72" t="s">
        <v>868</v>
      </c>
      <c r="D691" s="175" t="s">
        <v>869</v>
      </c>
      <c r="E691" s="175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95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72" t="s">
        <v>873</v>
      </c>
      <c r="B693" s="72" t="s">
        <v>55</v>
      </c>
      <c r="C693" s="72" t="s">
        <v>874</v>
      </c>
      <c r="D693" s="175" t="s">
        <v>875</v>
      </c>
      <c r="E693" s="175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95"/>
      <c r="B694" s="95"/>
      <c r="C694" s="95"/>
      <c r="D694" s="182" t="s">
        <v>876</v>
      </c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</row>
    <row r="695" spans="1:76" s="81" customFormat="1" x14ac:dyDescent="0.25">
      <c r="A695" s="95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95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72" t="s">
        <v>879</v>
      </c>
      <c r="B697" s="72" t="s">
        <v>55</v>
      </c>
      <c r="C697" s="72" t="s">
        <v>880</v>
      </c>
      <c r="D697" s="175" t="s">
        <v>881</v>
      </c>
      <c r="E697" s="175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95"/>
      <c r="B698" s="95"/>
      <c r="C698" s="95"/>
      <c r="D698" s="182" t="s">
        <v>882</v>
      </c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</row>
    <row r="699" spans="1:76" s="81" customFormat="1" x14ac:dyDescent="0.25">
      <c r="A699" s="95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95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72" t="s">
        <v>883</v>
      </c>
      <c r="B701" s="72" t="s">
        <v>55</v>
      </c>
      <c r="C701" s="72" t="s">
        <v>884</v>
      </c>
      <c r="D701" s="175" t="s">
        <v>885</v>
      </c>
      <c r="E701" s="175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95"/>
      <c r="B702" s="95"/>
      <c r="C702" s="95"/>
      <c r="D702" s="182" t="s">
        <v>876</v>
      </c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</row>
    <row r="703" spans="1:76" s="81" customFormat="1" x14ac:dyDescent="0.25">
      <c r="A703" s="95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95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95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95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95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95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95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95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95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95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95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95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95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95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95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95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95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95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95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95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95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95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95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95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95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95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95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95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95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95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95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95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95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95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95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95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95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95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95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95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95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95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95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95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95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95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95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95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95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95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95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95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95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95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95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95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95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95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95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95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95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95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95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95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95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95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95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95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95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72" t="s">
        <v>939</v>
      </c>
      <c r="B772" s="72" t="s">
        <v>55</v>
      </c>
      <c r="C772" s="72" t="s">
        <v>940</v>
      </c>
      <c r="D772" s="175" t="s">
        <v>941</v>
      </c>
      <c r="E772" s="175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95"/>
      <c r="B773" s="95"/>
      <c r="C773" s="95"/>
      <c r="D773" s="182" t="s">
        <v>882</v>
      </c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</row>
    <row r="774" spans="1:76" s="81" customFormat="1" x14ac:dyDescent="0.25">
      <c r="A774" s="95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95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95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95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95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95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95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95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95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95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95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95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95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95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95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95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95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95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95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95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95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95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95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95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95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95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95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95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95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95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95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95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95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95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95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95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95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95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95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95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95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95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95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95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95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95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95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95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95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95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95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95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95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95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95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95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95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95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95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95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95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95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95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95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95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95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95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95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95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95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72" t="s">
        <v>944</v>
      </c>
      <c r="B844" s="72" t="s">
        <v>55</v>
      </c>
      <c r="C844" s="72" t="s">
        <v>945</v>
      </c>
      <c r="D844" s="175" t="s">
        <v>946</v>
      </c>
      <c r="E844" s="175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95"/>
      <c r="B845" s="95"/>
      <c r="C845" s="95"/>
      <c r="D845" s="182" t="s">
        <v>947</v>
      </c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</row>
    <row r="846" spans="1:76" s="81" customFormat="1" x14ac:dyDescent="0.25">
      <c r="A846" s="95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95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95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95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95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95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95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95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95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95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95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95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95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72" t="s">
        <v>961</v>
      </c>
      <c r="B859" s="72" t="s">
        <v>55</v>
      </c>
      <c r="C859" s="72" t="s">
        <v>962</v>
      </c>
      <c r="D859" s="175" t="s">
        <v>963</v>
      </c>
      <c r="E859" s="175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72" t="s">
        <v>964</v>
      </c>
      <c r="B860" s="72" t="s">
        <v>55</v>
      </c>
      <c r="C860" s="72" t="s">
        <v>965</v>
      </c>
      <c r="D860" s="175" t="s">
        <v>966</v>
      </c>
      <c r="E860" s="175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85" t="s">
        <v>54</v>
      </c>
      <c r="B861" s="74" t="s">
        <v>55</v>
      </c>
      <c r="C861" s="74" t="s">
        <v>549</v>
      </c>
      <c r="D861" s="176" t="s">
        <v>967</v>
      </c>
      <c r="E861" s="176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72" t="s">
        <v>968</v>
      </c>
      <c r="B862" s="72" t="s">
        <v>55</v>
      </c>
      <c r="C862" s="72" t="s">
        <v>969</v>
      </c>
      <c r="D862" s="175" t="s">
        <v>970</v>
      </c>
      <c r="E862" s="175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95"/>
      <c r="B863" s="95"/>
      <c r="C863" s="95"/>
      <c r="D863" s="182" t="s">
        <v>972</v>
      </c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</row>
    <row r="864" spans="1:76" s="81" customFormat="1" x14ac:dyDescent="0.25">
      <c r="A864" s="95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95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95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72" t="s">
        <v>975</v>
      </c>
      <c r="B867" s="72" t="s">
        <v>55</v>
      </c>
      <c r="C867" s="72" t="s">
        <v>976</v>
      </c>
      <c r="D867" s="175" t="s">
        <v>977</v>
      </c>
      <c r="E867" s="175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95"/>
      <c r="B868" s="95"/>
      <c r="C868" s="95"/>
      <c r="D868" s="182" t="s">
        <v>972</v>
      </c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</row>
    <row r="869" spans="1:76" s="81" customFormat="1" x14ac:dyDescent="0.25">
      <c r="A869" s="95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95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95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95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72" t="s">
        <v>982</v>
      </c>
      <c r="B873" s="72" t="s">
        <v>55</v>
      </c>
      <c r="C873" s="72" t="s">
        <v>983</v>
      </c>
      <c r="D873" s="175" t="s">
        <v>984</v>
      </c>
      <c r="E873" s="175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95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95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95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95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95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95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95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95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72" t="s">
        <v>989</v>
      </c>
      <c r="B882" s="72" t="s">
        <v>55</v>
      </c>
      <c r="C882" s="72" t="s">
        <v>990</v>
      </c>
      <c r="D882" s="175" t="s">
        <v>991</v>
      </c>
      <c r="E882" s="175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95"/>
      <c r="B883" s="95"/>
      <c r="C883" s="95"/>
      <c r="D883" s="182" t="s">
        <v>972</v>
      </c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</row>
    <row r="884" spans="1:76" s="81" customFormat="1" x14ac:dyDescent="0.25">
      <c r="A884" s="95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95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72" t="s">
        <v>992</v>
      </c>
      <c r="B886" s="72" t="s">
        <v>55</v>
      </c>
      <c r="C886" s="72" t="s">
        <v>993</v>
      </c>
      <c r="D886" s="175" t="s">
        <v>994</v>
      </c>
      <c r="E886" s="175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95"/>
      <c r="B887" s="95"/>
      <c r="C887" s="95"/>
      <c r="D887" s="182" t="s">
        <v>972</v>
      </c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</row>
    <row r="888" spans="1:76" s="81" customFormat="1" x14ac:dyDescent="0.25">
      <c r="A888" s="95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72" t="s">
        <v>988</v>
      </c>
      <c r="B889" s="72" t="s">
        <v>55</v>
      </c>
      <c r="C889" s="72" t="s">
        <v>995</v>
      </c>
      <c r="D889" s="175" t="s">
        <v>996</v>
      </c>
      <c r="E889" s="175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95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95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95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95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95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95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72" t="s">
        <v>1002</v>
      </c>
      <c r="B896" s="72" t="s">
        <v>55</v>
      </c>
      <c r="C896" s="72" t="s">
        <v>1003</v>
      </c>
      <c r="D896" s="175" t="s">
        <v>1004</v>
      </c>
      <c r="E896" s="175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95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95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72" t="s">
        <v>1006</v>
      </c>
      <c r="B899" s="72" t="s">
        <v>55</v>
      </c>
      <c r="C899" s="72" t="s">
        <v>1007</v>
      </c>
      <c r="D899" s="175" t="s">
        <v>1008</v>
      </c>
      <c r="E899" s="175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95"/>
      <c r="B900" s="95"/>
      <c r="C900" s="95"/>
      <c r="D900" s="182" t="s">
        <v>972</v>
      </c>
      <c r="E900" s="182"/>
      <c r="F900" s="182"/>
      <c r="G900" s="182"/>
      <c r="H900" s="182"/>
      <c r="I900" s="182"/>
      <c r="J900" s="182"/>
      <c r="K900" s="182"/>
      <c r="L900" s="182"/>
      <c r="M900" s="182"/>
      <c r="N900" s="182"/>
      <c r="O900" s="182"/>
      <c r="P900" s="182"/>
    </row>
    <row r="901" spans="1:76" s="81" customFormat="1" x14ac:dyDescent="0.25">
      <c r="A901" s="95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95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72" t="s">
        <v>1010</v>
      </c>
      <c r="B903" s="72" t="s">
        <v>55</v>
      </c>
      <c r="C903" s="72" t="s">
        <v>1011</v>
      </c>
      <c r="D903" s="175" t="s">
        <v>1012</v>
      </c>
      <c r="E903" s="175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95"/>
      <c r="B904" s="95"/>
      <c r="C904" s="95"/>
      <c r="D904" s="182" t="s">
        <v>972</v>
      </c>
      <c r="E904" s="182"/>
      <c r="F904" s="182"/>
      <c r="G904" s="182"/>
      <c r="H904" s="182"/>
      <c r="I904" s="182"/>
      <c r="J904" s="182"/>
      <c r="K904" s="182"/>
      <c r="L904" s="182"/>
      <c r="M904" s="182"/>
      <c r="N904" s="182"/>
      <c r="O904" s="182"/>
      <c r="P904" s="182"/>
    </row>
    <row r="905" spans="1:76" s="81" customFormat="1" ht="25.5" x14ac:dyDescent="0.25">
      <c r="A905" s="95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72" t="s">
        <v>1015</v>
      </c>
      <c r="B906" s="72" t="s">
        <v>55</v>
      </c>
      <c r="C906" s="72" t="s">
        <v>1016</v>
      </c>
      <c r="D906" s="175" t="s">
        <v>1017</v>
      </c>
      <c r="E906" s="175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95"/>
      <c r="B907" s="95"/>
      <c r="C907" s="95"/>
      <c r="D907" s="182" t="s">
        <v>1018</v>
      </c>
      <c r="E907" s="182"/>
      <c r="F907" s="182"/>
      <c r="G907" s="182"/>
      <c r="H907" s="182"/>
      <c r="I907" s="182"/>
      <c r="J907" s="182"/>
      <c r="K907" s="182"/>
      <c r="L907" s="182"/>
      <c r="M907" s="182"/>
      <c r="N907" s="182"/>
      <c r="O907" s="182"/>
      <c r="P907" s="182"/>
    </row>
    <row r="908" spans="1:76" s="81" customFormat="1" x14ac:dyDescent="0.25">
      <c r="A908" s="95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95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95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95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95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95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95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95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95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95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95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95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95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72" t="s">
        <v>1019</v>
      </c>
      <c r="B921" s="72" t="s">
        <v>55</v>
      </c>
      <c r="C921" s="72" t="s">
        <v>1020</v>
      </c>
      <c r="D921" s="175" t="s">
        <v>1021</v>
      </c>
      <c r="E921" s="175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95"/>
      <c r="B922" s="95"/>
      <c r="C922" s="95"/>
      <c r="D922" s="182" t="s">
        <v>972</v>
      </c>
      <c r="E922" s="182"/>
      <c r="F922" s="182"/>
      <c r="G922" s="182"/>
      <c r="H922" s="182"/>
      <c r="I922" s="182"/>
      <c r="J922" s="182"/>
      <c r="K922" s="182"/>
      <c r="L922" s="182"/>
      <c r="M922" s="182"/>
      <c r="N922" s="182"/>
      <c r="O922" s="182"/>
      <c r="P922" s="182"/>
    </row>
    <row r="923" spans="1:76" s="81" customFormat="1" x14ac:dyDescent="0.25">
      <c r="A923" s="95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95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95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95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95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95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95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95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95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95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95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95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95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95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72" t="s">
        <v>1035</v>
      </c>
      <c r="B937" s="72" t="s">
        <v>55</v>
      </c>
      <c r="C937" s="72" t="s">
        <v>1036</v>
      </c>
      <c r="D937" s="175" t="s">
        <v>1037</v>
      </c>
      <c r="E937" s="175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95"/>
      <c r="B938" s="95"/>
      <c r="C938" s="95"/>
      <c r="D938" s="182" t="s">
        <v>972</v>
      </c>
      <c r="E938" s="182"/>
      <c r="F938" s="182"/>
      <c r="G938" s="182"/>
      <c r="H938" s="182"/>
      <c r="I938" s="182"/>
      <c r="J938" s="182"/>
      <c r="K938" s="182"/>
      <c r="L938" s="182"/>
      <c r="M938" s="182"/>
      <c r="N938" s="182"/>
      <c r="O938" s="182"/>
      <c r="P938" s="182"/>
    </row>
    <row r="939" spans="1:76" s="81" customFormat="1" x14ac:dyDescent="0.25">
      <c r="A939" s="95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95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72" t="s">
        <v>1039</v>
      </c>
      <c r="B941" s="72" t="s">
        <v>55</v>
      </c>
      <c r="C941" s="72" t="s">
        <v>1040</v>
      </c>
      <c r="D941" s="175" t="s">
        <v>1041</v>
      </c>
      <c r="E941" s="175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95"/>
      <c r="B942" s="95"/>
      <c r="C942" s="95"/>
      <c r="D942" s="182" t="s">
        <v>972</v>
      </c>
      <c r="E942" s="182"/>
      <c r="F942" s="182"/>
      <c r="G942" s="182"/>
      <c r="H942" s="182"/>
      <c r="I942" s="182"/>
      <c r="J942" s="182"/>
      <c r="K942" s="182"/>
      <c r="L942" s="182"/>
      <c r="M942" s="182"/>
      <c r="N942" s="182"/>
      <c r="O942" s="182"/>
      <c r="P942" s="182"/>
    </row>
    <row r="943" spans="1:76" s="81" customFormat="1" x14ac:dyDescent="0.25">
      <c r="A943" s="95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95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72" t="s">
        <v>1043</v>
      </c>
      <c r="B945" s="72" t="s">
        <v>55</v>
      </c>
      <c r="C945" s="72" t="s">
        <v>1044</v>
      </c>
      <c r="D945" s="175" t="s">
        <v>1045</v>
      </c>
      <c r="E945" s="175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95"/>
      <c r="B946" s="95"/>
      <c r="C946" s="95"/>
      <c r="D946" s="182" t="s">
        <v>972</v>
      </c>
      <c r="E946" s="182"/>
      <c r="F946" s="182"/>
      <c r="G946" s="182"/>
      <c r="H946" s="182"/>
      <c r="I946" s="182"/>
      <c r="J946" s="182"/>
      <c r="K946" s="182"/>
      <c r="L946" s="182"/>
      <c r="M946" s="182"/>
      <c r="N946" s="182"/>
      <c r="O946" s="182"/>
      <c r="P946" s="182"/>
    </row>
    <row r="947" spans="1:76" s="81" customFormat="1" x14ac:dyDescent="0.25">
      <c r="A947" s="95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95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95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95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95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95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95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72" t="s">
        <v>1052</v>
      </c>
      <c r="B954" s="72" t="s">
        <v>55</v>
      </c>
      <c r="C954" s="72" t="s">
        <v>1053</v>
      </c>
      <c r="D954" s="175" t="s">
        <v>1054</v>
      </c>
      <c r="E954" s="175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95"/>
      <c r="B955" s="95"/>
      <c r="C955" s="95"/>
      <c r="D955" s="182" t="s">
        <v>972</v>
      </c>
      <c r="E955" s="182"/>
      <c r="F955" s="182"/>
      <c r="G955" s="182"/>
      <c r="H955" s="182"/>
      <c r="I955" s="182"/>
      <c r="J955" s="182"/>
      <c r="K955" s="182"/>
      <c r="L955" s="182"/>
      <c r="M955" s="182"/>
      <c r="N955" s="182"/>
      <c r="O955" s="182"/>
      <c r="P955" s="182"/>
    </row>
    <row r="956" spans="1:76" s="81" customFormat="1" x14ac:dyDescent="0.25">
      <c r="A956" s="95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95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72" t="s">
        <v>1056</v>
      </c>
      <c r="B958" s="72" t="s">
        <v>55</v>
      </c>
      <c r="C958" s="72" t="s">
        <v>1057</v>
      </c>
      <c r="D958" s="175" t="s">
        <v>1058</v>
      </c>
      <c r="E958" s="175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95"/>
      <c r="B959" s="95"/>
      <c r="C959" s="95"/>
      <c r="D959" s="182" t="s">
        <v>972</v>
      </c>
      <c r="E959" s="182"/>
      <c r="F959" s="182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</row>
    <row r="960" spans="1:76" s="81" customFormat="1" x14ac:dyDescent="0.25">
      <c r="A960" s="95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95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72" t="s">
        <v>1060</v>
      </c>
      <c r="B962" s="72" t="s">
        <v>55</v>
      </c>
      <c r="C962" s="72" t="s">
        <v>1061</v>
      </c>
      <c r="D962" s="175" t="s">
        <v>1062</v>
      </c>
      <c r="E962" s="175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95"/>
      <c r="B963" s="95"/>
      <c r="C963" s="95"/>
      <c r="D963" s="182" t="s">
        <v>972</v>
      </c>
      <c r="E963" s="182"/>
      <c r="F963" s="182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</row>
    <row r="964" spans="1:76" s="81" customFormat="1" x14ac:dyDescent="0.25">
      <c r="A964" s="95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95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72" t="s">
        <v>1064</v>
      </c>
      <c r="B966" s="72" t="s">
        <v>55</v>
      </c>
      <c r="C966" s="72" t="s">
        <v>1065</v>
      </c>
      <c r="D966" s="175" t="s">
        <v>1066</v>
      </c>
      <c r="E966" s="175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95"/>
      <c r="B967" s="95"/>
      <c r="C967" s="95"/>
      <c r="D967" s="182" t="s">
        <v>972</v>
      </c>
      <c r="E967" s="182"/>
      <c r="F967" s="182"/>
      <c r="G967" s="182"/>
      <c r="H967" s="182"/>
      <c r="I967" s="182"/>
      <c r="J967" s="182"/>
      <c r="K967" s="182"/>
      <c r="L967" s="182"/>
      <c r="M967" s="182"/>
      <c r="N967" s="182"/>
      <c r="O967" s="182"/>
      <c r="P967" s="182"/>
    </row>
    <row r="968" spans="1:76" s="81" customFormat="1" x14ac:dyDescent="0.25">
      <c r="A968" s="95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95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72" t="s">
        <v>1068</v>
      </c>
      <c r="B970" s="72" t="s">
        <v>55</v>
      </c>
      <c r="C970" s="72" t="s">
        <v>1069</v>
      </c>
      <c r="D970" s="175" t="s">
        <v>1070</v>
      </c>
      <c r="E970" s="175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95"/>
      <c r="B971" s="95"/>
      <c r="C971" s="95"/>
      <c r="D971" s="182" t="s">
        <v>972</v>
      </c>
      <c r="E971" s="182"/>
      <c r="F971" s="182"/>
      <c r="G971" s="182"/>
      <c r="H971" s="182"/>
      <c r="I971" s="182"/>
      <c r="J971" s="182"/>
      <c r="K971" s="182"/>
      <c r="L971" s="182"/>
      <c r="M971" s="182"/>
      <c r="N971" s="182"/>
      <c r="O971" s="182"/>
      <c r="P971" s="182"/>
    </row>
    <row r="972" spans="1:76" s="81" customFormat="1" x14ac:dyDescent="0.25">
      <c r="A972" s="95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95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95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72" t="s">
        <v>1073</v>
      </c>
      <c r="B975" s="72" t="s">
        <v>55</v>
      </c>
      <c r="C975" s="72" t="s">
        <v>1074</v>
      </c>
      <c r="D975" s="175" t="s">
        <v>1070</v>
      </c>
      <c r="E975" s="175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95"/>
      <c r="B976" s="95"/>
      <c r="C976" s="95"/>
      <c r="D976" s="182" t="s">
        <v>972</v>
      </c>
      <c r="E976" s="182"/>
      <c r="F976" s="182"/>
      <c r="G976" s="182"/>
      <c r="H976" s="182"/>
      <c r="I976" s="182"/>
      <c r="J976" s="182"/>
      <c r="K976" s="182"/>
      <c r="L976" s="182"/>
      <c r="M976" s="182"/>
      <c r="N976" s="182"/>
      <c r="O976" s="182"/>
      <c r="P976" s="182"/>
    </row>
    <row r="977" spans="1:76" s="81" customFormat="1" x14ac:dyDescent="0.25">
      <c r="A977" s="95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95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95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72" t="s">
        <v>1077</v>
      </c>
      <c r="B980" s="72" t="s">
        <v>55</v>
      </c>
      <c r="C980" s="72" t="s">
        <v>1078</v>
      </c>
      <c r="D980" s="175" t="s">
        <v>1079</v>
      </c>
      <c r="E980" s="175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95"/>
      <c r="B981" s="95"/>
      <c r="C981" s="95"/>
      <c r="D981" s="182" t="s">
        <v>1080</v>
      </c>
      <c r="E981" s="182"/>
      <c r="F981" s="182"/>
      <c r="G981" s="182"/>
      <c r="H981" s="182"/>
      <c r="I981" s="182"/>
      <c r="J981" s="182"/>
      <c r="K981" s="182"/>
      <c r="L981" s="182"/>
      <c r="M981" s="182"/>
      <c r="N981" s="182"/>
      <c r="O981" s="182"/>
      <c r="P981" s="182"/>
    </row>
    <row r="982" spans="1:76" s="81" customFormat="1" x14ac:dyDescent="0.25">
      <c r="A982" s="95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95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95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95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95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95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95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95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95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95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95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72" t="s">
        <v>1091</v>
      </c>
      <c r="B993" s="72" t="s">
        <v>55</v>
      </c>
      <c r="C993" s="72" t="s">
        <v>1092</v>
      </c>
      <c r="D993" s="175" t="s">
        <v>1093</v>
      </c>
      <c r="E993" s="175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95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95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95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95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85" t="s">
        <v>54</v>
      </c>
      <c r="B998" s="74" t="s">
        <v>55</v>
      </c>
      <c r="C998" s="74" t="s">
        <v>560</v>
      </c>
      <c r="D998" s="176" t="s">
        <v>1097</v>
      </c>
      <c r="E998" s="176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SUM(J999:J1097)</f>
        <v>0</v>
      </c>
      <c r="K998" s="86">
        <f>SUM(K999:K1097)</f>
        <v>0</v>
      </c>
      <c r="L998" s="86">
        <f>SUM(L999:L1097)</f>
        <v>0</v>
      </c>
      <c r="M998" s="86">
        <f>SUM(M999:M1097)</f>
        <v>0</v>
      </c>
      <c r="N998" s="87" t="s">
        <v>54</v>
      </c>
      <c r="O998" s="86">
        <f>SUM(O999:O1097)</f>
        <v>979.59020142850011</v>
      </c>
      <c r="P998" s="87" t="s">
        <v>54</v>
      </c>
      <c r="AI998" s="88" t="s">
        <v>55</v>
      </c>
      <c r="AS998" s="89">
        <f>SUM(AJ999:AJ1097)</f>
        <v>0</v>
      </c>
      <c r="AT998" s="89">
        <f>SUM(AK999:AK1097)</f>
        <v>0</v>
      </c>
      <c r="AU998" s="89">
        <f>SUM(AL999:AL1097)</f>
        <v>0</v>
      </c>
    </row>
    <row r="999" spans="1:76" s="81" customFormat="1" x14ac:dyDescent="0.25">
      <c r="A999" s="72" t="s">
        <v>1098</v>
      </c>
      <c r="B999" s="72" t="s">
        <v>55</v>
      </c>
      <c r="C999" s="72" t="s">
        <v>1099</v>
      </c>
      <c r="D999" s="175" t="s">
        <v>1100</v>
      </c>
      <c r="E999" s="175"/>
      <c r="F999" s="72" t="s">
        <v>192</v>
      </c>
      <c r="G999" s="90">
        <v>824.83199999999999</v>
      </c>
      <c r="H999" s="91"/>
      <c r="I999" s="92" t="s">
        <v>63</v>
      </c>
      <c r="J999" s="90">
        <f>G999*AO999</f>
        <v>0</v>
      </c>
      <c r="K999" s="90">
        <f>G999*AP999</f>
        <v>0</v>
      </c>
      <c r="L999" s="90">
        <f>G999*H999</f>
        <v>0</v>
      </c>
      <c r="M999" s="90">
        <f>L999*(1+BW999/100)</f>
        <v>0</v>
      </c>
      <c r="N999" s="90">
        <v>5.5700000000000003E-3</v>
      </c>
      <c r="O999" s="90">
        <f>G999*N999</f>
        <v>4.5943142400000001</v>
      </c>
      <c r="P999" s="92" t="s">
        <v>64</v>
      </c>
      <c r="Z999" s="93">
        <f>IF(AQ999="5",BJ999,0)</f>
        <v>0</v>
      </c>
      <c r="AB999" s="93">
        <f>IF(AQ999="1",BH999,0)</f>
        <v>0</v>
      </c>
      <c r="AC999" s="93">
        <f>IF(AQ999="1",BI999,0)</f>
        <v>0</v>
      </c>
      <c r="AD999" s="93">
        <f>IF(AQ999="7",BH999,0)</f>
        <v>0</v>
      </c>
      <c r="AE999" s="93">
        <f>IF(AQ999="7",BI999,0)</f>
        <v>0</v>
      </c>
      <c r="AF999" s="93">
        <f>IF(AQ999="2",BH999,0)</f>
        <v>0</v>
      </c>
      <c r="AG999" s="93">
        <f>IF(AQ999="2",BI999,0)</f>
        <v>0</v>
      </c>
      <c r="AH999" s="93">
        <f>IF(AQ999="0",BJ999,0)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H999*0.688374032</f>
        <v>0</v>
      </c>
      <c r="AP999" s="93">
        <f>H999*(1-0.688374032)</f>
        <v>0</v>
      </c>
      <c r="AQ999" s="94" t="s">
        <v>59</v>
      </c>
      <c r="AV999" s="93">
        <f>AW999+AX999</f>
        <v>0</v>
      </c>
      <c r="AW999" s="93">
        <f>G999*AO999</f>
        <v>0</v>
      </c>
      <c r="AX999" s="93">
        <f>G999*AP999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4.5943142400000001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 t="str">
        <f>I999</f>
        <v>21</v>
      </c>
      <c r="BX999" s="2" t="s">
        <v>1100</v>
      </c>
    </row>
    <row r="1000" spans="1:76" s="81" customFormat="1" x14ac:dyDescent="0.25">
      <c r="A1000" s="95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95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95"/>
      <c r="B1002" s="95"/>
      <c r="C1002" s="95"/>
      <c r="D1002" s="76" t="s">
        <v>1104</v>
      </c>
      <c r="E1002" s="76" t="s">
        <v>1105</v>
      </c>
      <c r="F1002" s="95"/>
      <c r="G1002" s="96">
        <v>476.9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95"/>
      <c r="B1003" s="95"/>
      <c r="C1003" s="95"/>
      <c r="D1003" s="76" t="s">
        <v>54</v>
      </c>
      <c r="E1003" s="76" t="s">
        <v>1106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95"/>
      <c r="B1004" s="95"/>
      <c r="C1004" s="95"/>
      <c r="D1004" s="76" t="s">
        <v>54</v>
      </c>
      <c r="E1004" s="76" t="s">
        <v>1107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95"/>
      <c r="B1005" s="95"/>
      <c r="C1005" s="95"/>
      <c r="D1005" s="76" t="s">
        <v>1108</v>
      </c>
      <c r="E1005" s="76" t="s">
        <v>1109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95"/>
      <c r="B1006" s="95"/>
      <c r="C1006" s="95"/>
      <c r="D1006" s="76" t="s">
        <v>1110</v>
      </c>
      <c r="E1006" s="76" t="s">
        <v>1111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72" t="s">
        <v>1112</v>
      </c>
      <c r="B1007" s="72" t="s">
        <v>55</v>
      </c>
      <c r="C1007" s="72" t="s">
        <v>1113</v>
      </c>
      <c r="D1007" s="175" t="s">
        <v>1114</v>
      </c>
      <c r="E1007" s="175"/>
      <c r="F1007" s="72" t="s">
        <v>192</v>
      </c>
      <c r="G1007" s="90">
        <v>979.31200000000001</v>
      </c>
      <c r="H1007" s="91"/>
      <c r="I1007" s="92" t="s">
        <v>63</v>
      </c>
      <c r="J1007" s="90">
        <f>G1007*AO1007</f>
        <v>0</v>
      </c>
      <c r="K1007" s="90">
        <f>G1007*AP1007</f>
        <v>0</v>
      </c>
      <c r="L1007" s="90">
        <f>G1007*H1007</f>
        <v>0</v>
      </c>
      <c r="M1007" s="90">
        <f>L1007*(1+BW1007/100)</f>
        <v>0</v>
      </c>
      <c r="N1007" s="90">
        <v>0.1111</v>
      </c>
      <c r="O1007" s="90">
        <f>G1007*N1007</f>
        <v>108.8015632</v>
      </c>
      <c r="P1007" s="92" t="s">
        <v>64</v>
      </c>
      <c r="Z1007" s="93">
        <f>IF(AQ1007="5",BJ1007,0)</f>
        <v>0</v>
      </c>
      <c r="AB1007" s="93">
        <f>IF(AQ1007="1",BH1007,0)</f>
        <v>0</v>
      </c>
      <c r="AC1007" s="93">
        <f>IF(AQ1007="1",BI1007,0)</f>
        <v>0</v>
      </c>
      <c r="AD1007" s="93">
        <f>IF(AQ1007="7",BH1007,0)</f>
        <v>0</v>
      </c>
      <c r="AE1007" s="93">
        <f>IF(AQ1007="7",BI1007,0)</f>
        <v>0</v>
      </c>
      <c r="AF1007" s="93">
        <f>IF(AQ1007="2",BH1007,0)</f>
        <v>0</v>
      </c>
      <c r="AG1007" s="93">
        <f>IF(AQ1007="2",BI1007,0)</f>
        <v>0</v>
      </c>
      <c r="AH1007" s="93">
        <f>IF(AQ1007="0",BJ1007,0)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H1007*0.789116941</f>
        <v>0</v>
      </c>
      <c r="AP1007" s="93">
        <f>H1007*(1-0.789116941)</f>
        <v>0</v>
      </c>
      <c r="AQ1007" s="94" t="s">
        <v>59</v>
      </c>
      <c r="AV1007" s="93">
        <f>AW1007+AX1007</f>
        <v>0</v>
      </c>
      <c r="AW1007" s="93">
        <f>G1007*AO1007</f>
        <v>0</v>
      </c>
      <c r="AX1007" s="93">
        <f>G1007*AP1007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108.8015632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 t="str">
        <f>I1007</f>
        <v>21</v>
      </c>
      <c r="BX1007" s="2" t="s">
        <v>1114</v>
      </c>
    </row>
    <row r="1008" spans="1:76" s="81" customFormat="1" x14ac:dyDescent="0.25">
      <c r="A1008" s="95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95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95"/>
      <c r="B1010" s="95"/>
      <c r="C1010" s="95"/>
      <c r="D1010" s="76" t="s">
        <v>1104</v>
      </c>
      <c r="E1010" s="76" t="s">
        <v>1105</v>
      </c>
      <c r="F1010" s="95"/>
      <c r="G1010" s="96">
        <v>476.9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95"/>
      <c r="B1011" s="95"/>
      <c r="C1011" s="95"/>
      <c r="D1011" s="76" t="s">
        <v>54</v>
      </c>
      <c r="E1011" s="76" t="s">
        <v>1106</v>
      </c>
      <c r="F1011" s="95"/>
      <c r="G1011" s="96">
        <v>0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95"/>
      <c r="B1012" s="95"/>
      <c r="C1012" s="95"/>
      <c r="D1012" s="76" t="s">
        <v>54</v>
      </c>
      <c r="E1012" s="76" t="s">
        <v>1107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95"/>
      <c r="B1013" s="95"/>
      <c r="C1013" s="95"/>
      <c r="D1013" s="76" t="s">
        <v>1115</v>
      </c>
      <c r="E1013" s="76" t="s">
        <v>1116</v>
      </c>
      <c r="F1013" s="95"/>
      <c r="G1013" s="96">
        <v>9.3119999999999994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ht="25.5" x14ac:dyDescent="0.25">
      <c r="A1014" s="95"/>
      <c r="B1014" s="95"/>
      <c r="C1014" s="95"/>
      <c r="D1014" s="76" t="s">
        <v>1110</v>
      </c>
      <c r="E1014" s="76" t="s">
        <v>1111</v>
      </c>
      <c r="F1014" s="95"/>
      <c r="G1014" s="96">
        <v>330.5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x14ac:dyDescent="0.25">
      <c r="A1015" s="95"/>
      <c r="B1015" s="95"/>
      <c r="C1015" s="95"/>
      <c r="D1015" s="76" t="s">
        <v>54</v>
      </c>
      <c r="E1015" s="76" t="s">
        <v>1117</v>
      </c>
      <c r="F1015" s="95"/>
      <c r="G1015" s="96">
        <v>0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95"/>
      <c r="B1016" s="95"/>
      <c r="C1016" s="95"/>
      <c r="D1016" s="76" t="s">
        <v>54</v>
      </c>
      <c r="E1016" s="76" t="s">
        <v>1103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ht="25.5" x14ac:dyDescent="0.25">
      <c r="A1017" s="95"/>
      <c r="B1017" s="95"/>
      <c r="C1017" s="95"/>
      <c r="D1017" s="76" t="s">
        <v>1118</v>
      </c>
      <c r="E1017" s="76" t="s">
        <v>1119</v>
      </c>
      <c r="F1017" s="95"/>
      <c r="G1017" s="96">
        <v>118.3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x14ac:dyDescent="0.25">
      <c r="A1018" s="95"/>
      <c r="B1018" s="95"/>
      <c r="C1018" s="95"/>
      <c r="D1018" s="76" t="s">
        <v>54</v>
      </c>
      <c r="E1018" s="76" t="s">
        <v>1120</v>
      </c>
      <c r="F1018" s="95"/>
      <c r="G1018" s="96">
        <v>0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95"/>
      <c r="B1019" s="95"/>
      <c r="C1019" s="95"/>
      <c r="D1019" s="76" t="s">
        <v>54</v>
      </c>
      <c r="E1019" s="76" t="s">
        <v>1107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ht="25.5" x14ac:dyDescent="0.25">
      <c r="A1020" s="95"/>
      <c r="B1020" s="95"/>
      <c r="C1020" s="95"/>
      <c r="D1020" s="76" t="s">
        <v>1121</v>
      </c>
      <c r="E1020" s="76" t="s">
        <v>1122</v>
      </c>
      <c r="F1020" s="95"/>
      <c r="G1020" s="96">
        <v>44.3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x14ac:dyDescent="0.25">
      <c r="A1021" s="72" t="s">
        <v>1123</v>
      </c>
      <c r="B1021" s="72" t="s">
        <v>55</v>
      </c>
      <c r="C1021" s="72" t="s">
        <v>1124</v>
      </c>
      <c r="D1021" s="175" t="s">
        <v>1125</v>
      </c>
      <c r="E1021" s="175"/>
      <c r="F1021" s="72" t="s">
        <v>192</v>
      </c>
      <c r="G1021" s="90">
        <v>2986.424</v>
      </c>
      <c r="H1021" s="91"/>
      <c r="I1021" s="92" t="s">
        <v>63</v>
      </c>
      <c r="J1021" s="90">
        <f>G1021*AO1021</f>
        <v>0</v>
      </c>
      <c r="K1021" s="90">
        <f>G1021*AP1021</f>
        <v>0</v>
      </c>
      <c r="L1021" s="90">
        <f>G1021*H1021</f>
        <v>0</v>
      </c>
      <c r="M1021" s="90">
        <f>L1021*(1+BW1021/100)</f>
        <v>0</v>
      </c>
      <c r="N1021" s="90">
        <v>1.111E-2</v>
      </c>
      <c r="O1021" s="90">
        <f>G1021*N1021</f>
        <v>33.179170640000002</v>
      </c>
      <c r="P1021" s="92" t="s">
        <v>64</v>
      </c>
      <c r="Z1021" s="93">
        <f>IF(AQ1021="5",BJ1021,0)</f>
        <v>0</v>
      </c>
      <c r="AB1021" s="93">
        <f>IF(AQ1021="1",BH1021,0)</f>
        <v>0</v>
      </c>
      <c r="AC1021" s="93">
        <f>IF(AQ1021="1",BI1021,0)</f>
        <v>0</v>
      </c>
      <c r="AD1021" s="93">
        <f>IF(AQ1021="7",BH1021,0)</f>
        <v>0</v>
      </c>
      <c r="AE1021" s="93">
        <f>IF(AQ1021="7",BI1021,0)</f>
        <v>0</v>
      </c>
      <c r="AF1021" s="93">
        <f>IF(AQ1021="2",BH1021,0)</f>
        <v>0</v>
      </c>
      <c r="AG1021" s="93">
        <f>IF(AQ1021="2",BI1021,0)</f>
        <v>0</v>
      </c>
      <c r="AH1021" s="93">
        <f>IF(AQ1021="0",BJ1021,0)</f>
        <v>0</v>
      </c>
      <c r="AI1021" s="88" t="s">
        <v>55</v>
      </c>
      <c r="AJ1021" s="93">
        <f>IF(AN1021=0,L1021,0)</f>
        <v>0</v>
      </c>
      <c r="AK1021" s="93">
        <f>IF(AN1021=12,L1021,0)</f>
        <v>0</v>
      </c>
      <c r="AL1021" s="93">
        <f>IF(AN1021=21,L1021,0)</f>
        <v>0</v>
      </c>
      <c r="AN1021" s="93">
        <v>21</v>
      </c>
      <c r="AO1021" s="93">
        <f>H1021*0.900000007</f>
        <v>0</v>
      </c>
      <c r="AP1021" s="93">
        <f>H1021*(1-0.900000007)</f>
        <v>0</v>
      </c>
      <c r="AQ1021" s="94" t="s">
        <v>59</v>
      </c>
      <c r="AV1021" s="93">
        <f>AW1021+AX1021</f>
        <v>0</v>
      </c>
      <c r="AW1021" s="93">
        <f>G1021*AO1021</f>
        <v>0</v>
      </c>
      <c r="AX1021" s="93">
        <f>G1021*AP1021</f>
        <v>0</v>
      </c>
      <c r="AY1021" s="94" t="s">
        <v>1101</v>
      </c>
      <c r="AZ1021" s="94" t="s">
        <v>871</v>
      </c>
      <c r="BA1021" s="88" t="s">
        <v>67</v>
      </c>
      <c r="BC1021" s="93">
        <f>AW1021+AX1021</f>
        <v>0</v>
      </c>
      <c r="BD1021" s="93">
        <f>H1021/(100-BE1021)*100</f>
        <v>0</v>
      </c>
      <c r="BE1021" s="93">
        <v>0</v>
      </c>
      <c r="BF1021" s="93">
        <f>O1021</f>
        <v>33.179170640000002</v>
      </c>
      <c r="BH1021" s="93">
        <f>G1021*AO1021</f>
        <v>0</v>
      </c>
      <c r="BI1021" s="93">
        <f>G1021*AP1021</f>
        <v>0</v>
      </c>
      <c r="BJ1021" s="93">
        <f>G1021*H1021</f>
        <v>0</v>
      </c>
      <c r="BK1021" s="93"/>
      <c r="BL1021" s="93">
        <v>63</v>
      </c>
      <c r="BW1021" s="93" t="str">
        <f>I1021</f>
        <v>21</v>
      </c>
      <c r="BX1021" s="2" t="s">
        <v>1125</v>
      </c>
    </row>
    <row r="1022" spans="1:76" s="81" customFormat="1" ht="25.5" x14ac:dyDescent="0.25">
      <c r="A1022" s="95"/>
      <c r="B1022" s="95"/>
      <c r="C1022" s="95"/>
      <c r="D1022" s="76" t="s">
        <v>54</v>
      </c>
      <c r="E1022" s="76" t="s">
        <v>1126</v>
      </c>
      <c r="F1022" s="95"/>
      <c r="G1022" s="96">
        <v>0</v>
      </c>
      <c r="H1022" s="97"/>
      <c r="I1022" s="95"/>
      <c r="J1022" s="95"/>
      <c r="K1022" s="95"/>
      <c r="L1022" s="95"/>
      <c r="M1022" s="95"/>
      <c r="N1022" s="95"/>
      <c r="O1022" s="95"/>
      <c r="P1022" s="95"/>
    </row>
    <row r="1023" spans="1:76" s="81" customFormat="1" x14ac:dyDescent="0.25">
      <c r="A1023" s="95"/>
      <c r="B1023" s="95"/>
      <c r="C1023" s="95"/>
      <c r="D1023" s="76" t="s">
        <v>54</v>
      </c>
      <c r="E1023" s="76" t="s">
        <v>1103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ht="25.5" x14ac:dyDescent="0.25">
      <c r="A1024" s="95"/>
      <c r="B1024" s="95"/>
      <c r="C1024" s="95"/>
      <c r="D1024" s="76" t="s">
        <v>1127</v>
      </c>
      <c r="E1024" s="76" t="s">
        <v>1105</v>
      </c>
      <c r="F1024" s="95"/>
      <c r="G1024" s="96">
        <v>1907.6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95"/>
      <c r="B1025" s="95"/>
      <c r="C1025" s="95"/>
      <c r="D1025" s="76" t="s">
        <v>54</v>
      </c>
      <c r="E1025" s="76" t="s">
        <v>1128</v>
      </c>
      <c r="F1025" s="95"/>
      <c r="G1025" s="96">
        <v>0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95"/>
      <c r="B1026" s="95"/>
      <c r="C1026" s="95"/>
      <c r="D1026" s="76" t="s">
        <v>54</v>
      </c>
      <c r="E1026" s="76" t="s">
        <v>1107</v>
      </c>
      <c r="F1026" s="95"/>
      <c r="G1026" s="96">
        <v>0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x14ac:dyDescent="0.25">
      <c r="A1027" s="95"/>
      <c r="B1027" s="95"/>
      <c r="C1027" s="95"/>
      <c r="D1027" s="76" t="s">
        <v>1129</v>
      </c>
      <c r="E1027" s="76" t="s">
        <v>1116</v>
      </c>
      <c r="F1027" s="95"/>
      <c r="G1027" s="96">
        <v>18.623999999999999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ht="25.5" x14ac:dyDescent="0.25">
      <c r="A1028" s="95"/>
      <c r="B1028" s="95"/>
      <c r="C1028" s="95"/>
      <c r="D1028" s="76" t="s">
        <v>1130</v>
      </c>
      <c r="E1028" s="76" t="s">
        <v>1111</v>
      </c>
      <c r="F1028" s="95"/>
      <c r="G1028" s="96">
        <v>661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ht="25.5" x14ac:dyDescent="0.25">
      <c r="A1029" s="95"/>
      <c r="B1029" s="95"/>
      <c r="C1029" s="95"/>
      <c r="D1029" s="76" t="s">
        <v>54</v>
      </c>
      <c r="E1029" s="76" t="s">
        <v>1131</v>
      </c>
      <c r="F1029" s="95"/>
      <c r="G1029" s="96">
        <v>0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x14ac:dyDescent="0.25">
      <c r="A1030" s="95"/>
      <c r="B1030" s="95"/>
      <c r="C1030" s="95"/>
      <c r="D1030" s="76" t="s">
        <v>54</v>
      </c>
      <c r="E1030" s="76" t="s">
        <v>1103</v>
      </c>
      <c r="F1030" s="95"/>
      <c r="G1030" s="96">
        <v>0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95"/>
      <c r="B1031" s="95"/>
      <c r="C1031" s="95"/>
      <c r="D1031" s="76" t="s">
        <v>1132</v>
      </c>
      <c r="E1031" s="76" t="s">
        <v>1119</v>
      </c>
      <c r="F1031" s="95"/>
      <c r="G1031" s="96">
        <v>354.9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95"/>
      <c r="B1032" s="95"/>
      <c r="C1032" s="95"/>
      <c r="D1032" s="76" t="s">
        <v>54</v>
      </c>
      <c r="E1032" s="76" t="s">
        <v>1120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95"/>
      <c r="B1033" s="95"/>
      <c r="C1033" s="95"/>
      <c r="D1033" s="76" t="s">
        <v>54</v>
      </c>
      <c r="E1033" s="76" t="s">
        <v>1133</v>
      </c>
      <c r="F1033" s="95"/>
      <c r="G1033" s="96">
        <v>0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ht="25.5" x14ac:dyDescent="0.25">
      <c r="A1034" s="95"/>
      <c r="B1034" s="95"/>
      <c r="C1034" s="95"/>
      <c r="D1034" s="76" t="s">
        <v>1121</v>
      </c>
      <c r="E1034" s="76" t="s">
        <v>1122</v>
      </c>
      <c r="F1034" s="95"/>
      <c r="G1034" s="96">
        <v>44.3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x14ac:dyDescent="0.25">
      <c r="A1035" s="72" t="s">
        <v>1134</v>
      </c>
      <c r="B1035" s="72" t="s">
        <v>55</v>
      </c>
      <c r="C1035" s="72" t="s">
        <v>1135</v>
      </c>
      <c r="D1035" s="175" t="s">
        <v>1136</v>
      </c>
      <c r="E1035" s="175"/>
      <c r="F1035" s="72" t="s">
        <v>62</v>
      </c>
      <c r="G1035" s="90">
        <v>214.87468000000001</v>
      </c>
      <c r="H1035" s="91"/>
      <c r="I1035" s="92" t="s">
        <v>63</v>
      </c>
      <c r="J1035" s="90">
        <f>G1035*AO1035</f>
        <v>0</v>
      </c>
      <c r="K1035" s="90">
        <f>G1035*AP1035</f>
        <v>0</v>
      </c>
      <c r="L1035" s="90">
        <f>G1035*H1035</f>
        <v>0</v>
      </c>
      <c r="M1035" s="90">
        <f>L1035*(1+BW1035/100)</f>
        <v>0</v>
      </c>
      <c r="N1035" s="90">
        <v>2.5249999999999999</v>
      </c>
      <c r="O1035" s="90">
        <f>G1035*N1035</f>
        <v>542.55856700000004</v>
      </c>
      <c r="P1035" s="92" t="s">
        <v>64</v>
      </c>
      <c r="Z1035" s="93">
        <f>IF(AQ1035="5",BJ1035,0)</f>
        <v>0</v>
      </c>
      <c r="AB1035" s="93">
        <f>IF(AQ1035="1",BH1035,0)</f>
        <v>0</v>
      </c>
      <c r="AC1035" s="93">
        <f>IF(AQ1035="1",BI1035,0)</f>
        <v>0</v>
      </c>
      <c r="AD1035" s="93">
        <f>IF(AQ1035="7",BH1035,0)</f>
        <v>0</v>
      </c>
      <c r="AE1035" s="93">
        <f>IF(AQ1035="7",BI1035,0)</f>
        <v>0</v>
      </c>
      <c r="AF1035" s="93">
        <f>IF(AQ1035="2",BH1035,0)</f>
        <v>0</v>
      </c>
      <c r="AG1035" s="93">
        <f>IF(AQ1035="2",BI1035,0)</f>
        <v>0</v>
      </c>
      <c r="AH1035" s="93">
        <f>IF(AQ1035="0",BJ1035,0)</f>
        <v>0</v>
      </c>
      <c r="AI1035" s="88" t="s">
        <v>55</v>
      </c>
      <c r="AJ1035" s="93">
        <f>IF(AN1035=0,L1035,0)</f>
        <v>0</v>
      </c>
      <c r="AK1035" s="93">
        <f>IF(AN1035=12,L1035,0)</f>
        <v>0</v>
      </c>
      <c r="AL1035" s="93">
        <f>IF(AN1035=21,L1035,0)</f>
        <v>0</v>
      </c>
      <c r="AN1035" s="93">
        <v>21</v>
      </c>
      <c r="AO1035" s="93">
        <f>H1035*0.777490156</f>
        <v>0</v>
      </c>
      <c r="AP1035" s="93">
        <f>H1035*(1-0.777490156)</f>
        <v>0</v>
      </c>
      <c r="AQ1035" s="94" t="s">
        <v>59</v>
      </c>
      <c r="AV1035" s="93">
        <f>AW1035+AX1035</f>
        <v>0</v>
      </c>
      <c r="AW1035" s="93">
        <f>G1035*AO1035</f>
        <v>0</v>
      </c>
      <c r="AX1035" s="93">
        <f>G1035*AP1035</f>
        <v>0</v>
      </c>
      <c r="AY1035" s="94" t="s">
        <v>1101</v>
      </c>
      <c r="AZ1035" s="94" t="s">
        <v>871</v>
      </c>
      <c r="BA1035" s="88" t="s">
        <v>67</v>
      </c>
      <c r="BC1035" s="93">
        <f>AW1035+AX1035</f>
        <v>0</v>
      </c>
      <c r="BD1035" s="93">
        <f>H1035/(100-BE1035)*100</f>
        <v>0</v>
      </c>
      <c r="BE1035" s="93">
        <v>0</v>
      </c>
      <c r="BF1035" s="93">
        <f>O1035</f>
        <v>542.55856700000004</v>
      </c>
      <c r="BH1035" s="93">
        <f>G1035*AO1035</f>
        <v>0</v>
      </c>
      <c r="BI1035" s="93">
        <f>G1035*AP1035</f>
        <v>0</v>
      </c>
      <c r="BJ1035" s="93">
        <f>G1035*H1035</f>
        <v>0</v>
      </c>
      <c r="BK1035" s="93"/>
      <c r="BL1035" s="93">
        <v>63</v>
      </c>
      <c r="BW1035" s="93" t="str">
        <f>I1035</f>
        <v>21</v>
      </c>
      <c r="BX1035" s="2" t="s">
        <v>1136</v>
      </c>
    </row>
    <row r="1036" spans="1:76" s="81" customFormat="1" x14ac:dyDescent="0.25">
      <c r="A1036" s="95"/>
      <c r="B1036" s="95"/>
      <c r="C1036" s="95"/>
      <c r="D1036" s="76" t="s">
        <v>54</v>
      </c>
      <c r="E1036" s="76" t="s">
        <v>1137</v>
      </c>
      <c r="F1036" s="95"/>
      <c r="G1036" s="96">
        <v>0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95"/>
      <c r="B1037" s="95"/>
      <c r="C1037" s="95"/>
      <c r="D1037" s="76" t="s">
        <v>1138</v>
      </c>
      <c r="E1037" s="76" t="s">
        <v>54</v>
      </c>
      <c r="F1037" s="95"/>
      <c r="G1037" s="96">
        <v>133.60786999999999</v>
      </c>
      <c r="H1037" s="97"/>
      <c r="I1037" s="95"/>
      <c r="J1037" s="95"/>
      <c r="K1037" s="95"/>
      <c r="L1037" s="95"/>
      <c r="M1037" s="95"/>
      <c r="N1037" s="95"/>
      <c r="O1037" s="95"/>
      <c r="P1037" s="95"/>
    </row>
    <row r="1038" spans="1:76" s="81" customFormat="1" x14ac:dyDescent="0.25">
      <c r="A1038" s="95"/>
      <c r="B1038" s="95"/>
      <c r="C1038" s="95"/>
      <c r="D1038" s="76" t="s">
        <v>54</v>
      </c>
      <c r="E1038" s="76" t="s">
        <v>1139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95"/>
      <c r="B1039" s="95"/>
      <c r="C1039" s="95"/>
      <c r="D1039" s="76" t="s">
        <v>1140</v>
      </c>
      <c r="E1039" s="76" t="s">
        <v>1141</v>
      </c>
      <c r="F1039" s="95"/>
      <c r="G1039" s="96">
        <v>0.94140000000000001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ht="25.5" x14ac:dyDescent="0.25">
      <c r="A1040" s="95"/>
      <c r="B1040" s="95"/>
      <c r="C1040" s="95"/>
      <c r="D1040" s="76" t="s">
        <v>1142</v>
      </c>
      <c r="E1040" s="76" t="s">
        <v>1143</v>
      </c>
      <c r="F1040" s="95"/>
      <c r="G1040" s="96">
        <v>0.99023000000000005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95"/>
      <c r="B1041" s="95"/>
      <c r="C1041" s="95"/>
      <c r="D1041" s="76" t="s">
        <v>54</v>
      </c>
      <c r="E1041" s="76" t="s">
        <v>1144</v>
      </c>
      <c r="F1041" s="95"/>
      <c r="G1041" s="96">
        <v>0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x14ac:dyDescent="0.25">
      <c r="A1042" s="95"/>
      <c r="B1042" s="95"/>
      <c r="C1042" s="95"/>
      <c r="D1042" s="76" t="s">
        <v>1145</v>
      </c>
      <c r="E1042" s="76" t="s">
        <v>54</v>
      </c>
      <c r="F1042" s="95"/>
      <c r="G1042" s="96">
        <v>1.9754100000000001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95"/>
      <c r="B1043" s="95"/>
      <c r="C1043" s="95"/>
      <c r="D1043" s="76" t="s">
        <v>1146</v>
      </c>
      <c r="E1043" s="76" t="s">
        <v>1147</v>
      </c>
      <c r="F1043" s="95"/>
      <c r="G1043" s="96">
        <v>3.94977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95"/>
      <c r="B1044" s="95"/>
      <c r="C1044" s="95"/>
      <c r="D1044" s="76" t="s">
        <v>54</v>
      </c>
      <c r="E1044" s="76" t="s">
        <v>1148</v>
      </c>
      <c r="F1044" s="95"/>
      <c r="G1044" s="96">
        <v>0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95"/>
      <c r="B1045" s="95"/>
      <c r="C1045" s="95"/>
      <c r="D1045" s="76" t="s">
        <v>1149</v>
      </c>
      <c r="E1045" s="76" t="s">
        <v>54</v>
      </c>
      <c r="F1045" s="95"/>
      <c r="G1045" s="96">
        <v>73.41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72" t="s">
        <v>1150</v>
      </c>
      <c r="B1046" s="72" t="s">
        <v>55</v>
      </c>
      <c r="C1046" s="72" t="s">
        <v>1151</v>
      </c>
      <c r="D1046" s="175" t="s">
        <v>1152</v>
      </c>
      <c r="E1046" s="175"/>
      <c r="F1046" s="72" t="s">
        <v>62</v>
      </c>
      <c r="G1046" s="90">
        <v>214.87468000000001</v>
      </c>
      <c r="H1046" s="91"/>
      <c r="I1046" s="92" t="s">
        <v>63</v>
      </c>
      <c r="J1046" s="90">
        <f>G1046*AO1046</f>
        <v>0</v>
      </c>
      <c r="K1046" s="90">
        <f>G1046*AP1046</f>
        <v>0</v>
      </c>
      <c r="L1046" s="90">
        <f>G1046*H1046</f>
        <v>0</v>
      </c>
      <c r="M1046" s="90">
        <f>L1046*(1+BW1046/100)</f>
        <v>0</v>
      </c>
      <c r="N1046" s="90">
        <v>0</v>
      </c>
      <c r="O1046" s="90">
        <f>G1046*N1046</f>
        <v>0</v>
      </c>
      <c r="P1046" s="92" t="s">
        <v>64</v>
      </c>
      <c r="Z1046" s="93">
        <f>IF(AQ1046="5",BJ1046,0)</f>
        <v>0</v>
      </c>
      <c r="AB1046" s="93">
        <f>IF(AQ1046="1",BH1046,0)</f>
        <v>0</v>
      </c>
      <c r="AC1046" s="93">
        <f>IF(AQ1046="1",BI1046,0)</f>
        <v>0</v>
      </c>
      <c r="AD1046" s="93">
        <f>IF(AQ1046="7",BH1046,0)</f>
        <v>0</v>
      </c>
      <c r="AE1046" s="93">
        <f>IF(AQ1046="7",BI1046,0)</f>
        <v>0</v>
      </c>
      <c r="AF1046" s="93">
        <f>IF(AQ1046="2",BH1046,0)</f>
        <v>0</v>
      </c>
      <c r="AG1046" s="93">
        <f>IF(AQ1046="2",BI1046,0)</f>
        <v>0</v>
      </c>
      <c r="AH1046" s="93">
        <f>IF(AQ1046="0",BJ1046,0)</f>
        <v>0</v>
      </c>
      <c r="AI1046" s="88" t="s">
        <v>55</v>
      </c>
      <c r="AJ1046" s="93">
        <f>IF(AN1046=0,L1046,0)</f>
        <v>0</v>
      </c>
      <c r="AK1046" s="93">
        <f>IF(AN1046=12,L1046,0)</f>
        <v>0</v>
      </c>
      <c r="AL1046" s="93">
        <f>IF(AN1046=21,L1046,0)</f>
        <v>0</v>
      </c>
      <c r="AN1046" s="93">
        <v>21</v>
      </c>
      <c r="AO1046" s="93">
        <f>H1046*0</f>
        <v>0</v>
      </c>
      <c r="AP1046" s="93">
        <f>H1046*(1-0)</f>
        <v>0</v>
      </c>
      <c r="AQ1046" s="94" t="s">
        <v>59</v>
      </c>
      <c r="AV1046" s="93">
        <f>AW1046+AX1046</f>
        <v>0</v>
      </c>
      <c r="AW1046" s="93">
        <f>G1046*AO1046</f>
        <v>0</v>
      </c>
      <c r="AX1046" s="93">
        <f>G1046*AP1046</f>
        <v>0</v>
      </c>
      <c r="AY1046" s="94" t="s">
        <v>1101</v>
      </c>
      <c r="AZ1046" s="94" t="s">
        <v>871</v>
      </c>
      <c r="BA1046" s="88" t="s">
        <v>67</v>
      </c>
      <c r="BC1046" s="93">
        <f>AW1046+AX1046</f>
        <v>0</v>
      </c>
      <c r="BD1046" s="93">
        <f>H1046/(100-BE1046)*100</f>
        <v>0</v>
      </c>
      <c r="BE1046" s="93">
        <v>0</v>
      </c>
      <c r="BF1046" s="93">
        <f>O1046</f>
        <v>0</v>
      </c>
      <c r="BH1046" s="93">
        <f>G1046*AO1046</f>
        <v>0</v>
      </c>
      <c r="BI1046" s="93">
        <f>G1046*AP1046</f>
        <v>0</v>
      </c>
      <c r="BJ1046" s="93">
        <f>G1046*H1046</f>
        <v>0</v>
      </c>
      <c r="BK1046" s="93"/>
      <c r="BL1046" s="93">
        <v>63</v>
      </c>
      <c r="BW1046" s="93" t="str">
        <f>I1046</f>
        <v>21</v>
      </c>
      <c r="BX1046" s="2" t="s">
        <v>1152</v>
      </c>
    </row>
    <row r="1047" spans="1:76" s="81" customFormat="1" x14ac:dyDescent="0.25">
      <c r="A1047" s="72" t="s">
        <v>1153</v>
      </c>
      <c r="B1047" s="72" t="s">
        <v>55</v>
      </c>
      <c r="C1047" s="72" t="s">
        <v>1154</v>
      </c>
      <c r="D1047" s="175" t="s">
        <v>1155</v>
      </c>
      <c r="E1047" s="175"/>
      <c r="F1047" s="72" t="s">
        <v>62</v>
      </c>
      <c r="G1047" s="90">
        <v>214.87468000000001</v>
      </c>
      <c r="H1047" s="91"/>
      <c r="I1047" s="92" t="s">
        <v>63</v>
      </c>
      <c r="J1047" s="90">
        <f>G1047*AO1047</f>
        <v>0</v>
      </c>
      <c r="K1047" s="90">
        <f>G1047*AP1047</f>
        <v>0</v>
      </c>
      <c r="L1047" s="90">
        <f>G1047*H1047</f>
        <v>0</v>
      </c>
      <c r="M1047" s="90">
        <f>L1047*(1+BW1047/100)</f>
        <v>0</v>
      </c>
      <c r="N1047" s="90">
        <v>0</v>
      </c>
      <c r="O1047" s="90">
        <f>G1047*N1047</f>
        <v>0</v>
      </c>
      <c r="P1047" s="92" t="s">
        <v>64</v>
      </c>
      <c r="Z1047" s="93">
        <f>IF(AQ1047="5",BJ1047,0)</f>
        <v>0</v>
      </c>
      <c r="AB1047" s="93">
        <f>IF(AQ1047="1",BH1047,0)</f>
        <v>0</v>
      </c>
      <c r="AC1047" s="93">
        <f>IF(AQ1047="1",BI1047,0)</f>
        <v>0</v>
      </c>
      <c r="AD1047" s="93">
        <f>IF(AQ1047="7",BH1047,0)</f>
        <v>0</v>
      </c>
      <c r="AE1047" s="93">
        <f>IF(AQ1047="7",BI1047,0)</f>
        <v>0</v>
      </c>
      <c r="AF1047" s="93">
        <f>IF(AQ1047="2",BH1047,0)</f>
        <v>0</v>
      </c>
      <c r="AG1047" s="93">
        <f>IF(AQ1047="2",BI1047,0)</f>
        <v>0</v>
      </c>
      <c r="AH1047" s="93">
        <f>IF(AQ1047="0",BJ1047,0)</f>
        <v>0</v>
      </c>
      <c r="AI1047" s="88" t="s">
        <v>55</v>
      </c>
      <c r="AJ1047" s="93">
        <f>IF(AN1047=0,L1047,0)</f>
        <v>0</v>
      </c>
      <c r="AK1047" s="93">
        <f>IF(AN1047=12,L1047,0)</f>
        <v>0</v>
      </c>
      <c r="AL1047" s="93">
        <f>IF(AN1047=21,L1047,0)</f>
        <v>0</v>
      </c>
      <c r="AN1047" s="93">
        <v>21</v>
      </c>
      <c r="AO1047" s="93">
        <f>H1047*0</f>
        <v>0</v>
      </c>
      <c r="AP1047" s="93">
        <f>H1047*(1-0)</f>
        <v>0</v>
      </c>
      <c r="AQ1047" s="94" t="s">
        <v>59</v>
      </c>
      <c r="AV1047" s="93">
        <f>AW1047+AX1047</f>
        <v>0</v>
      </c>
      <c r="AW1047" s="93">
        <f>G1047*AO1047</f>
        <v>0</v>
      </c>
      <c r="AX1047" s="93">
        <f>G1047*AP1047</f>
        <v>0</v>
      </c>
      <c r="AY1047" s="94" t="s">
        <v>1101</v>
      </c>
      <c r="AZ1047" s="94" t="s">
        <v>871</v>
      </c>
      <c r="BA1047" s="88" t="s">
        <v>67</v>
      </c>
      <c r="BC1047" s="93">
        <f>AW1047+AX1047</f>
        <v>0</v>
      </c>
      <c r="BD1047" s="93">
        <f>H1047/(100-BE1047)*100</f>
        <v>0</v>
      </c>
      <c r="BE1047" s="93">
        <v>0</v>
      </c>
      <c r="BF1047" s="93">
        <f>O1047</f>
        <v>0</v>
      </c>
      <c r="BH1047" s="93">
        <f>G1047*AO1047</f>
        <v>0</v>
      </c>
      <c r="BI1047" s="93">
        <f>G1047*AP1047</f>
        <v>0</v>
      </c>
      <c r="BJ1047" s="93">
        <f>G1047*H1047</f>
        <v>0</v>
      </c>
      <c r="BK1047" s="93"/>
      <c r="BL1047" s="93">
        <v>63</v>
      </c>
      <c r="BW1047" s="93" t="str">
        <f>I1047</f>
        <v>21</v>
      </c>
      <c r="BX1047" s="2" t="s">
        <v>1155</v>
      </c>
    </row>
    <row r="1048" spans="1:76" s="81" customFormat="1" x14ac:dyDescent="0.25">
      <c r="A1048" s="72" t="s">
        <v>1156</v>
      </c>
      <c r="B1048" s="72" t="s">
        <v>55</v>
      </c>
      <c r="C1048" s="72" t="s">
        <v>1157</v>
      </c>
      <c r="D1048" s="175" t="s">
        <v>1158</v>
      </c>
      <c r="E1048" s="175"/>
      <c r="F1048" s="72" t="s">
        <v>222</v>
      </c>
      <c r="G1048" s="90">
        <v>8.9773499999999995</v>
      </c>
      <c r="H1048" s="91"/>
      <c r="I1048" s="92" t="s">
        <v>63</v>
      </c>
      <c r="J1048" s="90">
        <f>G1048*AO1048</f>
        <v>0</v>
      </c>
      <c r="K1048" s="90">
        <f>G1048*AP1048</f>
        <v>0</v>
      </c>
      <c r="L1048" s="90">
        <f>G1048*H1048</f>
        <v>0</v>
      </c>
      <c r="M1048" s="90">
        <f>L1048*(1+BW1048/100)</f>
        <v>0</v>
      </c>
      <c r="N1048" s="90">
        <v>1.0662499999999999</v>
      </c>
      <c r="O1048" s="90">
        <f>G1048*N1048</f>
        <v>9.5720994374999986</v>
      </c>
      <c r="P1048" s="92" t="s">
        <v>64</v>
      </c>
      <c r="Z1048" s="93">
        <f>IF(AQ1048="5",BJ1048,0)</f>
        <v>0</v>
      </c>
      <c r="AB1048" s="93">
        <f>IF(AQ1048="1",BH1048,0)</f>
        <v>0</v>
      </c>
      <c r="AC1048" s="93">
        <f>IF(AQ1048="1",BI1048,0)</f>
        <v>0</v>
      </c>
      <c r="AD1048" s="93">
        <f>IF(AQ1048="7",BH1048,0)</f>
        <v>0</v>
      </c>
      <c r="AE1048" s="93">
        <f>IF(AQ1048="7",BI1048,0)</f>
        <v>0</v>
      </c>
      <c r="AF1048" s="93">
        <f>IF(AQ1048="2",BH1048,0)</f>
        <v>0</v>
      </c>
      <c r="AG1048" s="93">
        <f>IF(AQ1048="2",BI1048,0)</f>
        <v>0</v>
      </c>
      <c r="AH1048" s="93">
        <f>IF(AQ1048="0",BJ1048,0)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H1048*0.783669833</f>
        <v>0</v>
      </c>
      <c r="AP1048" s="93">
        <f>H1048*(1-0.783669833)</f>
        <v>0</v>
      </c>
      <c r="AQ1048" s="94" t="s">
        <v>59</v>
      </c>
      <c r="AV1048" s="93">
        <f>AW1048+AX1048</f>
        <v>0</v>
      </c>
      <c r="AW1048" s="93">
        <f>G1048*AO1048</f>
        <v>0</v>
      </c>
      <c r="AX1048" s="93">
        <f>G1048*AP1048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9.5720994374999986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 t="str">
        <f>I1048</f>
        <v>21</v>
      </c>
      <c r="BX1048" s="2" t="s">
        <v>1158</v>
      </c>
    </row>
    <row r="1049" spans="1:76" s="81" customFormat="1" x14ac:dyDescent="0.25">
      <c r="A1049" s="95"/>
      <c r="B1049" s="95"/>
      <c r="C1049" s="95"/>
      <c r="D1049" s="76" t="s">
        <v>54</v>
      </c>
      <c r="E1049" s="76" t="s">
        <v>225</v>
      </c>
      <c r="F1049" s="95"/>
      <c r="G1049" s="96">
        <v>0</v>
      </c>
      <c r="H1049" s="97"/>
      <c r="I1049" s="95"/>
      <c r="J1049" s="95"/>
      <c r="K1049" s="95"/>
      <c r="L1049" s="95"/>
      <c r="M1049" s="95"/>
      <c r="N1049" s="95"/>
      <c r="O1049" s="95"/>
      <c r="P1049" s="95"/>
    </row>
    <row r="1050" spans="1:76" s="81" customFormat="1" x14ac:dyDescent="0.25">
      <c r="A1050" s="95"/>
      <c r="B1050" s="95"/>
      <c r="C1050" s="95"/>
      <c r="D1050" s="76" t="s">
        <v>1159</v>
      </c>
      <c r="E1050" s="76" t="s">
        <v>54</v>
      </c>
      <c r="F1050" s="95"/>
      <c r="G1050" s="96">
        <v>2.1760000000000002</v>
      </c>
      <c r="H1050" s="97"/>
      <c r="I1050" s="95"/>
      <c r="J1050" s="95"/>
      <c r="K1050" s="95"/>
      <c r="L1050" s="95"/>
      <c r="M1050" s="95"/>
      <c r="N1050" s="95"/>
      <c r="O1050" s="95"/>
      <c r="P1050" s="95"/>
    </row>
    <row r="1051" spans="1:76" s="81" customFormat="1" x14ac:dyDescent="0.25">
      <c r="A1051" s="95"/>
      <c r="B1051" s="95"/>
      <c r="C1051" s="95"/>
      <c r="D1051" s="76" t="s">
        <v>54</v>
      </c>
      <c r="E1051" s="76" t="s">
        <v>1137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95"/>
      <c r="B1052" s="95"/>
      <c r="C1052" s="95"/>
      <c r="D1052" s="76" t="s">
        <v>1160</v>
      </c>
      <c r="E1052" s="76" t="s">
        <v>54</v>
      </c>
      <c r="F1052" s="95"/>
      <c r="G1052" s="96">
        <v>6.5472700000000001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95"/>
      <c r="B1053" s="95"/>
      <c r="C1053" s="95"/>
      <c r="D1053" s="76" t="s">
        <v>1161</v>
      </c>
      <c r="E1053" s="76" t="s">
        <v>54</v>
      </c>
      <c r="F1053" s="95"/>
      <c r="G1053" s="96">
        <v>4.0669999999999998E-2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ht="25.5" x14ac:dyDescent="0.25">
      <c r="A1054" s="95"/>
      <c r="B1054" s="95"/>
      <c r="C1054" s="95"/>
      <c r="D1054" s="76" t="s">
        <v>1162</v>
      </c>
      <c r="E1054" s="76" t="s">
        <v>54</v>
      </c>
      <c r="F1054" s="95"/>
      <c r="G1054" s="96">
        <v>4.2779999999999999E-2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95"/>
      <c r="B1055" s="95"/>
      <c r="C1055" s="95"/>
      <c r="D1055" s="76" t="s">
        <v>1163</v>
      </c>
      <c r="E1055" s="76" t="s">
        <v>54</v>
      </c>
      <c r="F1055" s="95"/>
      <c r="G1055" s="96">
        <v>0.17063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x14ac:dyDescent="0.25">
      <c r="A1056" s="72" t="s">
        <v>1164</v>
      </c>
      <c r="B1056" s="72" t="s">
        <v>55</v>
      </c>
      <c r="C1056" s="72" t="s">
        <v>1165</v>
      </c>
      <c r="D1056" s="175" t="s">
        <v>1166</v>
      </c>
      <c r="E1056" s="175"/>
      <c r="F1056" s="72" t="s">
        <v>192</v>
      </c>
      <c r="G1056" s="90">
        <v>39.244709999999998</v>
      </c>
      <c r="H1056" s="91"/>
      <c r="I1056" s="92" t="s">
        <v>63</v>
      </c>
      <c r="J1056" s="90">
        <f>G1056*AO1056</f>
        <v>0</v>
      </c>
      <c r="K1056" s="90">
        <f>G1056*AP1056</f>
        <v>0</v>
      </c>
      <c r="L1056" s="90">
        <f>G1056*H1056</f>
        <v>0</v>
      </c>
      <c r="M1056" s="90">
        <f>L1056*(1+BW1056/100)</f>
        <v>0</v>
      </c>
      <c r="N1056" s="90">
        <v>1.41E-2</v>
      </c>
      <c r="O1056" s="90">
        <f>G1056*N1056</f>
        <v>0.55335041099999993</v>
      </c>
      <c r="P1056" s="92" t="s">
        <v>64</v>
      </c>
      <c r="Z1056" s="93">
        <f>IF(AQ1056="5",BJ1056,0)</f>
        <v>0</v>
      </c>
      <c r="AB1056" s="93">
        <f>IF(AQ1056="1",BH1056,0)</f>
        <v>0</v>
      </c>
      <c r="AC1056" s="93">
        <f>IF(AQ1056="1",BI1056,0)</f>
        <v>0</v>
      </c>
      <c r="AD1056" s="93">
        <f>IF(AQ1056="7",BH1056,0)</f>
        <v>0</v>
      </c>
      <c r="AE1056" s="93">
        <f>IF(AQ1056="7",BI1056,0)</f>
        <v>0</v>
      </c>
      <c r="AF1056" s="93">
        <f>IF(AQ1056="2",BH1056,0)</f>
        <v>0</v>
      </c>
      <c r="AG1056" s="93">
        <f>IF(AQ1056="2",BI1056,0)</f>
        <v>0</v>
      </c>
      <c r="AH1056" s="93">
        <f>IF(AQ1056="0",BJ1056,0)</f>
        <v>0</v>
      </c>
      <c r="AI1056" s="88" t="s">
        <v>55</v>
      </c>
      <c r="AJ1056" s="93">
        <f>IF(AN1056=0,L1056,0)</f>
        <v>0</v>
      </c>
      <c r="AK1056" s="93">
        <f>IF(AN1056=12,L1056,0)</f>
        <v>0</v>
      </c>
      <c r="AL1056" s="93">
        <f>IF(AN1056=21,L1056,0)</f>
        <v>0</v>
      </c>
      <c r="AN1056" s="93">
        <v>21</v>
      </c>
      <c r="AO1056" s="93">
        <f>H1056*0.46042558</f>
        <v>0</v>
      </c>
      <c r="AP1056" s="93">
        <f>H1056*(1-0.46042558)</f>
        <v>0</v>
      </c>
      <c r="AQ1056" s="94" t="s">
        <v>59</v>
      </c>
      <c r="AV1056" s="93">
        <f>AW1056+AX1056</f>
        <v>0</v>
      </c>
      <c r="AW1056" s="93">
        <f>G1056*AO1056</f>
        <v>0</v>
      </c>
      <c r="AX1056" s="93">
        <f>G1056*AP1056</f>
        <v>0</v>
      </c>
      <c r="AY1056" s="94" t="s">
        <v>1101</v>
      </c>
      <c r="AZ1056" s="94" t="s">
        <v>871</v>
      </c>
      <c r="BA1056" s="88" t="s">
        <v>67</v>
      </c>
      <c r="BC1056" s="93">
        <f>AW1056+AX1056</f>
        <v>0</v>
      </c>
      <c r="BD1056" s="93">
        <f>H1056/(100-BE1056)*100</f>
        <v>0</v>
      </c>
      <c r="BE1056" s="93">
        <v>0</v>
      </c>
      <c r="BF1056" s="93">
        <f>O1056</f>
        <v>0.55335041099999993</v>
      </c>
      <c r="BH1056" s="93">
        <f>G1056*AO1056</f>
        <v>0</v>
      </c>
      <c r="BI1056" s="93">
        <f>G1056*AP1056</f>
        <v>0</v>
      </c>
      <c r="BJ1056" s="93">
        <f>G1056*H1056</f>
        <v>0</v>
      </c>
      <c r="BK1056" s="93"/>
      <c r="BL1056" s="93">
        <v>63</v>
      </c>
      <c r="BW1056" s="93" t="str">
        <f>I1056</f>
        <v>21</v>
      </c>
      <c r="BX1056" s="2" t="s">
        <v>1166</v>
      </c>
    </row>
    <row r="1057" spans="1:76" s="81" customFormat="1" x14ac:dyDescent="0.25">
      <c r="A1057" s="95"/>
      <c r="B1057" s="95"/>
      <c r="C1057" s="95"/>
      <c r="D1057" s="76" t="s">
        <v>54</v>
      </c>
      <c r="E1057" s="76" t="s">
        <v>1137</v>
      </c>
      <c r="F1057" s="95"/>
      <c r="G1057" s="96">
        <v>0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95"/>
      <c r="B1058" s="95"/>
      <c r="C1058" s="95"/>
      <c r="D1058" s="76" t="s">
        <v>1167</v>
      </c>
      <c r="E1058" s="76" t="s">
        <v>54</v>
      </c>
      <c r="F1058" s="95"/>
      <c r="G1058" s="96">
        <v>27.052710000000001</v>
      </c>
      <c r="H1058" s="97"/>
      <c r="I1058" s="95"/>
      <c r="J1058" s="95"/>
      <c r="K1058" s="95"/>
      <c r="L1058" s="95"/>
      <c r="M1058" s="95"/>
      <c r="N1058" s="95"/>
      <c r="O1058" s="95"/>
      <c r="P1058" s="95"/>
    </row>
    <row r="1059" spans="1:76" s="81" customFormat="1" x14ac:dyDescent="0.25">
      <c r="A1059" s="95"/>
      <c r="B1059" s="95"/>
      <c r="C1059" s="95"/>
      <c r="D1059" s="76" t="s">
        <v>1168</v>
      </c>
      <c r="E1059" s="76" t="s">
        <v>54</v>
      </c>
      <c r="F1059" s="95"/>
      <c r="G1059" s="96">
        <v>12.192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72" t="s">
        <v>1169</v>
      </c>
      <c r="B1060" s="72" t="s">
        <v>55</v>
      </c>
      <c r="C1060" s="72" t="s">
        <v>1170</v>
      </c>
      <c r="D1060" s="175" t="s">
        <v>1171</v>
      </c>
      <c r="E1060" s="175"/>
      <c r="F1060" s="72" t="s">
        <v>192</v>
      </c>
      <c r="G1060" s="90">
        <v>39.244709999999998</v>
      </c>
      <c r="H1060" s="91"/>
      <c r="I1060" s="92" t="s">
        <v>63</v>
      </c>
      <c r="J1060" s="90">
        <f>G1060*AO1060</f>
        <v>0</v>
      </c>
      <c r="K1060" s="90">
        <f>G1060*AP1060</f>
        <v>0</v>
      </c>
      <c r="L1060" s="90">
        <f>G1060*H1060</f>
        <v>0</v>
      </c>
      <c r="M1060" s="90">
        <f>L1060*(1+BW1060/100)</f>
        <v>0</v>
      </c>
      <c r="N1060" s="90">
        <v>0</v>
      </c>
      <c r="O1060" s="90">
        <f>G1060*N1060</f>
        <v>0</v>
      </c>
      <c r="P1060" s="92" t="s">
        <v>64</v>
      </c>
      <c r="Z1060" s="93">
        <f>IF(AQ1060="5",BJ1060,0)</f>
        <v>0</v>
      </c>
      <c r="AB1060" s="93">
        <f>IF(AQ1060="1",BH1060,0)</f>
        <v>0</v>
      </c>
      <c r="AC1060" s="93">
        <f>IF(AQ1060="1",BI1060,0)</f>
        <v>0</v>
      </c>
      <c r="AD1060" s="93">
        <f>IF(AQ1060="7",BH1060,0)</f>
        <v>0</v>
      </c>
      <c r="AE1060" s="93">
        <f>IF(AQ1060="7",BI1060,0)</f>
        <v>0</v>
      </c>
      <c r="AF1060" s="93">
        <f>IF(AQ1060="2",BH1060,0)</f>
        <v>0</v>
      </c>
      <c r="AG1060" s="93">
        <f>IF(AQ1060="2",BI1060,0)</f>
        <v>0</v>
      </c>
      <c r="AH1060" s="93">
        <f>IF(AQ1060="0",BJ1060,0)</f>
        <v>0</v>
      </c>
      <c r="AI1060" s="88" t="s">
        <v>55</v>
      </c>
      <c r="AJ1060" s="93">
        <f>IF(AN1060=0,L1060,0)</f>
        <v>0</v>
      </c>
      <c r="AK1060" s="93">
        <f>IF(AN1060=12,L1060,0)</f>
        <v>0</v>
      </c>
      <c r="AL1060" s="93">
        <f>IF(AN1060=21,L1060,0)</f>
        <v>0</v>
      </c>
      <c r="AN1060" s="93">
        <v>21</v>
      </c>
      <c r="AO1060" s="93">
        <f>H1060*0</f>
        <v>0</v>
      </c>
      <c r="AP1060" s="93">
        <f>H1060*(1-0)</f>
        <v>0</v>
      </c>
      <c r="AQ1060" s="94" t="s">
        <v>59</v>
      </c>
      <c r="AV1060" s="93">
        <f>AW1060+AX1060</f>
        <v>0</v>
      </c>
      <c r="AW1060" s="93">
        <f>G1060*AO1060</f>
        <v>0</v>
      </c>
      <c r="AX1060" s="93">
        <f>G1060*AP1060</f>
        <v>0</v>
      </c>
      <c r="AY1060" s="94" t="s">
        <v>1101</v>
      </c>
      <c r="AZ1060" s="94" t="s">
        <v>871</v>
      </c>
      <c r="BA1060" s="88" t="s">
        <v>67</v>
      </c>
      <c r="BC1060" s="93">
        <f>AW1060+AX1060</f>
        <v>0</v>
      </c>
      <c r="BD1060" s="93">
        <f>H1060/(100-BE1060)*100</f>
        <v>0</v>
      </c>
      <c r="BE1060" s="93">
        <v>0</v>
      </c>
      <c r="BF1060" s="93">
        <f>O1060</f>
        <v>0</v>
      </c>
      <c r="BH1060" s="93">
        <f>G1060*AO1060</f>
        <v>0</v>
      </c>
      <c r="BI1060" s="93">
        <f>G1060*AP1060</f>
        <v>0</v>
      </c>
      <c r="BJ1060" s="93">
        <f>G1060*H1060</f>
        <v>0</v>
      </c>
      <c r="BK1060" s="93"/>
      <c r="BL1060" s="93">
        <v>63</v>
      </c>
      <c r="BW1060" s="93" t="str">
        <f>I1060</f>
        <v>21</v>
      </c>
      <c r="BX1060" s="2" t="s">
        <v>1171</v>
      </c>
    </row>
    <row r="1061" spans="1:76" s="81" customFormat="1" ht="25.5" x14ac:dyDescent="0.25">
      <c r="A1061" s="72" t="s">
        <v>1172</v>
      </c>
      <c r="B1061" s="72" t="s">
        <v>55</v>
      </c>
      <c r="C1061" s="72" t="s">
        <v>1173</v>
      </c>
      <c r="D1061" s="175" t="s">
        <v>1174</v>
      </c>
      <c r="E1061" s="175"/>
      <c r="F1061" s="72" t="s">
        <v>62</v>
      </c>
      <c r="G1061" s="90">
        <v>93.477999999999994</v>
      </c>
      <c r="H1061" s="91"/>
      <c r="I1061" s="92" t="s">
        <v>63</v>
      </c>
      <c r="J1061" s="90">
        <f>G1061*AO1061</f>
        <v>0</v>
      </c>
      <c r="K1061" s="90">
        <f>G1061*AP1061</f>
        <v>0</v>
      </c>
      <c r="L1061" s="90">
        <f>G1061*H1061</f>
        <v>0</v>
      </c>
      <c r="M1061" s="90">
        <f>L1061*(1+BW1061/100)</f>
        <v>0</v>
      </c>
      <c r="N1061" s="90">
        <v>2.3886500000000002</v>
      </c>
      <c r="O1061" s="90">
        <f>G1061*N1061</f>
        <v>223.28622469999999</v>
      </c>
      <c r="P1061" s="92" t="s">
        <v>1175</v>
      </c>
      <c r="Z1061" s="93">
        <f>IF(AQ1061="5",BJ1061,0)</f>
        <v>0</v>
      </c>
      <c r="AB1061" s="93">
        <f>IF(AQ1061="1",BH1061,0)</f>
        <v>0</v>
      </c>
      <c r="AC1061" s="93">
        <f>IF(AQ1061="1",BI1061,0)</f>
        <v>0</v>
      </c>
      <c r="AD1061" s="93">
        <f>IF(AQ1061="7",BH1061,0)</f>
        <v>0</v>
      </c>
      <c r="AE1061" s="93">
        <f>IF(AQ1061="7",BI1061,0)</f>
        <v>0</v>
      </c>
      <c r="AF1061" s="93">
        <f>IF(AQ1061="2",BH1061,0)</f>
        <v>0</v>
      </c>
      <c r="AG1061" s="93">
        <f>IF(AQ1061="2",BI1061,0)</f>
        <v>0</v>
      </c>
      <c r="AH1061" s="93">
        <f>IF(AQ1061="0",BJ1061,0)</f>
        <v>0</v>
      </c>
      <c r="AI1061" s="88" t="s">
        <v>55</v>
      </c>
      <c r="AJ1061" s="93">
        <f>IF(AN1061=0,L1061,0)</f>
        <v>0</v>
      </c>
      <c r="AK1061" s="93">
        <f>IF(AN1061=12,L1061,0)</f>
        <v>0</v>
      </c>
      <c r="AL1061" s="93">
        <f>IF(AN1061=21,L1061,0)</f>
        <v>0</v>
      </c>
      <c r="AN1061" s="93">
        <v>21</v>
      </c>
      <c r="AO1061" s="93">
        <f>H1061*0.808624025</f>
        <v>0</v>
      </c>
      <c r="AP1061" s="93">
        <f>H1061*(1-0.808624025)</f>
        <v>0</v>
      </c>
      <c r="AQ1061" s="94" t="s">
        <v>59</v>
      </c>
      <c r="AV1061" s="93">
        <f>AW1061+AX1061</f>
        <v>0</v>
      </c>
      <c r="AW1061" s="93">
        <f>G1061*AO1061</f>
        <v>0</v>
      </c>
      <c r="AX1061" s="93">
        <f>G1061*AP1061</f>
        <v>0</v>
      </c>
      <c r="AY1061" s="94" t="s">
        <v>1101</v>
      </c>
      <c r="AZ1061" s="94" t="s">
        <v>871</v>
      </c>
      <c r="BA1061" s="88" t="s">
        <v>67</v>
      </c>
      <c r="BC1061" s="93">
        <f>AW1061+AX1061</f>
        <v>0</v>
      </c>
      <c r="BD1061" s="93">
        <f>H1061/(100-BE1061)*100</f>
        <v>0</v>
      </c>
      <c r="BE1061" s="93">
        <v>0</v>
      </c>
      <c r="BF1061" s="93">
        <f>O1061</f>
        <v>223.28622469999999</v>
      </c>
      <c r="BH1061" s="93">
        <f>G1061*AO1061</f>
        <v>0</v>
      </c>
      <c r="BI1061" s="93">
        <f>G1061*AP1061</f>
        <v>0</v>
      </c>
      <c r="BJ1061" s="93">
        <f>G1061*H1061</f>
        <v>0</v>
      </c>
      <c r="BK1061" s="93"/>
      <c r="BL1061" s="93">
        <v>63</v>
      </c>
      <c r="BW1061" s="93" t="str">
        <f>I1061</f>
        <v>21</v>
      </c>
      <c r="BX1061" s="2" t="s">
        <v>1174</v>
      </c>
    </row>
    <row r="1062" spans="1:76" s="81" customFormat="1" x14ac:dyDescent="0.25">
      <c r="A1062" s="95"/>
      <c r="B1062" s="95"/>
      <c r="C1062" s="95"/>
      <c r="D1062" s="76" t="s">
        <v>54</v>
      </c>
      <c r="E1062" s="76" t="s">
        <v>1176</v>
      </c>
      <c r="F1062" s="95"/>
      <c r="G1062" s="96">
        <v>0</v>
      </c>
      <c r="H1062" s="97"/>
      <c r="I1062" s="95"/>
      <c r="J1062" s="95"/>
      <c r="K1062" s="95"/>
      <c r="L1062" s="95"/>
      <c r="M1062" s="95"/>
      <c r="N1062" s="95"/>
      <c r="O1062" s="95"/>
      <c r="P1062" s="95"/>
    </row>
    <row r="1063" spans="1:76" s="81" customFormat="1" x14ac:dyDescent="0.25">
      <c r="A1063" s="95"/>
      <c r="B1063" s="95"/>
      <c r="C1063" s="95"/>
      <c r="D1063" s="76" t="s">
        <v>54</v>
      </c>
      <c r="E1063" s="76" t="s">
        <v>1177</v>
      </c>
      <c r="F1063" s="95"/>
      <c r="G1063" s="96">
        <v>0</v>
      </c>
      <c r="H1063" s="97"/>
      <c r="I1063" s="95"/>
      <c r="J1063" s="95"/>
      <c r="K1063" s="95"/>
      <c r="L1063" s="95"/>
      <c r="M1063" s="95"/>
      <c r="N1063" s="95"/>
      <c r="O1063" s="95"/>
      <c r="P1063" s="95"/>
    </row>
    <row r="1064" spans="1:76" s="81" customFormat="1" x14ac:dyDescent="0.25">
      <c r="A1064" s="95"/>
      <c r="B1064" s="95"/>
      <c r="C1064" s="95"/>
      <c r="D1064" s="76" t="s">
        <v>54</v>
      </c>
      <c r="E1064" s="76" t="s">
        <v>1178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95"/>
      <c r="B1065" s="95"/>
      <c r="C1065" s="95"/>
      <c r="D1065" s="76" t="s">
        <v>1179</v>
      </c>
      <c r="E1065" s="76" t="s">
        <v>1180</v>
      </c>
      <c r="F1065" s="95"/>
      <c r="G1065" s="96">
        <v>5.2750000000000004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95"/>
      <c r="B1066" s="95"/>
      <c r="C1066" s="95"/>
      <c r="D1066" s="76" t="s">
        <v>1181</v>
      </c>
      <c r="E1066" s="76" t="s">
        <v>1182</v>
      </c>
      <c r="F1066" s="95"/>
      <c r="G1066" s="96">
        <v>53.276000000000003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95"/>
      <c r="B1067" s="95"/>
      <c r="C1067" s="95"/>
      <c r="D1067" s="76" t="s">
        <v>1183</v>
      </c>
      <c r="E1067" s="76" t="s">
        <v>1184</v>
      </c>
      <c r="F1067" s="95"/>
      <c r="G1067" s="96">
        <v>15.552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95"/>
      <c r="B1068" s="95"/>
      <c r="C1068" s="95"/>
      <c r="D1068" s="76" t="s">
        <v>54</v>
      </c>
      <c r="E1068" s="76" t="s">
        <v>1185</v>
      </c>
      <c r="F1068" s="95"/>
      <c r="G1068" s="96">
        <v>0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95"/>
      <c r="B1069" s="95"/>
      <c r="C1069" s="95"/>
      <c r="D1069" s="76" t="s">
        <v>1186</v>
      </c>
      <c r="E1069" s="76" t="s">
        <v>1187</v>
      </c>
      <c r="F1069" s="95"/>
      <c r="G1069" s="96">
        <v>19.375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72" t="s">
        <v>1188</v>
      </c>
      <c r="B1070" s="72" t="s">
        <v>55</v>
      </c>
      <c r="C1070" s="72" t="s">
        <v>1189</v>
      </c>
      <c r="D1070" s="175" t="s">
        <v>1190</v>
      </c>
      <c r="E1070" s="175"/>
      <c r="F1070" s="72" t="s">
        <v>62</v>
      </c>
      <c r="G1070" s="90">
        <v>53.276000000000003</v>
      </c>
      <c r="H1070" s="91"/>
      <c r="I1070" s="92" t="s">
        <v>63</v>
      </c>
      <c r="J1070" s="90">
        <f>G1070*AO1070</f>
        <v>0</v>
      </c>
      <c r="K1070" s="90">
        <f>G1070*AP1070</f>
        <v>0</v>
      </c>
      <c r="L1070" s="90">
        <f>G1070*H1070</f>
        <v>0</v>
      </c>
      <c r="M1070" s="90">
        <f>L1070*(1+BW1070/100)</f>
        <v>0</v>
      </c>
      <c r="N1070" s="90">
        <v>0</v>
      </c>
      <c r="O1070" s="90">
        <f>G1070*N1070</f>
        <v>0</v>
      </c>
      <c r="P1070" s="92" t="s">
        <v>64</v>
      </c>
      <c r="Z1070" s="93">
        <f>IF(AQ1070="5",BJ1070,0)</f>
        <v>0</v>
      </c>
      <c r="AB1070" s="93">
        <f>IF(AQ1070="1",BH1070,0)</f>
        <v>0</v>
      </c>
      <c r="AC1070" s="93">
        <f>IF(AQ1070="1",BI1070,0)</f>
        <v>0</v>
      </c>
      <c r="AD1070" s="93">
        <f>IF(AQ1070="7",BH1070,0)</f>
        <v>0</v>
      </c>
      <c r="AE1070" s="93">
        <f>IF(AQ1070="7",BI1070,0)</f>
        <v>0</v>
      </c>
      <c r="AF1070" s="93">
        <f>IF(AQ1070="2",BH1070,0)</f>
        <v>0</v>
      </c>
      <c r="AG1070" s="93">
        <f>IF(AQ1070="2",BI1070,0)</f>
        <v>0</v>
      </c>
      <c r="AH1070" s="93">
        <f>IF(AQ1070="0",BJ1070,0)</f>
        <v>0</v>
      </c>
      <c r="AI1070" s="88" t="s">
        <v>55</v>
      </c>
      <c r="AJ1070" s="93">
        <f>IF(AN1070=0,L1070,0)</f>
        <v>0</v>
      </c>
      <c r="AK1070" s="93">
        <f>IF(AN1070=12,L1070,0)</f>
        <v>0</v>
      </c>
      <c r="AL1070" s="93">
        <f>IF(AN1070=21,L1070,0)</f>
        <v>0</v>
      </c>
      <c r="AN1070" s="93">
        <v>21</v>
      </c>
      <c r="AO1070" s="93">
        <f>H1070*0</f>
        <v>0</v>
      </c>
      <c r="AP1070" s="93">
        <f>H1070*(1-0)</f>
        <v>0</v>
      </c>
      <c r="AQ1070" s="94" t="s">
        <v>59</v>
      </c>
      <c r="AV1070" s="93">
        <f>AW1070+AX1070</f>
        <v>0</v>
      </c>
      <c r="AW1070" s="93">
        <f>G1070*AO1070</f>
        <v>0</v>
      </c>
      <c r="AX1070" s="93">
        <f>G1070*AP1070</f>
        <v>0</v>
      </c>
      <c r="AY1070" s="94" t="s">
        <v>1101</v>
      </c>
      <c r="AZ1070" s="94" t="s">
        <v>871</v>
      </c>
      <c r="BA1070" s="88" t="s">
        <v>67</v>
      </c>
      <c r="BC1070" s="93">
        <f>AW1070+AX1070</f>
        <v>0</v>
      </c>
      <c r="BD1070" s="93">
        <f>H1070/(100-BE1070)*100</f>
        <v>0</v>
      </c>
      <c r="BE1070" s="93">
        <v>0</v>
      </c>
      <c r="BF1070" s="93">
        <f>O1070</f>
        <v>0</v>
      </c>
      <c r="BH1070" s="93">
        <f>G1070*AO1070</f>
        <v>0</v>
      </c>
      <c r="BI1070" s="93">
        <f>G1070*AP1070</f>
        <v>0</v>
      </c>
      <c r="BJ1070" s="93">
        <f>G1070*H1070</f>
        <v>0</v>
      </c>
      <c r="BK1070" s="93"/>
      <c r="BL1070" s="93">
        <v>63</v>
      </c>
      <c r="BW1070" s="93" t="str">
        <f>I1070</f>
        <v>21</v>
      </c>
      <c r="BX1070" s="2" t="s">
        <v>1190</v>
      </c>
    </row>
    <row r="1071" spans="1:76" s="81" customFormat="1" x14ac:dyDescent="0.25">
      <c r="A1071" s="95"/>
      <c r="B1071" s="95"/>
      <c r="C1071" s="95"/>
      <c r="D1071" s="76" t="s">
        <v>1181</v>
      </c>
      <c r="E1071" s="76" t="s">
        <v>1182</v>
      </c>
      <c r="F1071" s="95"/>
      <c r="G1071" s="96">
        <v>53.276000000000003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72" t="s">
        <v>1191</v>
      </c>
      <c r="B1072" s="72" t="s">
        <v>55</v>
      </c>
      <c r="C1072" s="72" t="s">
        <v>1192</v>
      </c>
      <c r="D1072" s="175" t="s">
        <v>1193</v>
      </c>
      <c r="E1072" s="175"/>
      <c r="F1072" s="72" t="s">
        <v>62</v>
      </c>
      <c r="G1072" s="90">
        <v>60.643970000000003</v>
      </c>
      <c r="H1072" s="91"/>
      <c r="I1072" s="92" t="s">
        <v>63</v>
      </c>
      <c r="J1072" s="90">
        <f>G1072*AO1072</f>
        <v>0</v>
      </c>
      <c r="K1072" s="90">
        <f>G1072*AP1072</f>
        <v>0</v>
      </c>
      <c r="L1072" s="90">
        <f>G1072*H1072</f>
        <v>0</v>
      </c>
      <c r="M1072" s="90">
        <f>L1072*(1+BW1072/100)</f>
        <v>0</v>
      </c>
      <c r="N1072" s="90">
        <v>0.42</v>
      </c>
      <c r="O1072" s="90">
        <f>G1072*N1072</f>
        <v>25.4704674</v>
      </c>
      <c r="P1072" s="92" t="s">
        <v>64</v>
      </c>
      <c r="Z1072" s="93">
        <f>IF(AQ1072="5",BJ1072,0)</f>
        <v>0</v>
      </c>
      <c r="AB1072" s="93">
        <f>IF(AQ1072="1",BH1072,0)</f>
        <v>0</v>
      </c>
      <c r="AC1072" s="93">
        <f>IF(AQ1072="1",BI1072,0)</f>
        <v>0</v>
      </c>
      <c r="AD1072" s="93">
        <f>IF(AQ1072="7",BH1072,0)</f>
        <v>0</v>
      </c>
      <c r="AE1072" s="93">
        <f>IF(AQ1072="7",BI1072,0)</f>
        <v>0</v>
      </c>
      <c r="AF1072" s="93">
        <f>IF(AQ1072="2",BH1072,0)</f>
        <v>0</v>
      </c>
      <c r="AG1072" s="93">
        <f>IF(AQ1072="2",BI1072,0)</f>
        <v>0</v>
      </c>
      <c r="AH1072" s="93">
        <f>IF(AQ1072="0",BJ1072,0)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H1072*0.777198393</f>
        <v>0</v>
      </c>
      <c r="AP1072" s="93">
        <f>H1072*(1-0.777198393)</f>
        <v>0</v>
      </c>
      <c r="AQ1072" s="94" t="s">
        <v>59</v>
      </c>
      <c r="AV1072" s="93">
        <f>AW1072+AX1072</f>
        <v>0</v>
      </c>
      <c r="AW1072" s="93">
        <f>G1072*AO1072</f>
        <v>0</v>
      </c>
      <c r="AX1072" s="93">
        <f>G1072*AP1072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25.4704674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 t="str">
        <f>I1072</f>
        <v>21</v>
      </c>
      <c r="BX1072" s="2" t="s">
        <v>1193</v>
      </c>
    </row>
    <row r="1073" spans="1:76" s="81" customFormat="1" x14ac:dyDescent="0.25">
      <c r="A1073" s="95"/>
      <c r="B1073" s="95"/>
      <c r="C1073" s="95"/>
      <c r="D1073" s="76" t="s">
        <v>54</v>
      </c>
      <c r="E1073" s="76" t="s">
        <v>1194</v>
      </c>
      <c r="F1073" s="95"/>
      <c r="G1073" s="96">
        <v>0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95"/>
      <c r="B1074" s="95"/>
      <c r="C1074" s="95"/>
      <c r="D1074" s="76" t="s">
        <v>54</v>
      </c>
      <c r="E1074" s="76" t="s">
        <v>1195</v>
      </c>
      <c r="F1074" s="95"/>
      <c r="G1074" s="96">
        <v>0</v>
      </c>
      <c r="H1074" s="97"/>
      <c r="I1074" s="95"/>
      <c r="J1074" s="95"/>
      <c r="K1074" s="95"/>
      <c r="L1074" s="95"/>
      <c r="M1074" s="95"/>
      <c r="N1074" s="95"/>
      <c r="O1074" s="95"/>
      <c r="P1074" s="95"/>
    </row>
    <row r="1075" spans="1:76" s="81" customFormat="1" x14ac:dyDescent="0.25">
      <c r="A1075" s="95"/>
      <c r="B1075" s="95"/>
      <c r="C1075" s="95"/>
      <c r="D1075" s="76" t="s">
        <v>1196</v>
      </c>
      <c r="E1075" s="76" t="s">
        <v>54</v>
      </c>
      <c r="F1075" s="95"/>
      <c r="G1075" s="96">
        <v>37.913620000000002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95"/>
      <c r="B1076" s="95"/>
      <c r="C1076" s="95"/>
      <c r="D1076" s="76" t="s">
        <v>54</v>
      </c>
      <c r="E1076" s="76" t="s">
        <v>1197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95"/>
      <c r="B1077" s="95"/>
      <c r="C1077" s="95"/>
      <c r="D1077" s="76" t="s">
        <v>1198</v>
      </c>
      <c r="E1077" s="76" t="s">
        <v>54</v>
      </c>
      <c r="F1077" s="95"/>
      <c r="G1077" s="96">
        <v>14.70323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95"/>
      <c r="B1078" s="95"/>
      <c r="C1078" s="95"/>
      <c r="D1078" s="76" t="s">
        <v>1199</v>
      </c>
      <c r="E1078" s="76" t="s">
        <v>54</v>
      </c>
      <c r="F1078" s="95"/>
      <c r="G1078" s="96">
        <v>8.02712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72" t="s">
        <v>1200</v>
      </c>
      <c r="B1079" s="72" t="s">
        <v>55</v>
      </c>
      <c r="C1079" s="72" t="s">
        <v>1201</v>
      </c>
      <c r="D1079" s="175" t="s">
        <v>1202</v>
      </c>
      <c r="E1079" s="175"/>
      <c r="F1079" s="72" t="s">
        <v>62</v>
      </c>
      <c r="G1079" s="90">
        <v>15.517910000000001</v>
      </c>
      <c r="H1079" s="91"/>
      <c r="I1079" s="92" t="s">
        <v>63</v>
      </c>
      <c r="J1079" s="90">
        <f>G1079*AO1079</f>
        <v>0</v>
      </c>
      <c r="K1079" s="90">
        <f>G1079*AP1079</f>
        <v>0</v>
      </c>
      <c r="L1079" s="90">
        <f>G1079*H1079</f>
        <v>0</v>
      </c>
      <c r="M1079" s="90">
        <f>L1079*(1+BW1079/100)</f>
        <v>0</v>
      </c>
      <c r="N1079" s="90">
        <v>1.6</v>
      </c>
      <c r="O1079" s="90">
        <f>G1079*N1079</f>
        <v>24.828656000000002</v>
      </c>
      <c r="P1079" s="92" t="s">
        <v>64</v>
      </c>
      <c r="Z1079" s="93">
        <f>IF(AQ1079="5",BJ1079,0)</f>
        <v>0</v>
      </c>
      <c r="AB1079" s="93">
        <f>IF(AQ1079="1",BH1079,0)</f>
        <v>0</v>
      </c>
      <c r="AC1079" s="93">
        <f>IF(AQ1079="1",BI1079,0)</f>
        <v>0</v>
      </c>
      <c r="AD1079" s="93">
        <f>IF(AQ1079="7",BH1079,0)</f>
        <v>0</v>
      </c>
      <c r="AE1079" s="93">
        <f>IF(AQ1079="7",BI1079,0)</f>
        <v>0</v>
      </c>
      <c r="AF1079" s="93">
        <f>IF(AQ1079="2",BH1079,0)</f>
        <v>0</v>
      </c>
      <c r="AG1079" s="93">
        <f>IF(AQ1079="2",BI1079,0)</f>
        <v>0</v>
      </c>
      <c r="AH1079" s="93">
        <f>IF(AQ1079="0",BJ1079,0)</f>
        <v>0</v>
      </c>
      <c r="AI1079" s="88" t="s">
        <v>55</v>
      </c>
      <c r="AJ1079" s="93">
        <f>IF(AN1079=0,L1079,0)</f>
        <v>0</v>
      </c>
      <c r="AK1079" s="93">
        <f>IF(AN1079=12,L1079,0)</f>
        <v>0</v>
      </c>
      <c r="AL1079" s="93">
        <f>IF(AN1079=21,L1079,0)</f>
        <v>0</v>
      </c>
      <c r="AN1079" s="93">
        <v>21</v>
      </c>
      <c r="AO1079" s="93">
        <f>H1079*0.891488946</f>
        <v>0</v>
      </c>
      <c r="AP1079" s="93">
        <f>H1079*(1-0.891488946)</f>
        <v>0</v>
      </c>
      <c r="AQ1079" s="94" t="s">
        <v>59</v>
      </c>
      <c r="AV1079" s="93">
        <f>AW1079+AX1079</f>
        <v>0</v>
      </c>
      <c r="AW1079" s="93">
        <f>G1079*AO1079</f>
        <v>0</v>
      </c>
      <c r="AX1079" s="93">
        <f>G1079*AP1079</f>
        <v>0</v>
      </c>
      <c r="AY1079" s="94" t="s">
        <v>1101</v>
      </c>
      <c r="AZ1079" s="94" t="s">
        <v>871</v>
      </c>
      <c r="BA1079" s="88" t="s">
        <v>67</v>
      </c>
      <c r="BC1079" s="93">
        <f>AW1079+AX1079</f>
        <v>0</v>
      </c>
      <c r="BD1079" s="93">
        <f>H1079/(100-BE1079)*100</f>
        <v>0</v>
      </c>
      <c r="BE1079" s="93">
        <v>0</v>
      </c>
      <c r="BF1079" s="93">
        <f>O1079</f>
        <v>24.828656000000002</v>
      </c>
      <c r="BH1079" s="93">
        <f>G1079*AO1079</f>
        <v>0</v>
      </c>
      <c r="BI1079" s="93">
        <f>G1079*AP1079</f>
        <v>0</v>
      </c>
      <c r="BJ1079" s="93">
        <f>G1079*H1079</f>
        <v>0</v>
      </c>
      <c r="BK1079" s="93"/>
      <c r="BL1079" s="93">
        <v>63</v>
      </c>
      <c r="BW1079" s="93" t="str">
        <f>I1079</f>
        <v>21</v>
      </c>
      <c r="BX1079" s="2" t="s">
        <v>1202</v>
      </c>
    </row>
    <row r="1080" spans="1:76" s="81" customFormat="1" x14ac:dyDescent="0.25">
      <c r="A1080" s="95"/>
      <c r="B1080" s="95"/>
      <c r="C1080" s="95"/>
      <c r="D1080" s="76" t="s">
        <v>54</v>
      </c>
      <c r="E1080" s="76" t="s">
        <v>831</v>
      </c>
      <c r="F1080" s="95"/>
      <c r="G1080" s="96">
        <v>0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95"/>
      <c r="B1081" s="95"/>
      <c r="C1081" s="95"/>
      <c r="D1081" s="76" t="s">
        <v>54</v>
      </c>
      <c r="E1081" s="76" t="s">
        <v>832</v>
      </c>
      <c r="F1081" s="95"/>
      <c r="G1081" s="96">
        <v>0</v>
      </c>
      <c r="H1081" s="97"/>
      <c r="I1081" s="95"/>
      <c r="J1081" s="95"/>
      <c r="K1081" s="95"/>
      <c r="L1081" s="95"/>
      <c r="M1081" s="95"/>
      <c r="N1081" s="95"/>
      <c r="O1081" s="95"/>
      <c r="P1081" s="95"/>
    </row>
    <row r="1082" spans="1:76" s="81" customFormat="1" x14ac:dyDescent="0.25">
      <c r="A1082" s="95"/>
      <c r="B1082" s="95"/>
      <c r="C1082" s="95"/>
      <c r="D1082" s="76" t="s">
        <v>1203</v>
      </c>
      <c r="E1082" s="76" t="s">
        <v>841</v>
      </c>
      <c r="F1082" s="95"/>
      <c r="G1082" s="96">
        <v>1.1294900000000001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95"/>
      <c r="B1083" s="95"/>
      <c r="C1083" s="95"/>
      <c r="D1083" s="76" t="s">
        <v>1204</v>
      </c>
      <c r="E1083" s="76" t="s">
        <v>843</v>
      </c>
      <c r="F1083" s="95"/>
      <c r="G1083" s="96">
        <v>0.43195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95"/>
      <c r="B1084" s="95"/>
      <c r="C1084" s="95"/>
      <c r="D1084" s="76" t="s">
        <v>1205</v>
      </c>
      <c r="E1084" s="76" t="s">
        <v>834</v>
      </c>
      <c r="F1084" s="95"/>
      <c r="G1084" s="96">
        <v>1.5673600000000001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95"/>
      <c r="B1085" s="95"/>
      <c r="C1085" s="95"/>
      <c r="D1085" s="76" t="s">
        <v>54</v>
      </c>
      <c r="E1085" s="76" t="s">
        <v>835</v>
      </c>
      <c r="F1085" s="95"/>
      <c r="G1085" s="96">
        <v>0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95"/>
      <c r="B1086" s="95"/>
      <c r="C1086" s="95"/>
      <c r="D1086" s="76" t="s">
        <v>1206</v>
      </c>
      <c r="E1086" s="76" t="s">
        <v>54</v>
      </c>
      <c r="F1086" s="95"/>
      <c r="G1086" s="96">
        <v>8.2356099999999994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95"/>
      <c r="B1087" s="95"/>
      <c r="C1087" s="95"/>
      <c r="D1087" s="76" t="s">
        <v>54</v>
      </c>
      <c r="E1087" s="76" t="s">
        <v>837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95"/>
      <c r="B1088" s="95"/>
      <c r="C1088" s="95"/>
      <c r="D1088" s="76" t="s">
        <v>54</v>
      </c>
      <c r="E1088" s="76" t="s">
        <v>443</v>
      </c>
      <c r="F1088" s="95"/>
      <c r="G1088" s="96">
        <v>0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95"/>
      <c r="B1089" s="95"/>
      <c r="C1089" s="95"/>
      <c r="D1089" s="76" t="s">
        <v>1207</v>
      </c>
      <c r="E1089" s="76" t="s">
        <v>839</v>
      </c>
      <c r="F1089" s="95"/>
      <c r="G1089" s="96">
        <v>4.1535000000000002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72" t="s">
        <v>1208</v>
      </c>
      <c r="B1090" s="72" t="s">
        <v>55</v>
      </c>
      <c r="C1090" s="72" t="s">
        <v>1209</v>
      </c>
      <c r="D1090" s="175" t="s">
        <v>1210</v>
      </c>
      <c r="E1090" s="175"/>
      <c r="F1090" s="72" t="s">
        <v>192</v>
      </c>
      <c r="G1090" s="90">
        <v>20.269359999999999</v>
      </c>
      <c r="H1090" s="91"/>
      <c r="I1090" s="92" t="s">
        <v>63</v>
      </c>
      <c r="J1090" s="90">
        <f>G1090*AO1090</f>
        <v>0</v>
      </c>
      <c r="K1090" s="90">
        <f>G1090*AP1090</f>
        <v>0</v>
      </c>
      <c r="L1090" s="90">
        <f>G1090*H1090</f>
        <v>0</v>
      </c>
      <c r="M1090" s="90">
        <f>L1090*(1+BW1090/100)</f>
        <v>0</v>
      </c>
      <c r="N1090" s="90">
        <v>0.26500000000000001</v>
      </c>
      <c r="O1090" s="90">
        <f>G1090*N1090</f>
        <v>5.3713803999999996</v>
      </c>
      <c r="P1090" s="92" t="s">
        <v>371</v>
      </c>
      <c r="Z1090" s="93">
        <f>IF(AQ1090="5",BJ1090,0)</f>
        <v>0</v>
      </c>
      <c r="AB1090" s="93">
        <f>IF(AQ1090="1",BH1090,0)</f>
        <v>0</v>
      </c>
      <c r="AC1090" s="93">
        <f>IF(AQ1090="1",BI1090,0)</f>
        <v>0</v>
      </c>
      <c r="AD1090" s="93">
        <f>IF(AQ1090="7",BH1090,0)</f>
        <v>0</v>
      </c>
      <c r="AE1090" s="93">
        <f>IF(AQ1090="7",BI1090,0)</f>
        <v>0</v>
      </c>
      <c r="AF1090" s="93">
        <f>IF(AQ1090="2",BH1090,0)</f>
        <v>0</v>
      </c>
      <c r="AG1090" s="93">
        <f>IF(AQ1090="2",BI1090,0)</f>
        <v>0</v>
      </c>
      <c r="AH1090" s="93">
        <f>IF(AQ1090="0",BJ1090,0)</f>
        <v>0</v>
      </c>
      <c r="AI1090" s="88" t="s">
        <v>55</v>
      </c>
      <c r="AJ1090" s="93">
        <f>IF(AN1090=0,L1090,0)</f>
        <v>0</v>
      </c>
      <c r="AK1090" s="93">
        <f>IF(AN1090=12,L1090,0)</f>
        <v>0</v>
      </c>
      <c r="AL1090" s="93">
        <f>IF(AN1090=21,L1090,0)</f>
        <v>0</v>
      </c>
      <c r="AN1090" s="93">
        <v>21</v>
      </c>
      <c r="AO1090" s="93">
        <f>H1090*0.895667236</f>
        <v>0</v>
      </c>
      <c r="AP1090" s="93">
        <f>H1090*(1-0.895667236)</f>
        <v>0</v>
      </c>
      <c r="AQ1090" s="94" t="s">
        <v>59</v>
      </c>
      <c r="AV1090" s="93">
        <f>AW1090+AX1090</f>
        <v>0</v>
      </c>
      <c r="AW1090" s="93">
        <f>G1090*AO1090</f>
        <v>0</v>
      </c>
      <c r="AX1090" s="93">
        <f>G1090*AP1090</f>
        <v>0</v>
      </c>
      <c r="AY1090" s="94" t="s">
        <v>1101</v>
      </c>
      <c r="AZ1090" s="94" t="s">
        <v>871</v>
      </c>
      <c r="BA1090" s="88" t="s">
        <v>67</v>
      </c>
      <c r="BC1090" s="93">
        <f>AW1090+AX1090</f>
        <v>0</v>
      </c>
      <c r="BD1090" s="93">
        <f>H1090/(100-BE1090)*100</f>
        <v>0</v>
      </c>
      <c r="BE1090" s="93">
        <v>0</v>
      </c>
      <c r="BF1090" s="93">
        <f>O1090</f>
        <v>5.3713803999999996</v>
      </c>
      <c r="BH1090" s="93">
        <f>G1090*AO1090</f>
        <v>0</v>
      </c>
      <c r="BI1090" s="93">
        <f>G1090*AP1090</f>
        <v>0</v>
      </c>
      <c r="BJ1090" s="93">
        <f>G1090*H1090</f>
        <v>0</v>
      </c>
      <c r="BK1090" s="93"/>
      <c r="BL1090" s="93">
        <v>63</v>
      </c>
      <c r="BW1090" s="93" t="str">
        <f>I1090</f>
        <v>21</v>
      </c>
      <c r="BX1090" s="2" t="s">
        <v>1210</v>
      </c>
    </row>
    <row r="1091" spans="1:76" s="81" customFormat="1" x14ac:dyDescent="0.25">
      <c r="A1091" s="95"/>
      <c r="B1091" s="95"/>
      <c r="C1091" s="95"/>
      <c r="D1091" s="76" t="s">
        <v>54</v>
      </c>
      <c r="E1091" s="76" t="s">
        <v>215</v>
      </c>
      <c r="F1091" s="95"/>
      <c r="G1091" s="96">
        <v>0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95"/>
      <c r="B1092" s="95"/>
      <c r="C1092" s="95"/>
      <c r="D1092" s="76" t="s">
        <v>1211</v>
      </c>
      <c r="E1092" s="76" t="s">
        <v>54</v>
      </c>
      <c r="F1092" s="95"/>
      <c r="G1092" s="96">
        <v>1.9350000000000001</v>
      </c>
      <c r="H1092" s="97"/>
      <c r="I1092" s="95"/>
      <c r="J1092" s="95"/>
      <c r="K1092" s="95"/>
      <c r="L1092" s="95"/>
      <c r="M1092" s="95"/>
      <c r="N1092" s="95"/>
      <c r="O1092" s="95"/>
      <c r="P1092" s="95"/>
    </row>
    <row r="1093" spans="1:76" s="81" customFormat="1" x14ac:dyDescent="0.25">
      <c r="A1093" s="95"/>
      <c r="B1093" s="95"/>
      <c r="C1093" s="95"/>
      <c r="D1093" s="76" t="s">
        <v>1212</v>
      </c>
      <c r="E1093" s="76" t="s">
        <v>54</v>
      </c>
      <c r="F1093" s="95"/>
      <c r="G1093" s="96">
        <v>5.4171100000000001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95"/>
      <c r="B1094" s="95"/>
      <c r="C1094" s="95"/>
      <c r="D1094" s="76" t="s">
        <v>1213</v>
      </c>
      <c r="E1094" s="76" t="s">
        <v>54</v>
      </c>
      <c r="F1094" s="95"/>
      <c r="G1094" s="96">
        <v>2.5432999999999999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95"/>
      <c r="B1095" s="95"/>
      <c r="C1095" s="95"/>
      <c r="D1095" s="76" t="s">
        <v>54</v>
      </c>
      <c r="E1095" s="76" t="s">
        <v>443</v>
      </c>
      <c r="F1095" s="95"/>
      <c r="G1095" s="96">
        <v>0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95"/>
      <c r="B1096" s="95"/>
      <c r="C1096" s="95"/>
      <c r="D1096" s="76" t="s">
        <v>1214</v>
      </c>
      <c r="E1096" s="76" t="s">
        <v>54</v>
      </c>
      <c r="F1096" s="95"/>
      <c r="G1096" s="96">
        <v>10.373950000000001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72" t="s">
        <v>1215</v>
      </c>
      <c r="B1097" s="72" t="s">
        <v>55</v>
      </c>
      <c r="C1097" s="72" t="s">
        <v>1216</v>
      </c>
      <c r="D1097" s="175" t="s">
        <v>1217</v>
      </c>
      <c r="E1097" s="175"/>
      <c r="F1097" s="72" t="s">
        <v>192</v>
      </c>
      <c r="G1097" s="90">
        <v>72.72</v>
      </c>
      <c r="H1097" s="91"/>
      <c r="I1097" s="92" t="s">
        <v>63</v>
      </c>
      <c r="J1097" s="90">
        <f>G1097*AO1097</f>
        <v>0</v>
      </c>
      <c r="K1097" s="90">
        <f>G1097*AP1097</f>
        <v>0</v>
      </c>
      <c r="L1097" s="90">
        <f>G1097*H1097</f>
        <v>0</v>
      </c>
      <c r="M1097" s="90">
        <f>L1097*(1+BW1097/100)</f>
        <v>0</v>
      </c>
      <c r="N1097" s="90">
        <v>1.89E-2</v>
      </c>
      <c r="O1097" s="90">
        <f>G1097*N1097</f>
        <v>1.3744080000000001</v>
      </c>
      <c r="P1097" s="92" t="s">
        <v>371</v>
      </c>
      <c r="Z1097" s="93">
        <f>IF(AQ1097="5",BJ1097,0)</f>
        <v>0</v>
      </c>
      <c r="AB1097" s="93">
        <f>IF(AQ1097="1",BH1097,0)</f>
        <v>0</v>
      </c>
      <c r="AC1097" s="93">
        <f>IF(AQ1097="1",BI1097,0)</f>
        <v>0</v>
      </c>
      <c r="AD1097" s="93">
        <f>IF(AQ1097="7",BH1097,0)</f>
        <v>0</v>
      </c>
      <c r="AE1097" s="93">
        <f>IF(AQ1097="7",BI1097,0)</f>
        <v>0</v>
      </c>
      <c r="AF1097" s="93">
        <f>IF(AQ1097="2",BH1097,0)</f>
        <v>0</v>
      </c>
      <c r="AG1097" s="93">
        <f>IF(AQ1097="2",BI1097,0)</f>
        <v>0</v>
      </c>
      <c r="AH1097" s="93">
        <f>IF(AQ1097="0",BJ1097,0)</f>
        <v>0</v>
      </c>
      <c r="AI1097" s="88" t="s">
        <v>55</v>
      </c>
      <c r="AJ1097" s="93">
        <f>IF(AN1097=0,L1097,0)</f>
        <v>0</v>
      </c>
      <c r="AK1097" s="93">
        <f>IF(AN1097=12,L1097,0)</f>
        <v>0</v>
      </c>
      <c r="AL1097" s="93">
        <f>IF(AN1097=21,L1097,0)</f>
        <v>0</v>
      </c>
      <c r="AN1097" s="93">
        <v>21</v>
      </c>
      <c r="AO1097" s="93">
        <f>H1097*0.721</f>
        <v>0</v>
      </c>
      <c r="AP1097" s="93">
        <f>H1097*(1-0.721)</f>
        <v>0</v>
      </c>
      <c r="AQ1097" s="94" t="s">
        <v>59</v>
      </c>
      <c r="AV1097" s="93">
        <f>AW1097+AX1097</f>
        <v>0</v>
      </c>
      <c r="AW1097" s="93">
        <f>G1097*AO1097</f>
        <v>0</v>
      </c>
      <c r="AX1097" s="93">
        <f>G1097*AP1097</f>
        <v>0</v>
      </c>
      <c r="AY1097" s="94" t="s">
        <v>1101</v>
      </c>
      <c r="AZ1097" s="94" t="s">
        <v>871</v>
      </c>
      <c r="BA1097" s="88" t="s">
        <v>67</v>
      </c>
      <c r="BC1097" s="93">
        <f>AW1097+AX1097</f>
        <v>0</v>
      </c>
      <c r="BD1097" s="93">
        <f>H1097/(100-BE1097)*100</f>
        <v>0</v>
      </c>
      <c r="BE1097" s="93">
        <v>0</v>
      </c>
      <c r="BF1097" s="93">
        <f>O1097</f>
        <v>1.3744080000000001</v>
      </c>
      <c r="BH1097" s="93">
        <f>G1097*AO1097</f>
        <v>0</v>
      </c>
      <c r="BI1097" s="93">
        <f>G1097*AP1097</f>
        <v>0</v>
      </c>
      <c r="BJ1097" s="93">
        <f>G1097*H1097</f>
        <v>0</v>
      </c>
      <c r="BK1097" s="93"/>
      <c r="BL1097" s="93">
        <v>63</v>
      </c>
      <c r="BW1097" s="93" t="str">
        <f>I1097</f>
        <v>21</v>
      </c>
      <c r="BX1097" s="2" t="s">
        <v>1217</v>
      </c>
    </row>
    <row r="1098" spans="1:76" s="81" customFormat="1" x14ac:dyDescent="0.25">
      <c r="A1098" s="95"/>
      <c r="B1098" s="95"/>
      <c r="C1098" s="95"/>
      <c r="D1098" s="76" t="s">
        <v>54</v>
      </c>
      <c r="E1098" s="76" t="s">
        <v>1218</v>
      </c>
      <c r="F1098" s="95"/>
      <c r="G1098" s="96">
        <v>0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95"/>
      <c r="B1099" s="95"/>
      <c r="C1099" s="95"/>
      <c r="D1099" s="76" t="s">
        <v>54</v>
      </c>
      <c r="E1099" s="76" t="s">
        <v>443</v>
      </c>
      <c r="F1099" s="95"/>
      <c r="G1099" s="96">
        <v>0</v>
      </c>
      <c r="H1099" s="97"/>
      <c r="I1099" s="95"/>
      <c r="J1099" s="95"/>
      <c r="K1099" s="95"/>
      <c r="L1099" s="95"/>
      <c r="M1099" s="95"/>
      <c r="N1099" s="95"/>
      <c r="O1099" s="95"/>
      <c r="P1099" s="95"/>
    </row>
    <row r="1100" spans="1:76" s="81" customFormat="1" x14ac:dyDescent="0.25">
      <c r="A1100" s="95"/>
      <c r="B1100" s="95"/>
      <c r="C1100" s="95"/>
      <c r="D1100" s="76" t="s">
        <v>1219</v>
      </c>
      <c r="E1100" s="76" t="s">
        <v>54</v>
      </c>
      <c r="F1100" s="95"/>
      <c r="G1100" s="96">
        <v>72.72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85" t="s">
        <v>54</v>
      </c>
      <c r="B1101" s="74" t="s">
        <v>55</v>
      </c>
      <c r="C1101" s="74" t="s">
        <v>564</v>
      </c>
      <c r="D1101" s="176" t="s">
        <v>1220</v>
      </c>
      <c r="E1101" s="176"/>
      <c r="F1101" s="85" t="s">
        <v>4</v>
      </c>
      <c r="G1101" s="85" t="s">
        <v>4</v>
      </c>
      <c r="H1101" s="98"/>
      <c r="I1101" s="85" t="s">
        <v>4</v>
      </c>
      <c r="J1101" s="86">
        <f>SUM(J1102:J1117)</f>
        <v>0</v>
      </c>
      <c r="K1101" s="86">
        <f>SUM(K1102:K1117)</f>
        <v>0</v>
      </c>
      <c r="L1101" s="86">
        <f>SUM(L1102:L1117)</f>
        <v>0</v>
      </c>
      <c r="M1101" s="86">
        <f>SUM(M1102:M1117)</f>
        <v>0</v>
      </c>
      <c r="N1101" s="87" t="s">
        <v>54</v>
      </c>
      <c r="O1101" s="86">
        <f>SUM(O1102:O1117)</f>
        <v>1.0279520999999998</v>
      </c>
      <c r="P1101" s="87" t="s">
        <v>54</v>
      </c>
      <c r="AI1101" s="88" t="s">
        <v>55</v>
      </c>
      <c r="AS1101" s="89">
        <f>SUM(AJ1102:AJ1117)</f>
        <v>0</v>
      </c>
      <c r="AT1101" s="89">
        <f>SUM(AK1102:AK1117)</f>
        <v>0</v>
      </c>
      <c r="AU1101" s="89">
        <f>SUM(AL1102:AL1117)</f>
        <v>0</v>
      </c>
    </row>
    <row r="1102" spans="1:76" s="81" customFormat="1" x14ac:dyDescent="0.25">
      <c r="A1102" s="72" t="s">
        <v>1221</v>
      </c>
      <c r="B1102" s="72" t="s">
        <v>55</v>
      </c>
      <c r="C1102" s="72" t="s">
        <v>1222</v>
      </c>
      <c r="D1102" s="175" t="s">
        <v>1223</v>
      </c>
      <c r="E1102" s="175"/>
      <c r="F1102" s="72" t="s">
        <v>213</v>
      </c>
      <c r="G1102" s="90">
        <v>42.48</v>
      </c>
      <c r="H1102" s="91"/>
      <c r="I1102" s="92" t="s">
        <v>63</v>
      </c>
      <c r="J1102" s="90">
        <f>G1102*AO1102</f>
        <v>0</v>
      </c>
      <c r="K1102" s="90">
        <f>G1102*AP1102</f>
        <v>0</v>
      </c>
      <c r="L1102" s="90">
        <f>G1102*H1102</f>
        <v>0</v>
      </c>
      <c r="M1102" s="90">
        <f>L1102*(1+BW1102/100)</f>
        <v>0</v>
      </c>
      <c r="N1102" s="90">
        <v>1.4069999999999999E-2</v>
      </c>
      <c r="O1102" s="90">
        <f>G1102*N1102</f>
        <v>0.59769359999999994</v>
      </c>
      <c r="P1102" s="92" t="s">
        <v>64</v>
      </c>
      <c r="Z1102" s="93">
        <f>IF(AQ1102="5",BJ1102,0)</f>
        <v>0</v>
      </c>
      <c r="AB1102" s="93">
        <f>IF(AQ1102="1",BH1102,0)</f>
        <v>0</v>
      </c>
      <c r="AC1102" s="93">
        <f>IF(AQ1102="1",BI1102,0)</f>
        <v>0</v>
      </c>
      <c r="AD1102" s="93">
        <f>IF(AQ1102="7",BH1102,0)</f>
        <v>0</v>
      </c>
      <c r="AE1102" s="93">
        <f>IF(AQ1102="7",BI1102,0)</f>
        <v>0</v>
      </c>
      <c r="AF1102" s="93">
        <f>IF(AQ1102="2",BH1102,0)</f>
        <v>0</v>
      </c>
      <c r="AG1102" s="93">
        <f>IF(AQ1102="2",BI1102,0)</f>
        <v>0</v>
      </c>
      <c r="AH1102" s="93">
        <f>IF(AQ1102="0",BJ1102,0)</f>
        <v>0</v>
      </c>
      <c r="AI1102" s="88" t="s">
        <v>55</v>
      </c>
      <c r="AJ1102" s="93">
        <f>IF(AN1102=0,L1102,0)</f>
        <v>0</v>
      </c>
      <c r="AK1102" s="93">
        <f>IF(AN1102=12,L1102,0)</f>
        <v>0</v>
      </c>
      <c r="AL1102" s="93">
        <f>IF(AN1102=21,L1102,0)</f>
        <v>0</v>
      </c>
      <c r="AN1102" s="93">
        <v>21</v>
      </c>
      <c r="AO1102" s="93">
        <f>H1102*0.636832061</f>
        <v>0</v>
      </c>
      <c r="AP1102" s="93">
        <f>H1102*(1-0.636832061)</f>
        <v>0</v>
      </c>
      <c r="AQ1102" s="94" t="s">
        <v>59</v>
      </c>
      <c r="AV1102" s="93">
        <f>AW1102+AX1102</f>
        <v>0</v>
      </c>
      <c r="AW1102" s="93">
        <f>G1102*AO1102</f>
        <v>0</v>
      </c>
      <c r="AX1102" s="93">
        <f>G1102*AP1102</f>
        <v>0</v>
      </c>
      <c r="AY1102" s="94" t="s">
        <v>1224</v>
      </c>
      <c r="AZ1102" s="94" t="s">
        <v>871</v>
      </c>
      <c r="BA1102" s="88" t="s">
        <v>67</v>
      </c>
      <c r="BC1102" s="93">
        <f>AW1102+AX1102</f>
        <v>0</v>
      </c>
      <c r="BD1102" s="93">
        <f>H1102/(100-BE1102)*100</f>
        <v>0</v>
      </c>
      <c r="BE1102" s="93">
        <v>0</v>
      </c>
      <c r="BF1102" s="93">
        <f>O1102</f>
        <v>0.59769359999999994</v>
      </c>
      <c r="BH1102" s="93">
        <f>G1102*AO1102</f>
        <v>0</v>
      </c>
      <c r="BI1102" s="93">
        <f>G1102*AP1102</f>
        <v>0</v>
      </c>
      <c r="BJ1102" s="93">
        <f>G1102*H1102</f>
        <v>0</v>
      </c>
      <c r="BK1102" s="93"/>
      <c r="BL1102" s="93">
        <v>64</v>
      </c>
      <c r="BW1102" s="93" t="str">
        <f>I1102</f>
        <v>21</v>
      </c>
      <c r="BX1102" s="2" t="s">
        <v>1223</v>
      </c>
    </row>
    <row r="1103" spans="1:76" s="81" customFormat="1" ht="13.5" customHeight="1" x14ac:dyDescent="0.25">
      <c r="A1103" s="95"/>
      <c r="B1103" s="95"/>
      <c r="C1103" s="95"/>
      <c r="D1103" s="182" t="s">
        <v>1225</v>
      </c>
      <c r="E1103" s="182"/>
      <c r="F1103" s="182"/>
      <c r="G1103" s="182"/>
      <c r="H1103" s="182"/>
      <c r="I1103" s="182"/>
      <c r="J1103" s="182"/>
      <c r="K1103" s="182"/>
      <c r="L1103" s="182"/>
      <c r="M1103" s="182"/>
      <c r="N1103" s="182"/>
      <c r="O1103" s="182"/>
      <c r="P1103" s="182"/>
    </row>
    <row r="1104" spans="1:76" s="81" customFormat="1" x14ac:dyDescent="0.25">
      <c r="A1104" s="95"/>
      <c r="B1104" s="95"/>
      <c r="C1104" s="95"/>
      <c r="D1104" s="76" t="s">
        <v>54</v>
      </c>
      <c r="E1104" s="76" t="s">
        <v>1226</v>
      </c>
      <c r="F1104" s="95"/>
      <c r="G1104" s="96">
        <v>0</v>
      </c>
      <c r="H1104" s="95"/>
      <c r="I1104" s="95"/>
      <c r="J1104" s="95"/>
      <c r="K1104" s="95"/>
      <c r="L1104" s="95"/>
      <c r="M1104" s="95"/>
      <c r="N1104" s="95"/>
      <c r="O1104" s="95"/>
      <c r="P1104" s="95"/>
    </row>
    <row r="1105" spans="1:76" s="81" customFormat="1" x14ac:dyDescent="0.25">
      <c r="A1105" s="95"/>
      <c r="B1105" s="95"/>
      <c r="C1105" s="95"/>
      <c r="D1105" s="76" t="s">
        <v>1227</v>
      </c>
      <c r="E1105" s="76" t="s">
        <v>1228</v>
      </c>
      <c r="F1105" s="95"/>
      <c r="G1105" s="96">
        <v>11.82</v>
      </c>
      <c r="H1105" s="95"/>
      <c r="I1105" s="95"/>
      <c r="J1105" s="95"/>
      <c r="K1105" s="95"/>
      <c r="L1105" s="95"/>
      <c r="M1105" s="95"/>
      <c r="N1105" s="95"/>
      <c r="O1105" s="95"/>
      <c r="P1105" s="95"/>
    </row>
    <row r="1106" spans="1:76" s="81" customFormat="1" x14ac:dyDescent="0.25">
      <c r="A1106" s="95"/>
      <c r="B1106" s="95"/>
      <c r="C1106" s="95"/>
      <c r="D1106" s="76" t="s">
        <v>1229</v>
      </c>
      <c r="E1106" s="76" t="s">
        <v>1230</v>
      </c>
      <c r="F1106" s="95"/>
      <c r="G1106" s="96">
        <v>4.58</v>
      </c>
      <c r="H1106" s="95"/>
      <c r="I1106" s="95"/>
      <c r="J1106" s="95"/>
      <c r="K1106" s="95"/>
      <c r="L1106" s="95"/>
      <c r="M1106" s="95"/>
      <c r="N1106" s="95"/>
      <c r="O1106" s="95"/>
      <c r="P1106" s="95"/>
    </row>
    <row r="1107" spans="1:76" s="81" customFormat="1" x14ac:dyDescent="0.25">
      <c r="A1107" s="95"/>
      <c r="B1107" s="95"/>
      <c r="C1107" s="95"/>
      <c r="D1107" s="76" t="s">
        <v>1231</v>
      </c>
      <c r="E1107" s="76" t="s">
        <v>1232</v>
      </c>
      <c r="F1107" s="95"/>
      <c r="G1107" s="96">
        <v>0.61</v>
      </c>
      <c r="H1107" s="95"/>
      <c r="I1107" s="95"/>
      <c r="J1107" s="95"/>
      <c r="K1107" s="95"/>
      <c r="L1107" s="95"/>
      <c r="M1107" s="95"/>
      <c r="N1107" s="95"/>
      <c r="O1107" s="95"/>
      <c r="P1107" s="95"/>
    </row>
    <row r="1108" spans="1:76" s="81" customFormat="1" x14ac:dyDescent="0.25">
      <c r="A1108" s="95"/>
      <c r="B1108" s="95"/>
      <c r="C1108" s="95"/>
      <c r="D1108" s="76" t="s">
        <v>1233</v>
      </c>
      <c r="E1108" s="76" t="s">
        <v>1234</v>
      </c>
      <c r="F1108" s="95"/>
      <c r="G1108" s="96">
        <v>6.12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95"/>
      <c r="B1109" s="95"/>
      <c r="C1109" s="95"/>
      <c r="D1109" s="76" t="s">
        <v>1235</v>
      </c>
      <c r="E1109" s="76" t="s">
        <v>1236</v>
      </c>
      <c r="F1109" s="95"/>
      <c r="G1109" s="96">
        <v>1.2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95"/>
      <c r="B1110" s="95"/>
      <c r="C1110" s="95"/>
      <c r="D1110" s="76" t="s">
        <v>1237</v>
      </c>
      <c r="E1110" s="76" t="s">
        <v>1238</v>
      </c>
      <c r="F1110" s="95"/>
      <c r="G1110" s="96">
        <v>2.48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95"/>
      <c r="B1111" s="95"/>
      <c r="C1111" s="95"/>
      <c r="D1111" s="76" t="s">
        <v>1239</v>
      </c>
      <c r="E1111" s="76" t="s">
        <v>1240</v>
      </c>
      <c r="F1111" s="95"/>
      <c r="G1111" s="96">
        <v>1.4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95"/>
      <c r="B1112" s="95"/>
      <c r="C1112" s="95"/>
      <c r="D1112" s="76" t="s">
        <v>1241</v>
      </c>
      <c r="E1112" s="76" t="s">
        <v>1242</v>
      </c>
      <c r="F1112" s="95"/>
      <c r="G1112" s="96">
        <v>0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95"/>
      <c r="B1113" s="95"/>
      <c r="C1113" s="95"/>
      <c r="D1113" s="76" t="s">
        <v>1243</v>
      </c>
      <c r="E1113" s="76" t="s">
        <v>1244</v>
      </c>
      <c r="F1113" s="95"/>
      <c r="G1113" s="96">
        <v>5.16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95"/>
      <c r="B1114" s="95"/>
      <c r="C1114" s="95"/>
      <c r="D1114" s="76" t="s">
        <v>1245</v>
      </c>
      <c r="E1114" s="76" t="s">
        <v>1246</v>
      </c>
      <c r="F1114" s="95"/>
      <c r="G1114" s="96">
        <v>3.52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95"/>
      <c r="B1115" s="95"/>
      <c r="C1115" s="95"/>
      <c r="D1115" s="76" t="s">
        <v>1245</v>
      </c>
      <c r="E1115" s="76" t="s">
        <v>1246</v>
      </c>
      <c r="F1115" s="95"/>
      <c r="G1115" s="96">
        <v>3.52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95"/>
      <c r="B1116" s="95"/>
      <c r="C1116" s="95"/>
      <c r="D1116" s="76" t="s">
        <v>1247</v>
      </c>
      <c r="E1116" s="76" t="s">
        <v>1248</v>
      </c>
      <c r="F1116" s="95"/>
      <c r="G1116" s="96">
        <v>2.0699999999999998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72" t="s">
        <v>1249</v>
      </c>
      <c r="B1117" s="72" t="s">
        <v>55</v>
      </c>
      <c r="C1117" s="72" t="s">
        <v>1250</v>
      </c>
      <c r="D1117" s="175" t="s">
        <v>1251</v>
      </c>
      <c r="E1117" s="175"/>
      <c r="F1117" s="72" t="s">
        <v>213</v>
      </c>
      <c r="G1117" s="90">
        <v>39.15</v>
      </c>
      <c r="H1117" s="91"/>
      <c r="I1117" s="92" t="s">
        <v>63</v>
      </c>
      <c r="J1117" s="90">
        <f>G1117*AO1117</f>
        <v>0</v>
      </c>
      <c r="K1117" s="90">
        <f>G1117*AP1117</f>
        <v>0</v>
      </c>
      <c r="L1117" s="90">
        <f>G1117*H1117</f>
        <v>0</v>
      </c>
      <c r="M1117" s="90">
        <f>L1117*(1+BW1117/100)</f>
        <v>0</v>
      </c>
      <c r="N1117" s="90">
        <v>1.099E-2</v>
      </c>
      <c r="O1117" s="90">
        <f>G1117*N1117</f>
        <v>0.43025849999999999</v>
      </c>
      <c r="P1117" s="92" t="s">
        <v>64</v>
      </c>
      <c r="Z1117" s="93">
        <f>IF(AQ1117="5",BJ1117,0)</f>
        <v>0</v>
      </c>
      <c r="AB1117" s="93">
        <f>IF(AQ1117="1",BH1117,0)</f>
        <v>0</v>
      </c>
      <c r="AC1117" s="93">
        <f>IF(AQ1117="1",BI1117,0)</f>
        <v>0</v>
      </c>
      <c r="AD1117" s="93">
        <f>IF(AQ1117="7",BH1117,0)</f>
        <v>0</v>
      </c>
      <c r="AE1117" s="93">
        <f>IF(AQ1117="7",BI1117,0)</f>
        <v>0</v>
      </c>
      <c r="AF1117" s="93">
        <f>IF(AQ1117="2",BH1117,0)</f>
        <v>0</v>
      </c>
      <c r="AG1117" s="93">
        <f>IF(AQ1117="2",BI1117,0)</f>
        <v>0</v>
      </c>
      <c r="AH1117" s="93">
        <f>IF(AQ1117="0",BJ1117,0)</f>
        <v>0</v>
      </c>
      <c r="AI1117" s="88" t="s">
        <v>55</v>
      </c>
      <c r="AJ1117" s="93">
        <f>IF(AN1117=0,L1117,0)</f>
        <v>0</v>
      </c>
      <c r="AK1117" s="93">
        <f>IF(AN1117=12,L1117,0)</f>
        <v>0</v>
      </c>
      <c r="AL1117" s="93">
        <f>IF(AN1117=21,L1117,0)</f>
        <v>0</v>
      </c>
      <c r="AN1117" s="93">
        <v>21</v>
      </c>
      <c r="AO1117" s="93">
        <f>H1117*0.7075</f>
        <v>0</v>
      </c>
      <c r="AP1117" s="93">
        <f>H1117*(1-0.7075)</f>
        <v>0</v>
      </c>
      <c r="AQ1117" s="94" t="s">
        <v>59</v>
      </c>
      <c r="AV1117" s="93">
        <f>AW1117+AX1117</f>
        <v>0</v>
      </c>
      <c r="AW1117" s="93">
        <f>G1117*AO1117</f>
        <v>0</v>
      </c>
      <c r="AX1117" s="93">
        <f>G1117*AP1117</f>
        <v>0</v>
      </c>
      <c r="AY1117" s="94" t="s">
        <v>1224</v>
      </c>
      <c r="AZ1117" s="94" t="s">
        <v>871</v>
      </c>
      <c r="BA1117" s="88" t="s">
        <v>67</v>
      </c>
      <c r="BC1117" s="93">
        <f>AW1117+AX1117</f>
        <v>0</v>
      </c>
      <c r="BD1117" s="93">
        <f>H1117/(100-BE1117)*100</f>
        <v>0</v>
      </c>
      <c r="BE1117" s="93">
        <v>0</v>
      </c>
      <c r="BF1117" s="93">
        <f>O1117</f>
        <v>0.43025849999999999</v>
      </c>
      <c r="BH1117" s="93">
        <f>G1117*AO1117</f>
        <v>0</v>
      </c>
      <c r="BI1117" s="93">
        <f>G1117*AP1117</f>
        <v>0</v>
      </c>
      <c r="BJ1117" s="93">
        <f>G1117*H1117</f>
        <v>0</v>
      </c>
      <c r="BK1117" s="93"/>
      <c r="BL1117" s="93">
        <v>64</v>
      </c>
      <c r="BW1117" s="93" t="str">
        <f>I1117</f>
        <v>21</v>
      </c>
      <c r="BX1117" s="2" t="s">
        <v>1251</v>
      </c>
    </row>
    <row r="1118" spans="1:76" s="81" customFormat="1" ht="13.5" customHeight="1" x14ac:dyDescent="0.25">
      <c r="A1118" s="95"/>
      <c r="B1118" s="95"/>
      <c r="C1118" s="95"/>
      <c r="D1118" s="182" t="s">
        <v>1252</v>
      </c>
      <c r="E1118" s="182"/>
      <c r="F1118" s="182"/>
      <c r="G1118" s="182"/>
      <c r="H1118" s="182"/>
      <c r="I1118" s="182"/>
      <c r="J1118" s="182"/>
      <c r="K1118" s="182"/>
      <c r="L1118" s="182"/>
      <c r="M1118" s="182"/>
      <c r="N1118" s="182"/>
      <c r="O1118" s="182"/>
      <c r="P1118" s="182"/>
    </row>
    <row r="1119" spans="1:76" s="81" customFormat="1" x14ac:dyDescent="0.25">
      <c r="A1119" s="95"/>
      <c r="B1119" s="95"/>
      <c r="C1119" s="95"/>
      <c r="D1119" s="76" t="s">
        <v>54</v>
      </c>
      <c r="E1119" s="76" t="s">
        <v>1226</v>
      </c>
      <c r="F1119" s="95"/>
      <c r="G1119" s="96">
        <v>0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95"/>
      <c r="B1120" s="95"/>
      <c r="C1120" s="95"/>
      <c r="D1120" s="76" t="s">
        <v>1253</v>
      </c>
      <c r="E1120" s="76" t="s">
        <v>1254</v>
      </c>
      <c r="F1120" s="95"/>
      <c r="G1120" s="96">
        <v>7.1749999999999998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95"/>
      <c r="B1121" s="95"/>
      <c r="C1121" s="95"/>
      <c r="D1121" s="76" t="s">
        <v>1255</v>
      </c>
      <c r="E1121" s="76" t="s">
        <v>1256</v>
      </c>
      <c r="F1121" s="95"/>
      <c r="G1121" s="96">
        <v>4.7</v>
      </c>
      <c r="H1121" s="95"/>
      <c r="I1121" s="95"/>
      <c r="J1121" s="95"/>
      <c r="K1121" s="95"/>
      <c r="L1121" s="95"/>
      <c r="M1121" s="95"/>
      <c r="N1121" s="95"/>
      <c r="O1121" s="95"/>
      <c r="P1121" s="95"/>
    </row>
    <row r="1122" spans="1:76" s="81" customFormat="1" x14ac:dyDescent="0.25">
      <c r="A1122" s="95"/>
      <c r="B1122" s="95"/>
      <c r="C1122" s="95"/>
      <c r="D1122" s="76" t="s">
        <v>1257</v>
      </c>
      <c r="E1122" s="76" t="s">
        <v>1258</v>
      </c>
      <c r="F1122" s="95"/>
      <c r="G1122" s="96">
        <v>2.2999999999999998</v>
      </c>
      <c r="H1122" s="95"/>
      <c r="I1122" s="95"/>
      <c r="J1122" s="95"/>
      <c r="K1122" s="95"/>
      <c r="L1122" s="95"/>
      <c r="M1122" s="95"/>
      <c r="N1122" s="95"/>
      <c r="O1122" s="95"/>
      <c r="P1122" s="95"/>
    </row>
    <row r="1123" spans="1:76" s="81" customFormat="1" x14ac:dyDescent="0.25">
      <c r="A1123" s="95"/>
      <c r="B1123" s="95"/>
      <c r="C1123" s="95"/>
      <c r="D1123" s="76" t="s">
        <v>1259</v>
      </c>
      <c r="E1123" s="76" t="s">
        <v>1260</v>
      </c>
      <c r="F1123" s="95"/>
      <c r="G1123" s="96">
        <v>1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95"/>
      <c r="B1124" s="95"/>
      <c r="C1124" s="95"/>
      <c r="D1124" s="76" t="s">
        <v>1261</v>
      </c>
      <c r="E1124" s="76" t="s">
        <v>1262</v>
      </c>
      <c r="F1124" s="95"/>
      <c r="G1124" s="96">
        <v>1.1000000000000001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95"/>
      <c r="B1125" s="95"/>
      <c r="C1125" s="95"/>
      <c r="D1125" s="76" t="s">
        <v>1263</v>
      </c>
      <c r="E1125" s="76" t="s">
        <v>1262</v>
      </c>
      <c r="F1125" s="95"/>
      <c r="G1125" s="96">
        <v>3.4649999999999999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95"/>
      <c r="B1126" s="95"/>
      <c r="C1126" s="95"/>
      <c r="D1126" s="76" t="s">
        <v>1264</v>
      </c>
      <c r="E1126" s="76" t="s">
        <v>1265</v>
      </c>
      <c r="F1126" s="95"/>
      <c r="G1126" s="96">
        <v>3.19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95"/>
      <c r="B1127" s="95"/>
      <c r="C1127" s="95"/>
      <c r="D1127" s="76" t="s">
        <v>1266</v>
      </c>
      <c r="E1127" s="76" t="s">
        <v>1267</v>
      </c>
      <c r="F1127" s="95"/>
      <c r="G1127" s="96">
        <v>13.38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95"/>
      <c r="B1128" s="95"/>
      <c r="C1128" s="95"/>
      <c r="D1128" s="76" t="s">
        <v>1268</v>
      </c>
      <c r="E1128" s="76" t="s">
        <v>1269</v>
      </c>
      <c r="F1128" s="95"/>
      <c r="G1128" s="96">
        <v>2.84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85" t="s">
        <v>54</v>
      </c>
      <c r="B1129" s="74" t="s">
        <v>55</v>
      </c>
      <c r="C1129" s="74" t="s">
        <v>806</v>
      </c>
      <c r="D1129" s="176" t="s">
        <v>1270</v>
      </c>
      <c r="E1129" s="176"/>
      <c r="F1129" s="85" t="s">
        <v>4</v>
      </c>
      <c r="G1129" s="85" t="s">
        <v>4</v>
      </c>
      <c r="H1129" s="85" t="s">
        <v>4</v>
      </c>
      <c r="I1129" s="85" t="s">
        <v>4</v>
      </c>
      <c r="J1129" s="86">
        <f>SUM(J1130:J1156)</f>
        <v>0</v>
      </c>
      <c r="K1129" s="86">
        <f>SUM(K1130:K1156)</f>
        <v>0</v>
      </c>
      <c r="L1129" s="86">
        <f>SUM(L1130:L1156)</f>
        <v>0</v>
      </c>
      <c r="M1129" s="86">
        <f>SUM(M1130:M1156)</f>
        <v>0</v>
      </c>
      <c r="N1129" s="87" t="s">
        <v>54</v>
      </c>
      <c r="O1129" s="86">
        <f>SUM(O1130:O1156)</f>
        <v>29.642601745</v>
      </c>
      <c r="P1129" s="87" t="s">
        <v>54</v>
      </c>
      <c r="AI1129" s="88" t="s">
        <v>55</v>
      </c>
      <c r="AS1129" s="89">
        <f>SUM(AJ1130:AJ1156)</f>
        <v>0</v>
      </c>
      <c r="AT1129" s="89">
        <f>SUM(AK1130:AK1156)</f>
        <v>0</v>
      </c>
      <c r="AU1129" s="89">
        <f>SUM(AL1130:AL1156)</f>
        <v>0</v>
      </c>
    </row>
    <row r="1130" spans="1:76" s="81" customFormat="1" x14ac:dyDescent="0.25">
      <c r="A1130" s="72" t="s">
        <v>1271</v>
      </c>
      <c r="B1130" s="72" t="s">
        <v>55</v>
      </c>
      <c r="C1130" s="72" t="s">
        <v>1272</v>
      </c>
      <c r="D1130" s="175" t="s">
        <v>1273</v>
      </c>
      <c r="E1130" s="175"/>
      <c r="F1130" s="72" t="s">
        <v>62</v>
      </c>
      <c r="G1130" s="90">
        <v>351.87592000000001</v>
      </c>
      <c r="H1130" s="91"/>
      <c r="I1130" s="92" t="s">
        <v>63</v>
      </c>
      <c r="J1130" s="90">
        <f>G1130*AO1130</f>
        <v>0</v>
      </c>
      <c r="K1130" s="90">
        <f>G1130*AP1130</f>
        <v>0</v>
      </c>
      <c r="L1130" s="90">
        <f>G1130*H1130</f>
        <v>0</v>
      </c>
      <c r="M1130" s="90">
        <f>L1130*(1+BW1130/100)</f>
        <v>0</v>
      </c>
      <c r="N1130" s="90">
        <v>7.3499999999999998E-3</v>
      </c>
      <c r="O1130" s="90">
        <f>G1130*N1130</f>
        <v>2.5862880119999998</v>
      </c>
      <c r="P1130" s="92" t="s">
        <v>64</v>
      </c>
      <c r="Z1130" s="93">
        <f>IF(AQ1130="5",BJ1130,0)</f>
        <v>0</v>
      </c>
      <c r="AB1130" s="93">
        <f>IF(AQ1130="1",BH1130,0)</f>
        <v>0</v>
      </c>
      <c r="AC1130" s="93">
        <f>IF(AQ1130="1",BI1130,0)</f>
        <v>0</v>
      </c>
      <c r="AD1130" s="93">
        <f>IF(AQ1130="7",BH1130,0)</f>
        <v>0</v>
      </c>
      <c r="AE1130" s="93">
        <f>IF(AQ1130="7",BI1130,0)</f>
        <v>0</v>
      </c>
      <c r="AF1130" s="93">
        <f>IF(AQ1130="2",BH1130,0)</f>
        <v>0</v>
      </c>
      <c r="AG1130" s="93">
        <f>IF(AQ1130="2",BI1130,0)</f>
        <v>0</v>
      </c>
      <c r="AH1130" s="93">
        <f>IF(AQ1130="0",BJ1130,0)</f>
        <v>0</v>
      </c>
      <c r="AI1130" s="88" t="s">
        <v>55</v>
      </c>
      <c r="AJ1130" s="93">
        <f>IF(AN1130=0,L1130,0)</f>
        <v>0</v>
      </c>
      <c r="AK1130" s="93">
        <f>IF(AN1130=12,L1130,0)</f>
        <v>0</v>
      </c>
      <c r="AL1130" s="93">
        <f>IF(AN1130=21,L1130,0)</f>
        <v>0</v>
      </c>
      <c r="AN1130" s="93">
        <v>21</v>
      </c>
      <c r="AO1130" s="93">
        <f>H1130*0.000566572</f>
        <v>0</v>
      </c>
      <c r="AP1130" s="93">
        <f>H1130*(1-0.000566572)</f>
        <v>0</v>
      </c>
      <c r="AQ1130" s="94" t="s">
        <v>59</v>
      </c>
      <c r="AV1130" s="93">
        <f>AW1130+AX1130</f>
        <v>0</v>
      </c>
      <c r="AW1130" s="93">
        <f>G1130*AO1130</f>
        <v>0</v>
      </c>
      <c r="AX1130" s="93">
        <f>G1130*AP1130</f>
        <v>0</v>
      </c>
      <c r="AY1130" s="94" t="s">
        <v>1274</v>
      </c>
      <c r="AZ1130" s="94" t="s">
        <v>1275</v>
      </c>
      <c r="BA1130" s="88" t="s">
        <v>67</v>
      </c>
      <c r="BC1130" s="93">
        <f>AW1130+AX1130</f>
        <v>0</v>
      </c>
      <c r="BD1130" s="93">
        <f>H1130/(100-BE1130)*100</f>
        <v>0</v>
      </c>
      <c r="BE1130" s="93">
        <v>0</v>
      </c>
      <c r="BF1130" s="93">
        <f>O1130</f>
        <v>2.5862880119999998</v>
      </c>
      <c r="BH1130" s="93">
        <f>G1130*AO1130</f>
        <v>0</v>
      </c>
      <c r="BI1130" s="93">
        <f>G1130*AP1130</f>
        <v>0</v>
      </c>
      <c r="BJ1130" s="93">
        <f>G1130*H1130</f>
        <v>0</v>
      </c>
      <c r="BK1130" s="93"/>
      <c r="BL1130" s="93">
        <v>94</v>
      </c>
      <c r="BW1130" s="93" t="str">
        <f>I1130</f>
        <v>21</v>
      </c>
      <c r="BX1130" s="2" t="s">
        <v>1273</v>
      </c>
    </row>
    <row r="1131" spans="1:76" s="81" customFormat="1" ht="38.25" x14ac:dyDescent="0.25">
      <c r="A1131" s="95"/>
      <c r="B1131" s="95"/>
      <c r="C1131" s="95"/>
      <c r="D1131" s="76" t="s">
        <v>1276</v>
      </c>
      <c r="E1131" s="76" t="s">
        <v>1277</v>
      </c>
      <c r="F1131" s="95"/>
      <c r="G1131" s="96">
        <v>351.87592000000001</v>
      </c>
      <c r="H1131" s="97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72" t="s">
        <v>1278</v>
      </c>
      <c r="B1132" s="72" t="s">
        <v>55</v>
      </c>
      <c r="C1132" s="72" t="s">
        <v>1279</v>
      </c>
      <c r="D1132" s="175" t="s">
        <v>1280</v>
      </c>
      <c r="E1132" s="175"/>
      <c r="F1132" s="72" t="s">
        <v>62</v>
      </c>
      <c r="G1132" s="90">
        <v>482.39064999999999</v>
      </c>
      <c r="H1132" s="91"/>
      <c r="I1132" s="92" t="s">
        <v>63</v>
      </c>
      <c r="J1132" s="90">
        <f>G1132*AO1132</f>
        <v>0</v>
      </c>
      <c r="K1132" s="90">
        <f>G1132*AP1132</f>
        <v>0</v>
      </c>
      <c r="L1132" s="90">
        <f>G1132*H1132</f>
        <v>0</v>
      </c>
      <c r="M1132" s="90">
        <f>L1132*(1+BW1132/100)</f>
        <v>0</v>
      </c>
      <c r="N1132" s="90">
        <v>1.2E-4</v>
      </c>
      <c r="O1132" s="90">
        <f>G1132*N1132</f>
        <v>5.7886878000000003E-2</v>
      </c>
      <c r="P1132" s="92" t="s">
        <v>64</v>
      </c>
      <c r="Z1132" s="93">
        <f>IF(AQ1132="5",BJ1132,0)</f>
        <v>0</v>
      </c>
      <c r="AB1132" s="93">
        <f>IF(AQ1132="1",BH1132,0)</f>
        <v>0</v>
      </c>
      <c r="AC1132" s="93">
        <f>IF(AQ1132="1",BI1132,0)</f>
        <v>0</v>
      </c>
      <c r="AD1132" s="93">
        <f>IF(AQ1132="7",BH1132,0)</f>
        <v>0</v>
      </c>
      <c r="AE1132" s="93">
        <f>IF(AQ1132="7",BI1132,0)</f>
        <v>0</v>
      </c>
      <c r="AF1132" s="93">
        <f>IF(AQ1132="2",BH1132,0)</f>
        <v>0</v>
      </c>
      <c r="AG1132" s="93">
        <f>IF(AQ1132="2",BI1132,0)</f>
        <v>0</v>
      </c>
      <c r="AH1132" s="93">
        <f>IF(AQ1132="0",BJ1132,0)</f>
        <v>0</v>
      </c>
      <c r="AI1132" s="88" t="s">
        <v>55</v>
      </c>
      <c r="AJ1132" s="93">
        <f>IF(AN1132=0,L1132,0)</f>
        <v>0</v>
      </c>
      <c r="AK1132" s="93">
        <f>IF(AN1132=12,L1132,0)</f>
        <v>0</v>
      </c>
      <c r="AL1132" s="93">
        <f>IF(AN1132=21,L1132,0)</f>
        <v>0</v>
      </c>
      <c r="AN1132" s="93">
        <v>21</v>
      </c>
      <c r="AO1132" s="93">
        <f>H1132*0.9414898</f>
        <v>0</v>
      </c>
      <c r="AP1132" s="93">
        <f>H1132*(1-0.9414898)</f>
        <v>0</v>
      </c>
      <c r="AQ1132" s="94" t="s">
        <v>59</v>
      </c>
      <c r="AV1132" s="93">
        <f>AW1132+AX1132</f>
        <v>0</v>
      </c>
      <c r="AW1132" s="93">
        <f>G1132*AO1132</f>
        <v>0</v>
      </c>
      <c r="AX1132" s="93">
        <f>G1132*AP1132</f>
        <v>0</v>
      </c>
      <c r="AY1132" s="94" t="s">
        <v>1274</v>
      </c>
      <c r="AZ1132" s="94" t="s">
        <v>1275</v>
      </c>
      <c r="BA1132" s="88" t="s">
        <v>67</v>
      </c>
      <c r="BC1132" s="93">
        <f>AW1132+AX1132</f>
        <v>0</v>
      </c>
      <c r="BD1132" s="93">
        <f>H1132/(100-BE1132)*100</f>
        <v>0</v>
      </c>
      <c r="BE1132" s="93">
        <v>0</v>
      </c>
      <c r="BF1132" s="93">
        <f>O1132</f>
        <v>5.7886878000000003E-2</v>
      </c>
      <c r="BH1132" s="93">
        <f>G1132*AO1132</f>
        <v>0</v>
      </c>
      <c r="BI1132" s="93">
        <f>G1132*AP1132</f>
        <v>0</v>
      </c>
      <c r="BJ1132" s="93">
        <f>G1132*H1132</f>
        <v>0</v>
      </c>
      <c r="BK1132" s="93"/>
      <c r="BL1132" s="93">
        <v>94</v>
      </c>
      <c r="BW1132" s="93" t="str">
        <f>I1132</f>
        <v>21</v>
      </c>
      <c r="BX1132" s="2" t="s">
        <v>1280</v>
      </c>
    </row>
    <row r="1133" spans="1:76" s="81" customFormat="1" x14ac:dyDescent="0.25">
      <c r="A1133" s="72" t="s">
        <v>1281</v>
      </c>
      <c r="B1133" s="72" t="s">
        <v>55</v>
      </c>
      <c r="C1133" s="72" t="s">
        <v>1282</v>
      </c>
      <c r="D1133" s="175" t="s">
        <v>1283</v>
      </c>
      <c r="E1133" s="175"/>
      <c r="F1133" s="72" t="s">
        <v>62</v>
      </c>
      <c r="G1133" s="90">
        <v>482.39064999999999</v>
      </c>
      <c r="H1133" s="91"/>
      <c r="I1133" s="92" t="s">
        <v>63</v>
      </c>
      <c r="J1133" s="90">
        <f>G1133*AO1133</f>
        <v>0</v>
      </c>
      <c r="K1133" s="90">
        <f>G1133*AP1133</f>
        <v>0</v>
      </c>
      <c r="L1133" s="90">
        <f>G1133*H1133</f>
        <v>0</v>
      </c>
      <c r="M1133" s="90">
        <f>L1133*(1+BW1133/100)</f>
        <v>0</v>
      </c>
      <c r="N1133" s="90">
        <v>0</v>
      </c>
      <c r="O1133" s="90">
        <f>G1133*N1133</f>
        <v>0</v>
      </c>
      <c r="P1133" s="92" t="s">
        <v>64</v>
      </c>
      <c r="Z1133" s="93">
        <f>IF(AQ1133="5",BJ1133,0)</f>
        <v>0</v>
      </c>
      <c r="AB1133" s="93">
        <f>IF(AQ1133="1",BH1133,0)</f>
        <v>0</v>
      </c>
      <c r="AC1133" s="93">
        <f>IF(AQ1133="1",BI1133,0)</f>
        <v>0</v>
      </c>
      <c r="AD1133" s="93">
        <f>IF(AQ1133="7",BH1133,0)</f>
        <v>0</v>
      </c>
      <c r="AE1133" s="93">
        <f>IF(AQ1133="7",BI1133,0)</f>
        <v>0</v>
      </c>
      <c r="AF1133" s="93">
        <f>IF(AQ1133="2",BH1133,0)</f>
        <v>0</v>
      </c>
      <c r="AG1133" s="93">
        <f>IF(AQ1133="2",BI1133,0)</f>
        <v>0</v>
      </c>
      <c r="AH1133" s="93">
        <f>IF(AQ1133="0",BJ1133,0)</f>
        <v>0</v>
      </c>
      <c r="AI1133" s="88" t="s">
        <v>55</v>
      </c>
      <c r="AJ1133" s="93">
        <f>IF(AN1133=0,L1133,0)</f>
        <v>0</v>
      </c>
      <c r="AK1133" s="93">
        <f>IF(AN1133=12,L1133,0)</f>
        <v>0</v>
      </c>
      <c r="AL1133" s="93">
        <f>IF(AN1133=21,L1133,0)</f>
        <v>0</v>
      </c>
      <c r="AN1133" s="93">
        <v>21</v>
      </c>
      <c r="AO1133" s="93">
        <f>H1133*0</f>
        <v>0</v>
      </c>
      <c r="AP1133" s="93">
        <f>H1133*(1-0)</f>
        <v>0</v>
      </c>
      <c r="AQ1133" s="94" t="s">
        <v>59</v>
      </c>
      <c r="AV1133" s="93">
        <f>AW1133+AX1133</f>
        <v>0</v>
      </c>
      <c r="AW1133" s="93">
        <f>G1133*AO1133</f>
        <v>0</v>
      </c>
      <c r="AX1133" s="93">
        <f>G1133*AP1133</f>
        <v>0</v>
      </c>
      <c r="AY1133" s="94" t="s">
        <v>1274</v>
      </c>
      <c r="AZ1133" s="94" t="s">
        <v>1275</v>
      </c>
      <c r="BA1133" s="88" t="s">
        <v>67</v>
      </c>
      <c r="BC1133" s="93">
        <f>AW1133+AX1133</f>
        <v>0</v>
      </c>
      <c r="BD1133" s="93">
        <f>H1133/(100-BE1133)*100</f>
        <v>0</v>
      </c>
      <c r="BE1133" s="93">
        <v>0</v>
      </c>
      <c r="BF1133" s="93">
        <f>O1133</f>
        <v>0</v>
      </c>
      <c r="BH1133" s="93">
        <f>G1133*AO1133</f>
        <v>0</v>
      </c>
      <c r="BI1133" s="93">
        <f>G1133*AP1133</f>
        <v>0</v>
      </c>
      <c r="BJ1133" s="93">
        <f>G1133*H1133</f>
        <v>0</v>
      </c>
      <c r="BK1133" s="93"/>
      <c r="BL1133" s="93">
        <v>94</v>
      </c>
      <c r="BW1133" s="93" t="str">
        <f>I1133</f>
        <v>21</v>
      </c>
      <c r="BX1133" s="2" t="s">
        <v>1283</v>
      </c>
    </row>
    <row r="1134" spans="1:76" s="81" customFormat="1" x14ac:dyDescent="0.25">
      <c r="A1134" s="72" t="s">
        <v>1284</v>
      </c>
      <c r="B1134" s="72" t="s">
        <v>55</v>
      </c>
      <c r="C1134" s="72" t="s">
        <v>1285</v>
      </c>
      <c r="D1134" s="175" t="s">
        <v>1286</v>
      </c>
      <c r="E1134" s="175"/>
      <c r="F1134" s="72" t="s">
        <v>192</v>
      </c>
      <c r="G1134" s="90">
        <v>906.7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1.2099999999999999E-3</v>
      </c>
      <c r="O1134" s="90">
        <f>G1134*N1134</f>
        <v>1.0971070000000001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H1134*0.368637635</f>
        <v>0</v>
      </c>
      <c r="AP1134" s="93">
        <f>H1134*(1-0.368637635)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1274</v>
      </c>
      <c r="AZ1134" s="94" t="s">
        <v>1275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1.0971070000000001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1286</v>
      </c>
    </row>
    <row r="1135" spans="1:76" s="81" customFormat="1" x14ac:dyDescent="0.25">
      <c r="A1135" s="95"/>
      <c r="B1135" s="95"/>
      <c r="C1135" s="95"/>
      <c r="D1135" s="76" t="s">
        <v>54</v>
      </c>
      <c r="E1135" s="76" t="s">
        <v>1176</v>
      </c>
      <c r="F1135" s="95"/>
      <c r="G1135" s="96">
        <v>0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95"/>
      <c r="B1136" s="95"/>
      <c r="C1136" s="95"/>
      <c r="D1136" s="76" t="s">
        <v>1287</v>
      </c>
      <c r="E1136" s="76" t="s">
        <v>1288</v>
      </c>
      <c r="F1136" s="95"/>
      <c r="G1136" s="96">
        <v>35.101999999999997</v>
      </c>
      <c r="H1136" s="97"/>
      <c r="I1136" s="95"/>
      <c r="J1136" s="95"/>
      <c r="K1136" s="95"/>
      <c r="L1136" s="95"/>
      <c r="M1136" s="95"/>
      <c r="N1136" s="95"/>
      <c r="O1136" s="95"/>
      <c r="P1136" s="95"/>
    </row>
    <row r="1137" spans="1:76" s="81" customFormat="1" x14ac:dyDescent="0.25">
      <c r="A1137" s="95"/>
      <c r="B1137" s="95"/>
      <c r="C1137" s="95"/>
      <c r="D1137" s="76" t="s">
        <v>54</v>
      </c>
      <c r="E1137" s="76" t="s">
        <v>1289</v>
      </c>
      <c r="F1137" s="95"/>
      <c r="G1137" s="96">
        <v>0</v>
      </c>
      <c r="H1137" s="97"/>
      <c r="I1137" s="95"/>
      <c r="J1137" s="95"/>
      <c r="K1137" s="95"/>
      <c r="L1137" s="95"/>
      <c r="M1137" s="95"/>
      <c r="N1137" s="95"/>
      <c r="O1137" s="95"/>
      <c r="P1137" s="95"/>
    </row>
    <row r="1138" spans="1:76" s="81" customFormat="1" x14ac:dyDescent="0.25">
      <c r="A1138" s="95"/>
      <c r="B1138" s="95"/>
      <c r="C1138" s="95"/>
      <c r="D1138" s="76" t="s">
        <v>1290</v>
      </c>
      <c r="E1138" s="76" t="s">
        <v>54</v>
      </c>
      <c r="F1138" s="95"/>
      <c r="G1138" s="96">
        <v>869.6</v>
      </c>
      <c r="H1138" s="97"/>
      <c r="I1138" s="95"/>
      <c r="J1138" s="95"/>
      <c r="K1138" s="95"/>
      <c r="L1138" s="95"/>
      <c r="M1138" s="95"/>
      <c r="N1138" s="95"/>
      <c r="O1138" s="95"/>
      <c r="P1138" s="95"/>
    </row>
    <row r="1139" spans="1:76" s="81" customFormat="1" x14ac:dyDescent="0.25">
      <c r="A1139" s="95"/>
      <c r="B1139" s="95"/>
      <c r="C1139" s="95"/>
      <c r="D1139" s="76" t="s">
        <v>54</v>
      </c>
      <c r="E1139" s="76" t="s">
        <v>980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95"/>
      <c r="B1140" s="95"/>
      <c r="C1140" s="95"/>
      <c r="D1140" s="76" t="s">
        <v>986</v>
      </c>
      <c r="E1140" s="76" t="s">
        <v>54</v>
      </c>
      <c r="F1140" s="95"/>
      <c r="G1140" s="96">
        <v>1.998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72" t="s">
        <v>1291</v>
      </c>
      <c r="B1141" s="72" t="s">
        <v>55</v>
      </c>
      <c r="C1141" s="72" t="s">
        <v>1292</v>
      </c>
      <c r="D1141" s="175" t="s">
        <v>1293</v>
      </c>
      <c r="E1141" s="175"/>
      <c r="F1141" s="72" t="s">
        <v>192</v>
      </c>
      <c r="G1141" s="90">
        <v>280.39999999999998</v>
      </c>
      <c r="H1141" s="91"/>
      <c r="I1141" s="92" t="s">
        <v>63</v>
      </c>
      <c r="J1141" s="90">
        <f>G1141*AO1141</f>
        <v>0</v>
      </c>
      <c r="K1141" s="90">
        <f>G1141*AP1141</f>
        <v>0</v>
      </c>
      <c r="L1141" s="90">
        <f>G1141*H1141</f>
        <v>0</v>
      </c>
      <c r="M1141" s="90">
        <f>L1141*(1+BW1141/100)</f>
        <v>0</v>
      </c>
      <c r="N1141" s="90">
        <v>5.9199999999999999E-3</v>
      </c>
      <c r="O1141" s="90">
        <f>G1141*N1141</f>
        <v>1.6599679999999999</v>
      </c>
      <c r="P1141" s="92" t="s">
        <v>64</v>
      </c>
      <c r="Z1141" s="93">
        <f>IF(AQ1141="5",BJ1141,0)</f>
        <v>0</v>
      </c>
      <c r="AB1141" s="93">
        <f>IF(AQ1141="1",BH1141,0)</f>
        <v>0</v>
      </c>
      <c r="AC1141" s="93">
        <f>IF(AQ1141="1",BI1141,0)</f>
        <v>0</v>
      </c>
      <c r="AD1141" s="93">
        <f>IF(AQ1141="7",BH1141,0)</f>
        <v>0</v>
      </c>
      <c r="AE1141" s="93">
        <f>IF(AQ1141="7",BI1141,0)</f>
        <v>0</v>
      </c>
      <c r="AF1141" s="93">
        <f>IF(AQ1141="2",BH1141,0)</f>
        <v>0</v>
      </c>
      <c r="AG1141" s="93">
        <f>IF(AQ1141="2",BI1141,0)</f>
        <v>0</v>
      </c>
      <c r="AH1141" s="93">
        <f>IF(AQ1141="0",BJ1141,0)</f>
        <v>0</v>
      </c>
      <c r="AI1141" s="88" t="s">
        <v>55</v>
      </c>
      <c r="AJ1141" s="93">
        <f>IF(AN1141=0,L1141,0)</f>
        <v>0</v>
      </c>
      <c r="AK1141" s="93">
        <f>IF(AN1141=12,L1141,0)</f>
        <v>0</v>
      </c>
      <c r="AL1141" s="93">
        <f>IF(AN1141=21,L1141,0)</f>
        <v>0</v>
      </c>
      <c r="AN1141" s="93">
        <v>21</v>
      </c>
      <c r="AO1141" s="93">
        <f>H1141*0.384604317</f>
        <v>0</v>
      </c>
      <c r="AP1141" s="93">
        <f>H1141*(1-0.384604317)</f>
        <v>0</v>
      </c>
      <c r="AQ1141" s="94" t="s">
        <v>59</v>
      </c>
      <c r="AV1141" s="93">
        <f>AW1141+AX1141</f>
        <v>0</v>
      </c>
      <c r="AW1141" s="93">
        <f>G1141*AO1141</f>
        <v>0</v>
      </c>
      <c r="AX1141" s="93">
        <f>G1141*AP1141</f>
        <v>0</v>
      </c>
      <c r="AY1141" s="94" t="s">
        <v>1274</v>
      </c>
      <c r="AZ1141" s="94" t="s">
        <v>1275</v>
      </c>
      <c r="BA1141" s="88" t="s">
        <v>67</v>
      </c>
      <c r="BC1141" s="93">
        <f>AW1141+AX1141</f>
        <v>0</v>
      </c>
      <c r="BD1141" s="93">
        <f>H1141/(100-BE1141)*100</f>
        <v>0</v>
      </c>
      <c r="BE1141" s="93">
        <v>0</v>
      </c>
      <c r="BF1141" s="93">
        <f>O1141</f>
        <v>1.6599679999999999</v>
      </c>
      <c r="BH1141" s="93">
        <f>G1141*AO1141</f>
        <v>0</v>
      </c>
      <c r="BI1141" s="93">
        <f>G1141*AP1141</f>
        <v>0</v>
      </c>
      <c r="BJ1141" s="93">
        <f>G1141*H1141</f>
        <v>0</v>
      </c>
      <c r="BK1141" s="93"/>
      <c r="BL1141" s="93">
        <v>94</v>
      </c>
      <c r="BW1141" s="93" t="str">
        <f>I1141</f>
        <v>21</v>
      </c>
      <c r="BX1141" s="2" t="s">
        <v>1293</v>
      </c>
    </row>
    <row r="1142" spans="1:76" s="81" customFormat="1" x14ac:dyDescent="0.25">
      <c r="A1142" s="95"/>
      <c r="B1142" s="95"/>
      <c r="C1142" s="95"/>
      <c r="D1142" s="76" t="s">
        <v>54</v>
      </c>
      <c r="E1142" s="76" t="s">
        <v>1176</v>
      </c>
      <c r="F1142" s="95"/>
      <c r="G1142" s="96">
        <v>0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95"/>
      <c r="B1143" s="95"/>
      <c r="C1143" s="95"/>
      <c r="D1143" s="76" t="s">
        <v>1294</v>
      </c>
      <c r="E1143" s="76" t="s">
        <v>1295</v>
      </c>
      <c r="F1143" s="95"/>
      <c r="G1143" s="96">
        <v>280.39999999999998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72" t="s">
        <v>1296</v>
      </c>
      <c r="B1144" s="72" t="s">
        <v>55</v>
      </c>
      <c r="C1144" s="72" t="s">
        <v>1297</v>
      </c>
      <c r="D1144" s="175" t="s">
        <v>1298</v>
      </c>
      <c r="E1144" s="175"/>
      <c r="F1144" s="72" t="s">
        <v>192</v>
      </c>
      <c r="G1144" s="90">
        <v>42.2</v>
      </c>
      <c r="H1144" s="91"/>
      <c r="I1144" s="92" t="s">
        <v>63</v>
      </c>
      <c r="J1144" s="90">
        <f>G1144*AO1144</f>
        <v>0</v>
      </c>
      <c r="K1144" s="90">
        <f>G1144*AP1144</f>
        <v>0</v>
      </c>
      <c r="L1144" s="90">
        <f>G1144*H1144</f>
        <v>0</v>
      </c>
      <c r="M1144" s="90">
        <f>L1144*(1+BW1144/100)</f>
        <v>0</v>
      </c>
      <c r="N1144" s="90">
        <v>6.3499999999999997E-3</v>
      </c>
      <c r="O1144" s="90">
        <f>G1144*N1144</f>
        <v>0.26796999999999999</v>
      </c>
      <c r="P1144" s="92" t="s">
        <v>64</v>
      </c>
      <c r="Z1144" s="93">
        <f>IF(AQ1144="5",BJ1144,0)</f>
        <v>0</v>
      </c>
      <c r="AB1144" s="93">
        <f>IF(AQ1144="1",BH1144,0)</f>
        <v>0</v>
      </c>
      <c r="AC1144" s="93">
        <f>IF(AQ1144="1",BI1144,0)</f>
        <v>0</v>
      </c>
      <c r="AD1144" s="93">
        <f>IF(AQ1144="7",BH1144,0)</f>
        <v>0</v>
      </c>
      <c r="AE1144" s="93">
        <f>IF(AQ1144="7",BI1144,0)</f>
        <v>0</v>
      </c>
      <c r="AF1144" s="93">
        <f>IF(AQ1144="2",BH1144,0)</f>
        <v>0</v>
      </c>
      <c r="AG1144" s="93">
        <f>IF(AQ1144="2",BI1144,0)</f>
        <v>0</v>
      </c>
      <c r="AH1144" s="93">
        <f>IF(AQ1144="0",BJ1144,0)</f>
        <v>0</v>
      </c>
      <c r="AI1144" s="88" t="s">
        <v>55</v>
      </c>
      <c r="AJ1144" s="93">
        <f>IF(AN1144=0,L1144,0)</f>
        <v>0</v>
      </c>
      <c r="AK1144" s="93">
        <f>IF(AN1144=12,L1144,0)</f>
        <v>0</v>
      </c>
      <c r="AL1144" s="93">
        <f>IF(AN1144=21,L1144,0)</f>
        <v>0</v>
      </c>
      <c r="AN1144" s="93">
        <v>21</v>
      </c>
      <c r="AO1144" s="93">
        <f>H1144*0.401818182</f>
        <v>0</v>
      </c>
      <c r="AP1144" s="93">
        <f>H1144*(1-0.401818182)</f>
        <v>0</v>
      </c>
      <c r="AQ1144" s="94" t="s">
        <v>59</v>
      </c>
      <c r="AV1144" s="93">
        <f>AW1144+AX1144</f>
        <v>0</v>
      </c>
      <c r="AW1144" s="93">
        <f>G1144*AO1144</f>
        <v>0</v>
      </c>
      <c r="AX1144" s="93">
        <f>G1144*AP1144</f>
        <v>0</v>
      </c>
      <c r="AY1144" s="94" t="s">
        <v>1274</v>
      </c>
      <c r="AZ1144" s="94" t="s">
        <v>1275</v>
      </c>
      <c r="BA1144" s="88" t="s">
        <v>67</v>
      </c>
      <c r="BC1144" s="93">
        <f>AW1144+AX1144</f>
        <v>0</v>
      </c>
      <c r="BD1144" s="93">
        <f>H1144/(100-BE1144)*100</f>
        <v>0</v>
      </c>
      <c r="BE1144" s="93">
        <v>0</v>
      </c>
      <c r="BF1144" s="93">
        <f>O1144</f>
        <v>0.26796999999999999</v>
      </c>
      <c r="BH1144" s="93">
        <f>G1144*AO1144</f>
        <v>0</v>
      </c>
      <c r="BI1144" s="93">
        <f>G1144*AP1144</f>
        <v>0</v>
      </c>
      <c r="BJ1144" s="93">
        <f>G1144*H1144</f>
        <v>0</v>
      </c>
      <c r="BK1144" s="93"/>
      <c r="BL1144" s="93">
        <v>94</v>
      </c>
      <c r="BW1144" s="93" t="str">
        <f>I1144</f>
        <v>21</v>
      </c>
      <c r="BX1144" s="2" t="s">
        <v>1298</v>
      </c>
    </row>
    <row r="1145" spans="1:76" s="81" customFormat="1" x14ac:dyDescent="0.25">
      <c r="A1145" s="95"/>
      <c r="B1145" s="95"/>
      <c r="C1145" s="95"/>
      <c r="D1145" s="76" t="s">
        <v>54</v>
      </c>
      <c r="E1145" s="76" t="s">
        <v>1178</v>
      </c>
      <c r="F1145" s="95"/>
      <c r="G1145" s="96">
        <v>0</v>
      </c>
      <c r="H1145" s="97"/>
      <c r="I1145" s="95"/>
      <c r="J1145" s="95"/>
      <c r="K1145" s="95"/>
      <c r="L1145" s="95"/>
      <c r="M1145" s="95"/>
      <c r="N1145" s="95"/>
      <c r="O1145" s="95"/>
      <c r="P1145" s="95"/>
    </row>
    <row r="1146" spans="1:76" s="81" customFormat="1" x14ac:dyDescent="0.25">
      <c r="A1146" s="95"/>
      <c r="B1146" s="95"/>
      <c r="C1146" s="95"/>
      <c r="D1146" s="76" t="s">
        <v>1299</v>
      </c>
      <c r="E1146" s="76" t="s">
        <v>1180</v>
      </c>
      <c r="F1146" s="95"/>
      <c r="G1146" s="96">
        <v>42.2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72" t="s">
        <v>1300</v>
      </c>
      <c r="B1147" s="72" t="s">
        <v>55</v>
      </c>
      <c r="C1147" s="72" t="s">
        <v>1301</v>
      </c>
      <c r="D1147" s="175" t="s">
        <v>1302</v>
      </c>
      <c r="E1147" s="175"/>
      <c r="F1147" s="72" t="s">
        <v>192</v>
      </c>
      <c r="G1147" s="90">
        <v>22.4</v>
      </c>
      <c r="H1147" s="91"/>
      <c r="I1147" s="92" t="s">
        <v>63</v>
      </c>
      <c r="J1147" s="90">
        <f>G1147*AO1147</f>
        <v>0</v>
      </c>
      <c r="K1147" s="90">
        <f>G1147*AP1147</f>
        <v>0</v>
      </c>
      <c r="L1147" s="90">
        <f>G1147*H1147</f>
        <v>0</v>
      </c>
      <c r="M1147" s="90">
        <f>L1147*(1+BW1147/100)</f>
        <v>0</v>
      </c>
      <c r="N1147" s="90">
        <v>5.8599999999999998E-3</v>
      </c>
      <c r="O1147" s="90">
        <f>G1147*N1147</f>
        <v>0.13126399999999999</v>
      </c>
      <c r="P1147" s="92" t="s">
        <v>64</v>
      </c>
      <c r="Z1147" s="93">
        <f>IF(AQ1147="5",BJ1147,0)</f>
        <v>0</v>
      </c>
      <c r="AB1147" s="93">
        <f>IF(AQ1147="1",BH1147,0)</f>
        <v>0</v>
      </c>
      <c r="AC1147" s="93">
        <f>IF(AQ1147="1",BI1147,0)</f>
        <v>0</v>
      </c>
      <c r="AD1147" s="93">
        <f>IF(AQ1147="7",BH1147,0)</f>
        <v>0</v>
      </c>
      <c r="AE1147" s="93">
        <f>IF(AQ1147="7",BI1147,0)</f>
        <v>0</v>
      </c>
      <c r="AF1147" s="93">
        <f>IF(AQ1147="2",BH1147,0)</f>
        <v>0</v>
      </c>
      <c r="AG1147" s="93">
        <f>IF(AQ1147="2",BI1147,0)</f>
        <v>0</v>
      </c>
      <c r="AH1147" s="93">
        <f>IF(AQ1147="0",BJ1147,0)</f>
        <v>0</v>
      </c>
      <c r="AI1147" s="88" t="s">
        <v>55</v>
      </c>
      <c r="AJ1147" s="93">
        <f>IF(AN1147=0,L1147,0)</f>
        <v>0</v>
      </c>
      <c r="AK1147" s="93">
        <f>IF(AN1147=12,L1147,0)</f>
        <v>0</v>
      </c>
      <c r="AL1147" s="93">
        <f>IF(AN1147=21,L1147,0)</f>
        <v>0</v>
      </c>
      <c r="AN1147" s="93">
        <v>21</v>
      </c>
      <c r="AO1147" s="93">
        <f>H1147*0.377076566</f>
        <v>0</v>
      </c>
      <c r="AP1147" s="93">
        <f>H1147*(1-0.377076566)</f>
        <v>0</v>
      </c>
      <c r="AQ1147" s="94" t="s">
        <v>59</v>
      </c>
      <c r="AV1147" s="93">
        <f>AW1147+AX1147</f>
        <v>0</v>
      </c>
      <c r="AW1147" s="93">
        <f>G1147*AO1147</f>
        <v>0</v>
      </c>
      <c r="AX1147" s="93">
        <f>G1147*AP1147</f>
        <v>0</v>
      </c>
      <c r="AY1147" s="94" t="s">
        <v>1274</v>
      </c>
      <c r="AZ1147" s="94" t="s">
        <v>1275</v>
      </c>
      <c r="BA1147" s="88" t="s">
        <v>67</v>
      </c>
      <c r="BC1147" s="93">
        <f>AW1147+AX1147</f>
        <v>0</v>
      </c>
      <c r="BD1147" s="93">
        <f>H1147/(100-BE1147)*100</f>
        <v>0</v>
      </c>
      <c r="BE1147" s="93">
        <v>0</v>
      </c>
      <c r="BF1147" s="93">
        <f>O1147</f>
        <v>0.13126399999999999</v>
      </c>
      <c r="BH1147" s="93">
        <f>G1147*AO1147</f>
        <v>0</v>
      </c>
      <c r="BI1147" s="93">
        <f>G1147*AP1147</f>
        <v>0</v>
      </c>
      <c r="BJ1147" s="93">
        <f>G1147*H1147</f>
        <v>0</v>
      </c>
      <c r="BK1147" s="93"/>
      <c r="BL1147" s="93">
        <v>94</v>
      </c>
      <c r="BW1147" s="93" t="str">
        <f>I1147</f>
        <v>21</v>
      </c>
      <c r="BX1147" s="2" t="s">
        <v>1302</v>
      </c>
    </row>
    <row r="1148" spans="1:76" s="81" customFormat="1" x14ac:dyDescent="0.25">
      <c r="A1148" s="95"/>
      <c r="B1148" s="95"/>
      <c r="C1148" s="95"/>
      <c r="D1148" s="76" t="s">
        <v>54</v>
      </c>
      <c r="E1148" s="76" t="s">
        <v>1303</v>
      </c>
      <c r="F1148" s="95"/>
      <c r="G1148" s="96">
        <v>0</v>
      </c>
      <c r="H1148" s="97"/>
      <c r="I1148" s="95"/>
      <c r="J1148" s="95"/>
      <c r="K1148" s="95"/>
      <c r="L1148" s="95"/>
      <c r="M1148" s="95"/>
      <c r="N1148" s="95"/>
      <c r="O1148" s="95"/>
      <c r="P1148" s="95"/>
    </row>
    <row r="1149" spans="1:76" s="81" customFormat="1" x14ac:dyDescent="0.25">
      <c r="A1149" s="95"/>
      <c r="B1149" s="95"/>
      <c r="C1149" s="95"/>
      <c r="D1149" s="76" t="s">
        <v>1304</v>
      </c>
      <c r="E1149" s="76" t="s">
        <v>54</v>
      </c>
      <c r="F1149" s="95"/>
      <c r="G1149" s="96">
        <v>22.4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72" t="s">
        <v>1305</v>
      </c>
      <c r="B1150" s="72" t="s">
        <v>55</v>
      </c>
      <c r="C1150" s="72" t="s">
        <v>1306</v>
      </c>
      <c r="D1150" s="175" t="s">
        <v>1307</v>
      </c>
      <c r="E1150" s="175"/>
      <c r="F1150" s="72" t="s">
        <v>192</v>
      </c>
      <c r="G1150" s="90">
        <v>1297.17725</v>
      </c>
      <c r="H1150" s="91"/>
      <c r="I1150" s="92" t="s">
        <v>63</v>
      </c>
      <c r="J1150" s="90">
        <f>G1150*AO1150</f>
        <v>0</v>
      </c>
      <c r="K1150" s="90">
        <f>G1150*AP1150</f>
        <v>0</v>
      </c>
      <c r="L1150" s="90">
        <f>G1150*H1150</f>
        <v>0</v>
      </c>
      <c r="M1150" s="90">
        <f>L1150*(1+BW1150/100)</f>
        <v>0</v>
      </c>
      <c r="N1150" s="90">
        <v>1.8380000000000001E-2</v>
      </c>
      <c r="O1150" s="90">
        <f>G1150*N1150</f>
        <v>23.842117855000001</v>
      </c>
      <c r="P1150" s="92" t="s">
        <v>64</v>
      </c>
      <c r="Z1150" s="93">
        <f>IF(AQ1150="5",BJ1150,0)</f>
        <v>0</v>
      </c>
      <c r="AB1150" s="93">
        <f>IF(AQ1150="1",BH1150,0)</f>
        <v>0</v>
      </c>
      <c r="AC1150" s="93">
        <f>IF(AQ1150="1",BI1150,0)</f>
        <v>0</v>
      </c>
      <c r="AD1150" s="93">
        <f>IF(AQ1150="7",BH1150,0)</f>
        <v>0</v>
      </c>
      <c r="AE1150" s="93">
        <f>IF(AQ1150="7",BI1150,0)</f>
        <v>0</v>
      </c>
      <c r="AF1150" s="93">
        <f>IF(AQ1150="2",BH1150,0)</f>
        <v>0</v>
      </c>
      <c r="AG1150" s="93">
        <f>IF(AQ1150="2",BI1150,0)</f>
        <v>0</v>
      </c>
      <c r="AH1150" s="93">
        <f>IF(AQ1150="0",BJ1150,0)</f>
        <v>0</v>
      </c>
      <c r="AI1150" s="88" t="s">
        <v>55</v>
      </c>
      <c r="AJ1150" s="93">
        <f>IF(AN1150=0,L1150,0)</f>
        <v>0</v>
      </c>
      <c r="AK1150" s="93">
        <f>IF(AN1150=12,L1150,0)</f>
        <v>0</v>
      </c>
      <c r="AL1150" s="93">
        <f>IF(AN1150=21,L1150,0)</f>
        <v>0</v>
      </c>
      <c r="AN1150" s="93">
        <v>21</v>
      </c>
      <c r="AO1150" s="93">
        <f>H1150*0.000532623</f>
        <v>0</v>
      </c>
      <c r="AP1150" s="93">
        <f>H1150*(1-0.000532623)</f>
        <v>0</v>
      </c>
      <c r="AQ1150" s="94" t="s">
        <v>59</v>
      </c>
      <c r="AV1150" s="93">
        <f>AW1150+AX1150</f>
        <v>0</v>
      </c>
      <c r="AW1150" s="93">
        <f>G1150*AO1150</f>
        <v>0</v>
      </c>
      <c r="AX1150" s="93">
        <f>G1150*AP1150</f>
        <v>0</v>
      </c>
      <c r="AY1150" s="94" t="s">
        <v>1274</v>
      </c>
      <c r="AZ1150" s="94" t="s">
        <v>1275</v>
      </c>
      <c r="BA1150" s="88" t="s">
        <v>67</v>
      </c>
      <c r="BC1150" s="93">
        <f>AW1150+AX1150</f>
        <v>0</v>
      </c>
      <c r="BD1150" s="93">
        <f>H1150/(100-BE1150)*100</f>
        <v>0</v>
      </c>
      <c r="BE1150" s="93">
        <v>0</v>
      </c>
      <c r="BF1150" s="93">
        <f>O1150</f>
        <v>23.842117855000001</v>
      </c>
      <c r="BH1150" s="93">
        <f>G1150*AO1150</f>
        <v>0</v>
      </c>
      <c r="BI1150" s="93">
        <f>G1150*AP1150</f>
        <v>0</v>
      </c>
      <c r="BJ1150" s="93">
        <f>G1150*H1150</f>
        <v>0</v>
      </c>
      <c r="BK1150" s="93"/>
      <c r="BL1150" s="93">
        <v>94</v>
      </c>
      <c r="BW1150" s="93" t="str">
        <f>I1150</f>
        <v>21</v>
      </c>
      <c r="BX1150" s="2" t="s">
        <v>1307</v>
      </c>
    </row>
    <row r="1151" spans="1:76" s="81" customFormat="1" x14ac:dyDescent="0.25">
      <c r="A1151" s="95"/>
      <c r="B1151" s="95"/>
      <c r="C1151" s="95"/>
      <c r="D1151" s="76" t="s">
        <v>54</v>
      </c>
      <c r="E1151" s="76" t="s">
        <v>1308</v>
      </c>
      <c r="F1151" s="95"/>
      <c r="G1151" s="96">
        <v>0</v>
      </c>
      <c r="H1151" s="97"/>
      <c r="I1151" s="95"/>
      <c r="J1151" s="95"/>
      <c r="K1151" s="95"/>
      <c r="L1151" s="95"/>
      <c r="M1151" s="95"/>
      <c r="N1151" s="95"/>
      <c r="O1151" s="95"/>
      <c r="P1151" s="95"/>
    </row>
    <row r="1152" spans="1:76" s="81" customFormat="1" ht="25.5" x14ac:dyDescent="0.25">
      <c r="A1152" s="95"/>
      <c r="B1152" s="95"/>
      <c r="C1152" s="95"/>
      <c r="D1152" s="76" t="s">
        <v>1309</v>
      </c>
      <c r="E1152" s="76" t="s">
        <v>54</v>
      </c>
      <c r="F1152" s="95"/>
      <c r="G1152" s="96">
        <v>866.53345000000002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ht="25.5" x14ac:dyDescent="0.25">
      <c r="A1153" s="95"/>
      <c r="B1153" s="95"/>
      <c r="C1153" s="95"/>
      <c r="D1153" s="76" t="s">
        <v>1310</v>
      </c>
      <c r="E1153" s="76" t="s">
        <v>54</v>
      </c>
      <c r="F1153" s="95"/>
      <c r="G1153" s="96">
        <v>430.6438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72" t="s">
        <v>1311</v>
      </c>
      <c r="B1154" s="72" t="s">
        <v>55</v>
      </c>
      <c r="C1154" s="72" t="s">
        <v>1312</v>
      </c>
      <c r="D1154" s="175" t="s">
        <v>1313</v>
      </c>
      <c r="E1154" s="175"/>
      <c r="F1154" s="72" t="s">
        <v>192</v>
      </c>
      <c r="G1154" s="90">
        <v>158255.62450000001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0</v>
      </c>
      <c r="O1154" s="90">
        <f>G1154*N1154</f>
        <v>0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</f>
        <v>0</v>
      </c>
      <c r="AP1154" s="93">
        <f>H1154*(1-0)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1274</v>
      </c>
      <c r="AZ1154" s="94" t="s">
        <v>1275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0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1313</v>
      </c>
    </row>
    <row r="1155" spans="1:76" s="81" customFormat="1" x14ac:dyDescent="0.25">
      <c r="A1155" s="95"/>
      <c r="B1155" s="95"/>
      <c r="C1155" s="95"/>
      <c r="D1155" s="76" t="s">
        <v>1314</v>
      </c>
      <c r="E1155" s="76" t="s">
        <v>54</v>
      </c>
      <c r="F1155" s="95"/>
      <c r="G1155" s="96">
        <v>158255.62450000001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x14ac:dyDescent="0.25">
      <c r="A1156" s="72" t="s">
        <v>1315</v>
      </c>
      <c r="B1156" s="72" t="s">
        <v>55</v>
      </c>
      <c r="C1156" s="72" t="s">
        <v>1316</v>
      </c>
      <c r="D1156" s="175" t="s">
        <v>1317</v>
      </c>
      <c r="E1156" s="175"/>
      <c r="F1156" s="72" t="s">
        <v>192</v>
      </c>
      <c r="G1156" s="90">
        <v>1297.17725</v>
      </c>
      <c r="H1156" s="91"/>
      <c r="I1156" s="92" t="s">
        <v>63</v>
      </c>
      <c r="J1156" s="90">
        <f>G1156*AO1156</f>
        <v>0</v>
      </c>
      <c r="K1156" s="90">
        <f>G1156*AP1156</f>
        <v>0</v>
      </c>
      <c r="L1156" s="90">
        <f>G1156*H1156</f>
        <v>0</v>
      </c>
      <c r="M1156" s="90">
        <f>L1156*(1+BW1156/100)</f>
        <v>0</v>
      </c>
      <c r="N1156" s="90">
        <v>0</v>
      </c>
      <c r="O1156" s="90">
        <f>G1156*N1156</f>
        <v>0</v>
      </c>
      <c r="P1156" s="92" t="s">
        <v>64</v>
      </c>
      <c r="Z1156" s="93">
        <f>IF(AQ1156="5",BJ1156,0)</f>
        <v>0</v>
      </c>
      <c r="AB1156" s="93">
        <f>IF(AQ1156="1",BH1156,0)</f>
        <v>0</v>
      </c>
      <c r="AC1156" s="93">
        <f>IF(AQ1156="1",BI1156,0)</f>
        <v>0</v>
      </c>
      <c r="AD1156" s="93">
        <f>IF(AQ1156="7",BH1156,0)</f>
        <v>0</v>
      </c>
      <c r="AE1156" s="93">
        <f>IF(AQ1156="7",BI1156,0)</f>
        <v>0</v>
      </c>
      <c r="AF1156" s="93">
        <f>IF(AQ1156="2",BH1156,0)</f>
        <v>0</v>
      </c>
      <c r="AG1156" s="93">
        <f>IF(AQ1156="2",BI1156,0)</f>
        <v>0</v>
      </c>
      <c r="AH1156" s="93">
        <f>IF(AQ1156="0",BJ1156,0)</f>
        <v>0</v>
      </c>
      <c r="AI1156" s="88" t="s">
        <v>55</v>
      </c>
      <c r="AJ1156" s="93">
        <f>IF(AN1156=0,L1156,0)</f>
        <v>0</v>
      </c>
      <c r="AK1156" s="93">
        <f>IF(AN1156=12,L1156,0)</f>
        <v>0</v>
      </c>
      <c r="AL1156" s="93">
        <f>IF(AN1156=21,L1156,0)</f>
        <v>0</v>
      </c>
      <c r="AN1156" s="93">
        <v>21</v>
      </c>
      <c r="AO1156" s="93">
        <f>H1156*0</f>
        <v>0</v>
      </c>
      <c r="AP1156" s="93">
        <f>H1156*(1-0)</f>
        <v>0</v>
      </c>
      <c r="AQ1156" s="94" t="s">
        <v>59</v>
      </c>
      <c r="AV1156" s="93">
        <f>AW1156+AX1156</f>
        <v>0</v>
      </c>
      <c r="AW1156" s="93">
        <f>G1156*AO1156</f>
        <v>0</v>
      </c>
      <c r="AX1156" s="93">
        <f>G1156*AP1156</f>
        <v>0</v>
      </c>
      <c r="AY1156" s="94" t="s">
        <v>1274</v>
      </c>
      <c r="AZ1156" s="94" t="s">
        <v>1275</v>
      </c>
      <c r="BA1156" s="88" t="s">
        <v>67</v>
      </c>
      <c r="BC1156" s="93">
        <f>AW1156+AX1156</f>
        <v>0</v>
      </c>
      <c r="BD1156" s="93">
        <f>H1156/(100-BE1156)*100</f>
        <v>0</v>
      </c>
      <c r="BE1156" s="93">
        <v>0</v>
      </c>
      <c r="BF1156" s="93">
        <f>O1156</f>
        <v>0</v>
      </c>
      <c r="BH1156" s="93">
        <f>G1156*AO1156</f>
        <v>0</v>
      </c>
      <c r="BI1156" s="93">
        <f>G1156*AP1156</f>
        <v>0</v>
      </c>
      <c r="BJ1156" s="93">
        <f>G1156*H1156</f>
        <v>0</v>
      </c>
      <c r="BK1156" s="93"/>
      <c r="BL1156" s="93">
        <v>94</v>
      </c>
      <c r="BW1156" s="93" t="str">
        <f>I1156</f>
        <v>21</v>
      </c>
      <c r="BX1156" s="2" t="s">
        <v>1317</v>
      </c>
    </row>
    <row r="1157" spans="1:76" s="81" customFormat="1" x14ac:dyDescent="0.25">
      <c r="A1157" s="85" t="s">
        <v>54</v>
      </c>
      <c r="B1157" s="74" t="s">
        <v>55</v>
      </c>
      <c r="C1157" s="74" t="s">
        <v>811</v>
      </c>
      <c r="D1157" s="176" t="s">
        <v>1318</v>
      </c>
      <c r="E1157" s="176"/>
      <c r="F1157" s="85" t="s">
        <v>4</v>
      </c>
      <c r="G1157" s="85" t="s">
        <v>4</v>
      </c>
      <c r="H1157" s="98"/>
      <c r="I1157" s="85" t="s">
        <v>4</v>
      </c>
      <c r="J1157" s="86">
        <f>SUM(J1158:J1164)</f>
        <v>0</v>
      </c>
      <c r="K1157" s="86">
        <f>SUM(K1158:K1164)</f>
        <v>0</v>
      </c>
      <c r="L1157" s="86">
        <f>SUM(L1158:L1164)</f>
        <v>0</v>
      </c>
      <c r="M1157" s="86">
        <f>SUM(M1158:M1164)</f>
        <v>0</v>
      </c>
      <c r="N1157" s="87" t="s">
        <v>54</v>
      </c>
      <c r="O1157" s="86">
        <f>SUM(O1158:O1164)</f>
        <v>6.4804779999999992E-2</v>
      </c>
      <c r="P1157" s="87" t="s">
        <v>54</v>
      </c>
      <c r="AI1157" s="88" t="s">
        <v>55</v>
      </c>
      <c r="AS1157" s="89">
        <f>SUM(AJ1158:AJ1164)</f>
        <v>0</v>
      </c>
      <c r="AT1157" s="89">
        <f>SUM(AK1158:AK1164)</f>
        <v>0</v>
      </c>
      <c r="AU1157" s="89">
        <f>SUM(AL1158:AL1164)</f>
        <v>0</v>
      </c>
    </row>
    <row r="1158" spans="1:76" s="81" customFormat="1" x14ac:dyDescent="0.25">
      <c r="A1158" s="72" t="s">
        <v>1319</v>
      </c>
      <c r="B1158" s="72" t="s">
        <v>55</v>
      </c>
      <c r="C1158" s="72" t="s">
        <v>1320</v>
      </c>
      <c r="D1158" s="175" t="s">
        <v>1321</v>
      </c>
      <c r="E1158" s="175"/>
      <c r="F1158" s="72" t="s">
        <v>192</v>
      </c>
      <c r="G1158" s="90">
        <v>1162.9939999999999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4.0000000000000003E-5</v>
      </c>
      <c r="O1158" s="90">
        <f>G1158*N1158</f>
        <v>4.651976E-2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H1158*0.013885891</f>
        <v>0</v>
      </c>
      <c r="AP1158" s="93">
        <f>H1158*(1-0.013885891)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1322</v>
      </c>
      <c r="AZ1158" s="94" t="s">
        <v>1275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4.651976E-2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95</v>
      </c>
      <c r="BW1158" s="93" t="str">
        <f>I1158</f>
        <v>21</v>
      </c>
      <c r="BX1158" s="2" t="s">
        <v>1321</v>
      </c>
    </row>
    <row r="1159" spans="1:76" s="81" customFormat="1" x14ac:dyDescent="0.25">
      <c r="A1159" s="95"/>
      <c r="B1159" s="95"/>
      <c r="C1159" s="95"/>
      <c r="D1159" s="76" t="s">
        <v>54</v>
      </c>
      <c r="E1159" s="76" t="s">
        <v>1323</v>
      </c>
      <c r="F1159" s="95"/>
      <c r="G1159" s="96">
        <v>0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95"/>
      <c r="B1160" s="95"/>
      <c r="C1160" s="95"/>
      <c r="D1160" s="76" t="s">
        <v>1324</v>
      </c>
      <c r="E1160" s="76" t="s">
        <v>1325</v>
      </c>
      <c r="F1160" s="95"/>
      <c r="G1160" s="96">
        <v>1162.9939999999999</v>
      </c>
      <c r="H1160" s="97"/>
      <c r="I1160" s="95"/>
      <c r="J1160" s="95"/>
      <c r="K1160" s="95"/>
      <c r="L1160" s="95"/>
      <c r="M1160" s="95"/>
      <c r="N1160" s="95"/>
      <c r="O1160" s="95"/>
      <c r="P1160" s="95"/>
    </row>
    <row r="1161" spans="1:76" s="81" customFormat="1" x14ac:dyDescent="0.25">
      <c r="A1161" s="72" t="s">
        <v>1326</v>
      </c>
      <c r="B1161" s="72" t="s">
        <v>55</v>
      </c>
      <c r="C1161" s="72" t="s">
        <v>1327</v>
      </c>
      <c r="D1161" s="175" t="s">
        <v>1328</v>
      </c>
      <c r="E1161" s="175"/>
      <c r="F1161" s="72" t="s">
        <v>192</v>
      </c>
      <c r="G1161" s="90">
        <v>456.12549999999999</v>
      </c>
      <c r="H1161" s="91"/>
      <c r="I1161" s="92" t="s">
        <v>63</v>
      </c>
      <c r="J1161" s="90">
        <f>G1161*AO1161</f>
        <v>0</v>
      </c>
      <c r="K1161" s="90">
        <f>G1161*AP1161</f>
        <v>0</v>
      </c>
      <c r="L1161" s="90">
        <f>G1161*H1161</f>
        <v>0</v>
      </c>
      <c r="M1161" s="90">
        <f>L1161*(1+BW1161/100)</f>
        <v>0</v>
      </c>
      <c r="N1161" s="90">
        <v>4.0000000000000003E-5</v>
      </c>
      <c r="O1161" s="90">
        <f>G1161*N1161</f>
        <v>1.8245020000000001E-2</v>
      </c>
      <c r="P1161" s="92" t="s">
        <v>64</v>
      </c>
      <c r="Z1161" s="93">
        <f>IF(AQ1161="5",BJ1161,0)</f>
        <v>0</v>
      </c>
      <c r="AB1161" s="93">
        <f>IF(AQ1161="1",BH1161,0)</f>
        <v>0</v>
      </c>
      <c r="AC1161" s="93">
        <f>IF(AQ1161="1",BI1161,0)</f>
        <v>0</v>
      </c>
      <c r="AD1161" s="93">
        <f>IF(AQ1161="7",BH1161,0)</f>
        <v>0</v>
      </c>
      <c r="AE1161" s="93">
        <f>IF(AQ1161="7",BI1161,0)</f>
        <v>0</v>
      </c>
      <c r="AF1161" s="93">
        <f>IF(AQ1161="2",BH1161,0)</f>
        <v>0</v>
      </c>
      <c r="AG1161" s="93">
        <f>IF(AQ1161="2",BI1161,0)</f>
        <v>0</v>
      </c>
      <c r="AH1161" s="93">
        <f>IF(AQ1161="0",BJ1161,0)</f>
        <v>0</v>
      </c>
      <c r="AI1161" s="88" t="s">
        <v>55</v>
      </c>
      <c r="AJ1161" s="93">
        <f>IF(AN1161=0,L1161,0)</f>
        <v>0</v>
      </c>
      <c r="AK1161" s="93">
        <f>IF(AN1161=12,L1161,0)</f>
        <v>0</v>
      </c>
      <c r="AL1161" s="93">
        <f>IF(AN1161=21,L1161,0)</f>
        <v>0</v>
      </c>
      <c r="AN1161" s="93">
        <v>21</v>
      </c>
      <c r="AO1161" s="93">
        <f>H1161*0.012100313</f>
        <v>0</v>
      </c>
      <c r="AP1161" s="93">
        <f>H1161*(1-0.012100313)</f>
        <v>0</v>
      </c>
      <c r="AQ1161" s="94" t="s">
        <v>59</v>
      </c>
      <c r="AV1161" s="93">
        <f>AW1161+AX1161</f>
        <v>0</v>
      </c>
      <c r="AW1161" s="93">
        <f>G1161*AO1161</f>
        <v>0</v>
      </c>
      <c r="AX1161" s="93">
        <f>G1161*AP1161</f>
        <v>0</v>
      </c>
      <c r="AY1161" s="94" t="s">
        <v>1322</v>
      </c>
      <c r="AZ1161" s="94" t="s">
        <v>1275</v>
      </c>
      <c r="BA1161" s="88" t="s">
        <v>67</v>
      </c>
      <c r="BC1161" s="93">
        <f>AW1161+AX1161</f>
        <v>0</v>
      </c>
      <c r="BD1161" s="93">
        <f>H1161/(100-BE1161)*100</f>
        <v>0</v>
      </c>
      <c r="BE1161" s="93">
        <v>0</v>
      </c>
      <c r="BF1161" s="93">
        <f>O1161</f>
        <v>1.8245020000000001E-2</v>
      </c>
      <c r="BH1161" s="93">
        <f>G1161*AO1161</f>
        <v>0</v>
      </c>
      <c r="BI1161" s="93">
        <f>G1161*AP1161</f>
        <v>0</v>
      </c>
      <c r="BJ1161" s="93">
        <f>G1161*H1161</f>
        <v>0</v>
      </c>
      <c r="BK1161" s="93"/>
      <c r="BL1161" s="93">
        <v>95</v>
      </c>
      <c r="BW1161" s="93" t="str">
        <f>I1161</f>
        <v>21</v>
      </c>
      <c r="BX1161" s="2" t="s">
        <v>1328</v>
      </c>
    </row>
    <row r="1162" spans="1:76" s="81" customFormat="1" x14ac:dyDescent="0.25">
      <c r="A1162" s="95"/>
      <c r="B1162" s="95"/>
      <c r="C1162" s="95"/>
      <c r="D1162" s="76" t="s">
        <v>54</v>
      </c>
      <c r="E1162" s="76" t="s">
        <v>1323</v>
      </c>
      <c r="F1162" s="95"/>
      <c r="G1162" s="96">
        <v>0</v>
      </c>
      <c r="H1162" s="97"/>
      <c r="I1162" s="95"/>
      <c r="J1162" s="95"/>
      <c r="K1162" s="95"/>
      <c r="L1162" s="95"/>
      <c r="M1162" s="95"/>
      <c r="N1162" s="95"/>
      <c r="O1162" s="95"/>
      <c r="P1162" s="95"/>
    </row>
    <row r="1163" spans="1:76" s="81" customFormat="1" x14ac:dyDescent="0.25">
      <c r="A1163" s="95"/>
      <c r="B1163" s="95"/>
      <c r="C1163" s="95"/>
      <c r="D1163" s="76" t="s">
        <v>1329</v>
      </c>
      <c r="E1163" s="76" t="s">
        <v>1330</v>
      </c>
      <c r="F1163" s="95"/>
      <c r="G1163" s="96">
        <v>456.12549999999999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72" t="s">
        <v>1331</v>
      </c>
      <c r="B1164" s="72" t="s">
        <v>55</v>
      </c>
      <c r="C1164" s="72" t="s">
        <v>1332</v>
      </c>
      <c r="D1164" s="175" t="s">
        <v>1333</v>
      </c>
      <c r="E1164" s="175"/>
      <c r="F1164" s="72" t="s">
        <v>1334</v>
      </c>
      <c r="G1164" s="90">
        <v>1</v>
      </c>
      <c r="H1164" s="91"/>
      <c r="I1164" s="92" t="s">
        <v>63</v>
      </c>
      <c r="J1164" s="90">
        <f>G1164*AO1164</f>
        <v>0</v>
      </c>
      <c r="K1164" s="90">
        <f>G1164*AP1164</f>
        <v>0</v>
      </c>
      <c r="L1164" s="90">
        <f>G1164*H1164</f>
        <v>0</v>
      </c>
      <c r="M1164" s="90">
        <f>L1164*(1+BW1164/100)</f>
        <v>0</v>
      </c>
      <c r="N1164" s="90">
        <v>4.0000000000000003E-5</v>
      </c>
      <c r="O1164" s="90">
        <f>G1164*N1164</f>
        <v>4.0000000000000003E-5</v>
      </c>
      <c r="P1164" s="92" t="s">
        <v>578</v>
      </c>
      <c r="Z1164" s="93">
        <f>IF(AQ1164="5",BJ1164,0)</f>
        <v>0</v>
      </c>
      <c r="AB1164" s="93">
        <f>IF(AQ1164="1",BH1164,0)</f>
        <v>0</v>
      </c>
      <c r="AC1164" s="93">
        <f>IF(AQ1164="1",BI1164,0)</f>
        <v>0</v>
      </c>
      <c r="AD1164" s="93">
        <f>IF(AQ1164="7",BH1164,0)</f>
        <v>0</v>
      </c>
      <c r="AE1164" s="93">
        <f>IF(AQ1164="7",BI1164,0)</f>
        <v>0</v>
      </c>
      <c r="AF1164" s="93">
        <f>IF(AQ1164="2",BH1164,0)</f>
        <v>0</v>
      </c>
      <c r="AG1164" s="93">
        <f>IF(AQ1164="2",BI1164,0)</f>
        <v>0</v>
      </c>
      <c r="AH1164" s="93">
        <f>IF(AQ1164="0",BJ1164,0)</f>
        <v>0</v>
      </c>
      <c r="AI1164" s="88" t="s">
        <v>55</v>
      </c>
      <c r="AJ1164" s="93">
        <f>IF(AN1164=0,L1164,0)</f>
        <v>0</v>
      </c>
      <c r="AK1164" s="93">
        <f>IF(AN1164=12,L1164,0)</f>
        <v>0</v>
      </c>
      <c r="AL1164" s="93">
        <f>IF(AN1164=21,L1164,0)</f>
        <v>0</v>
      </c>
      <c r="AN1164" s="93">
        <v>21</v>
      </c>
      <c r="AO1164" s="93">
        <f>H1164*0.75</f>
        <v>0</v>
      </c>
      <c r="AP1164" s="93">
        <f>H1164*(1-0.75)</f>
        <v>0</v>
      </c>
      <c r="AQ1164" s="94" t="s">
        <v>59</v>
      </c>
      <c r="AV1164" s="93">
        <f>AW1164+AX1164</f>
        <v>0</v>
      </c>
      <c r="AW1164" s="93">
        <f>G1164*AO1164</f>
        <v>0</v>
      </c>
      <c r="AX1164" s="93">
        <f>G1164*AP1164</f>
        <v>0</v>
      </c>
      <c r="AY1164" s="94" t="s">
        <v>1322</v>
      </c>
      <c r="AZ1164" s="94" t="s">
        <v>1275</v>
      </c>
      <c r="BA1164" s="88" t="s">
        <v>67</v>
      </c>
      <c r="BC1164" s="93">
        <f>AW1164+AX1164</f>
        <v>0</v>
      </c>
      <c r="BD1164" s="93">
        <f>H1164/(100-BE1164)*100</f>
        <v>0</v>
      </c>
      <c r="BE1164" s="93">
        <v>0</v>
      </c>
      <c r="BF1164" s="93">
        <f>O1164</f>
        <v>4.0000000000000003E-5</v>
      </c>
      <c r="BH1164" s="93">
        <f>G1164*AO1164</f>
        <v>0</v>
      </c>
      <c r="BI1164" s="93">
        <f>G1164*AP1164</f>
        <v>0</v>
      </c>
      <c r="BJ1164" s="93">
        <f>G1164*H1164</f>
        <v>0</v>
      </c>
      <c r="BK1164" s="93"/>
      <c r="BL1164" s="93">
        <v>95</v>
      </c>
      <c r="BW1164" s="93" t="str">
        <f>I1164</f>
        <v>21</v>
      </c>
      <c r="BX1164" s="2" t="s">
        <v>1333</v>
      </c>
    </row>
    <row r="1165" spans="1:76" s="81" customFormat="1" ht="13.5" customHeight="1" x14ac:dyDescent="0.25">
      <c r="A1165" s="95"/>
      <c r="B1165" s="95"/>
      <c r="C1165" s="95"/>
      <c r="D1165" s="182" t="s">
        <v>1335</v>
      </c>
      <c r="E1165" s="182"/>
      <c r="F1165" s="182"/>
      <c r="G1165" s="182"/>
      <c r="H1165" s="182"/>
      <c r="I1165" s="182"/>
      <c r="J1165" s="182"/>
      <c r="K1165" s="182"/>
      <c r="L1165" s="182"/>
      <c r="M1165" s="182"/>
      <c r="N1165" s="182"/>
      <c r="O1165" s="182"/>
      <c r="P1165" s="182"/>
    </row>
    <row r="1166" spans="1:76" s="81" customFormat="1" x14ac:dyDescent="0.25">
      <c r="A1166" s="85" t="s">
        <v>54</v>
      </c>
      <c r="B1166" s="74" t="s">
        <v>55</v>
      </c>
      <c r="C1166" s="74" t="s">
        <v>845</v>
      </c>
      <c r="D1166" s="176" t="s">
        <v>1336</v>
      </c>
      <c r="E1166" s="176"/>
      <c r="F1166" s="85" t="s">
        <v>4</v>
      </c>
      <c r="G1166" s="85" t="s">
        <v>4</v>
      </c>
      <c r="H1166" s="85" t="s">
        <v>4</v>
      </c>
      <c r="I1166" s="85" t="s">
        <v>4</v>
      </c>
      <c r="J1166" s="86">
        <f>SUM(J1167:J1170)</f>
        <v>0</v>
      </c>
      <c r="K1166" s="86">
        <f>SUM(K1167:K1170)</f>
        <v>0</v>
      </c>
      <c r="L1166" s="86">
        <f>SUM(L1167:L1170)</f>
        <v>0</v>
      </c>
      <c r="M1166" s="86">
        <f>SUM(M1167:M1170)</f>
        <v>0</v>
      </c>
      <c r="N1166" s="87" t="s">
        <v>54</v>
      </c>
      <c r="O1166" s="86">
        <f>SUM(O1167:O1170)</f>
        <v>0</v>
      </c>
      <c r="P1166" s="87" t="s">
        <v>54</v>
      </c>
      <c r="AI1166" s="88" t="s">
        <v>55</v>
      </c>
      <c r="AS1166" s="89">
        <f>SUM(AJ1167:AJ1170)</f>
        <v>0</v>
      </c>
      <c r="AT1166" s="89">
        <f>SUM(AK1167:AK1170)</f>
        <v>0</v>
      </c>
      <c r="AU1166" s="89">
        <f>SUM(AL1167:AL1170)</f>
        <v>0</v>
      </c>
    </row>
    <row r="1167" spans="1:76" s="81" customFormat="1" x14ac:dyDescent="0.25">
      <c r="A1167" s="72" t="s">
        <v>1337</v>
      </c>
      <c r="B1167" s="72" t="s">
        <v>55</v>
      </c>
      <c r="C1167" s="72" t="s">
        <v>1338</v>
      </c>
      <c r="D1167" s="175" t="s">
        <v>1339</v>
      </c>
      <c r="E1167" s="175"/>
      <c r="F1167" s="72" t="s">
        <v>222</v>
      </c>
      <c r="G1167" s="90">
        <v>0.33130999999999999</v>
      </c>
      <c r="H1167" s="91"/>
      <c r="I1167" s="92" t="s">
        <v>63</v>
      </c>
      <c r="J1167" s="90">
        <f>G1167*AO1167</f>
        <v>0</v>
      </c>
      <c r="K1167" s="90">
        <f>G1167*AP1167</f>
        <v>0</v>
      </c>
      <c r="L1167" s="90">
        <f>G1167*H1167</f>
        <v>0</v>
      </c>
      <c r="M1167" s="90">
        <f>L1167*(1+BW1167/100)</f>
        <v>0</v>
      </c>
      <c r="N1167" s="90">
        <v>0</v>
      </c>
      <c r="O1167" s="90">
        <f>G1167*N1167</f>
        <v>0</v>
      </c>
      <c r="P1167" s="92" t="s">
        <v>64</v>
      </c>
      <c r="Z1167" s="93">
        <f>IF(AQ1167="5",BJ1167,0)</f>
        <v>0</v>
      </c>
      <c r="AB1167" s="93">
        <f>IF(AQ1167="1",BH1167,0)</f>
        <v>0</v>
      </c>
      <c r="AC1167" s="93">
        <f>IF(AQ1167="1",BI1167,0)</f>
        <v>0</v>
      </c>
      <c r="AD1167" s="93">
        <f>IF(AQ1167="7",BH1167,0)</f>
        <v>0</v>
      </c>
      <c r="AE1167" s="93">
        <f>IF(AQ1167="7",BI1167,0)</f>
        <v>0</v>
      </c>
      <c r="AF1167" s="93">
        <f>IF(AQ1167="2",BH1167,0)</f>
        <v>0</v>
      </c>
      <c r="AG1167" s="93">
        <f>IF(AQ1167="2",BI1167,0)</f>
        <v>0</v>
      </c>
      <c r="AH1167" s="93">
        <f>IF(AQ1167="0",BJ1167,0)</f>
        <v>0</v>
      </c>
      <c r="AI1167" s="88" t="s">
        <v>55</v>
      </c>
      <c r="AJ1167" s="93">
        <f>IF(AN1167=0,L1167,0)</f>
        <v>0</v>
      </c>
      <c r="AK1167" s="93">
        <f>IF(AN1167=12,L1167,0)</f>
        <v>0</v>
      </c>
      <c r="AL1167" s="93">
        <f>IF(AN1167=21,L1167,0)</f>
        <v>0</v>
      </c>
      <c r="AN1167" s="93">
        <v>21</v>
      </c>
      <c r="AO1167" s="93">
        <f>H1167*0</f>
        <v>0</v>
      </c>
      <c r="AP1167" s="93">
        <f>H1167*(1-0)</f>
        <v>0</v>
      </c>
      <c r="AQ1167" s="94" t="s">
        <v>136</v>
      </c>
      <c r="AV1167" s="93">
        <f>AW1167+AX1167</f>
        <v>0</v>
      </c>
      <c r="AW1167" s="93">
        <f>G1167*AO1167</f>
        <v>0</v>
      </c>
      <c r="AX1167" s="93">
        <f>G1167*AP1167</f>
        <v>0</v>
      </c>
      <c r="AY1167" s="94" t="s">
        <v>1340</v>
      </c>
      <c r="AZ1167" s="94" t="s">
        <v>1275</v>
      </c>
      <c r="BA1167" s="88" t="s">
        <v>67</v>
      </c>
      <c r="BC1167" s="93">
        <f>AW1167+AX1167</f>
        <v>0</v>
      </c>
      <c r="BD1167" s="93">
        <f>H1167/(100-BE1167)*100</f>
        <v>0</v>
      </c>
      <c r="BE1167" s="93">
        <v>0</v>
      </c>
      <c r="BF1167" s="93">
        <f>O1167</f>
        <v>0</v>
      </c>
      <c r="BH1167" s="93">
        <f>G1167*AO1167</f>
        <v>0</v>
      </c>
      <c r="BI1167" s="93">
        <f>G1167*AP1167</f>
        <v>0</v>
      </c>
      <c r="BJ1167" s="93">
        <f>G1167*H1167</f>
        <v>0</v>
      </c>
      <c r="BK1167" s="93"/>
      <c r="BL1167" s="93">
        <v>98</v>
      </c>
      <c r="BW1167" s="93" t="str">
        <f>I1167</f>
        <v>21</v>
      </c>
      <c r="BX1167" s="2" t="s">
        <v>1339</v>
      </c>
    </row>
    <row r="1168" spans="1:76" s="81" customFormat="1" x14ac:dyDescent="0.25">
      <c r="A1168" s="72" t="s">
        <v>1341</v>
      </c>
      <c r="B1168" s="72" t="s">
        <v>55</v>
      </c>
      <c r="C1168" s="72" t="s">
        <v>1342</v>
      </c>
      <c r="D1168" s="175" t="s">
        <v>1343</v>
      </c>
      <c r="E1168" s="175"/>
      <c r="F1168" s="72" t="s">
        <v>222</v>
      </c>
      <c r="G1168" s="90">
        <v>0.91086999999999996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0</v>
      </c>
      <c r="O1168" s="90">
        <f>G1168*N1168</f>
        <v>0</v>
      </c>
      <c r="P1168" s="92" t="s">
        <v>64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</f>
        <v>0</v>
      </c>
      <c r="AP1168" s="93">
        <f>H1168*(1-0)</f>
        <v>0</v>
      </c>
      <c r="AQ1168" s="94" t="s">
        <v>136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1340</v>
      </c>
      <c r="AZ1168" s="94" t="s">
        <v>1275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0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98</v>
      </c>
      <c r="BW1168" s="93" t="str">
        <f>I1168</f>
        <v>21</v>
      </c>
      <c r="BX1168" s="2" t="s">
        <v>1343</v>
      </c>
    </row>
    <row r="1169" spans="1:76" s="81" customFormat="1" x14ac:dyDescent="0.25">
      <c r="A1169" s="72" t="s">
        <v>1344</v>
      </c>
      <c r="B1169" s="72" t="s">
        <v>55</v>
      </c>
      <c r="C1169" s="72" t="s">
        <v>1345</v>
      </c>
      <c r="D1169" s="175" t="s">
        <v>1346</v>
      </c>
      <c r="E1169" s="175"/>
      <c r="F1169" s="72" t="s">
        <v>222</v>
      </c>
      <c r="G1169" s="90">
        <v>24.232659999999999</v>
      </c>
      <c r="H1169" s="91"/>
      <c r="I1169" s="92" t="s">
        <v>63</v>
      </c>
      <c r="J1169" s="90">
        <f>G1169*AO1169</f>
        <v>0</v>
      </c>
      <c r="K1169" s="90">
        <f>G1169*AP1169</f>
        <v>0</v>
      </c>
      <c r="L1169" s="90">
        <f>G1169*H1169</f>
        <v>0</v>
      </c>
      <c r="M1169" s="90">
        <f>L1169*(1+BW1169/100)</f>
        <v>0</v>
      </c>
      <c r="N1169" s="90">
        <v>0</v>
      </c>
      <c r="O1169" s="90">
        <f>G1169*N1169</f>
        <v>0</v>
      </c>
      <c r="P1169" s="92" t="s">
        <v>64</v>
      </c>
      <c r="Z1169" s="93">
        <f>IF(AQ1169="5",BJ1169,0)</f>
        <v>0</v>
      </c>
      <c r="AB1169" s="93">
        <f>IF(AQ1169="1",BH1169,0)</f>
        <v>0</v>
      </c>
      <c r="AC1169" s="93">
        <f>IF(AQ1169="1",BI1169,0)</f>
        <v>0</v>
      </c>
      <c r="AD1169" s="93">
        <f>IF(AQ1169="7",BH1169,0)</f>
        <v>0</v>
      </c>
      <c r="AE1169" s="93">
        <f>IF(AQ1169="7",BI1169,0)</f>
        <v>0</v>
      </c>
      <c r="AF1169" s="93">
        <f>IF(AQ1169="2",BH1169,0)</f>
        <v>0</v>
      </c>
      <c r="AG1169" s="93">
        <f>IF(AQ1169="2",BI1169,0)</f>
        <v>0</v>
      </c>
      <c r="AH1169" s="93">
        <f>IF(AQ1169="0",BJ1169,0)</f>
        <v>0</v>
      </c>
      <c r="AI1169" s="88" t="s">
        <v>55</v>
      </c>
      <c r="AJ1169" s="93">
        <f>IF(AN1169=0,L1169,0)</f>
        <v>0</v>
      </c>
      <c r="AK1169" s="93">
        <f>IF(AN1169=12,L1169,0)</f>
        <v>0</v>
      </c>
      <c r="AL1169" s="93">
        <f>IF(AN1169=21,L1169,0)</f>
        <v>0</v>
      </c>
      <c r="AN1169" s="93">
        <v>21</v>
      </c>
      <c r="AO1169" s="93">
        <f>H1169*0</f>
        <v>0</v>
      </c>
      <c r="AP1169" s="93">
        <f>H1169*(1-0)</f>
        <v>0</v>
      </c>
      <c r="AQ1169" s="94" t="s">
        <v>136</v>
      </c>
      <c r="AV1169" s="93">
        <f>AW1169+AX1169</f>
        <v>0</v>
      </c>
      <c r="AW1169" s="93">
        <f>G1169*AO1169</f>
        <v>0</v>
      </c>
      <c r="AX1169" s="93">
        <f>G1169*AP1169</f>
        <v>0</v>
      </c>
      <c r="AY1169" s="94" t="s">
        <v>1340</v>
      </c>
      <c r="AZ1169" s="94" t="s">
        <v>1275</v>
      </c>
      <c r="BA1169" s="88" t="s">
        <v>67</v>
      </c>
      <c r="BC1169" s="93">
        <f>AW1169+AX1169</f>
        <v>0</v>
      </c>
      <c r="BD1169" s="93">
        <f>H1169/(100-BE1169)*100</f>
        <v>0</v>
      </c>
      <c r="BE1169" s="93">
        <v>0</v>
      </c>
      <c r="BF1169" s="93">
        <f>O1169</f>
        <v>0</v>
      </c>
      <c r="BH1169" s="93">
        <f>G1169*AO1169</f>
        <v>0</v>
      </c>
      <c r="BI1169" s="93">
        <f>G1169*AP1169</f>
        <v>0</v>
      </c>
      <c r="BJ1169" s="93">
        <f>G1169*H1169</f>
        <v>0</v>
      </c>
      <c r="BK1169" s="93"/>
      <c r="BL1169" s="93">
        <v>98</v>
      </c>
      <c r="BW1169" s="93" t="str">
        <f>I1169</f>
        <v>21</v>
      </c>
      <c r="BX1169" s="2" t="s">
        <v>1346</v>
      </c>
    </row>
    <row r="1170" spans="1:76" s="81" customFormat="1" x14ac:dyDescent="0.25">
      <c r="A1170" s="72" t="s">
        <v>1347</v>
      </c>
      <c r="B1170" s="72" t="s">
        <v>55</v>
      </c>
      <c r="C1170" s="72" t="s">
        <v>1348</v>
      </c>
      <c r="D1170" s="175" t="s">
        <v>1349</v>
      </c>
      <c r="E1170" s="175"/>
      <c r="F1170" s="72" t="s">
        <v>222</v>
      </c>
      <c r="G1170" s="90">
        <v>4.3834999999999997</v>
      </c>
      <c r="H1170" s="91"/>
      <c r="I1170" s="92" t="s">
        <v>63</v>
      </c>
      <c r="J1170" s="90">
        <f>G1170*AO1170</f>
        <v>0</v>
      </c>
      <c r="K1170" s="90">
        <f>G1170*AP1170</f>
        <v>0</v>
      </c>
      <c r="L1170" s="90">
        <f>G1170*H1170</f>
        <v>0</v>
      </c>
      <c r="M1170" s="90">
        <f>L1170*(1+BW1170/100)</f>
        <v>0</v>
      </c>
      <c r="N1170" s="90">
        <v>0</v>
      </c>
      <c r="O1170" s="90">
        <f>G1170*N1170</f>
        <v>0</v>
      </c>
      <c r="P1170" s="92" t="s">
        <v>64</v>
      </c>
      <c r="Z1170" s="93">
        <f>IF(AQ1170="5",BJ1170,0)</f>
        <v>0</v>
      </c>
      <c r="AB1170" s="93">
        <f>IF(AQ1170="1",BH1170,0)</f>
        <v>0</v>
      </c>
      <c r="AC1170" s="93">
        <f>IF(AQ1170="1",BI1170,0)</f>
        <v>0</v>
      </c>
      <c r="AD1170" s="93">
        <f>IF(AQ1170="7",BH1170,0)</f>
        <v>0</v>
      </c>
      <c r="AE1170" s="93">
        <f>IF(AQ1170="7",BI1170,0)</f>
        <v>0</v>
      </c>
      <c r="AF1170" s="93">
        <f>IF(AQ1170="2",BH1170,0)</f>
        <v>0</v>
      </c>
      <c r="AG1170" s="93">
        <f>IF(AQ1170="2",BI1170,0)</f>
        <v>0</v>
      </c>
      <c r="AH1170" s="93">
        <f>IF(AQ1170="0",BJ1170,0)</f>
        <v>0</v>
      </c>
      <c r="AI1170" s="88" t="s">
        <v>55</v>
      </c>
      <c r="AJ1170" s="93">
        <f>IF(AN1170=0,L1170,0)</f>
        <v>0</v>
      </c>
      <c r="AK1170" s="93">
        <f>IF(AN1170=12,L1170,0)</f>
        <v>0</v>
      </c>
      <c r="AL1170" s="93">
        <f>IF(AN1170=21,L1170,0)</f>
        <v>0</v>
      </c>
      <c r="AN1170" s="93">
        <v>21</v>
      </c>
      <c r="AO1170" s="93">
        <f>H1170*0</f>
        <v>0</v>
      </c>
      <c r="AP1170" s="93">
        <f>H1170*(1-0)</f>
        <v>0</v>
      </c>
      <c r="AQ1170" s="94" t="s">
        <v>136</v>
      </c>
      <c r="AV1170" s="93">
        <f>AW1170+AX1170</f>
        <v>0</v>
      </c>
      <c r="AW1170" s="93">
        <f>G1170*AO1170</f>
        <v>0</v>
      </c>
      <c r="AX1170" s="93">
        <f>G1170*AP1170</f>
        <v>0</v>
      </c>
      <c r="AY1170" s="94" t="s">
        <v>1340</v>
      </c>
      <c r="AZ1170" s="94" t="s">
        <v>1275</v>
      </c>
      <c r="BA1170" s="88" t="s">
        <v>67</v>
      </c>
      <c r="BC1170" s="93">
        <f>AW1170+AX1170</f>
        <v>0</v>
      </c>
      <c r="BD1170" s="93">
        <f>H1170/(100-BE1170)*100</f>
        <v>0</v>
      </c>
      <c r="BE1170" s="93">
        <v>0</v>
      </c>
      <c r="BF1170" s="93">
        <f>O1170</f>
        <v>0</v>
      </c>
      <c r="BH1170" s="93">
        <f>G1170*AO1170</f>
        <v>0</v>
      </c>
      <c r="BI1170" s="93">
        <f>G1170*AP1170</f>
        <v>0</v>
      </c>
      <c r="BJ1170" s="93">
        <f>G1170*H1170</f>
        <v>0</v>
      </c>
      <c r="BK1170" s="93"/>
      <c r="BL1170" s="93">
        <v>98</v>
      </c>
      <c r="BW1170" s="93" t="str">
        <f>I1170</f>
        <v>21</v>
      </c>
      <c r="BX1170" s="2" t="s">
        <v>1349</v>
      </c>
    </row>
    <row r="1171" spans="1:76" s="81" customFormat="1" x14ac:dyDescent="0.25">
      <c r="A1171" s="85" t="s">
        <v>54</v>
      </c>
      <c r="B1171" s="74" t="s">
        <v>55</v>
      </c>
      <c r="C1171" s="74" t="s">
        <v>852</v>
      </c>
      <c r="D1171" s="176" t="s">
        <v>1350</v>
      </c>
      <c r="E1171" s="176"/>
      <c r="F1171" s="85" t="s">
        <v>4</v>
      </c>
      <c r="G1171" s="85" t="s">
        <v>4</v>
      </c>
      <c r="H1171" s="98"/>
      <c r="I1171" s="85" t="s">
        <v>4</v>
      </c>
      <c r="J1171" s="86">
        <f>SUM(J1172:J1172)</f>
        <v>0</v>
      </c>
      <c r="K1171" s="86">
        <f>SUM(K1172:K1172)</f>
        <v>0</v>
      </c>
      <c r="L1171" s="86">
        <f>SUM(L1172:L1172)</f>
        <v>0</v>
      </c>
      <c r="M1171" s="86">
        <f>SUM(M1172:M1172)</f>
        <v>0</v>
      </c>
      <c r="N1171" s="87" t="s">
        <v>54</v>
      </c>
      <c r="O1171" s="86">
        <f>SUM(O1172:O1172)</f>
        <v>0</v>
      </c>
      <c r="P1171" s="87" t="s">
        <v>54</v>
      </c>
      <c r="AI1171" s="88" t="s">
        <v>55</v>
      </c>
      <c r="AS1171" s="89">
        <f>SUM(AJ1172:AJ1172)</f>
        <v>0</v>
      </c>
      <c r="AT1171" s="89">
        <f>SUM(AK1172:AK1172)</f>
        <v>0</v>
      </c>
      <c r="AU1171" s="89">
        <f>SUM(AL1172:AL1172)</f>
        <v>0</v>
      </c>
    </row>
    <row r="1172" spans="1:76" s="81" customFormat="1" x14ac:dyDescent="0.25">
      <c r="A1172" s="72" t="s">
        <v>1351</v>
      </c>
      <c r="B1172" s="72" t="s">
        <v>55</v>
      </c>
      <c r="C1172" s="72" t="s">
        <v>1352</v>
      </c>
      <c r="D1172" s="175" t="s">
        <v>1353</v>
      </c>
      <c r="E1172" s="175"/>
      <c r="F1172" s="72" t="s">
        <v>222</v>
      </c>
      <c r="G1172" s="90">
        <v>6115.39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1354</v>
      </c>
      <c r="AZ1172" s="94" t="s">
        <v>1275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99</v>
      </c>
      <c r="BW1172" s="93" t="str">
        <f>I1172</f>
        <v>21</v>
      </c>
      <c r="BX1172" s="2" t="s">
        <v>1353</v>
      </c>
    </row>
    <row r="1173" spans="1:76" s="81" customFormat="1" x14ac:dyDescent="0.25">
      <c r="A1173" s="82" t="s">
        <v>54</v>
      </c>
      <c r="B1173" s="73" t="s">
        <v>55</v>
      </c>
      <c r="C1173" s="73" t="s">
        <v>54</v>
      </c>
      <c r="D1173" s="168" t="s">
        <v>1355</v>
      </c>
      <c r="E1173" s="168"/>
      <c r="F1173" s="82" t="s">
        <v>4</v>
      </c>
      <c r="G1173" s="82" t="s">
        <v>4</v>
      </c>
      <c r="H1173" s="99"/>
      <c r="I1173" s="82" t="s">
        <v>4</v>
      </c>
      <c r="J1173" s="83">
        <f>J1174+J1265+J1383+J1548+J1570+J1587+J1599+J1607+J1616+J1630+J1637+J1645+J1669+J1696+J1725+J1767+J1777+J1813+J1889+J1992+J2025+J2089+J2136+J2212+J2216+J2221+J2225+J2345</f>
        <v>0</v>
      </c>
      <c r="K1173" s="83">
        <f>K1174+K1265+K1383+K1548+K1570+K1587+K1599+K1607+K1616+K1630+K1637+K1645+K1669+K1696+K1725+K1767+K1777+K1813+K1889+K1992+K2025+K2089+K2136+K2212+K2216+K2221+K2225+K2345</f>
        <v>0</v>
      </c>
      <c r="L1173" s="83">
        <f>L1174+L1265+L1383+L1548+L1570+L1587+L1599+L1607+L1616+L1630+L1637+L1645+L1669+L1696+L1725+L1767+L1777+L1813+L1889+L1992+L2025+L2089+L2136+L2212+L2216+L2221+L2225+L2345</f>
        <v>0</v>
      </c>
      <c r="M1173" s="83">
        <f>M1174+M1265+M1383+M1548+M1570+M1587+M1599+M1607+M1616+M1630+M1637+M1645+M1669+M1696+M1725+M1767+M1777+M1813+M1889+M1992+M2025+M2089+M2136+M2212+M2216+M2221+M2225+M2345</f>
        <v>0</v>
      </c>
      <c r="N1173" s="84" t="s">
        <v>54</v>
      </c>
      <c r="O1173" s="83">
        <f>O1174+O1265+O1383+O1548+O1570+O1587+O1599+O1607+O1616+O1630+O1637+O1645+O1669+O1696+O1725+O1767+O1777+O1813+O1889+O1992+O2025+O2089+O2136+O2212+O2216+O2221+O2225+O2345</f>
        <v>14491.820920844102</v>
      </c>
      <c r="P1173" s="84" t="s">
        <v>54</v>
      </c>
    </row>
    <row r="1174" spans="1:76" s="81" customFormat="1" x14ac:dyDescent="0.25">
      <c r="A1174" s="85" t="s">
        <v>54</v>
      </c>
      <c r="B1174" s="74" t="s">
        <v>55</v>
      </c>
      <c r="C1174" s="74" t="s">
        <v>1356</v>
      </c>
      <c r="D1174" s="176" t="s">
        <v>1357</v>
      </c>
      <c r="E1174" s="176"/>
      <c r="F1174" s="85" t="s">
        <v>4</v>
      </c>
      <c r="G1174" s="85" t="s">
        <v>4</v>
      </c>
      <c r="H1174" s="98"/>
      <c r="I1174" s="85" t="s">
        <v>4</v>
      </c>
      <c r="J1174" s="86">
        <f>SUM(J1175:J1264)</f>
        <v>0</v>
      </c>
      <c r="K1174" s="86">
        <f>SUM(K1175:K1264)</f>
        <v>0</v>
      </c>
      <c r="L1174" s="86">
        <f>SUM(L1175:L1264)</f>
        <v>0</v>
      </c>
      <c r="M1174" s="86">
        <f>SUM(M1175:M1264)</f>
        <v>0</v>
      </c>
      <c r="N1174" s="87" t="s">
        <v>54</v>
      </c>
      <c r="O1174" s="86">
        <f>SUM(O1175:O1264)</f>
        <v>23.264356550799999</v>
      </c>
      <c r="P1174" s="87" t="s">
        <v>54</v>
      </c>
      <c r="AI1174" s="88" t="s">
        <v>55</v>
      </c>
      <c r="AS1174" s="89">
        <f>SUM(AJ1175:AJ1264)</f>
        <v>0</v>
      </c>
      <c r="AT1174" s="89">
        <f>SUM(AK1175:AK1264)</f>
        <v>0</v>
      </c>
      <c r="AU1174" s="89">
        <f>SUM(AL1175:AL1264)</f>
        <v>0</v>
      </c>
    </row>
    <row r="1175" spans="1:76" s="81" customFormat="1" ht="25.5" x14ac:dyDescent="0.25">
      <c r="A1175" s="72" t="s">
        <v>1358</v>
      </c>
      <c r="B1175" s="72" t="s">
        <v>55</v>
      </c>
      <c r="C1175" s="72" t="s">
        <v>1359</v>
      </c>
      <c r="D1175" s="175" t="s">
        <v>1360</v>
      </c>
      <c r="E1175" s="175"/>
      <c r="F1175" s="72" t="s">
        <v>192</v>
      </c>
      <c r="G1175" s="90">
        <v>1237.9043799999999</v>
      </c>
      <c r="H1175" s="91"/>
      <c r="I1175" s="92" t="s">
        <v>63</v>
      </c>
      <c r="J1175" s="90">
        <f>G1175*AO1175</f>
        <v>0</v>
      </c>
      <c r="K1175" s="90">
        <f>G1175*AP1175</f>
        <v>0</v>
      </c>
      <c r="L1175" s="90">
        <f>G1175*H1175</f>
        <v>0</v>
      </c>
      <c r="M1175" s="90">
        <f>L1175*(1+BW1175/100)</f>
        <v>0</v>
      </c>
      <c r="N1175" s="90">
        <v>3.2000000000000003E-4</v>
      </c>
      <c r="O1175" s="90">
        <f>G1175*N1175</f>
        <v>0.39612940160000004</v>
      </c>
      <c r="P1175" s="92" t="s">
        <v>64</v>
      </c>
      <c r="Z1175" s="93">
        <f>IF(AQ1175="5",BJ1175,0)</f>
        <v>0</v>
      </c>
      <c r="AB1175" s="93">
        <f>IF(AQ1175="1",BH1175,0)</f>
        <v>0</v>
      </c>
      <c r="AC1175" s="93">
        <f>IF(AQ1175="1",BI1175,0)</f>
        <v>0</v>
      </c>
      <c r="AD1175" s="93">
        <f>IF(AQ1175="7",BH1175,0)</f>
        <v>0</v>
      </c>
      <c r="AE1175" s="93">
        <f>IF(AQ1175="7",BI1175,0)</f>
        <v>0</v>
      </c>
      <c r="AF1175" s="93">
        <f>IF(AQ1175="2",BH1175,0)</f>
        <v>0</v>
      </c>
      <c r="AG1175" s="93">
        <f>IF(AQ1175="2",BI1175,0)</f>
        <v>0</v>
      </c>
      <c r="AH1175" s="93">
        <f>IF(AQ1175="0",BJ1175,0)</f>
        <v>0</v>
      </c>
      <c r="AI1175" s="88" t="s">
        <v>55</v>
      </c>
      <c r="AJ1175" s="93">
        <f>IF(AN1175=0,L1175,0)</f>
        <v>0</v>
      </c>
      <c r="AK1175" s="93">
        <f>IF(AN1175=12,L1175,0)</f>
        <v>0</v>
      </c>
      <c r="AL1175" s="93">
        <f>IF(AN1175=21,L1175,0)</f>
        <v>0</v>
      </c>
      <c r="AN1175" s="93">
        <v>21</v>
      </c>
      <c r="AO1175" s="93">
        <f>H1175*0.448163275</f>
        <v>0</v>
      </c>
      <c r="AP1175" s="93">
        <f>H1175*(1-0.448163275)</f>
        <v>0</v>
      </c>
      <c r="AQ1175" s="94" t="s">
        <v>148</v>
      </c>
      <c r="AV1175" s="93">
        <f>AW1175+AX1175</f>
        <v>0</v>
      </c>
      <c r="AW1175" s="93">
        <f>G1175*AO1175</f>
        <v>0</v>
      </c>
      <c r="AX1175" s="93">
        <f>G1175*AP1175</f>
        <v>0</v>
      </c>
      <c r="AY1175" s="94" t="s">
        <v>1361</v>
      </c>
      <c r="AZ1175" s="94" t="s">
        <v>1362</v>
      </c>
      <c r="BA1175" s="88" t="s">
        <v>67</v>
      </c>
      <c r="BC1175" s="93">
        <f>AW1175+AX1175</f>
        <v>0</v>
      </c>
      <c r="BD1175" s="93">
        <f>H1175/(100-BE1175)*100</f>
        <v>0</v>
      </c>
      <c r="BE1175" s="93">
        <v>0</v>
      </c>
      <c r="BF1175" s="93">
        <f>O1175</f>
        <v>0.39612940160000004</v>
      </c>
      <c r="BH1175" s="93">
        <f>G1175*AO1175</f>
        <v>0</v>
      </c>
      <c r="BI1175" s="93">
        <f>G1175*AP1175</f>
        <v>0</v>
      </c>
      <c r="BJ1175" s="93">
        <f>G1175*H1175</f>
        <v>0</v>
      </c>
      <c r="BK1175" s="93"/>
      <c r="BL1175" s="93">
        <v>711</v>
      </c>
      <c r="BW1175" s="93" t="str">
        <f>I1175</f>
        <v>21</v>
      </c>
      <c r="BX1175" s="2" t="s">
        <v>1360</v>
      </c>
    </row>
    <row r="1176" spans="1:76" s="81" customFormat="1" ht="13.5" customHeight="1" x14ac:dyDescent="0.25">
      <c r="A1176" s="95"/>
      <c r="B1176" s="95"/>
      <c r="C1176" s="95"/>
      <c r="D1176" s="182" t="s">
        <v>1363</v>
      </c>
      <c r="E1176" s="182"/>
      <c r="F1176" s="182"/>
      <c r="G1176" s="182"/>
      <c r="H1176" s="182"/>
      <c r="I1176" s="182"/>
      <c r="J1176" s="182"/>
      <c r="K1176" s="182"/>
      <c r="L1176" s="182"/>
      <c r="M1176" s="182"/>
      <c r="N1176" s="182"/>
      <c r="O1176" s="182"/>
      <c r="P1176" s="182"/>
    </row>
    <row r="1177" spans="1:76" s="81" customFormat="1" x14ac:dyDescent="0.25">
      <c r="A1177" s="95"/>
      <c r="B1177" s="95"/>
      <c r="C1177" s="95"/>
      <c r="D1177" s="76" t="s">
        <v>54</v>
      </c>
      <c r="E1177" s="76" t="s">
        <v>1364</v>
      </c>
      <c r="F1177" s="95"/>
      <c r="G1177" s="96">
        <v>0</v>
      </c>
      <c r="H1177" s="95"/>
      <c r="I1177" s="95"/>
      <c r="J1177" s="95"/>
      <c r="K1177" s="95"/>
      <c r="L1177" s="95"/>
      <c r="M1177" s="95"/>
      <c r="N1177" s="95"/>
      <c r="O1177" s="95"/>
      <c r="P1177" s="95"/>
    </row>
    <row r="1178" spans="1:76" s="81" customFormat="1" x14ac:dyDescent="0.25">
      <c r="A1178" s="95"/>
      <c r="B1178" s="95"/>
      <c r="C1178" s="95"/>
      <c r="D1178" s="76" t="s">
        <v>1365</v>
      </c>
      <c r="E1178" s="76" t="s">
        <v>54</v>
      </c>
      <c r="F1178" s="95"/>
      <c r="G1178" s="96">
        <v>899.4</v>
      </c>
      <c r="H1178" s="95"/>
      <c r="I1178" s="95"/>
      <c r="J1178" s="95"/>
      <c r="K1178" s="95"/>
      <c r="L1178" s="95"/>
      <c r="M1178" s="95"/>
      <c r="N1178" s="95"/>
      <c r="O1178" s="95"/>
      <c r="P1178" s="95"/>
    </row>
    <row r="1179" spans="1:76" s="81" customFormat="1" ht="25.5" x14ac:dyDescent="0.25">
      <c r="A1179" s="95"/>
      <c r="B1179" s="95"/>
      <c r="C1179" s="95"/>
      <c r="D1179" s="76" t="s">
        <v>54</v>
      </c>
      <c r="E1179" s="76" t="s">
        <v>1366</v>
      </c>
      <c r="F1179" s="95"/>
      <c r="G1179" s="96">
        <v>0</v>
      </c>
      <c r="H1179" s="95"/>
      <c r="I1179" s="95"/>
      <c r="J1179" s="95"/>
      <c r="K1179" s="95"/>
      <c r="L1179" s="95"/>
      <c r="M1179" s="95"/>
      <c r="N1179" s="95"/>
      <c r="O1179" s="95"/>
      <c r="P1179" s="95"/>
    </row>
    <row r="1180" spans="1:76" s="81" customFormat="1" ht="25.5" x14ac:dyDescent="0.25">
      <c r="A1180" s="95"/>
      <c r="B1180" s="95"/>
      <c r="C1180" s="95"/>
      <c r="D1180" s="76" t="s">
        <v>1367</v>
      </c>
      <c r="E1180" s="76" t="s">
        <v>54</v>
      </c>
      <c r="F1180" s="95"/>
      <c r="G1180" s="96">
        <v>338.50438000000003</v>
      </c>
      <c r="H1180" s="95"/>
      <c r="I1180" s="95"/>
      <c r="J1180" s="95"/>
      <c r="K1180" s="95"/>
      <c r="L1180" s="95"/>
      <c r="M1180" s="95"/>
      <c r="N1180" s="95"/>
      <c r="O1180" s="95"/>
      <c r="P1180" s="95"/>
    </row>
    <row r="1181" spans="1:76" s="81" customFormat="1" ht="25.5" x14ac:dyDescent="0.25">
      <c r="A1181" s="72" t="s">
        <v>1368</v>
      </c>
      <c r="B1181" s="72" t="s">
        <v>55</v>
      </c>
      <c r="C1181" s="72" t="s">
        <v>1369</v>
      </c>
      <c r="D1181" s="175" t="s">
        <v>1370</v>
      </c>
      <c r="E1181" s="175"/>
      <c r="F1181" s="72" t="s">
        <v>192</v>
      </c>
      <c r="G1181" s="90">
        <v>1049.59069</v>
      </c>
      <c r="H1181" s="91"/>
      <c r="I1181" s="92" t="s">
        <v>63</v>
      </c>
      <c r="J1181" s="90">
        <f>G1181*AO1181</f>
        <v>0</v>
      </c>
      <c r="K1181" s="90">
        <f>G1181*AP1181</f>
        <v>0</v>
      </c>
      <c r="L1181" s="90">
        <f>G1181*H1181</f>
        <v>0</v>
      </c>
      <c r="M1181" s="90">
        <f>L1181*(1+BW1181/100)</f>
        <v>0</v>
      </c>
      <c r="N1181" s="90">
        <v>3.3E-4</v>
      </c>
      <c r="O1181" s="90">
        <f>G1181*N1181</f>
        <v>0.34636492769999999</v>
      </c>
      <c r="P1181" s="92" t="s">
        <v>64</v>
      </c>
      <c r="Z1181" s="93">
        <f>IF(AQ1181="5",BJ1181,0)</f>
        <v>0</v>
      </c>
      <c r="AB1181" s="93">
        <f>IF(AQ1181="1",BH1181,0)</f>
        <v>0</v>
      </c>
      <c r="AC1181" s="93">
        <f>IF(AQ1181="1",BI1181,0)</f>
        <v>0</v>
      </c>
      <c r="AD1181" s="93">
        <f>IF(AQ1181="7",BH1181,0)</f>
        <v>0</v>
      </c>
      <c r="AE1181" s="93">
        <f>IF(AQ1181="7",BI1181,0)</f>
        <v>0</v>
      </c>
      <c r="AF1181" s="93">
        <f>IF(AQ1181="2",BH1181,0)</f>
        <v>0</v>
      </c>
      <c r="AG1181" s="93">
        <f>IF(AQ1181="2",BI1181,0)</f>
        <v>0</v>
      </c>
      <c r="AH1181" s="93">
        <f>IF(AQ1181="0",BJ1181,0)</f>
        <v>0</v>
      </c>
      <c r="AI1181" s="88" t="s">
        <v>55</v>
      </c>
      <c r="AJ1181" s="93">
        <f>IF(AN1181=0,L1181,0)</f>
        <v>0</v>
      </c>
      <c r="AK1181" s="93">
        <f>IF(AN1181=12,L1181,0)</f>
        <v>0</v>
      </c>
      <c r="AL1181" s="93">
        <f>IF(AN1181=21,L1181,0)</f>
        <v>0</v>
      </c>
      <c r="AN1181" s="93">
        <v>21</v>
      </c>
      <c r="AO1181" s="93">
        <f>H1181*0.726204196</f>
        <v>0</v>
      </c>
      <c r="AP1181" s="93">
        <f>H1181*(1-0.726204196)</f>
        <v>0</v>
      </c>
      <c r="AQ1181" s="94" t="s">
        <v>148</v>
      </c>
      <c r="AV1181" s="93">
        <f>AW1181+AX1181</f>
        <v>0</v>
      </c>
      <c r="AW1181" s="93">
        <f>G1181*AO1181</f>
        <v>0</v>
      </c>
      <c r="AX1181" s="93">
        <f>G1181*AP1181</f>
        <v>0</v>
      </c>
      <c r="AY1181" s="94" t="s">
        <v>1361</v>
      </c>
      <c r="AZ1181" s="94" t="s">
        <v>1362</v>
      </c>
      <c r="BA1181" s="88" t="s">
        <v>67</v>
      </c>
      <c r="BC1181" s="93">
        <f>AW1181+AX1181</f>
        <v>0</v>
      </c>
      <c r="BD1181" s="93">
        <f>H1181/(100-BE1181)*100</f>
        <v>0</v>
      </c>
      <c r="BE1181" s="93">
        <v>0</v>
      </c>
      <c r="BF1181" s="93">
        <f>O1181</f>
        <v>0.34636492769999999</v>
      </c>
      <c r="BH1181" s="93">
        <f>G1181*AO1181</f>
        <v>0</v>
      </c>
      <c r="BI1181" s="93">
        <f>G1181*AP1181</f>
        <v>0</v>
      </c>
      <c r="BJ1181" s="93">
        <f>G1181*H1181</f>
        <v>0</v>
      </c>
      <c r="BK1181" s="93"/>
      <c r="BL1181" s="93">
        <v>711</v>
      </c>
      <c r="BW1181" s="93" t="str">
        <f>I1181</f>
        <v>21</v>
      </c>
      <c r="BX1181" s="2" t="s">
        <v>1370</v>
      </c>
    </row>
    <row r="1182" spans="1:76" s="81" customFormat="1" ht="13.5" customHeight="1" x14ac:dyDescent="0.25">
      <c r="A1182" s="95"/>
      <c r="B1182" s="95"/>
      <c r="C1182" s="95"/>
      <c r="D1182" s="182" t="s">
        <v>1371</v>
      </c>
      <c r="E1182" s="182"/>
      <c r="F1182" s="182"/>
      <c r="G1182" s="182"/>
      <c r="H1182" s="182"/>
      <c r="I1182" s="182"/>
      <c r="J1182" s="182"/>
      <c r="K1182" s="182"/>
      <c r="L1182" s="182"/>
      <c r="M1182" s="182"/>
      <c r="N1182" s="182"/>
      <c r="O1182" s="182"/>
      <c r="P1182" s="182"/>
    </row>
    <row r="1183" spans="1:76" s="81" customFormat="1" x14ac:dyDescent="0.25">
      <c r="A1183" s="95"/>
      <c r="B1183" s="95"/>
      <c r="C1183" s="95"/>
      <c r="D1183" s="76" t="s">
        <v>54</v>
      </c>
      <c r="E1183" s="76" t="s">
        <v>1137</v>
      </c>
      <c r="F1183" s="95"/>
      <c r="G1183" s="96">
        <v>0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x14ac:dyDescent="0.25">
      <c r="A1184" s="95"/>
      <c r="B1184" s="95"/>
      <c r="C1184" s="95"/>
      <c r="D1184" s="76" t="s">
        <v>1372</v>
      </c>
      <c r="E1184" s="76" t="s">
        <v>54</v>
      </c>
      <c r="F1184" s="95"/>
      <c r="G1184" s="96">
        <v>1010.3814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x14ac:dyDescent="0.25">
      <c r="A1185" s="95"/>
      <c r="B1185" s="95"/>
      <c r="C1185" s="95"/>
      <c r="D1185" s="76" t="s">
        <v>1373</v>
      </c>
      <c r="E1185" s="76" t="s">
        <v>54</v>
      </c>
      <c r="F1185" s="95"/>
      <c r="G1185" s="96">
        <v>6.2759999999999998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ht="25.5" x14ac:dyDescent="0.25">
      <c r="A1186" s="95"/>
      <c r="B1186" s="95"/>
      <c r="C1186" s="95"/>
      <c r="D1186" s="76" t="s">
        <v>1374</v>
      </c>
      <c r="E1186" s="76" t="s">
        <v>54</v>
      </c>
      <c r="F1186" s="95"/>
      <c r="G1186" s="96">
        <v>6.6015199999999998</v>
      </c>
      <c r="H1186" s="95"/>
      <c r="I1186" s="95"/>
      <c r="J1186" s="95"/>
      <c r="K1186" s="95"/>
      <c r="L1186" s="95"/>
      <c r="M1186" s="95"/>
      <c r="N1186" s="95"/>
      <c r="O1186" s="95"/>
      <c r="P1186" s="95"/>
    </row>
    <row r="1187" spans="1:76" s="81" customFormat="1" x14ac:dyDescent="0.25">
      <c r="A1187" s="95"/>
      <c r="B1187" s="95"/>
      <c r="C1187" s="95"/>
      <c r="D1187" s="76" t="s">
        <v>1375</v>
      </c>
      <c r="E1187" s="76" t="s">
        <v>54</v>
      </c>
      <c r="F1187" s="95"/>
      <c r="G1187" s="96">
        <v>26.331769999999999</v>
      </c>
      <c r="H1187" s="95"/>
      <c r="I1187" s="95"/>
      <c r="J1187" s="95"/>
      <c r="K1187" s="95"/>
      <c r="L1187" s="95"/>
      <c r="M1187" s="95"/>
      <c r="N1187" s="95"/>
      <c r="O1187" s="95"/>
      <c r="P1187" s="95"/>
    </row>
    <row r="1188" spans="1:76" s="81" customFormat="1" ht="25.5" x14ac:dyDescent="0.25">
      <c r="A1188" s="72" t="s">
        <v>1376</v>
      </c>
      <c r="B1188" s="72" t="s">
        <v>55</v>
      </c>
      <c r="C1188" s="72" t="s">
        <v>1377</v>
      </c>
      <c r="D1188" s="175" t="s">
        <v>1378</v>
      </c>
      <c r="E1188" s="175"/>
      <c r="F1188" s="72" t="s">
        <v>192</v>
      </c>
      <c r="G1188" s="90">
        <v>1049.59069</v>
      </c>
      <c r="H1188" s="91"/>
      <c r="I1188" s="92" t="s">
        <v>63</v>
      </c>
      <c r="J1188" s="90">
        <f>G1188*AO1188</f>
        <v>0</v>
      </c>
      <c r="K1188" s="90">
        <f>G1188*AP1188</f>
        <v>0</v>
      </c>
      <c r="L1188" s="90">
        <f>G1188*H1188</f>
        <v>0</v>
      </c>
      <c r="M1188" s="90">
        <f>L1188*(1+BW1188/100)</f>
        <v>0</v>
      </c>
      <c r="N1188" s="90">
        <v>8.1999999999999998E-4</v>
      </c>
      <c r="O1188" s="90">
        <f>G1188*N1188</f>
        <v>0.86066436579999994</v>
      </c>
      <c r="P1188" s="92" t="s">
        <v>64</v>
      </c>
      <c r="Z1188" s="93">
        <f>IF(AQ1188="5",BJ1188,0)</f>
        <v>0</v>
      </c>
      <c r="AB1188" s="93">
        <f>IF(AQ1188="1",BH1188,0)</f>
        <v>0</v>
      </c>
      <c r="AC1188" s="93">
        <f>IF(AQ1188="1",BI1188,0)</f>
        <v>0</v>
      </c>
      <c r="AD1188" s="93">
        <f>IF(AQ1188="7",BH1188,0)</f>
        <v>0</v>
      </c>
      <c r="AE1188" s="93">
        <f>IF(AQ1188="7",BI1188,0)</f>
        <v>0</v>
      </c>
      <c r="AF1188" s="93">
        <f>IF(AQ1188="2",BH1188,0)</f>
        <v>0</v>
      </c>
      <c r="AG1188" s="93">
        <f>IF(AQ1188="2",BI1188,0)</f>
        <v>0</v>
      </c>
      <c r="AH1188" s="93">
        <f>IF(AQ1188="0",BJ1188,0)</f>
        <v>0</v>
      </c>
      <c r="AI1188" s="88" t="s">
        <v>55</v>
      </c>
      <c r="AJ1188" s="93">
        <f>IF(AN1188=0,L1188,0)</f>
        <v>0</v>
      </c>
      <c r="AK1188" s="93">
        <f>IF(AN1188=12,L1188,0)</f>
        <v>0</v>
      </c>
      <c r="AL1188" s="93">
        <f>IF(AN1188=21,L1188,0)</f>
        <v>0</v>
      </c>
      <c r="AN1188" s="93">
        <v>21</v>
      </c>
      <c r="AO1188" s="93">
        <f>H1188*0.081084213</f>
        <v>0</v>
      </c>
      <c r="AP1188" s="93">
        <f>H1188*(1-0.081084213)</f>
        <v>0</v>
      </c>
      <c r="AQ1188" s="94" t="s">
        <v>148</v>
      </c>
      <c r="AV1188" s="93">
        <f>AW1188+AX1188</f>
        <v>0</v>
      </c>
      <c r="AW1188" s="93">
        <f>G1188*AO1188</f>
        <v>0</v>
      </c>
      <c r="AX1188" s="93">
        <f>G1188*AP1188</f>
        <v>0</v>
      </c>
      <c r="AY1188" s="94" t="s">
        <v>1361</v>
      </c>
      <c r="AZ1188" s="94" t="s">
        <v>1362</v>
      </c>
      <c r="BA1188" s="88" t="s">
        <v>67</v>
      </c>
      <c r="BC1188" s="93">
        <f>AW1188+AX1188</f>
        <v>0</v>
      </c>
      <c r="BD1188" s="93">
        <f>H1188/(100-BE1188)*100</f>
        <v>0</v>
      </c>
      <c r="BE1188" s="93">
        <v>0</v>
      </c>
      <c r="BF1188" s="93">
        <f>O1188</f>
        <v>0.86066436579999994</v>
      </c>
      <c r="BH1188" s="93">
        <f>G1188*AO1188</f>
        <v>0</v>
      </c>
      <c r="BI1188" s="93">
        <f>G1188*AP1188</f>
        <v>0</v>
      </c>
      <c r="BJ1188" s="93">
        <f>G1188*H1188</f>
        <v>0</v>
      </c>
      <c r="BK1188" s="93"/>
      <c r="BL1188" s="93">
        <v>711</v>
      </c>
      <c r="BW1188" s="93" t="str">
        <f>I1188</f>
        <v>21</v>
      </c>
      <c r="BX1188" s="2" t="s">
        <v>1378</v>
      </c>
    </row>
    <row r="1189" spans="1:76" s="81" customFormat="1" ht="13.5" customHeight="1" x14ac:dyDescent="0.25">
      <c r="A1189" s="95"/>
      <c r="B1189" s="95"/>
      <c r="C1189" s="95"/>
      <c r="D1189" s="182" t="s">
        <v>1379</v>
      </c>
      <c r="E1189" s="182"/>
      <c r="F1189" s="182"/>
      <c r="G1189" s="182"/>
      <c r="H1189" s="182"/>
      <c r="I1189" s="182"/>
      <c r="J1189" s="182"/>
      <c r="K1189" s="182"/>
      <c r="L1189" s="182"/>
      <c r="M1189" s="182"/>
      <c r="N1189" s="182"/>
      <c r="O1189" s="182"/>
      <c r="P1189" s="182"/>
    </row>
    <row r="1190" spans="1:76" s="81" customFormat="1" x14ac:dyDescent="0.25">
      <c r="A1190" s="95"/>
      <c r="B1190" s="95"/>
      <c r="C1190" s="95"/>
      <c r="D1190" s="76" t="s">
        <v>54</v>
      </c>
      <c r="E1190" s="76" t="s">
        <v>1137</v>
      </c>
      <c r="F1190" s="95"/>
      <c r="G1190" s="96">
        <v>0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x14ac:dyDescent="0.25">
      <c r="A1191" s="95"/>
      <c r="B1191" s="95"/>
      <c r="C1191" s="95"/>
      <c r="D1191" s="76" t="s">
        <v>1372</v>
      </c>
      <c r="E1191" s="76" t="s">
        <v>54</v>
      </c>
      <c r="F1191" s="95"/>
      <c r="G1191" s="96">
        <v>1010.3814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x14ac:dyDescent="0.25">
      <c r="A1192" s="95"/>
      <c r="B1192" s="95"/>
      <c r="C1192" s="95"/>
      <c r="D1192" s="76" t="s">
        <v>1373</v>
      </c>
      <c r="E1192" s="76" t="s">
        <v>54</v>
      </c>
      <c r="F1192" s="95"/>
      <c r="G1192" s="96">
        <v>6.2759999999999998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ht="25.5" x14ac:dyDescent="0.25">
      <c r="A1193" s="95"/>
      <c r="B1193" s="95"/>
      <c r="C1193" s="95"/>
      <c r="D1193" s="76" t="s">
        <v>1374</v>
      </c>
      <c r="E1193" s="76" t="s">
        <v>54</v>
      </c>
      <c r="F1193" s="95"/>
      <c r="G1193" s="96">
        <v>6.6015199999999998</v>
      </c>
      <c r="H1193" s="95"/>
      <c r="I1193" s="95"/>
      <c r="J1193" s="95"/>
      <c r="K1193" s="95"/>
      <c r="L1193" s="95"/>
      <c r="M1193" s="95"/>
      <c r="N1193" s="95"/>
      <c r="O1193" s="95"/>
      <c r="P1193" s="95"/>
    </row>
    <row r="1194" spans="1:76" s="81" customFormat="1" x14ac:dyDescent="0.25">
      <c r="A1194" s="95"/>
      <c r="B1194" s="95"/>
      <c r="C1194" s="95"/>
      <c r="D1194" s="76" t="s">
        <v>1375</v>
      </c>
      <c r="E1194" s="76" t="s">
        <v>54</v>
      </c>
      <c r="F1194" s="95"/>
      <c r="G1194" s="96">
        <v>26.331769999999999</v>
      </c>
      <c r="H1194" s="97"/>
      <c r="I1194" s="95"/>
      <c r="J1194" s="95"/>
      <c r="K1194" s="95"/>
      <c r="L1194" s="95"/>
      <c r="M1194" s="95"/>
      <c r="N1194" s="95"/>
      <c r="O1194" s="95"/>
      <c r="P1194" s="95"/>
    </row>
    <row r="1195" spans="1:76" s="81" customFormat="1" ht="25.5" x14ac:dyDescent="0.25">
      <c r="A1195" s="72" t="s">
        <v>1380</v>
      </c>
      <c r="B1195" s="72" t="s">
        <v>55</v>
      </c>
      <c r="C1195" s="72" t="s">
        <v>1381</v>
      </c>
      <c r="D1195" s="175" t="s">
        <v>1382</v>
      </c>
      <c r="E1195" s="175"/>
      <c r="F1195" s="72" t="s">
        <v>192</v>
      </c>
      <c r="G1195" s="90">
        <v>1207.0292899999999</v>
      </c>
      <c r="H1195" s="91"/>
      <c r="I1195" s="92" t="s">
        <v>63</v>
      </c>
      <c r="J1195" s="90">
        <f>G1195*AO1195</f>
        <v>0</v>
      </c>
      <c r="K1195" s="90">
        <f>G1195*AP1195</f>
        <v>0</v>
      </c>
      <c r="L1195" s="90">
        <f>G1195*H1195</f>
        <v>0</v>
      </c>
      <c r="M1195" s="90">
        <f>L1195*(1+BW1195/100)</f>
        <v>0</v>
      </c>
      <c r="N1195" s="90">
        <v>5.1999999999999998E-3</v>
      </c>
      <c r="O1195" s="90">
        <f>G1195*N1195</f>
        <v>6.2765523079999994</v>
      </c>
      <c r="P1195" s="92" t="s">
        <v>64</v>
      </c>
      <c r="Z1195" s="93">
        <f>IF(AQ1195="5",BJ1195,0)</f>
        <v>0</v>
      </c>
      <c r="AB1195" s="93">
        <f>IF(AQ1195="1",BH1195,0)</f>
        <v>0</v>
      </c>
      <c r="AC1195" s="93">
        <f>IF(AQ1195="1",BI1195,0)</f>
        <v>0</v>
      </c>
      <c r="AD1195" s="93">
        <f>IF(AQ1195="7",BH1195,0)</f>
        <v>0</v>
      </c>
      <c r="AE1195" s="93">
        <f>IF(AQ1195="7",BI1195,0)</f>
        <v>0</v>
      </c>
      <c r="AF1195" s="93">
        <f>IF(AQ1195="2",BH1195,0)</f>
        <v>0</v>
      </c>
      <c r="AG1195" s="93">
        <f>IF(AQ1195="2",BI1195,0)</f>
        <v>0</v>
      </c>
      <c r="AH1195" s="93">
        <f>IF(AQ1195="0",BJ1195,0)</f>
        <v>0</v>
      </c>
      <c r="AI1195" s="88" t="s">
        <v>55</v>
      </c>
      <c r="AJ1195" s="93">
        <f>IF(AN1195=0,L1195,0)</f>
        <v>0</v>
      </c>
      <c r="AK1195" s="93">
        <f>IF(AN1195=12,L1195,0)</f>
        <v>0</v>
      </c>
      <c r="AL1195" s="93">
        <f>IF(AN1195=21,L1195,0)</f>
        <v>0</v>
      </c>
      <c r="AN1195" s="93">
        <v>21</v>
      </c>
      <c r="AO1195" s="93">
        <f>H1195*1</f>
        <v>0</v>
      </c>
      <c r="AP1195" s="93">
        <f>H1195*(1-1)</f>
        <v>0</v>
      </c>
      <c r="AQ1195" s="94" t="s">
        <v>148</v>
      </c>
      <c r="AV1195" s="93">
        <f>AW1195+AX1195</f>
        <v>0</v>
      </c>
      <c r="AW1195" s="93">
        <f>G1195*AO1195</f>
        <v>0</v>
      </c>
      <c r="AX1195" s="93">
        <f>G1195*AP1195</f>
        <v>0</v>
      </c>
      <c r="AY1195" s="94" t="s">
        <v>1361</v>
      </c>
      <c r="AZ1195" s="94" t="s">
        <v>1362</v>
      </c>
      <c r="BA1195" s="88" t="s">
        <v>67</v>
      </c>
      <c r="BC1195" s="93">
        <f>AW1195+AX1195</f>
        <v>0</v>
      </c>
      <c r="BD1195" s="93">
        <f>H1195/(100-BE1195)*100</f>
        <v>0</v>
      </c>
      <c r="BE1195" s="93">
        <v>0</v>
      </c>
      <c r="BF1195" s="93">
        <f>O1195</f>
        <v>6.2765523079999994</v>
      </c>
      <c r="BH1195" s="93">
        <f>G1195*AO1195</f>
        <v>0</v>
      </c>
      <c r="BI1195" s="93">
        <f>G1195*AP1195</f>
        <v>0</v>
      </c>
      <c r="BJ1195" s="93">
        <f>G1195*H1195</f>
        <v>0</v>
      </c>
      <c r="BK1195" s="93"/>
      <c r="BL1195" s="93">
        <v>711</v>
      </c>
      <c r="BW1195" s="93" t="str">
        <f>I1195</f>
        <v>21</v>
      </c>
      <c r="BX1195" s="2" t="s">
        <v>1382</v>
      </c>
    </row>
    <row r="1196" spans="1:76" s="81" customFormat="1" x14ac:dyDescent="0.25">
      <c r="A1196" s="95"/>
      <c r="B1196" s="95"/>
      <c r="C1196" s="95"/>
      <c r="D1196" s="76" t="s">
        <v>1383</v>
      </c>
      <c r="E1196" s="76" t="s">
        <v>54</v>
      </c>
      <c r="F1196" s="95"/>
      <c r="G1196" s="96">
        <v>1049.59069</v>
      </c>
      <c r="H1196" s="97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x14ac:dyDescent="0.25">
      <c r="A1197" s="95"/>
      <c r="B1197" s="95"/>
      <c r="C1197" s="95"/>
      <c r="D1197" s="76" t="s">
        <v>1384</v>
      </c>
      <c r="E1197" s="76" t="s">
        <v>54</v>
      </c>
      <c r="F1197" s="95"/>
      <c r="G1197" s="96">
        <v>157.43860000000001</v>
      </c>
      <c r="H1197" s="97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ht="25.5" x14ac:dyDescent="0.25">
      <c r="A1198" s="72" t="s">
        <v>1385</v>
      </c>
      <c r="B1198" s="72" t="s">
        <v>55</v>
      </c>
      <c r="C1198" s="72" t="s">
        <v>1386</v>
      </c>
      <c r="D1198" s="175" t="s">
        <v>1387</v>
      </c>
      <c r="E1198" s="175"/>
      <c r="F1198" s="72" t="s">
        <v>192</v>
      </c>
      <c r="G1198" s="90">
        <v>1207.0292899999999</v>
      </c>
      <c r="H1198" s="91"/>
      <c r="I1198" s="92" t="s">
        <v>63</v>
      </c>
      <c r="J1198" s="90">
        <f>G1198*AO1198</f>
        <v>0</v>
      </c>
      <c r="K1198" s="90">
        <f>G1198*AP1198</f>
        <v>0</v>
      </c>
      <c r="L1198" s="90">
        <f>G1198*H1198</f>
        <v>0</v>
      </c>
      <c r="M1198" s="90">
        <f>L1198*(1+BW1198/100)</f>
        <v>0</v>
      </c>
      <c r="N1198" s="90">
        <v>5.4999999999999997E-3</v>
      </c>
      <c r="O1198" s="90">
        <f>G1198*N1198</f>
        <v>6.6386610949999989</v>
      </c>
      <c r="P1198" s="92" t="s">
        <v>64</v>
      </c>
      <c r="Z1198" s="93">
        <f>IF(AQ1198="5",BJ1198,0)</f>
        <v>0</v>
      </c>
      <c r="AB1198" s="93">
        <f>IF(AQ1198="1",BH1198,0)</f>
        <v>0</v>
      </c>
      <c r="AC1198" s="93">
        <f>IF(AQ1198="1",BI1198,0)</f>
        <v>0</v>
      </c>
      <c r="AD1198" s="93">
        <f>IF(AQ1198="7",BH1198,0)</f>
        <v>0</v>
      </c>
      <c r="AE1198" s="93">
        <f>IF(AQ1198="7",BI1198,0)</f>
        <v>0</v>
      </c>
      <c r="AF1198" s="93">
        <f>IF(AQ1198="2",BH1198,0)</f>
        <v>0</v>
      </c>
      <c r="AG1198" s="93">
        <f>IF(AQ1198="2",BI1198,0)</f>
        <v>0</v>
      </c>
      <c r="AH1198" s="93">
        <f>IF(AQ1198="0",BJ1198,0)</f>
        <v>0</v>
      </c>
      <c r="AI1198" s="88" t="s">
        <v>55</v>
      </c>
      <c r="AJ1198" s="93">
        <f>IF(AN1198=0,L1198,0)</f>
        <v>0</v>
      </c>
      <c r="AK1198" s="93">
        <f>IF(AN1198=12,L1198,0)</f>
        <v>0</v>
      </c>
      <c r="AL1198" s="93">
        <f>IF(AN1198=21,L1198,0)</f>
        <v>0</v>
      </c>
      <c r="AN1198" s="93">
        <v>21</v>
      </c>
      <c r="AO1198" s="93">
        <f>H1198*1</f>
        <v>0</v>
      </c>
      <c r="AP1198" s="93">
        <f>H1198*(1-1)</f>
        <v>0</v>
      </c>
      <c r="AQ1198" s="94" t="s">
        <v>148</v>
      </c>
      <c r="AV1198" s="93">
        <f>AW1198+AX1198</f>
        <v>0</v>
      </c>
      <c r="AW1198" s="93">
        <f>G1198*AO1198</f>
        <v>0</v>
      </c>
      <c r="AX1198" s="93">
        <f>G1198*AP1198</f>
        <v>0</v>
      </c>
      <c r="AY1198" s="94" t="s">
        <v>1361</v>
      </c>
      <c r="AZ1198" s="94" t="s">
        <v>1362</v>
      </c>
      <c r="BA1198" s="88" t="s">
        <v>67</v>
      </c>
      <c r="BC1198" s="93">
        <f>AW1198+AX1198</f>
        <v>0</v>
      </c>
      <c r="BD1198" s="93">
        <f>H1198/(100-BE1198)*100</f>
        <v>0</v>
      </c>
      <c r="BE1198" s="93">
        <v>0</v>
      </c>
      <c r="BF1198" s="93">
        <f>O1198</f>
        <v>6.6386610949999989</v>
      </c>
      <c r="BH1198" s="93">
        <f>G1198*AO1198</f>
        <v>0</v>
      </c>
      <c r="BI1198" s="93">
        <f>G1198*AP1198</f>
        <v>0</v>
      </c>
      <c r="BJ1198" s="93">
        <f>G1198*H1198</f>
        <v>0</v>
      </c>
      <c r="BK1198" s="93"/>
      <c r="BL1198" s="93">
        <v>711</v>
      </c>
      <c r="BW1198" s="93" t="str">
        <f>I1198</f>
        <v>21</v>
      </c>
      <c r="BX1198" s="2" t="s">
        <v>1387</v>
      </c>
    </row>
    <row r="1199" spans="1:76" s="81" customFormat="1" x14ac:dyDescent="0.25">
      <c r="A1199" s="95"/>
      <c r="B1199" s="95"/>
      <c r="C1199" s="95"/>
      <c r="D1199" s="76" t="s">
        <v>1383</v>
      </c>
      <c r="E1199" s="76" t="s">
        <v>54</v>
      </c>
      <c r="F1199" s="95"/>
      <c r="G1199" s="96">
        <v>1049.59069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x14ac:dyDescent="0.25">
      <c r="A1200" s="95"/>
      <c r="B1200" s="95"/>
      <c r="C1200" s="95"/>
      <c r="D1200" s="76" t="s">
        <v>1384</v>
      </c>
      <c r="E1200" s="76" t="s">
        <v>54</v>
      </c>
      <c r="F1200" s="95"/>
      <c r="G1200" s="96">
        <v>157.43860000000001</v>
      </c>
      <c r="H1200" s="97"/>
      <c r="I1200" s="95"/>
      <c r="J1200" s="95"/>
      <c r="K1200" s="95"/>
      <c r="L1200" s="95"/>
      <c r="M1200" s="95"/>
      <c r="N1200" s="95"/>
      <c r="O1200" s="95"/>
      <c r="P1200" s="95"/>
    </row>
    <row r="1201" spans="1:76" s="81" customFormat="1" ht="25.5" x14ac:dyDescent="0.25">
      <c r="A1201" s="72" t="s">
        <v>1388</v>
      </c>
      <c r="B1201" s="72" t="s">
        <v>55</v>
      </c>
      <c r="C1201" s="72" t="s">
        <v>1389</v>
      </c>
      <c r="D1201" s="175" t="s">
        <v>1390</v>
      </c>
      <c r="E1201" s="175"/>
      <c r="F1201" s="72" t="s">
        <v>192</v>
      </c>
      <c r="G1201" s="90">
        <v>70.878</v>
      </c>
      <c r="H1201" s="91"/>
      <c r="I1201" s="92" t="s">
        <v>63</v>
      </c>
      <c r="J1201" s="90">
        <f>G1201*AO1201</f>
        <v>0</v>
      </c>
      <c r="K1201" s="90">
        <f>G1201*AP1201</f>
        <v>0</v>
      </c>
      <c r="L1201" s="90">
        <f>G1201*H1201</f>
        <v>0</v>
      </c>
      <c r="M1201" s="90">
        <f>L1201*(1+BW1201/100)</f>
        <v>0</v>
      </c>
      <c r="N1201" s="90">
        <v>3.7799999999999999E-3</v>
      </c>
      <c r="O1201" s="90">
        <f>G1201*N1201</f>
        <v>0.26791883999999999</v>
      </c>
      <c r="P1201" s="92" t="s">
        <v>64</v>
      </c>
      <c r="Z1201" s="93">
        <f>IF(AQ1201="5",BJ1201,0)</f>
        <v>0</v>
      </c>
      <c r="AB1201" s="93">
        <f>IF(AQ1201="1",BH1201,0)</f>
        <v>0</v>
      </c>
      <c r="AC1201" s="93">
        <f>IF(AQ1201="1",BI1201,0)</f>
        <v>0</v>
      </c>
      <c r="AD1201" s="93">
        <f>IF(AQ1201="7",BH1201,0)</f>
        <v>0</v>
      </c>
      <c r="AE1201" s="93">
        <f>IF(AQ1201="7",BI1201,0)</f>
        <v>0</v>
      </c>
      <c r="AF1201" s="93">
        <f>IF(AQ1201="2",BH1201,0)</f>
        <v>0</v>
      </c>
      <c r="AG1201" s="93">
        <f>IF(AQ1201="2",BI1201,0)</f>
        <v>0</v>
      </c>
      <c r="AH1201" s="93">
        <f>IF(AQ1201="0",BJ1201,0)</f>
        <v>0</v>
      </c>
      <c r="AI1201" s="88" t="s">
        <v>55</v>
      </c>
      <c r="AJ1201" s="93">
        <f>IF(AN1201=0,L1201,0)</f>
        <v>0</v>
      </c>
      <c r="AK1201" s="93">
        <f>IF(AN1201=12,L1201,0)</f>
        <v>0</v>
      </c>
      <c r="AL1201" s="93">
        <f>IF(AN1201=21,L1201,0)</f>
        <v>0</v>
      </c>
      <c r="AN1201" s="93">
        <v>21</v>
      </c>
      <c r="AO1201" s="93">
        <f>H1201*0.694485338</f>
        <v>0</v>
      </c>
      <c r="AP1201" s="93">
        <f>H1201*(1-0.694485338)</f>
        <v>0</v>
      </c>
      <c r="AQ1201" s="94" t="s">
        <v>148</v>
      </c>
      <c r="AV1201" s="93">
        <f>AW1201+AX1201</f>
        <v>0</v>
      </c>
      <c r="AW1201" s="93">
        <f>G1201*AO1201</f>
        <v>0</v>
      </c>
      <c r="AX1201" s="93">
        <f>G1201*AP1201</f>
        <v>0</v>
      </c>
      <c r="AY1201" s="94" t="s">
        <v>1361</v>
      </c>
      <c r="AZ1201" s="94" t="s">
        <v>1362</v>
      </c>
      <c r="BA1201" s="88" t="s">
        <v>67</v>
      </c>
      <c r="BC1201" s="93">
        <f>AW1201+AX1201</f>
        <v>0</v>
      </c>
      <c r="BD1201" s="93">
        <f>H1201/(100-BE1201)*100</f>
        <v>0</v>
      </c>
      <c r="BE1201" s="93">
        <v>0</v>
      </c>
      <c r="BF1201" s="93">
        <f>O1201</f>
        <v>0.26791883999999999</v>
      </c>
      <c r="BH1201" s="93">
        <f>G1201*AO1201</f>
        <v>0</v>
      </c>
      <c r="BI1201" s="93">
        <f>G1201*AP1201</f>
        <v>0</v>
      </c>
      <c r="BJ1201" s="93">
        <f>G1201*H1201</f>
        <v>0</v>
      </c>
      <c r="BK1201" s="93"/>
      <c r="BL1201" s="93">
        <v>711</v>
      </c>
      <c r="BW1201" s="93" t="str">
        <f>I1201</f>
        <v>21</v>
      </c>
      <c r="BX1201" s="2" t="s">
        <v>1390</v>
      </c>
    </row>
    <row r="1202" spans="1:76" s="81" customFormat="1" ht="13.5" customHeight="1" x14ac:dyDescent="0.25">
      <c r="A1202" s="95"/>
      <c r="B1202" s="95"/>
      <c r="C1202" s="95"/>
      <c r="D1202" s="182" t="s">
        <v>1391</v>
      </c>
      <c r="E1202" s="182"/>
      <c r="F1202" s="182"/>
      <c r="G1202" s="182"/>
      <c r="H1202" s="182"/>
      <c r="I1202" s="182"/>
      <c r="J1202" s="182"/>
      <c r="K1202" s="182"/>
      <c r="L1202" s="182"/>
      <c r="M1202" s="182"/>
      <c r="N1202" s="182"/>
      <c r="O1202" s="182"/>
      <c r="P1202" s="182"/>
    </row>
    <row r="1203" spans="1:76" s="81" customFormat="1" x14ac:dyDescent="0.25">
      <c r="A1203" s="95"/>
      <c r="B1203" s="95"/>
      <c r="C1203" s="95"/>
      <c r="D1203" s="76" t="s">
        <v>54</v>
      </c>
      <c r="E1203" s="76" t="s">
        <v>299</v>
      </c>
      <c r="F1203" s="95"/>
      <c r="G1203" s="96">
        <v>0</v>
      </c>
      <c r="H1203" s="95"/>
      <c r="I1203" s="95"/>
      <c r="J1203" s="95"/>
      <c r="K1203" s="95"/>
      <c r="L1203" s="95"/>
      <c r="M1203" s="95"/>
      <c r="N1203" s="95"/>
      <c r="O1203" s="95"/>
      <c r="P1203" s="95"/>
    </row>
    <row r="1204" spans="1:76" s="81" customFormat="1" x14ac:dyDescent="0.25">
      <c r="A1204" s="95"/>
      <c r="B1204" s="95"/>
      <c r="C1204" s="95"/>
      <c r="D1204" s="76" t="s">
        <v>1392</v>
      </c>
      <c r="E1204" s="76" t="s">
        <v>1393</v>
      </c>
      <c r="F1204" s="95"/>
      <c r="G1204" s="96">
        <v>11.654999999999999</v>
      </c>
      <c r="H1204" s="95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x14ac:dyDescent="0.25">
      <c r="A1205" s="95"/>
      <c r="B1205" s="95"/>
      <c r="C1205" s="95"/>
      <c r="D1205" s="76" t="s">
        <v>1394</v>
      </c>
      <c r="E1205" s="76" t="s">
        <v>1395</v>
      </c>
      <c r="F1205" s="95"/>
      <c r="G1205" s="96">
        <v>11.74</v>
      </c>
      <c r="H1205" s="95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x14ac:dyDescent="0.25">
      <c r="A1206" s="95"/>
      <c r="B1206" s="95"/>
      <c r="C1206" s="95"/>
      <c r="D1206" s="76" t="s">
        <v>1396</v>
      </c>
      <c r="E1206" s="76" t="s">
        <v>1397</v>
      </c>
      <c r="F1206" s="95"/>
      <c r="G1206" s="96">
        <v>11.61</v>
      </c>
      <c r="H1206" s="95"/>
      <c r="I1206" s="95"/>
      <c r="J1206" s="95"/>
      <c r="K1206" s="95"/>
      <c r="L1206" s="95"/>
      <c r="M1206" s="95"/>
      <c r="N1206" s="95"/>
      <c r="O1206" s="95"/>
      <c r="P1206" s="95"/>
    </row>
    <row r="1207" spans="1:76" s="81" customFormat="1" x14ac:dyDescent="0.25">
      <c r="A1207" s="95"/>
      <c r="B1207" s="95"/>
      <c r="C1207" s="95"/>
      <c r="D1207" s="76" t="s">
        <v>54</v>
      </c>
      <c r="E1207" s="76" t="s">
        <v>308</v>
      </c>
      <c r="F1207" s="95"/>
      <c r="G1207" s="96">
        <v>0</v>
      </c>
      <c r="H1207" s="95"/>
      <c r="I1207" s="95"/>
      <c r="J1207" s="95"/>
      <c r="K1207" s="95"/>
      <c r="L1207" s="95"/>
      <c r="M1207" s="95"/>
      <c r="N1207" s="95"/>
      <c r="O1207" s="95"/>
      <c r="P1207" s="95"/>
    </row>
    <row r="1208" spans="1:76" s="81" customFormat="1" x14ac:dyDescent="0.25">
      <c r="A1208" s="95"/>
      <c r="B1208" s="95"/>
      <c r="C1208" s="95"/>
      <c r="D1208" s="76" t="s">
        <v>1398</v>
      </c>
      <c r="E1208" s="76" t="s">
        <v>1399</v>
      </c>
      <c r="F1208" s="95"/>
      <c r="G1208" s="96">
        <v>8.9420000000000002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95"/>
      <c r="B1209" s="95"/>
      <c r="C1209" s="95"/>
      <c r="D1209" s="76" t="s">
        <v>1400</v>
      </c>
      <c r="E1209" s="76" t="s">
        <v>1401</v>
      </c>
      <c r="F1209" s="95"/>
      <c r="G1209" s="96">
        <v>8.6419999999999995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95"/>
      <c r="B1210" s="95"/>
      <c r="C1210" s="95"/>
      <c r="D1210" s="76" t="s">
        <v>1402</v>
      </c>
      <c r="E1210" s="76" t="s">
        <v>1403</v>
      </c>
      <c r="F1210" s="95"/>
      <c r="G1210" s="96">
        <v>8.15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95"/>
      <c r="B1211" s="95"/>
      <c r="C1211" s="95"/>
      <c r="D1211" s="76" t="s">
        <v>1404</v>
      </c>
      <c r="E1211" s="76" t="s">
        <v>1405</v>
      </c>
      <c r="F1211" s="95"/>
      <c r="G1211" s="96">
        <v>10.138999999999999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ht="25.5" x14ac:dyDescent="0.25">
      <c r="A1212" s="72" t="s">
        <v>1406</v>
      </c>
      <c r="B1212" s="72" t="s">
        <v>55</v>
      </c>
      <c r="C1212" s="72" t="s">
        <v>1407</v>
      </c>
      <c r="D1212" s="175" t="s">
        <v>1408</v>
      </c>
      <c r="E1212" s="175"/>
      <c r="F1212" s="72" t="s">
        <v>192</v>
      </c>
      <c r="G1212" s="90">
        <v>873.64137000000005</v>
      </c>
      <c r="H1212" s="91"/>
      <c r="I1212" s="92" t="s">
        <v>63</v>
      </c>
      <c r="J1212" s="90">
        <f>G1212*AO1212</f>
        <v>0</v>
      </c>
      <c r="K1212" s="90">
        <f>G1212*AP1212</f>
        <v>0</v>
      </c>
      <c r="L1212" s="90">
        <f>G1212*H1212</f>
        <v>0</v>
      </c>
      <c r="M1212" s="90">
        <f>L1212*(1+BW1212/100)</f>
        <v>0</v>
      </c>
      <c r="N1212" s="90">
        <v>1.7000000000000001E-4</v>
      </c>
      <c r="O1212" s="90">
        <f>G1212*N1212</f>
        <v>0.14851903290000001</v>
      </c>
      <c r="P1212" s="92" t="s">
        <v>371</v>
      </c>
      <c r="Z1212" s="93">
        <f>IF(AQ1212="5",BJ1212,0)</f>
        <v>0</v>
      </c>
      <c r="AB1212" s="93">
        <f>IF(AQ1212="1",BH1212,0)</f>
        <v>0</v>
      </c>
      <c r="AC1212" s="93">
        <f>IF(AQ1212="1",BI1212,0)</f>
        <v>0</v>
      </c>
      <c r="AD1212" s="93">
        <f>IF(AQ1212="7",BH1212,0)</f>
        <v>0</v>
      </c>
      <c r="AE1212" s="93">
        <f>IF(AQ1212="7",BI1212,0)</f>
        <v>0</v>
      </c>
      <c r="AF1212" s="93">
        <f>IF(AQ1212="2",BH1212,0)</f>
        <v>0</v>
      </c>
      <c r="AG1212" s="93">
        <f>IF(AQ1212="2",BI1212,0)</f>
        <v>0</v>
      </c>
      <c r="AH1212" s="93">
        <f>IF(AQ1212="0",BJ1212,0)</f>
        <v>0</v>
      </c>
      <c r="AI1212" s="88" t="s">
        <v>55</v>
      </c>
      <c r="AJ1212" s="93">
        <f>IF(AN1212=0,L1212,0)</f>
        <v>0</v>
      </c>
      <c r="AK1212" s="93">
        <f>IF(AN1212=12,L1212,0)</f>
        <v>0</v>
      </c>
      <c r="AL1212" s="93">
        <f>IF(AN1212=21,L1212,0)</f>
        <v>0</v>
      </c>
      <c r="AN1212" s="93">
        <v>21</v>
      </c>
      <c r="AO1212" s="93">
        <f>H1212*0.819395575</f>
        <v>0</v>
      </c>
      <c r="AP1212" s="93">
        <f>H1212*(1-0.819395575)</f>
        <v>0</v>
      </c>
      <c r="AQ1212" s="94" t="s">
        <v>148</v>
      </c>
      <c r="AV1212" s="93">
        <f>AW1212+AX1212</f>
        <v>0</v>
      </c>
      <c r="AW1212" s="93">
        <f>G1212*AO1212</f>
        <v>0</v>
      </c>
      <c r="AX1212" s="93">
        <f>G1212*AP1212</f>
        <v>0</v>
      </c>
      <c r="AY1212" s="94" t="s">
        <v>1361</v>
      </c>
      <c r="AZ1212" s="94" t="s">
        <v>1362</v>
      </c>
      <c r="BA1212" s="88" t="s">
        <v>67</v>
      </c>
      <c r="BC1212" s="93">
        <f>AW1212+AX1212</f>
        <v>0</v>
      </c>
      <c r="BD1212" s="93">
        <f>H1212/(100-BE1212)*100</f>
        <v>0</v>
      </c>
      <c r="BE1212" s="93">
        <v>0</v>
      </c>
      <c r="BF1212" s="93">
        <f>O1212</f>
        <v>0.14851903290000001</v>
      </c>
      <c r="BH1212" s="93">
        <f>G1212*AO1212</f>
        <v>0</v>
      </c>
      <c r="BI1212" s="93">
        <f>G1212*AP1212</f>
        <v>0</v>
      </c>
      <c r="BJ1212" s="93">
        <f>G1212*H1212</f>
        <v>0</v>
      </c>
      <c r="BK1212" s="93"/>
      <c r="BL1212" s="93">
        <v>711</v>
      </c>
      <c r="BW1212" s="93" t="str">
        <f>I1212</f>
        <v>21</v>
      </c>
      <c r="BX1212" s="2" t="s">
        <v>1408</v>
      </c>
    </row>
    <row r="1213" spans="1:76" s="81" customFormat="1" ht="13.5" customHeight="1" x14ac:dyDescent="0.25">
      <c r="A1213" s="95"/>
      <c r="B1213" s="95"/>
      <c r="C1213" s="95"/>
      <c r="D1213" s="182" t="s">
        <v>1409</v>
      </c>
      <c r="E1213" s="182"/>
      <c r="F1213" s="182"/>
      <c r="G1213" s="182"/>
      <c r="H1213" s="182"/>
      <c r="I1213" s="182"/>
      <c r="J1213" s="182"/>
      <c r="K1213" s="182"/>
      <c r="L1213" s="182"/>
      <c r="M1213" s="182"/>
      <c r="N1213" s="182"/>
      <c r="O1213" s="182"/>
      <c r="P1213" s="182"/>
    </row>
    <row r="1214" spans="1:76" s="81" customFormat="1" x14ac:dyDescent="0.25">
      <c r="A1214" s="95"/>
      <c r="B1214" s="95"/>
      <c r="C1214" s="95"/>
      <c r="D1214" s="76" t="s">
        <v>54</v>
      </c>
      <c r="E1214" s="76" t="s">
        <v>831</v>
      </c>
      <c r="F1214" s="95"/>
      <c r="G1214" s="96">
        <v>0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95"/>
      <c r="B1215" s="95"/>
      <c r="C1215" s="95"/>
      <c r="D1215" s="76" t="s">
        <v>54</v>
      </c>
      <c r="E1215" s="76" t="s">
        <v>832</v>
      </c>
      <c r="F1215" s="95"/>
      <c r="G1215" s="96">
        <v>0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x14ac:dyDescent="0.25">
      <c r="A1216" s="95"/>
      <c r="B1216" s="95"/>
      <c r="C1216" s="95"/>
      <c r="D1216" s="76" t="s">
        <v>1410</v>
      </c>
      <c r="E1216" s="76" t="s">
        <v>841</v>
      </c>
      <c r="F1216" s="95"/>
      <c r="G1216" s="96">
        <v>42.173999999999999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x14ac:dyDescent="0.25">
      <c r="A1217" s="95"/>
      <c r="B1217" s="95"/>
      <c r="C1217" s="95"/>
      <c r="D1217" s="76" t="s">
        <v>1411</v>
      </c>
      <c r="E1217" s="76" t="s">
        <v>843</v>
      </c>
      <c r="F1217" s="95"/>
      <c r="G1217" s="96">
        <v>13.88</v>
      </c>
      <c r="H1217" s="95"/>
      <c r="I1217" s="95"/>
      <c r="J1217" s="95"/>
      <c r="K1217" s="95"/>
      <c r="L1217" s="95"/>
      <c r="M1217" s="95"/>
      <c r="N1217" s="95"/>
      <c r="O1217" s="95"/>
      <c r="P1217" s="95"/>
    </row>
    <row r="1218" spans="1:76" s="81" customFormat="1" x14ac:dyDescent="0.25">
      <c r="A1218" s="95"/>
      <c r="B1218" s="95"/>
      <c r="C1218" s="95"/>
      <c r="D1218" s="76" t="s">
        <v>1412</v>
      </c>
      <c r="E1218" s="76" t="s">
        <v>834</v>
      </c>
      <c r="F1218" s="95"/>
      <c r="G1218" s="96">
        <v>40.29</v>
      </c>
      <c r="H1218" s="95"/>
      <c r="I1218" s="95"/>
      <c r="J1218" s="95"/>
      <c r="K1218" s="95"/>
      <c r="L1218" s="95"/>
      <c r="M1218" s="95"/>
      <c r="N1218" s="95"/>
      <c r="O1218" s="95"/>
      <c r="P1218" s="95"/>
    </row>
    <row r="1219" spans="1:76" s="81" customFormat="1" x14ac:dyDescent="0.25">
      <c r="A1219" s="95"/>
      <c r="B1219" s="95"/>
      <c r="C1219" s="95"/>
      <c r="D1219" s="76" t="s">
        <v>54</v>
      </c>
      <c r="E1219" s="76" t="s">
        <v>835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95"/>
      <c r="B1220" s="95"/>
      <c r="C1220" s="95"/>
      <c r="D1220" s="76" t="s">
        <v>1413</v>
      </c>
      <c r="E1220" s="76" t="s">
        <v>54</v>
      </c>
      <c r="F1220" s="95"/>
      <c r="G1220" s="96">
        <v>510.66300000000001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95"/>
      <c r="B1221" s="95"/>
      <c r="C1221" s="95"/>
      <c r="D1221" s="76" t="s">
        <v>54</v>
      </c>
      <c r="E1221" s="76" t="s">
        <v>837</v>
      </c>
      <c r="F1221" s="95"/>
      <c r="G1221" s="96">
        <v>0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95"/>
      <c r="B1222" s="95"/>
      <c r="C1222" s="95"/>
      <c r="D1222" s="76" t="s">
        <v>54</v>
      </c>
      <c r="E1222" s="76" t="s">
        <v>443</v>
      </c>
      <c r="F1222" s="95"/>
      <c r="G1222" s="96">
        <v>0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95"/>
      <c r="B1223" s="95"/>
      <c r="C1223" s="95"/>
      <c r="D1223" s="76" t="s">
        <v>1414</v>
      </c>
      <c r="E1223" s="76" t="s">
        <v>839</v>
      </c>
      <c r="F1223" s="95"/>
      <c r="G1223" s="96">
        <v>266.63436999999999</v>
      </c>
      <c r="H1223" s="97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ht="25.5" x14ac:dyDescent="0.25">
      <c r="A1224" s="72" t="s">
        <v>1415</v>
      </c>
      <c r="B1224" s="72" t="s">
        <v>55</v>
      </c>
      <c r="C1224" s="72" t="s">
        <v>1416</v>
      </c>
      <c r="D1224" s="175" t="s">
        <v>1417</v>
      </c>
      <c r="E1224" s="175"/>
      <c r="F1224" s="72" t="s">
        <v>192</v>
      </c>
      <c r="G1224" s="90">
        <v>873.64137000000005</v>
      </c>
      <c r="H1224" s="91"/>
      <c r="I1224" s="92" t="s">
        <v>63</v>
      </c>
      <c r="J1224" s="90">
        <f>G1224*AO1224</f>
        <v>0</v>
      </c>
      <c r="K1224" s="90">
        <f>G1224*AP1224</f>
        <v>0</v>
      </c>
      <c r="L1224" s="90">
        <f>G1224*H1224</f>
        <v>0</v>
      </c>
      <c r="M1224" s="90">
        <f>L1224*(1+BW1224/100)</f>
        <v>0</v>
      </c>
      <c r="N1224" s="90">
        <v>0</v>
      </c>
      <c r="O1224" s="90">
        <f>G1224*N1224</f>
        <v>0</v>
      </c>
      <c r="P1224" s="92" t="s">
        <v>64</v>
      </c>
      <c r="Z1224" s="93">
        <f>IF(AQ1224="5",BJ1224,0)</f>
        <v>0</v>
      </c>
      <c r="AB1224" s="93">
        <f>IF(AQ1224="1",BH1224,0)</f>
        <v>0</v>
      </c>
      <c r="AC1224" s="93">
        <f>IF(AQ1224="1",BI1224,0)</f>
        <v>0</v>
      </c>
      <c r="AD1224" s="93">
        <f>IF(AQ1224="7",BH1224,0)</f>
        <v>0</v>
      </c>
      <c r="AE1224" s="93">
        <f>IF(AQ1224="7",BI1224,0)</f>
        <v>0</v>
      </c>
      <c r="AF1224" s="93">
        <f>IF(AQ1224="2",BH1224,0)</f>
        <v>0</v>
      </c>
      <c r="AG1224" s="93">
        <f>IF(AQ1224="2",BI1224,0)</f>
        <v>0</v>
      </c>
      <c r="AH1224" s="93">
        <f>IF(AQ1224="0",BJ1224,0)</f>
        <v>0</v>
      </c>
      <c r="AI1224" s="88" t="s">
        <v>55</v>
      </c>
      <c r="AJ1224" s="93">
        <f>IF(AN1224=0,L1224,0)</f>
        <v>0</v>
      </c>
      <c r="AK1224" s="93">
        <f>IF(AN1224=12,L1224,0)</f>
        <v>0</v>
      </c>
      <c r="AL1224" s="93">
        <f>IF(AN1224=21,L1224,0)</f>
        <v>0</v>
      </c>
      <c r="AN1224" s="93">
        <v>21</v>
      </c>
      <c r="AO1224" s="93">
        <f>H1224*0</f>
        <v>0</v>
      </c>
      <c r="AP1224" s="93">
        <f>H1224*(1-0)</f>
        <v>0</v>
      </c>
      <c r="AQ1224" s="94" t="s">
        <v>148</v>
      </c>
      <c r="AV1224" s="93">
        <f>AW1224+AX1224</f>
        <v>0</v>
      </c>
      <c r="AW1224" s="93">
        <f>G1224*AO1224</f>
        <v>0</v>
      </c>
      <c r="AX1224" s="93">
        <f>G1224*AP1224</f>
        <v>0</v>
      </c>
      <c r="AY1224" s="94" t="s">
        <v>1361</v>
      </c>
      <c r="AZ1224" s="94" t="s">
        <v>1362</v>
      </c>
      <c r="BA1224" s="88" t="s">
        <v>67</v>
      </c>
      <c r="BC1224" s="93">
        <f>AW1224+AX1224</f>
        <v>0</v>
      </c>
      <c r="BD1224" s="93">
        <f>H1224/(100-BE1224)*100</f>
        <v>0</v>
      </c>
      <c r="BE1224" s="93">
        <v>0</v>
      </c>
      <c r="BF1224" s="93">
        <f>O1224</f>
        <v>0</v>
      </c>
      <c r="BH1224" s="93">
        <f>G1224*AO1224</f>
        <v>0</v>
      </c>
      <c r="BI1224" s="93">
        <f>G1224*AP1224</f>
        <v>0</v>
      </c>
      <c r="BJ1224" s="93">
        <f>G1224*H1224</f>
        <v>0</v>
      </c>
      <c r="BK1224" s="93"/>
      <c r="BL1224" s="93">
        <v>711</v>
      </c>
      <c r="BW1224" s="93" t="str">
        <f>I1224</f>
        <v>21</v>
      </c>
      <c r="BX1224" s="2" t="s">
        <v>1417</v>
      </c>
    </row>
    <row r="1225" spans="1:76" s="81" customFormat="1" x14ac:dyDescent="0.25">
      <c r="A1225" s="95"/>
      <c r="B1225" s="95"/>
      <c r="C1225" s="95"/>
      <c r="D1225" s="76" t="s">
        <v>54</v>
      </c>
      <c r="E1225" s="76" t="s">
        <v>831</v>
      </c>
      <c r="F1225" s="95"/>
      <c r="G1225" s="96">
        <v>0</v>
      </c>
      <c r="H1225" s="97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95"/>
      <c r="B1226" s="95"/>
      <c r="C1226" s="95"/>
      <c r="D1226" s="76" t="s">
        <v>54</v>
      </c>
      <c r="E1226" s="76" t="s">
        <v>832</v>
      </c>
      <c r="F1226" s="95"/>
      <c r="G1226" s="96">
        <v>0</v>
      </c>
      <c r="H1226" s="97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95"/>
      <c r="B1227" s="95"/>
      <c r="C1227" s="95"/>
      <c r="D1227" s="76" t="s">
        <v>1410</v>
      </c>
      <c r="E1227" s="76" t="s">
        <v>841</v>
      </c>
      <c r="F1227" s="95"/>
      <c r="G1227" s="96">
        <v>42.173999999999999</v>
      </c>
      <c r="H1227" s="97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95"/>
      <c r="B1228" s="95"/>
      <c r="C1228" s="95"/>
      <c r="D1228" s="76" t="s">
        <v>1411</v>
      </c>
      <c r="E1228" s="76" t="s">
        <v>843</v>
      </c>
      <c r="F1228" s="95"/>
      <c r="G1228" s="96">
        <v>13.88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x14ac:dyDescent="0.25">
      <c r="A1229" s="95"/>
      <c r="B1229" s="95"/>
      <c r="C1229" s="95"/>
      <c r="D1229" s="76" t="s">
        <v>1412</v>
      </c>
      <c r="E1229" s="76" t="s">
        <v>834</v>
      </c>
      <c r="F1229" s="95"/>
      <c r="G1229" s="96">
        <v>40.29</v>
      </c>
      <c r="H1229" s="97"/>
      <c r="I1229" s="95"/>
      <c r="J1229" s="95"/>
      <c r="K1229" s="95"/>
      <c r="L1229" s="95"/>
      <c r="M1229" s="95"/>
      <c r="N1229" s="95"/>
      <c r="O1229" s="95"/>
      <c r="P1229" s="95"/>
    </row>
    <row r="1230" spans="1:76" s="81" customFormat="1" x14ac:dyDescent="0.25">
      <c r="A1230" s="95"/>
      <c r="B1230" s="95"/>
      <c r="C1230" s="95"/>
      <c r="D1230" s="76" t="s">
        <v>54</v>
      </c>
      <c r="E1230" s="76" t="s">
        <v>835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95"/>
      <c r="B1231" s="95"/>
      <c r="C1231" s="95"/>
      <c r="D1231" s="76" t="s">
        <v>1413</v>
      </c>
      <c r="E1231" s="76" t="s">
        <v>54</v>
      </c>
      <c r="F1231" s="95"/>
      <c r="G1231" s="96">
        <v>510.66300000000001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95"/>
      <c r="B1232" s="95"/>
      <c r="C1232" s="95"/>
      <c r="D1232" s="76" t="s">
        <v>54</v>
      </c>
      <c r="E1232" s="76" t="s">
        <v>837</v>
      </c>
      <c r="F1232" s="95"/>
      <c r="G1232" s="96">
        <v>0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95"/>
      <c r="B1233" s="95"/>
      <c r="C1233" s="95"/>
      <c r="D1233" s="76" t="s">
        <v>54</v>
      </c>
      <c r="E1233" s="76" t="s">
        <v>443</v>
      </c>
      <c r="F1233" s="95"/>
      <c r="G1233" s="96">
        <v>0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95"/>
      <c r="B1234" s="95"/>
      <c r="C1234" s="95"/>
      <c r="D1234" s="76" t="s">
        <v>1414</v>
      </c>
      <c r="E1234" s="76" t="s">
        <v>839</v>
      </c>
      <c r="F1234" s="95"/>
      <c r="G1234" s="96">
        <v>266.63436999999999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ht="25.5" x14ac:dyDescent="0.25">
      <c r="A1235" s="72" t="s">
        <v>1418</v>
      </c>
      <c r="B1235" s="72" t="s">
        <v>55</v>
      </c>
      <c r="C1235" s="72" t="s">
        <v>1419</v>
      </c>
      <c r="D1235" s="175" t="s">
        <v>1420</v>
      </c>
      <c r="E1235" s="175"/>
      <c r="F1235" s="72" t="s">
        <v>192</v>
      </c>
      <c r="G1235" s="90">
        <v>1004.68758</v>
      </c>
      <c r="H1235" s="91"/>
      <c r="I1235" s="92" t="s">
        <v>63</v>
      </c>
      <c r="J1235" s="90">
        <f>G1235*AO1235</f>
        <v>0</v>
      </c>
      <c r="K1235" s="90">
        <f>G1235*AP1235</f>
        <v>0</v>
      </c>
      <c r="L1235" s="90">
        <f>G1235*H1235</f>
        <v>0</v>
      </c>
      <c r="M1235" s="90">
        <f>L1235*(1+BW1235/100)</f>
        <v>0</v>
      </c>
      <c r="N1235" s="90">
        <v>2.1000000000000001E-4</v>
      </c>
      <c r="O1235" s="90">
        <f>G1235*N1235</f>
        <v>0.2109843918</v>
      </c>
      <c r="P1235" s="92" t="s">
        <v>578</v>
      </c>
      <c r="Z1235" s="93">
        <f>IF(AQ1235="5",BJ1235,0)</f>
        <v>0</v>
      </c>
      <c r="AB1235" s="93">
        <f>IF(AQ1235="1",BH1235,0)</f>
        <v>0</v>
      </c>
      <c r="AC1235" s="93">
        <f>IF(AQ1235="1",BI1235,0)</f>
        <v>0</v>
      </c>
      <c r="AD1235" s="93">
        <f>IF(AQ1235="7",BH1235,0)</f>
        <v>0</v>
      </c>
      <c r="AE1235" s="93">
        <f>IF(AQ1235="7",BI1235,0)</f>
        <v>0</v>
      </c>
      <c r="AF1235" s="93">
        <f>IF(AQ1235="2",BH1235,0)</f>
        <v>0</v>
      </c>
      <c r="AG1235" s="93">
        <f>IF(AQ1235="2",BI1235,0)</f>
        <v>0</v>
      </c>
      <c r="AH1235" s="93">
        <f>IF(AQ1235="0",BJ1235,0)</f>
        <v>0</v>
      </c>
      <c r="AI1235" s="88" t="s">
        <v>55</v>
      </c>
      <c r="AJ1235" s="93">
        <f>IF(AN1235=0,L1235,0)</f>
        <v>0</v>
      </c>
      <c r="AK1235" s="93">
        <f>IF(AN1235=12,L1235,0)</f>
        <v>0</v>
      </c>
      <c r="AL1235" s="93">
        <f>IF(AN1235=21,L1235,0)</f>
        <v>0</v>
      </c>
      <c r="AN1235" s="93">
        <v>21</v>
      </c>
      <c r="AO1235" s="93">
        <f>H1235*1</f>
        <v>0</v>
      </c>
      <c r="AP1235" s="93">
        <f>H1235*(1-1)</f>
        <v>0</v>
      </c>
      <c r="AQ1235" s="94" t="s">
        <v>148</v>
      </c>
      <c r="AV1235" s="93">
        <f>AW1235+AX1235</f>
        <v>0</v>
      </c>
      <c r="AW1235" s="93">
        <f>G1235*AO1235</f>
        <v>0</v>
      </c>
      <c r="AX1235" s="93">
        <f>G1235*AP1235</f>
        <v>0</v>
      </c>
      <c r="AY1235" s="94" t="s">
        <v>1361</v>
      </c>
      <c r="AZ1235" s="94" t="s">
        <v>1362</v>
      </c>
      <c r="BA1235" s="88" t="s">
        <v>67</v>
      </c>
      <c r="BC1235" s="93">
        <f>AW1235+AX1235</f>
        <v>0</v>
      </c>
      <c r="BD1235" s="93">
        <f>H1235/(100-BE1235)*100</f>
        <v>0</v>
      </c>
      <c r="BE1235" s="93">
        <v>0</v>
      </c>
      <c r="BF1235" s="93">
        <f>O1235</f>
        <v>0.2109843918</v>
      </c>
      <c r="BH1235" s="93">
        <f>G1235*AO1235</f>
        <v>0</v>
      </c>
      <c r="BI1235" s="93">
        <f>G1235*AP1235</f>
        <v>0</v>
      </c>
      <c r="BJ1235" s="93">
        <f>G1235*H1235</f>
        <v>0</v>
      </c>
      <c r="BK1235" s="93"/>
      <c r="BL1235" s="93">
        <v>711</v>
      </c>
      <c r="BW1235" s="93" t="str">
        <f>I1235</f>
        <v>21</v>
      </c>
      <c r="BX1235" s="2" t="s">
        <v>1420</v>
      </c>
    </row>
    <row r="1236" spans="1:76" s="81" customFormat="1" x14ac:dyDescent="0.25">
      <c r="A1236" s="95"/>
      <c r="B1236" s="95"/>
      <c r="C1236" s="95"/>
      <c r="D1236" s="76" t="s">
        <v>1421</v>
      </c>
      <c r="E1236" s="76" t="s">
        <v>54</v>
      </c>
      <c r="F1236" s="95"/>
      <c r="G1236" s="96">
        <v>873.64137000000005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95"/>
      <c r="B1237" s="95"/>
      <c r="C1237" s="95"/>
      <c r="D1237" s="76" t="s">
        <v>1422</v>
      </c>
      <c r="E1237" s="76" t="s">
        <v>54</v>
      </c>
      <c r="F1237" s="95"/>
      <c r="G1237" s="96">
        <v>131.04621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ht="25.5" x14ac:dyDescent="0.25">
      <c r="A1238" s="72" t="s">
        <v>1423</v>
      </c>
      <c r="B1238" s="72" t="s">
        <v>55</v>
      </c>
      <c r="C1238" s="72" t="s">
        <v>1424</v>
      </c>
      <c r="D1238" s="175" t="s">
        <v>1425</v>
      </c>
      <c r="E1238" s="175"/>
      <c r="F1238" s="72" t="s">
        <v>192</v>
      </c>
      <c r="G1238" s="90">
        <v>510.18504999999999</v>
      </c>
      <c r="H1238" s="91"/>
      <c r="I1238" s="92" t="s">
        <v>63</v>
      </c>
      <c r="J1238" s="90">
        <f>G1238*AO1238</f>
        <v>0</v>
      </c>
      <c r="K1238" s="90">
        <f>G1238*AP1238</f>
        <v>0</v>
      </c>
      <c r="L1238" s="90">
        <f>G1238*H1238</f>
        <v>0</v>
      </c>
      <c r="M1238" s="90">
        <f>L1238*(1+BW1238/100)</f>
        <v>0</v>
      </c>
      <c r="N1238" s="90">
        <v>6.3000000000000003E-4</v>
      </c>
      <c r="O1238" s="90">
        <f>G1238*N1238</f>
        <v>0.32141658150000002</v>
      </c>
      <c r="P1238" s="92" t="s">
        <v>64</v>
      </c>
      <c r="Z1238" s="93">
        <f>IF(AQ1238="5",BJ1238,0)</f>
        <v>0</v>
      </c>
      <c r="AB1238" s="93">
        <f>IF(AQ1238="1",BH1238,0)</f>
        <v>0</v>
      </c>
      <c r="AC1238" s="93">
        <f>IF(AQ1238="1",BI1238,0)</f>
        <v>0</v>
      </c>
      <c r="AD1238" s="93">
        <f>IF(AQ1238="7",BH1238,0)</f>
        <v>0</v>
      </c>
      <c r="AE1238" s="93">
        <f>IF(AQ1238="7",BI1238,0)</f>
        <v>0</v>
      </c>
      <c r="AF1238" s="93">
        <f>IF(AQ1238="2",BH1238,0)</f>
        <v>0</v>
      </c>
      <c r="AG1238" s="93">
        <f>IF(AQ1238="2",BI1238,0)</f>
        <v>0</v>
      </c>
      <c r="AH1238" s="93">
        <f>IF(AQ1238="0",BJ1238,0)</f>
        <v>0</v>
      </c>
      <c r="AI1238" s="88" t="s">
        <v>55</v>
      </c>
      <c r="AJ1238" s="93">
        <f>IF(AN1238=0,L1238,0)</f>
        <v>0</v>
      </c>
      <c r="AK1238" s="93">
        <f>IF(AN1238=12,L1238,0)</f>
        <v>0</v>
      </c>
      <c r="AL1238" s="93">
        <f>IF(AN1238=21,L1238,0)</f>
        <v>0</v>
      </c>
      <c r="AN1238" s="93">
        <v>21</v>
      </c>
      <c r="AO1238" s="93">
        <f>H1238*0.531424575</f>
        <v>0</v>
      </c>
      <c r="AP1238" s="93">
        <f>H1238*(1-0.531424575)</f>
        <v>0</v>
      </c>
      <c r="AQ1238" s="94" t="s">
        <v>148</v>
      </c>
      <c r="AV1238" s="93">
        <f>AW1238+AX1238</f>
        <v>0</v>
      </c>
      <c r="AW1238" s="93">
        <f>G1238*AO1238</f>
        <v>0</v>
      </c>
      <c r="AX1238" s="93">
        <f>G1238*AP1238</f>
        <v>0</v>
      </c>
      <c r="AY1238" s="94" t="s">
        <v>1361</v>
      </c>
      <c r="AZ1238" s="94" t="s">
        <v>1362</v>
      </c>
      <c r="BA1238" s="88" t="s">
        <v>67</v>
      </c>
      <c r="BC1238" s="93">
        <f>AW1238+AX1238</f>
        <v>0</v>
      </c>
      <c r="BD1238" s="93">
        <f>H1238/(100-BE1238)*100</f>
        <v>0</v>
      </c>
      <c r="BE1238" s="93">
        <v>0</v>
      </c>
      <c r="BF1238" s="93">
        <f>O1238</f>
        <v>0.32141658150000002</v>
      </c>
      <c r="BH1238" s="93">
        <f>G1238*AO1238</f>
        <v>0</v>
      </c>
      <c r="BI1238" s="93">
        <f>G1238*AP1238</f>
        <v>0</v>
      </c>
      <c r="BJ1238" s="93">
        <f>G1238*H1238</f>
        <v>0</v>
      </c>
      <c r="BK1238" s="93"/>
      <c r="BL1238" s="93">
        <v>711</v>
      </c>
      <c r="BW1238" s="93" t="str">
        <f>I1238</f>
        <v>21</v>
      </c>
      <c r="BX1238" s="2" t="s">
        <v>1425</v>
      </c>
    </row>
    <row r="1239" spans="1:76" s="81" customFormat="1" ht="13.5" customHeight="1" x14ac:dyDescent="0.25">
      <c r="A1239" s="95"/>
      <c r="B1239" s="95"/>
      <c r="C1239" s="95"/>
      <c r="D1239" s="182" t="s">
        <v>1426</v>
      </c>
      <c r="E1239" s="182"/>
      <c r="F1239" s="182"/>
      <c r="G1239" s="182"/>
      <c r="H1239" s="182"/>
      <c r="I1239" s="182"/>
      <c r="J1239" s="182"/>
      <c r="K1239" s="182"/>
      <c r="L1239" s="182"/>
      <c r="M1239" s="182"/>
      <c r="N1239" s="182"/>
      <c r="O1239" s="182"/>
      <c r="P1239" s="182"/>
    </row>
    <row r="1240" spans="1:76" s="81" customFormat="1" x14ac:dyDescent="0.25">
      <c r="A1240" s="95"/>
      <c r="B1240" s="95"/>
      <c r="C1240" s="95"/>
      <c r="D1240" s="76" t="s">
        <v>54</v>
      </c>
      <c r="E1240" s="76" t="s">
        <v>948</v>
      </c>
      <c r="F1240" s="95"/>
      <c r="G1240" s="96">
        <v>0</v>
      </c>
      <c r="H1240" s="95"/>
      <c r="I1240" s="95"/>
      <c r="J1240" s="95"/>
      <c r="K1240" s="95"/>
      <c r="L1240" s="95"/>
      <c r="M1240" s="95"/>
      <c r="N1240" s="95"/>
      <c r="O1240" s="95"/>
      <c r="P1240" s="95"/>
    </row>
    <row r="1241" spans="1:76" s="81" customFormat="1" x14ac:dyDescent="0.25">
      <c r="A1241" s="95"/>
      <c r="B1241" s="95"/>
      <c r="C1241" s="95"/>
      <c r="D1241" s="76" t="s">
        <v>997</v>
      </c>
      <c r="E1241" s="76" t="s">
        <v>54</v>
      </c>
      <c r="F1241" s="95"/>
      <c r="G1241" s="96">
        <v>202.16363999999999</v>
      </c>
      <c r="H1241" s="95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x14ac:dyDescent="0.25">
      <c r="A1242" s="95"/>
      <c r="B1242" s="95"/>
      <c r="C1242" s="95"/>
      <c r="D1242" s="76" t="s">
        <v>998</v>
      </c>
      <c r="E1242" s="76" t="s">
        <v>54</v>
      </c>
      <c r="F1242" s="95"/>
      <c r="G1242" s="96">
        <v>28.102429999999998</v>
      </c>
      <c r="H1242" s="95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x14ac:dyDescent="0.25">
      <c r="A1243" s="95"/>
      <c r="B1243" s="95"/>
      <c r="C1243" s="95"/>
      <c r="D1243" s="76" t="s">
        <v>999</v>
      </c>
      <c r="E1243" s="76" t="s">
        <v>54</v>
      </c>
      <c r="F1243" s="95"/>
      <c r="G1243" s="96">
        <v>85.9572</v>
      </c>
      <c r="H1243" s="95"/>
      <c r="I1243" s="95"/>
      <c r="J1243" s="95"/>
      <c r="K1243" s="95"/>
      <c r="L1243" s="95"/>
      <c r="M1243" s="95"/>
      <c r="N1243" s="95"/>
      <c r="O1243" s="95"/>
      <c r="P1243" s="95"/>
    </row>
    <row r="1244" spans="1:76" s="81" customFormat="1" x14ac:dyDescent="0.25">
      <c r="A1244" s="95"/>
      <c r="B1244" s="95"/>
      <c r="C1244" s="95"/>
      <c r="D1244" s="76" t="s">
        <v>1427</v>
      </c>
      <c r="E1244" s="76" t="s">
        <v>54</v>
      </c>
      <c r="F1244" s="95"/>
      <c r="G1244" s="96">
        <v>45.476999999999997</v>
      </c>
      <c r="H1244" s="95"/>
      <c r="I1244" s="95"/>
      <c r="J1244" s="95"/>
      <c r="K1244" s="95"/>
      <c r="L1244" s="95"/>
      <c r="M1244" s="95"/>
      <c r="N1244" s="95"/>
      <c r="O1244" s="95"/>
      <c r="P1244" s="95"/>
    </row>
    <row r="1245" spans="1:76" s="81" customFormat="1" x14ac:dyDescent="0.25">
      <c r="A1245" s="95"/>
      <c r="B1245" s="95"/>
      <c r="C1245" s="95"/>
      <c r="D1245" s="76" t="s">
        <v>1001</v>
      </c>
      <c r="E1245" s="76" t="s">
        <v>54</v>
      </c>
      <c r="F1245" s="95"/>
      <c r="G1245" s="96">
        <v>6.7324999999999999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95"/>
      <c r="B1246" s="95"/>
      <c r="C1246" s="95"/>
      <c r="D1246" s="76" t="s">
        <v>1005</v>
      </c>
      <c r="E1246" s="76" t="s">
        <v>54</v>
      </c>
      <c r="F1246" s="95"/>
      <c r="G1246" s="96">
        <v>45.449669999999998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95"/>
      <c r="B1247" s="95"/>
      <c r="C1247" s="95"/>
      <c r="D1247" s="76" t="s">
        <v>1428</v>
      </c>
      <c r="E1247" s="76" t="s">
        <v>54</v>
      </c>
      <c r="F1247" s="95"/>
      <c r="G1247" s="96">
        <v>22.41264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ht="25.5" x14ac:dyDescent="0.25">
      <c r="A1248" s="95"/>
      <c r="B1248" s="95"/>
      <c r="C1248" s="95"/>
      <c r="D1248" s="76" t="s">
        <v>1013</v>
      </c>
      <c r="E1248" s="76" t="s">
        <v>54</v>
      </c>
      <c r="F1248" s="95"/>
      <c r="G1248" s="96">
        <v>28.019970000000001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95"/>
      <c r="B1249" s="95"/>
      <c r="C1249" s="95"/>
      <c r="D1249" s="76" t="s">
        <v>1429</v>
      </c>
      <c r="E1249" s="76" t="s">
        <v>54</v>
      </c>
      <c r="F1249" s="95"/>
      <c r="G1249" s="96">
        <v>45.87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ht="25.5" x14ac:dyDescent="0.25">
      <c r="A1250" s="72" t="s">
        <v>1430</v>
      </c>
      <c r="B1250" s="72" t="s">
        <v>55</v>
      </c>
      <c r="C1250" s="72" t="s">
        <v>1377</v>
      </c>
      <c r="D1250" s="175" t="s">
        <v>1378</v>
      </c>
      <c r="E1250" s="175"/>
      <c r="F1250" s="72" t="s">
        <v>192</v>
      </c>
      <c r="G1250" s="90">
        <v>510.18504999999999</v>
      </c>
      <c r="H1250" s="91"/>
      <c r="I1250" s="92" t="s">
        <v>63</v>
      </c>
      <c r="J1250" s="90">
        <f>G1250*AO1250</f>
        <v>0</v>
      </c>
      <c r="K1250" s="90">
        <f>G1250*AP1250</f>
        <v>0</v>
      </c>
      <c r="L1250" s="90">
        <f>G1250*H1250</f>
        <v>0</v>
      </c>
      <c r="M1250" s="90">
        <f>L1250*(1+BW1250/100)</f>
        <v>0</v>
      </c>
      <c r="N1250" s="90">
        <v>8.1999999999999998E-4</v>
      </c>
      <c r="O1250" s="90">
        <f>G1250*N1250</f>
        <v>0.418351741</v>
      </c>
      <c r="P1250" s="92" t="s">
        <v>64</v>
      </c>
      <c r="Z1250" s="93">
        <f>IF(AQ1250="5",BJ1250,0)</f>
        <v>0</v>
      </c>
      <c r="AB1250" s="93">
        <f>IF(AQ1250="1",BH1250,0)</f>
        <v>0</v>
      </c>
      <c r="AC1250" s="93">
        <f>IF(AQ1250="1",BI1250,0)</f>
        <v>0</v>
      </c>
      <c r="AD1250" s="93">
        <f>IF(AQ1250="7",BH1250,0)</f>
        <v>0</v>
      </c>
      <c r="AE1250" s="93">
        <f>IF(AQ1250="7",BI1250,0)</f>
        <v>0</v>
      </c>
      <c r="AF1250" s="93">
        <f>IF(AQ1250="2",BH1250,0)</f>
        <v>0</v>
      </c>
      <c r="AG1250" s="93">
        <f>IF(AQ1250="2",BI1250,0)</f>
        <v>0</v>
      </c>
      <c r="AH1250" s="93">
        <f>IF(AQ1250="0",BJ1250,0)</f>
        <v>0</v>
      </c>
      <c r="AI1250" s="88" t="s">
        <v>55</v>
      </c>
      <c r="AJ1250" s="93">
        <f>IF(AN1250=0,L1250,0)</f>
        <v>0</v>
      </c>
      <c r="AK1250" s="93">
        <f>IF(AN1250=12,L1250,0)</f>
        <v>0</v>
      </c>
      <c r="AL1250" s="93">
        <f>IF(AN1250=21,L1250,0)</f>
        <v>0</v>
      </c>
      <c r="AN1250" s="93">
        <v>21</v>
      </c>
      <c r="AO1250" s="93">
        <f>H1250*0.081084209</f>
        <v>0</v>
      </c>
      <c r="AP1250" s="93">
        <f>H1250*(1-0.081084209)</f>
        <v>0</v>
      </c>
      <c r="AQ1250" s="94" t="s">
        <v>148</v>
      </c>
      <c r="AV1250" s="93">
        <f>AW1250+AX1250</f>
        <v>0</v>
      </c>
      <c r="AW1250" s="93">
        <f>G1250*AO1250</f>
        <v>0</v>
      </c>
      <c r="AX1250" s="93">
        <f>G1250*AP1250</f>
        <v>0</v>
      </c>
      <c r="AY1250" s="94" t="s">
        <v>1361</v>
      </c>
      <c r="AZ1250" s="94" t="s">
        <v>1362</v>
      </c>
      <c r="BA1250" s="88" t="s">
        <v>67</v>
      </c>
      <c r="BC1250" s="93">
        <f>AW1250+AX1250</f>
        <v>0</v>
      </c>
      <c r="BD1250" s="93">
        <f>H1250/(100-BE1250)*100</f>
        <v>0</v>
      </c>
      <c r="BE1250" s="93">
        <v>0</v>
      </c>
      <c r="BF1250" s="93">
        <f>O1250</f>
        <v>0.418351741</v>
      </c>
      <c r="BH1250" s="93">
        <f>G1250*AO1250</f>
        <v>0</v>
      </c>
      <c r="BI1250" s="93">
        <f>G1250*AP1250</f>
        <v>0</v>
      </c>
      <c r="BJ1250" s="93">
        <f>G1250*H1250</f>
        <v>0</v>
      </c>
      <c r="BK1250" s="93"/>
      <c r="BL1250" s="93">
        <v>711</v>
      </c>
      <c r="BW1250" s="93" t="str">
        <f>I1250</f>
        <v>21</v>
      </c>
      <c r="BX1250" s="2" t="s">
        <v>1378</v>
      </c>
    </row>
    <row r="1251" spans="1:76" s="81" customFormat="1" ht="13.5" customHeight="1" x14ac:dyDescent="0.25">
      <c r="A1251" s="95"/>
      <c r="B1251" s="95"/>
      <c r="C1251" s="95"/>
      <c r="D1251" s="182" t="s">
        <v>1379</v>
      </c>
      <c r="E1251" s="182"/>
      <c r="F1251" s="182"/>
      <c r="G1251" s="182"/>
      <c r="H1251" s="182"/>
      <c r="I1251" s="182"/>
      <c r="J1251" s="182"/>
      <c r="K1251" s="182"/>
      <c r="L1251" s="182"/>
      <c r="M1251" s="182"/>
      <c r="N1251" s="182"/>
      <c r="O1251" s="182"/>
      <c r="P1251" s="182"/>
    </row>
    <row r="1252" spans="1:76" s="81" customFormat="1" ht="25.5" x14ac:dyDescent="0.25">
      <c r="A1252" s="72" t="s">
        <v>1431</v>
      </c>
      <c r="B1252" s="72" t="s">
        <v>55</v>
      </c>
      <c r="C1252" s="72" t="s">
        <v>1381</v>
      </c>
      <c r="D1252" s="175" t="s">
        <v>1382</v>
      </c>
      <c r="E1252" s="175"/>
      <c r="F1252" s="72" t="s">
        <v>192</v>
      </c>
      <c r="G1252" s="90">
        <v>612.22206000000006</v>
      </c>
      <c r="H1252" s="91"/>
      <c r="I1252" s="92" t="s">
        <v>63</v>
      </c>
      <c r="J1252" s="90">
        <f>G1252*AO1252</f>
        <v>0</v>
      </c>
      <c r="K1252" s="90">
        <f>G1252*AP1252</f>
        <v>0</v>
      </c>
      <c r="L1252" s="90">
        <f>G1252*H1252</f>
        <v>0</v>
      </c>
      <c r="M1252" s="90">
        <f>L1252*(1+BW1252/100)</f>
        <v>0</v>
      </c>
      <c r="N1252" s="90">
        <v>5.1999999999999998E-3</v>
      </c>
      <c r="O1252" s="90">
        <f>G1252*N1252</f>
        <v>3.1835547120000003</v>
      </c>
      <c r="P1252" s="92" t="s">
        <v>64</v>
      </c>
      <c r="Z1252" s="93">
        <f>IF(AQ1252="5",BJ1252,0)</f>
        <v>0</v>
      </c>
      <c r="AB1252" s="93">
        <f>IF(AQ1252="1",BH1252,0)</f>
        <v>0</v>
      </c>
      <c r="AC1252" s="93">
        <f>IF(AQ1252="1",BI1252,0)</f>
        <v>0</v>
      </c>
      <c r="AD1252" s="93">
        <f>IF(AQ1252="7",BH1252,0)</f>
        <v>0</v>
      </c>
      <c r="AE1252" s="93">
        <f>IF(AQ1252="7",BI1252,0)</f>
        <v>0</v>
      </c>
      <c r="AF1252" s="93">
        <f>IF(AQ1252="2",BH1252,0)</f>
        <v>0</v>
      </c>
      <c r="AG1252" s="93">
        <f>IF(AQ1252="2",BI1252,0)</f>
        <v>0</v>
      </c>
      <c r="AH1252" s="93">
        <f>IF(AQ1252="0",BJ1252,0)</f>
        <v>0</v>
      </c>
      <c r="AI1252" s="88" t="s">
        <v>55</v>
      </c>
      <c r="AJ1252" s="93">
        <f>IF(AN1252=0,L1252,0)</f>
        <v>0</v>
      </c>
      <c r="AK1252" s="93">
        <f>IF(AN1252=12,L1252,0)</f>
        <v>0</v>
      </c>
      <c r="AL1252" s="93">
        <f>IF(AN1252=21,L1252,0)</f>
        <v>0</v>
      </c>
      <c r="AN1252" s="93">
        <v>21</v>
      </c>
      <c r="AO1252" s="93">
        <f>H1252*1</f>
        <v>0</v>
      </c>
      <c r="AP1252" s="93">
        <f>H1252*(1-1)</f>
        <v>0</v>
      </c>
      <c r="AQ1252" s="94" t="s">
        <v>148</v>
      </c>
      <c r="AV1252" s="93">
        <f>AW1252+AX1252</f>
        <v>0</v>
      </c>
      <c r="AW1252" s="93">
        <f>G1252*AO1252</f>
        <v>0</v>
      </c>
      <c r="AX1252" s="93">
        <f>G1252*AP1252</f>
        <v>0</v>
      </c>
      <c r="AY1252" s="94" t="s">
        <v>1361</v>
      </c>
      <c r="AZ1252" s="94" t="s">
        <v>1362</v>
      </c>
      <c r="BA1252" s="88" t="s">
        <v>67</v>
      </c>
      <c r="BC1252" s="93">
        <f>AW1252+AX1252</f>
        <v>0</v>
      </c>
      <c r="BD1252" s="93">
        <f>H1252/(100-BE1252)*100</f>
        <v>0</v>
      </c>
      <c r="BE1252" s="93">
        <v>0</v>
      </c>
      <c r="BF1252" s="93">
        <f>O1252</f>
        <v>3.1835547120000003</v>
      </c>
      <c r="BH1252" s="93">
        <f>G1252*AO1252</f>
        <v>0</v>
      </c>
      <c r="BI1252" s="93">
        <f>G1252*AP1252</f>
        <v>0</v>
      </c>
      <c r="BJ1252" s="93">
        <f>G1252*H1252</f>
        <v>0</v>
      </c>
      <c r="BK1252" s="93"/>
      <c r="BL1252" s="93">
        <v>711</v>
      </c>
      <c r="BW1252" s="93" t="str">
        <f>I1252</f>
        <v>21</v>
      </c>
      <c r="BX1252" s="2" t="s">
        <v>1382</v>
      </c>
    </row>
    <row r="1253" spans="1:76" s="81" customFormat="1" x14ac:dyDescent="0.25">
      <c r="A1253" s="95"/>
      <c r="B1253" s="95"/>
      <c r="C1253" s="95"/>
      <c r="D1253" s="76" t="s">
        <v>1432</v>
      </c>
      <c r="E1253" s="76" t="s">
        <v>54</v>
      </c>
      <c r="F1253" s="95"/>
      <c r="G1253" s="96">
        <v>510.18504999999999</v>
      </c>
      <c r="H1253" s="97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x14ac:dyDescent="0.25">
      <c r="A1254" s="95"/>
      <c r="B1254" s="95"/>
      <c r="C1254" s="95"/>
      <c r="D1254" s="76" t="s">
        <v>1433</v>
      </c>
      <c r="E1254" s="76" t="s">
        <v>54</v>
      </c>
      <c r="F1254" s="95"/>
      <c r="G1254" s="96">
        <v>102.03701</v>
      </c>
      <c r="H1254" s="97"/>
      <c r="I1254" s="95"/>
      <c r="J1254" s="95"/>
      <c r="K1254" s="95"/>
      <c r="L1254" s="95"/>
      <c r="M1254" s="95"/>
      <c r="N1254" s="95"/>
      <c r="O1254" s="95"/>
      <c r="P1254" s="95"/>
    </row>
    <row r="1255" spans="1:76" s="81" customFormat="1" ht="25.5" x14ac:dyDescent="0.25">
      <c r="A1255" s="72" t="s">
        <v>1434</v>
      </c>
      <c r="B1255" s="72" t="s">
        <v>55</v>
      </c>
      <c r="C1255" s="72" t="s">
        <v>1386</v>
      </c>
      <c r="D1255" s="175" t="s">
        <v>1387</v>
      </c>
      <c r="E1255" s="175"/>
      <c r="F1255" s="72" t="s">
        <v>192</v>
      </c>
      <c r="G1255" s="90">
        <v>612.22206000000006</v>
      </c>
      <c r="H1255" s="91"/>
      <c r="I1255" s="92" t="s">
        <v>63</v>
      </c>
      <c r="J1255" s="90">
        <f>G1255*AO1255</f>
        <v>0</v>
      </c>
      <c r="K1255" s="90">
        <f>G1255*AP1255</f>
        <v>0</v>
      </c>
      <c r="L1255" s="90">
        <f>G1255*H1255</f>
        <v>0</v>
      </c>
      <c r="M1255" s="90">
        <f>L1255*(1+BW1255/100)</f>
        <v>0</v>
      </c>
      <c r="N1255" s="90">
        <v>5.4999999999999997E-3</v>
      </c>
      <c r="O1255" s="90">
        <f>G1255*N1255</f>
        <v>3.36722133</v>
      </c>
      <c r="P1255" s="92" t="s">
        <v>64</v>
      </c>
      <c r="Z1255" s="93">
        <f>IF(AQ1255="5",BJ1255,0)</f>
        <v>0</v>
      </c>
      <c r="AB1255" s="93">
        <f>IF(AQ1255="1",BH1255,0)</f>
        <v>0</v>
      </c>
      <c r="AC1255" s="93">
        <f>IF(AQ1255="1",BI1255,0)</f>
        <v>0</v>
      </c>
      <c r="AD1255" s="93">
        <f>IF(AQ1255="7",BH1255,0)</f>
        <v>0</v>
      </c>
      <c r="AE1255" s="93">
        <f>IF(AQ1255="7",BI1255,0)</f>
        <v>0</v>
      </c>
      <c r="AF1255" s="93">
        <f>IF(AQ1255="2",BH1255,0)</f>
        <v>0</v>
      </c>
      <c r="AG1255" s="93">
        <f>IF(AQ1255="2",BI1255,0)</f>
        <v>0</v>
      </c>
      <c r="AH1255" s="93">
        <f>IF(AQ1255="0",BJ1255,0)</f>
        <v>0</v>
      </c>
      <c r="AI1255" s="88" t="s">
        <v>55</v>
      </c>
      <c r="AJ1255" s="93">
        <f>IF(AN1255=0,L1255,0)</f>
        <v>0</v>
      </c>
      <c r="AK1255" s="93">
        <f>IF(AN1255=12,L1255,0)</f>
        <v>0</v>
      </c>
      <c r="AL1255" s="93">
        <f>IF(AN1255=21,L1255,0)</f>
        <v>0</v>
      </c>
      <c r="AN1255" s="93">
        <v>21</v>
      </c>
      <c r="AO1255" s="93">
        <f>H1255*1</f>
        <v>0</v>
      </c>
      <c r="AP1255" s="93">
        <f>H1255*(1-1)</f>
        <v>0</v>
      </c>
      <c r="AQ1255" s="94" t="s">
        <v>148</v>
      </c>
      <c r="AV1255" s="93">
        <f>AW1255+AX1255</f>
        <v>0</v>
      </c>
      <c r="AW1255" s="93">
        <f>G1255*AO1255</f>
        <v>0</v>
      </c>
      <c r="AX1255" s="93">
        <f>G1255*AP1255</f>
        <v>0</v>
      </c>
      <c r="AY1255" s="94" t="s">
        <v>1361</v>
      </c>
      <c r="AZ1255" s="94" t="s">
        <v>1362</v>
      </c>
      <c r="BA1255" s="88" t="s">
        <v>67</v>
      </c>
      <c r="BC1255" s="93">
        <f>AW1255+AX1255</f>
        <v>0</v>
      </c>
      <c r="BD1255" s="93">
        <f>H1255/(100-BE1255)*100</f>
        <v>0</v>
      </c>
      <c r="BE1255" s="93">
        <v>0</v>
      </c>
      <c r="BF1255" s="93">
        <f>O1255</f>
        <v>3.36722133</v>
      </c>
      <c r="BH1255" s="93">
        <f>G1255*AO1255</f>
        <v>0</v>
      </c>
      <c r="BI1255" s="93">
        <f>G1255*AP1255</f>
        <v>0</v>
      </c>
      <c r="BJ1255" s="93">
        <f>G1255*H1255</f>
        <v>0</v>
      </c>
      <c r="BK1255" s="93"/>
      <c r="BL1255" s="93">
        <v>711</v>
      </c>
      <c r="BW1255" s="93" t="str">
        <f>I1255</f>
        <v>21</v>
      </c>
      <c r="BX1255" s="2" t="s">
        <v>1387</v>
      </c>
    </row>
    <row r="1256" spans="1:76" s="81" customFormat="1" x14ac:dyDescent="0.25">
      <c r="A1256" s="95"/>
      <c r="B1256" s="95"/>
      <c r="C1256" s="95"/>
      <c r="D1256" s="76" t="s">
        <v>1432</v>
      </c>
      <c r="E1256" s="76" t="s">
        <v>54</v>
      </c>
      <c r="F1256" s="95"/>
      <c r="G1256" s="96">
        <v>510.18504999999999</v>
      </c>
      <c r="H1256" s="97"/>
      <c r="I1256" s="95"/>
      <c r="J1256" s="95"/>
      <c r="K1256" s="95"/>
      <c r="L1256" s="95"/>
      <c r="M1256" s="95"/>
      <c r="N1256" s="95"/>
      <c r="O1256" s="95"/>
      <c r="P1256" s="95"/>
    </row>
    <row r="1257" spans="1:76" s="81" customFormat="1" x14ac:dyDescent="0.25">
      <c r="A1257" s="95"/>
      <c r="B1257" s="95"/>
      <c r="C1257" s="95"/>
      <c r="D1257" s="76" t="s">
        <v>1433</v>
      </c>
      <c r="E1257" s="76" t="s">
        <v>54</v>
      </c>
      <c r="F1257" s="95"/>
      <c r="G1257" s="96">
        <v>102.03701</v>
      </c>
      <c r="H1257" s="97"/>
      <c r="I1257" s="95"/>
      <c r="J1257" s="95"/>
      <c r="K1257" s="95"/>
      <c r="L1257" s="95"/>
      <c r="M1257" s="95"/>
      <c r="N1257" s="95"/>
      <c r="O1257" s="95"/>
      <c r="P1257" s="95"/>
    </row>
    <row r="1258" spans="1:76" s="81" customFormat="1" ht="25.5" x14ac:dyDescent="0.25">
      <c r="A1258" s="72" t="s">
        <v>1435</v>
      </c>
      <c r="B1258" s="72" t="s">
        <v>55</v>
      </c>
      <c r="C1258" s="72" t="s">
        <v>1436</v>
      </c>
      <c r="D1258" s="175" t="s">
        <v>1437</v>
      </c>
      <c r="E1258" s="175"/>
      <c r="F1258" s="72" t="s">
        <v>192</v>
      </c>
      <c r="G1258" s="90">
        <v>510.18504999999999</v>
      </c>
      <c r="H1258" s="91"/>
      <c r="I1258" s="92" t="s">
        <v>63</v>
      </c>
      <c r="J1258" s="90">
        <f>G1258*AO1258</f>
        <v>0</v>
      </c>
      <c r="K1258" s="90">
        <f>G1258*AP1258</f>
        <v>0</v>
      </c>
      <c r="L1258" s="90">
        <f>G1258*H1258</f>
        <v>0</v>
      </c>
      <c r="M1258" s="90">
        <f>L1258*(1+BW1258/100)</f>
        <v>0</v>
      </c>
      <c r="N1258" s="90">
        <v>1.15E-3</v>
      </c>
      <c r="O1258" s="90">
        <f>G1258*N1258</f>
        <v>0.58671280749999999</v>
      </c>
      <c r="P1258" s="92" t="s">
        <v>64</v>
      </c>
      <c r="Z1258" s="93">
        <f>IF(AQ1258="5",BJ1258,0)</f>
        <v>0</v>
      </c>
      <c r="AB1258" s="93">
        <f>IF(AQ1258="1",BH1258,0)</f>
        <v>0</v>
      </c>
      <c r="AC1258" s="93">
        <f>IF(AQ1258="1",BI1258,0)</f>
        <v>0</v>
      </c>
      <c r="AD1258" s="93">
        <f>IF(AQ1258="7",BH1258,0)</f>
        <v>0</v>
      </c>
      <c r="AE1258" s="93">
        <f>IF(AQ1258="7",BI1258,0)</f>
        <v>0</v>
      </c>
      <c r="AF1258" s="93">
        <f>IF(AQ1258="2",BH1258,0)</f>
        <v>0</v>
      </c>
      <c r="AG1258" s="93">
        <f>IF(AQ1258="2",BI1258,0)</f>
        <v>0</v>
      </c>
      <c r="AH1258" s="93">
        <f>IF(AQ1258="0",BJ1258,0)</f>
        <v>0</v>
      </c>
      <c r="AI1258" s="88" t="s">
        <v>55</v>
      </c>
      <c r="AJ1258" s="93">
        <f>IF(AN1258=0,L1258,0)</f>
        <v>0</v>
      </c>
      <c r="AK1258" s="93">
        <f>IF(AN1258=12,L1258,0)</f>
        <v>0</v>
      </c>
      <c r="AL1258" s="93">
        <f>IF(AN1258=21,L1258,0)</f>
        <v>0</v>
      </c>
      <c r="AN1258" s="93">
        <v>21</v>
      </c>
      <c r="AO1258" s="93">
        <f>H1258*0.702508252</f>
        <v>0</v>
      </c>
      <c r="AP1258" s="93">
        <f>H1258*(1-0.702508252)</f>
        <v>0</v>
      </c>
      <c r="AQ1258" s="94" t="s">
        <v>148</v>
      </c>
      <c r="AV1258" s="93">
        <f>AW1258+AX1258</f>
        <v>0</v>
      </c>
      <c r="AW1258" s="93">
        <f>G1258*AO1258</f>
        <v>0</v>
      </c>
      <c r="AX1258" s="93">
        <f>G1258*AP1258</f>
        <v>0</v>
      </c>
      <c r="AY1258" s="94" t="s">
        <v>1361</v>
      </c>
      <c r="AZ1258" s="94" t="s">
        <v>1362</v>
      </c>
      <c r="BA1258" s="88" t="s">
        <v>67</v>
      </c>
      <c r="BC1258" s="93">
        <f>AW1258+AX1258</f>
        <v>0</v>
      </c>
      <c r="BD1258" s="93">
        <f>H1258/(100-BE1258)*100</f>
        <v>0</v>
      </c>
      <c r="BE1258" s="93">
        <v>0</v>
      </c>
      <c r="BF1258" s="93">
        <f>O1258</f>
        <v>0.58671280749999999</v>
      </c>
      <c r="BH1258" s="93">
        <f>G1258*AO1258</f>
        <v>0</v>
      </c>
      <c r="BI1258" s="93">
        <f>G1258*AP1258</f>
        <v>0</v>
      </c>
      <c r="BJ1258" s="93">
        <f>G1258*H1258</f>
        <v>0</v>
      </c>
      <c r="BK1258" s="93"/>
      <c r="BL1258" s="93">
        <v>711</v>
      </c>
      <c r="BW1258" s="93" t="str">
        <f>I1258</f>
        <v>21</v>
      </c>
      <c r="BX1258" s="2" t="s">
        <v>1437</v>
      </c>
    </row>
    <row r="1259" spans="1:76" s="81" customFormat="1" ht="13.5" customHeight="1" x14ac:dyDescent="0.25">
      <c r="A1259" s="95"/>
      <c r="B1259" s="95"/>
      <c r="C1259" s="95"/>
      <c r="D1259" s="182" t="s">
        <v>1438</v>
      </c>
      <c r="E1259" s="182"/>
      <c r="F1259" s="182"/>
      <c r="G1259" s="182"/>
      <c r="H1259" s="182"/>
      <c r="I1259" s="182"/>
      <c r="J1259" s="182"/>
      <c r="K1259" s="182"/>
      <c r="L1259" s="182"/>
      <c r="M1259" s="182"/>
      <c r="N1259" s="182"/>
      <c r="O1259" s="182"/>
      <c r="P1259" s="182"/>
    </row>
    <row r="1260" spans="1:76" s="81" customFormat="1" ht="25.5" x14ac:dyDescent="0.25">
      <c r="A1260" s="72" t="s">
        <v>615</v>
      </c>
      <c r="B1260" s="72" t="s">
        <v>55</v>
      </c>
      <c r="C1260" s="72" t="s">
        <v>1439</v>
      </c>
      <c r="D1260" s="175" t="s">
        <v>1440</v>
      </c>
      <c r="E1260" s="175"/>
      <c r="F1260" s="72" t="s">
        <v>192</v>
      </c>
      <c r="G1260" s="90">
        <v>510.18504999999999</v>
      </c>
      <c r="H1260" s="91"/>
      <c r="I1260" s="92" t="s">
        <v>63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3.2000000000000003E-4</v>
      </c>
      <c r="O1260" s="90">
        <f>G1260*N1260</f>
        <v>0.16325921600000001</v>
      </c>
      <c r="P1260" s="92" t="s">
        <v>64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55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H1260*0.293928549</f>
        <v>0</v>
      </c>
      <c r="AP1260" s="93">
        <f>H1260*(1-0.293928549)</f>
        <v>0</v>
      </c>
      <c r="AQ1260" s="94" t="s">
        <v>148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1361</v>
      </c>
      <c r="AZ1260" s="94" t="s">
        <v>1362</v>
      </c>
      <c r="BA1260" s="88" t="s">
        <v>67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0.16325921600000001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1440</v>
      </c>
    </row>
    <row r="1261" spans="1:76" s="81" customFormat="1" ht="13.5" customHeight="1" x14ac:dyDescent="0.25">
      <c r="A1261" s="95"/>
      <c r="B1261" s="95"/>
      <c r="C1261" s="95"/>
      <c r="D1261" s="182" t="s">
        <v>1363</v>
      </c>
      <c r="E1261" s="182"/>
      <c r="F1261" s="182"/>
      <c r="G1261" s="182"/>
      <c r="H1261" s="182"/>
      <c r="I1261" s="182"/>
      <c r="J1261" s="182"/>
      <c r="K1261" s="182"/>
      <c r="L1261" s="182"/>
      <c r="M1261" s="182"/>
      <c r="N1261" s="182"/>
      <c r="O1261" s="182"/>
      <c r="P1261" s="182"/>
    </row>
    <row r="1262" spans="1:76" s="81" customFormat="1" ht="25.5" x14ac:dyDescent="0.25">
      <c r="A1262" s="72" t="s">
        <v>1441</v>
      </c>
      <c r="B1262" s="72" t="s">
        <v>55</v>
      </c>
      <c r="C1262" s="72" t="s">
        <v>1442</v>
      </c>
      <c r="D1262" s="175" t="s">
        <v>1443</v>
      </c>
      <c r="E1262" s="175"/>
      <c r="F1262" s="72" t="s">
        <v>192</v>
      </c>
      <c r="G1262" s="90">
        <v>36.47</v>
      </c>
      <c r="H1262" s="91"/>
      <c r="I1262" s="92" t="s">
        <v>63</v>
      </c>
      <c r="J1262" s="90">
        <f>G1262*AO1262</f>
        <v>0</v>
      </c>
      <c r="K1262" s="90">
        <f>G1262*AP1262</f>
        <v>0</v>
      </c>
      <c r="L1262" s="90">
        <f>G1262*H1262</f>
        <v>0</v>
      </c>
      <c r="M1262" s="90">
        <f>L1262*(1+BW1262/100)</f>
        <v>0</v>
      </c>
      <c r="N1262" s="90">
        <v>2.14E-3</v>
      </c>
      <c r="O1262" s="90">
        <f>G1262*N1262</f>
        <v>7.8045799999999999E-2</v>
      </c>
      <c r="P1262" s="92" t="s">
        <v>64</v>
      </c>
      <c r="Z1262" s="93">
        <f>IF(AQ1262="5",BJ1262,0)</f>
        <v>0</v>
      </c>
      <c r="AB1262" s="93">
        <f>IF(AQ1262="1",BH1262,0)</f>
        <v>0</v>
      </c>
      <c r="AC1262" s="93">
        <f>IF(AQ1262="1",BI1262,0)</f>
        <v>0</v>
      </c>
      <c r="AD1262" s="93">
        <f>IF(AQ1262="7",BH1262,0)</f>
        <v>0</v>
      </c>
      <c r="AE1262" s="93">
        <f>IF(AQ1262="7",BI1262,0)</f>
        <v>0</v>
      </c>
      <c r="AF1262" s="93">
        <f>IF(AQ1262="2",BH1262,0)</f>
        <v>0</v>
      </c>
      <c r="AG1262" s="93">
        <f>IF(AQ1262="2",BI1262,0)</f>
        <v>0</v>
      </c>
      <c r="AH1262" s="93">
        <f>IF(AQ1262="0",BJ1262,0)</f>
        <v>0</v>
      </c>
      <c r="AI1262" s="88" t="s">
        <v>55</v>
      </c>
      <c r="AJ1262" s="93">
        <f>IF(AN1262=0,L1262,0)</f>
        <v>0</v>
      </c>
      <c r="AK1262" s="93">
        <f>IF(AN1262=12,L1262,0)</f>
        <v>0</v>
      </c>
      <c r="AL1262" s="93">
        <f>IF(AN1262=21,L1262,0)</f>
        <v>0</v>
      </c>
      <c r="AN1262" s="93">
        <v>21</v>
      </c>
      <c r="AO1262" s="93">
        <f>H1262*0.852255245</f>
        <v>0</v>
      </c>
      <c r="AP1262" s="93">
        <f>H1262*(1-0.852255245)</f>
        <v>0</v>
      </c>
      <c r="AQ1262" s="94" t="s">
        <v>148</v>
      </c>
      <c r="AV1262" s="93">
        <f>AW1262+AX1262</f>
        <v>0</v>
      </c>
      <c r="AW1262" s="93">
        <f>G1262*AO1262</f>
        <v>0</v>
      </c>
      <c r="AX1262" s="93">
        <f>G1262*AP1262</f>
        <v>0</v>
      </c>
      <c r="AY1262" s="94" t="s">
        <v>1361</v>
      </c>
      <c r="AZ1262" s="94" t="s">
        <v>1362</v>
      </c>
      <c r="BA1262" s="88" t="s">
        <v>67</v>
      </c>
      <c r="BC1262" s="93">
        <f>AW1262+AX1262</f>
        <v>0</v>
      </c>
      <c r="BD1262" s="93">
        <f>H1262/(100-BE1262)*100</f>
        <v>0</v>
      </c>
      <c r="BE1262" s="93">
        <v>0</v>
      </c>
      <c r="BF1262" s="93">
        <f>O1262</f>
        <v>7.8045799999999999E-2</v>
      </c>
      <c r="BH1262" s="93">
        <f>G1262*AO1262</f>
        <v>0</v>
      </c>
      <c r="BI1262" s="93">
        <f>G1262*AP1262</f>
        <v>0</v>
      </c>
      <c r="BJ1262" s="93">
        <f>G1262*H1262</f>
        <v>0</v>
      </c>
      <c r="BK1262" s="93"/>
      <c r="BL1262" s="93">
        <v>711</v>
      </c>
      <c r="BW1262" s="93" t="str">
        <f>I1262</f>
        <v>21</v>
      </c>
      <c r="BX1262" s="2" t="s">
        <v>1443</v>
      </c>
    </row>
    <row r="1263" spans="1:76" s="81" customFormat="1" x14ac:dyDescent="0.25">
      <c r="A1263" s="95"/>
      <c r="B1263" s="95"/>
      <c r="C1263" s="95"/>
      <c r="D1263" s="76" t="s">
        <v>1444</v>
      </c>
      <c r="E1263" s="76" t="s">
        <v>1445</v>
      </c>
      <c r="F1263" s="95"/>
      <c r="G1263" s="96">
        <v>36.47</v>
      </c>
      <c r="H1263" s="95"/>
      <c r="I1263" s="95"/>
      <c r="J1263" s="95"/>
      <c r="K1263" s="95"/>
      <c r="L1263" s="95"/>
      <c r="M1263" s="95"/>
      <c r="N1263" s="95"/>
      <c r="O1263" s="95"/>
      <c r="P1263" s="95"/>
    </row>
    <row r="1264" spans="1:76" s="81" customFormat="1" ht="25.5" x14ac:dyDescent="0.25">
      <c r="A1264" s="72" t="s">
        <v>1446</v>
      </c>
      <c r="B1264" s="72" t="s">
        <v>55</v>
      </c>
      <c r="C1264" s="72" t="s">
        <v>1447</v>
      </c>
      <c r="D1264" s="175" t="s">
        <v>1448</v>
      </c>
      <c r="E1264" s="175"/>
      <c r="F1264" s="72" t="s">
        <v>1449</v>
      </c>
      <c r="G1264" s="91"/>
      <c r="H1264" s="91"/>
      <c r="I1264" s="92" t="s">
        <v>63</v>
      </c>
      <c r="J1264" s="90">
        <f>G1264*AO1264</f>
        <v>0</v>
      </c>
      <c r="K1264" s="90">
        <f>G1264*AP1264</f>
        <v>0</v>
      </c>
      <c r="L1264" s="90">
        <f>G1264*H1264</f>
        <v>0</v>
      </c>
      <c r="M1264" s="90">
        <f>L1264*(1+BW1264/100)</f>
        <v>0</v>
      </c>
      <c r="N1264" s="90">
        <v>0</v>
      </c>
      <c r="O1264" s="90">
        <f>G1264*N1264</f>
        <v>0</v>
      </c>
      <c r="P1264" s="92" t="s">
        <v>64</v>
      </c>
      <c r="Z1264" s="93">
        <f>IF(AQ1264="5",BJ1264,0)</f>
        <v>0</v>
      </c>
      <c r="AB1264" s="93">
        <f>IF(AQ1264="1",BH1264,0)</f>
        <v>0</v>
      </c>
      <c r="AC1264" s="93">
        <f>IF(AQ1264="1",BI1264,0)</f>
        <v>0</v>
      </c>
      <c r="AD1264" s="93">
        <f>IF(AQ1264="7",BH1264,0)</f>
        <v>0</v>
      </c>
      <c r="AE1264" s="93">
        <f>IF(AQ1264="7",BI1264,0)</f>
        <v>0</v>
      </c>
      <c r="AF1264" s="93">
        <f>IF(AQ1264="2",BH1264,0)</f>
        <v>0</v>
      </c>
      <c r="AG1264" s="93">
        <f>IF(AQ1264="2",BI1264,0)</f>
        <v>0</v>
      </c>
      <c r="AH1264" s="93">
        <f>IF(AQ1264="0",BJ1264,0)</f>
        <v>0</v>
      </c>
      <c r="AI1264" s="88" t="s">
        <v>55</v>
      </c>
      <c r="AJ1264" s="93">
        <f>IF(AN1264=0,L1264,0)</f>
        <v>0</v>
      </c>
      <c r="AK1264" s="93">
        <f>IF(AN1264=12,L1264,0)</f>
        <v>0</v>
      </c>
      <c r="AL1264" s="93">
        <f>IF(AN1264=21,L1264,0)</f>
        <v>0</v>
      </c>
      <c r="AN1264" s="93">
        <v>21</v>
      </c>
      <c r="AO1264" s="93">
        <f>H1264*0</f>
        <v>0</v>
      </c>
      <c r="AP1264" s="93">
        <f>H1264*(1-0)</f>
        <v>0</v>
      </c>
      <c r="AQ1264" s="94" t="s">
        <v>136</v>
      </c>
      <c r="AV1264" s="93">
        <f>AW1264+AX1264</f>
        <v>0</v>
      </c>
      <c r="AW1264" s="93">
        <f>G1264*AO1264</f>
        <v>0</v>
      </c>
      <c r="AX1264" s="93">
        <f>G1264*AP1264</f>
        <v>0</v>
      </c>
      <c r="AY1264" s="94" t="s">
        <v>1361</v>
      </c>
      <c r="AZ1264" s="94" t="s">
        <v>1362</v>
      </c>
      <c r="BA1264" s="88" t="s">
        <v>67</v>
      </c>
      <c r="BC1264" s="93">
        <f>AW1264+AX1264</f>
        <v>0</v>
      </c>
      <c r="BD1264" s="93">
        <f>H1264/(100-BE1264)*100</f>
        <v>0</v>
      </c>
      <c r="BE1264" s="93">
        <v>0</v>
      </c>
      <c r="BF1264" s="93">
        <f>O1264</f>
        <v>0</v>
      </c>
      <c r="BH1264" s="93">
        <f>G1264*AO1264</f>
        <v>0</v>
      </c>
      <c r="BI1264" s="93">
        <f>G1264*AP1264</f>
        <v>0</v>
      </c>
      <c r="BJ1264" s="93">
        <f>G1264*H1264</f>
        <v>0</v>
      </c>
      <c r="BK1264" s="93"/>
      <c r="BL1264" s="93">
        <v>711</v>
      </c>
      <c r="BW1264" s="93" t="str">
        <f>I1264</f>
        <v>21</v>
      </c>
      <c r="BX1264" s="2" t="s">
        <v>1448</v>
      </c>
    </row>
    <row r="1265" spans="1:76" s="81" customFormat="1" x14ac:dyDescent="0.25">
      <c r="A1265" s="85" t="s">
        <v>54</v>
      </c>
      <c r="B1265" s="74" t="s">
        <v>55</v>
      </c>
      <c r="C1265" s="74" t="s">
        <v>1450</v>
      </c>
      <c r="D1265" s="176" t="s">
        <v>1451</v>
      </c>
      <c r="E1265" s="176"/>
      <c r="F1265" s="85" t="s">
        <v>4</v>
      </c>
      <c r="G1265" s="85" t="s">
        <v>4</v>
      </c>
      <c r="H1265" s="85" t="s">
        <v>4</v>
      </c>
      <c r="I1265" s="85" t="s">
        <v>4</v>
      </c>
      <c r="J1265" s="86">
        <f>SUM(J1266:J1382)</f>
        <v>0</v>
      </c>
      <c r="K1265" s="86">
        <f>SUM(K1266:K1382)</f>
        <v>0</v>
      </c>
      <c r="L1265" s="86">
        <f>SUM(L1266:L1382)</f>
        <v>0</v>
      </c>
      <c r="M1265" s="86">
        <f>SUM(M1266:M1382)</f>
        <v>0</v>
      </c>
      <c r="N1265" s="87" t="s">
        <v>54</v>
      </c>
      <c r="O1265" s="86">
        <f>SUM(O1266:O1382)</f>
        <v>22.119479360499998</v>
      </c>
      <c r="P1265" s="87" t="s">
        <v>54</v>
      </c>
      <c r="AI1265" s="88" t="s">
        <v>55</v>
      </c>
      <c r="AS1265" s="89">
        <f>SUM(AJ1266:AJ1382)</f>
        <v>0</v>
      </c>
      <c r="AT1265" s="89">
        <f>SUM(AK1266:AK1382)</f>
        <v>0</v>
      </c>
      <c r="AU1265" s="89">
        <f>SUM(AL1266:AL1382)</f>
        <v>0</v>
      </c>
    </row>
    <row r="1266" spans="1:76" s="81" customFormat="1" ht="25.5" x14ac:dyDescent="0.25">
      <c r="A1266" s="72" t="s">
        <v>1452</v>
      </c>
      <c r="B1266" s="72" t="s">
        <v>55</v>
      </c>
      <c r="C1266" s="72" t="s">
        <v>1453</v>
      </c>
      <c r="D1266" s="175" t="s">
        <v>1454</v>
      </c>
      <c r="E1266" s="175"/>
      <c r="F1266" s="72" t="s">
        <v>192</v>
      </c>
      <c r="G1266" s="90">
        <v>873.64137000000005</v>
      </c>
      <c r="H1266" s="91"/>
      <c r="I1266" s="92" t="s">
        <v>63</v>
      </c>
      <c r="J1266" s="90">
        <f>G1266*AO1266</f>
        <v>0</v>
      </c>
      <c r="K1266" s="90">
        <f>G1266*AP1266</f>
        <v>0</v>
      </c>
      <c r="L1266" s="90">
        <f>G1266*H1266</f>
        <v>0</v>
      </c>
      <c r="M1266" s="90">
        <f>L1266*(1+BW1266/100)</f>
        <v>0</v>
      </c>
      <c r="N1266" s="90">
        <v>1.4999999999999999E-4</v>
      </c>
      <c r="O1266" s="90">
        <f>G1266*N1266</f>
        <v>0.13104620549999998</v>
      </c>
      <c r="P1266" s="92" t="s">
        <v>64</v>
      </c>
      <c r="Z1266" s="93">
        <f>IF(AQ1266="5",BJ1266,0)</f>
        <v>0</v>
      </c>
      <c r="AB1266" s="93">
        <f>IF(AQ1266="1",BH1266,0)</f>
        <v>0</v>
      </c>
      <c r="AC1266" s="93">
        <f>IF(AQ1266="1",BI1266,0)</f>
        <v>0</v>
      </c>
      <c r="AD1266" s="93">
        <f>IF(AQ1266="7",BH1266,0)</f>
        <v>0</v>
      </c>
      <c r="AE1266" s="93">
        <f>IF(AQ1266="7",BI1266,0)</f>
        <v>0</v>
      </c>
      <c r="AF1266" s="93">
        <f>IF(AQ1266="2",BH1266,0)</f>
        <v>0</v>
      </c>
      <c r="AG1266" s="93">
        <f>IF(AQ1266="2",BI1266,0)</f>
        <v>0</v>
      </c>
      <c r="AH1266" s="93">
        <f>IF(AQ1266="0",BJ1266,0)</f>
        <v>0</v>
      </c>
      <c r="AI1266" s="88" t="s">
        <v>55</v>
      </c>
      <c r="AJ1266" s="93">
        <f>IF(AN1266=0,L1266,0)</f>
        <v>0</v>
      </c>
      <c r="AK1266" s="93">
        <f>IF(AN1266=12,L1266,0)</f>
        <v>0</v>
      </c>
      <c r="AL1266" s="93">
        <f>IF(AN1266=21,L1266,0)</f>
        <v>0</v>
      </c>
      <c r="AN1266" s="93">
        <v>21</v>
      </c>
      <c r="AO1266" s="93">
        <f>H1266*0.302421053</f>
        <v>0</v>
      </c>
      <c r="AP1266" s="93">
        <f>H1266*(1-0.302421053)</f>
        <v>0</v>
      </c>
      <c r="AQ1266" s="94" t="s">
        <v>148</v>
      </c>
      <c r="AV1266" s="93">
        <f>AW1266+AX1266</f>
        <v>0</v>
      </c>
      <c r="AW1266" s="93">
        <f>G1266*AO1266</f>
        <v>0</v>
      </c>
      <c r="AX1266" s="93">
        <f>G1266*AP1266</f>
        <v>0</v>
      </c>
      <c r="AY1266" s="94" t="s">
        <v>1455</v>
      </c>
      <c r="AZ1266" s="94" t="s">
        <v>1362</v>
      </c>
      <c r="BA1266" s="88" t="s">
        <v>67</v>
      </c>
      <c r="BC1266" s="93">
        <f>AW1266+AX1266</f>
        <v>0</v>
      </c>
      <c r="BD1266" s="93">
        <f>H1266/(100-BE1266)*100</f>
        <v>0</v>
      </c>
      <c r="BE1266" s="93">
        <v>0</v>
      </c>
      <c r="BF1266" s="93">
        <f>O1266</f>
        <v>0.13104620549999998</v>
      </c>
      <c r="BH1266" s="93">
        <f>G1266*AO1266</f>
        <v>0</v>
      </c>
      <c r="BI1266" s="93">
        <f>G1266*AP1266</f>
        <v>0</v>
      </c>
      <c r="BJ1266" s="93">
        <f>G1266*H1266</f>
        <v>0</v>
      </c>
      <c r="BK1266" s="93"/>
      <c r="BL1266" s="93">
        <v>712</v>
      </c>
      <c r="BW1266" s="93" t="str">
        <f>I1266</f>
        <v>21</v>
      </c>
      <c r="BX1266" s="2" t="s">
        <v>1454</v>
      </c>
    </row>
    <row r="1267" spans="1:76" s="81" customFormat="1" ht="13.5" customHeight="1" x14ac:dyDescent="0.25">
      <c r="A1267" s="95"/>
      <c r="B1267" s="95"/>
      <c r="C1267" s="95"/>
      <c r="D1267" s="182" t="s">
        <v>1456</v>
      </c>
      <c r="E1267" s="182"/>
      <c r="F1267" s="182"/>
      <c r="G1267" s="182"/>
      <c r="H1267" s="182"/>
      <c r="I1267" s="182"/>
      <c r="J1267" s="182"/>
      <c r="K1267" s="182"/>
      <c r="L1267" s="182"/>
      <c r="M1267" s="182"/>
      <c r="N1267" s="182"/>
      <c r="O1267" s="182"/>
      <c r="P1267" s="182"/>
    </row>
    <row r="1268" spans="1:76" s="81" customFormat="1" x14ac:dyDescent="0.25">
      <c r="A1268" s="95"/>
      <c r="B1268" s="95"/>
      <c r="C1268" s="95"/>
      <c r="D1268" s="76" t="s">
        <v>54</v>
      </c>
      <c r="E1268" s="76" t="s">
        <v>831</v>
      </c>
      <c r="F1268" s="95"/>
      <c r="G1268" s="96">
        <v>0</v>
      </c>
      <c r="H1268" s="95"/>
      <c r="I1268" s="95"/>
      <c r="J1268" s="95"/>
      <c r="K1268" s="95"/>
      <c r="L1268" s="95"/>
      <c r="M1268" s="95"/>
      <c r="N1268" s="95"/>
      <c r="O1268" s="95"/>
      <c r="P1268" s="95"/>
    </row>
    <row r="1269" spans="1:76" s="81" customFormat="1" x14ac:dyDescent="0.25">
      <c r="A1269" s="95"/>
      <c r="B1269" s="95"/>
      <c r="C1269" s="95"/>
      <c r="D1269" s="76" t="s">
        <v>54</v>
      </c>
      <c r="E1269" s="76" t="s">
        <v>832</v>
      </c>
      <c r="F1269" s="95"/>
      <c r="G1269" s="96">
        <v>0</v>
      </c>
      <c r="H1269" s="95"/>
      <c r="I1269" s="95"/>
      <c r="J1269" s="95"/>
      <c r="K1269" s="95"/>
      <c r="L1269" s="95"/>
      <c r="M1269" s="95"/>
      <c r="N1269" s="95"/>
      <c r="O1269" s="95"/>
      <c r="P1269" s="95"/>
    </row>
    <row r="1270" spans="1:76" s="81" customFormat="1" x14ac:dyDescent="0.25">
      <c r="A1270" s="95"/>
      <c r="B1270" s="95"/>
      <c r="C1270" s="95"/>
      <c r="D1270" s="76" t="s">
        <v>1410</v>
      </c>
      <c r="E1270" s="76" t="s">
        <v>841</v>
      </c>
      <c r="F1270" s="95"/>
      <c r="G1270" s="96">
        <v>42.173999999999999</v>
      </c>
      <c r="H1270" s="95"/>
      <c r="I1270" s="95"/>
      <c r="J1270" s="95"/>
      <c r="K1270" s="95"/>
      <c r="L1270" s="95"/>
      <c r="M1270" s="95"/>
      <c r="N1270" s="95"/>
      <c r="O1270" s="95"/>
      <c r="P1270" s="95"/>
    </row>
    <row r="1271" spans="1:76" s="81" customFormat="1" x14ac:dyDescent="0.25">
      <c r="A1271" s="95"/>
      <c r="B1271" s="95"/>
      <c r="C1271" s="95"/>
      <c r="D1271" s="76" t="s">
        <v>1411</v>
      </c>
      <c r="E1271" s="76" t="s">
        <v>843</v>
      </c>
      <c r="F1271" s="95"/>
      <c r="G1271" s="96">
        <v>13.88</v>
      </c>
      <c r="H1271" s="95"/>
      <c r="I1271" s="95"/>
      <c r="J1271" s="95"/>
      <c r="K1271" s="95"/>
      <c r="L1271" s="95"/>
      <c r="M1271" s="95"/>
      <c r="N1271" s="95"/>
      <c r="O1271" s="95"/>
      <c r="P1271" s="95"/>
    </row>
    <row r="1272" spans="1:76" s="81" customFormat="1" x14ac:dyDescent="0.25">
      <c r="A1272" s="95"/>
      <c r="B1272" s="95"/>
      <c r="C1272" s="95"/>
      <c r="D1272" s="76" t="s">
        <v>1412</v>
      </c>
      <c r="E1272" s="76" t="s">
        <v>834</v>
      </c>
      <c r="F1272" s="95"/>
      <c r="G1272" s="96">
        <v>40.29</v>
      </c>
      <c r="H1272" s="95"/>
      <c r="I1272" s="95"/>
      <c r="J1272" s="95"/>
      <c r="K1272" s="95"/>
      <c r="L1272" s="95"/>
      <c r="M1272" s="95"/>
      <c r="N1272" s="95"/>
      <c r="O1272" s="95"/>
      <c r="P1272" s="95"/>
    </row>
    <row r="1273" spans="1:76" s="81" customFormat="1" x14ac:dyDescent="0.25">
      <c r="A1273" s="95"/>
      <c r="B1273" s="95"/>
      <c r="C1273" s="95"/>
      <c r="D1273" s="76" t="s">
        <v>54</v>
      </c>
      <c r="E1273" s="76" t="s">
        <v>835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95"/>
      <c r="B1274" s="95"/>
      <c r="C1274" s="95"/>
      <c r="D1274" s="76" t="s">
        <v>1413</v>
      </c>
      <c r="E1274" s="76" t="s">
        <v>54</v>
      </c>
      <c r="F1274" s="95"/>
      <c r="G1274" s="96">
        <v>510.66300000000001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95"/>
      <c r="B1275" s="95"/>
      <c r="C1275" s="95"/>
      <c r="D1275" s="76" t="s">
        <v>54</v>
      </c>
      <c r="E1275" s="76" t="s">
        <v>837</v>
      </c>
      <c r="F1275" s="95"/>
      <c r="G1275" s="96">
        <v>0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95"/>
      <c r="B1276" s="95"/>
      <c r="C1276" s="95"/>
      <c r="D1276" s="76" t="s">
        <v>54</v>
      </c>
      <c r="E1276" s="76" t="s">
        <v>443</v>
      </c>
      <c r="F1276" s="95"/>
      <c r="G1276" s="96">
        <v>0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95"/>
      <c r="B1277" s="95"/>
      <c r="C1277" s="95"/>
      <c r="D1277" s="76" t="s">
        <v>1414</v>
      </c>
      <c r="E1277" s="76" t="s">
        <v>839</v>
      </c>
      <c r="F1277" s="95"/>
      <c r="G1277" s="96">
        <v>266.63436999999999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ht="25.5" x14ac:dyDescent="0.25">
      <c r="A1278" s="72" t="s">
        <v>1457</v>
      </c>
      <c r="B1278" s="72" t="s">
        <v>55</v>
      </c>
      <c r="C1278" s="72" t="s">
        <v>1458</v>
      </c>
      <c r="D1278" s="175" t="s">
        <v>1459</v>
      </c>
      <c r="E1278" s="175"/>
      <c r="F1278" s="72" t="s">
        <v>192</v>
      </c>
      <c r="G1278" s="90">
        <v>946.36136999999997</v>
      </c>
      <c r="H1278" s="91"/>
      <c r="I1278" s="92" t="s">
        <v>63</v>
      </c>
      <c r="J1278" s="90">
        <f>G1278*AO1278</f>
        <v>0</v>
      </c>
      <c r="K1278" s="90">
        <f>G1278*AP1278</f>
        <v>0</v>
      </c>
      <c r="L1278" s="90">
        <f>G1278*H1278</f>
        <v>0</v>
      </c>
      <c r="M1278" s="90">
        <f>L1278*(1+BW1278/100)</f>
        <v>0</v>
      </c>
      <c r="N1278" s="90">
        <v>3.3E-4</v>
      </c>
      <c r="O1278" s="90">
        <f>G1278*N1278</f>
        <v>0.31229925209999998</v>
      </c>
      <c r="P1278" s="92" t="s">
        <v>64</v>
      </c>
      <c r="Z1278" s="93">
        <f>IF(AQ1278="5",BJ1278,0)</f>
        <v>0</v>
      </c>
      <c r="AB1278" s="93">
        <f>IF(AQ1278="1",BH1278,0)</f>
        <v>0</v>
      </c>
      <c r="AC1278" s="93">
        <f>IF(AQ1278="1",BI1278,0)</f>
        <v>0</v>
      </c>
      <c r="AD1278" s="93">
        <f>IF(AQ1278="7",BH1278,0)</f>
        <v>0</v>
      </c>
      <c r="AE1278" s="93">
        <f>IF(AQ1278="7",BI1278,0)</f>
        <v>0</v>
      </c>
      <c r="AF1278" s="93">
        <f>IF(AQ1278="2",BH1278,0)</f>
        <v>0</v>
      </c>
      <c r="AG1278" s="93">
        <f>IF(AQ1278="2",BI1278,0)</f>
        <v>0</v>
      </c>
      <c r="AH1278" s="93">
        <f>IF(AQ1278="0",BJ1278,0)</f>
        <v>0</v>
      </c>
      <c r="AI1278" s="88" t="s">
        <v>55</v>
      </c>
      <c r="AJ1278" s="93">
        <f>IF(AN1278=0,L1278,0)</f>
        <v>0</v>
      </c>
      <c r="AK1278" s="93">
        <f>IF(AN1278=12,L1278,0)</f>
        <v>0</v>
      </c>
      <c r="AL1278" s="93">
        <f>IF(AN1278=21,L1278,0)</f>
        <v>0</v>
      </c>
      <c r="AN1278" s="93">
        <v>21</v>
      </c>
      <c r="AO1278" s="93">
        <f>H1278*0.726204167</f>
        <v>0</v>
      </c>
      <c r="AP1278" s="93">
        <f>H1278*(1-0.726204167)</f>
        <v>0</v>
      </c>
      <c r="AQ1278" s="94" t="s">
        <v>148</v>
      </c>
      <c r="AV1278" s="93">
        <f>AW1278+AX1278</f>
        <v>0</v>
      </c>
      <c r="AW1278" s="93">
        <f>G1278*AO1278</f>
        <v>0</v>
      </c>
      <c r="AX1278" s="93">
        <f>G1278*AP1278</f>
        <v>0</v>
      </c>
      <c r="AY1278" s="94" t="s">
        <v>1455</v>
      </c>
      <c r="AZ1278" s="94" t="s">
        <v>1362</v>
      </c>
      <c r="BA1278" s="88" t="s">
        <v>67</v>
      </c>
      <c r="BC1278" s="93">
        <f>AW1278+AX1278</f>
        <v>0</v>
      </c>
      <c r="BD1278" s="93">
        <f>H1278/(100-BE1278)*100</f>
        <v>0</v>
      </c>
      <c r="BE1278" s="93">
        <v>0</v>
      </c>
      <c r="BF1278" s="93">
        <f>O1278</f>
        <v>0.31229925209999998</v>
      </c>
      <c r="BH1278" s="93">
        <f>G1278*AO1278</f>
        <v>0</v>
      </c>
      <c r="BI1278" s="93">
        <f>G1278*AP1278</f>
        <v>0</v>
      </c>
      <c r="BJ1278" s="93">
        <f>G1278*H1278</f>
        <v>0</v>
      </c>
      <c r="BK1278" s="93"/>
      <c r="BL1278" s="93">
        <v>712</v>
      </c>
      <c r="BW1278" s="93" t="str">
        <f>I1278</f>
        <v>21</v>
      </c>
      <c r="BX1278" s="2" t="s">
        <v>1459</v>
      </c>
    </row>
    <row r="1279" spans="1:76" s="81" customFormat="1" ht="13.5" customHeight="1" x14ac:dyDescent="0.25">
      <c r="A1279" s="95"/>
      <c r="B1279" s="95"/>
      <c r="C1279" s="95"/>
      <c r="D1279" s="182" t="s">
        <v>1460</v>
      </c>
      <c r="E1279" s="182"/>
      <c r="F1279" s="182"/>
      <c r="G1279" s="182"/>
      <c r="H1279" s="182"/>
      <c r="I1279" s="182"/>
      <c r="J1279" s="182"/>
      <c r="K1279" s="182"/>
      <c r="L1279" s="182"/>
      <c r="M1279" s="182"/>
      <c r="N1279" s="182"/>
      <c r="O1279" s="182"/>
      <c r="P1279" s="182"/>
    </row>
    <row r="1280" spans="1:76" s="81" customFormat="1" x14ac:dyDescent="0.25">
      <c r="A1280" s="95"/>
      <c r="B1280" s="95"/>
      <c r="C1280" s="95"/>
      <c r="D1280" s="76" t="s">
        <v>54</v>
      </c>
      <c r="E1280" s="76" t="s">
        <v>831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95"/>
      <c r="B1281" s="95"/>
      <c r="C1281" s="95"/>
      <c r="D1281" s="76" t="s">
        <v>54</v>
      </c>
      <c r="E1281" s="76" t="s">
        <v>832</v>
      </c>
      <c r="F1281" s="95"/>
      <c r="G1281" s="96">
        <v>0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x14ac:dyDescent="0.25">
      <c r="A1282" s="95"/>
      <c r="B1282" s="95"/>
      <c r="C1282" s="95"/>
      <c r="D1282" s="76" t="s">
        <v>1410</v>
      </c>
      <c r="E1282" s="76" t="s">
        <v>841</v>
      </c>
      <c r="F1282" s="95"/>
      <c r="G1282" s="96">
        <v>42.173999999999999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x14ac:dyDescent="0.25">
      <c r="A1283" s="95"/>
      <c r="B1283" s="95"/>
      <c r="C1283" s="95"/>
      <c r="D1283" s="76" t="s">
        <v>1411</v>
      </c>
      <c r="E1283" s="76" t="s">
        <v>843</v>
      </c>
      <c r="F1283" s="95"/>
      <c r="G1283" s="96">
        <v>13.88</v>
      </c>
      <c r="H1283" s="95"/>
      <c r="I1283" s="95"/>
      <c r="J1283" s="95"/>
      <c r="K1283" s="95"/>
      <c r="L1283" s="95"/>
      <c r="M1283" s="95"/>
      <c r="N1283" s="95"/>
      <c r="O1283" s="95"/>
      <c r="P1283" s="95"/>
    </row>
    <row r="1284" spans="1:76" s="81" customFormat="1" x14ac:dyDescent="0.25">
      <c r="A1284" s="95"/>
      <c r="B1284" s="95"/>
      <c r="C1284" s="95"/>
      <c r="D1284" s="76" t="s">
        <v>1412</v>
      </c>
      <c r="E1284" s="76" t="s">
        <v>834</v>
      </c>
      <c r="F1284" s="95"/>
      <c r="G1284" s="96">
        <v>40.29</v>
      </c>
      <c r="H1284" s="95"/>
      <c r="I1284" s="95"/>
      <c r="J1284" s="95"/>
      <c r="K1284" s="95"/>
      <c r="L1284" s="95"/>
      <c r="M1284" s="95"/>
      <c r="N1284" s="95"/>
      <c r="O1284" s="95"/>
      <c r="P1284" s="95"/>
    </row>
    <row r="1285" spans="1:76" s="81" customFormat="1" x14ac:dyDescent="0.25">
      <c r="A1285" s="95"/>
      <c r="B1285" s="95"/>
      <c r="C1285" s="95"/>
      <c r="D1285" s="76" t="s">
        <v>54</v>
      </c>
      <c r="E1285" s="76" t="s">
        <v>835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95"/>
      <c r="B1286" s="95"/>
      <c r="C1286" s="95"/>
      <c r="D1286" s="76" t="s">
        <v>1413</v>
      </c>
      <c r="E1286" s="76" t="s">
        <v>54</v>
      </c>
      <c r="F1286" s="95"/>
      <c r="G1286" s="96">
        <v>510.66300000000001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95"/>
      <c r="B1287" s="95"/>
      <c r="C1287" s="95"/>
      <c r="D1287" s="76" t="s">
        <v>54</v>
      </c>
      <c r="E1287" s="76" t="s">
        <v>837</v>
      </c>
      <c r="F1287" s="95"/>
      <c r="G1287" s="96">
        <v>0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95"/>
      <c r="B1288" s="95"/>
      <c r="C1288" s="95"/>
      <c r="D1288" s="76" t="s">
        <v>54</v>
      </c>
      <c r="E1288" s="76" t="s">
        <v>443</v>
      </c>
      <c r="F1288" s="95"/>
      <c r="G1288" s="96">
        <v>0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95"/>
      <c r="B1289" s="95"/>
      <c r="C1289" s="95"/>
      <c r="D1289" s="76" t="s">
        <v>1414</v>
      </c>
      <c r="E1289" s="76" t="s">
        <v>839</v>
      </c>
      <c r="F1289" s="95"/>
      <c r="G1289" s="96">
        <v>266.63436999999999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95"/>
      <c r="B1290" s="95"/>
      <c r="C1290" s="95"/>
      <c r="D1290" s="76" t="s">
        <v>54</v>
      </c>
      <c r="E1290" s="76" t="s">
        <v>1218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95"/>
      <c r="B1291" s="95"/>
      <c r="C1291" s="95"/>
      <c r="D1291" s="76" t="s">
        <v>54</v>
      </c>
      <c r="E1291" s="76" t="s">
        <v>443</v>
      </c>
      <c r="F1291" s="95"/>
      <c r="G1291" s="96">
        <v>0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95"/>
      <c r="B1292" s="95"/>
      <c r="C1292" s="95"/>
      <c r="D1292" s="76" t="s">
        <v>1219</v>
      </c>
      <c r="E1292" s="76" t="s">
        <v>54</v>
      </c>
      <c r="F1292" s="95"/>
      <c r="G1292" s="96">
        <v>72.72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ht="25.5" x14ac:dyDescent="0.25">
      <c r="A1293" s="72" t="s">
        <v>1461</v>
      </c>
      <c r="B1293" s="72" t="s">
        <v>55</v>
      </c>
      <c r="C1293" s="72" t="s">
        <v>1462</v>
      </c>
      <c r="D1293" s="175" t="s">
        <v>1463</v>
      </c>
      <c r="E1293" s="175"/>
      <c r="F1293" s="72" t="s">
        <v>192</v>
      </c>
      <c r="G1293" s="90">
        <v>946.36136999999997</v>
      </c>
      <c r="H1293" s="91"/>
      <c r="I1293" s="92" t="s">
        <v>63</v>
      </c>
      <c r="J1293" s="90">
        <f>G1293*AO1293</f>
        <v>0</v>
      </c>
      <c r="K1293" s="90">
        <f>G1293*AP1293</f>
        <v>0</v>
      </c>
      <c r="L1293" s="90">
        <f>G1293*H1293</f>
        <v>0</v>
      </c>
      <c r="M1293" s="90">
        <f>L1293*(1+BW1293/100)</f>
        <v>0</v>
      </c>
      <c r="N1293" s="90">
        <v>3.5E-4</v>
      </c>
      <c r="O1293" s="90">
        <f>G1293*N1293</f>
        <v>0.3312264795</v>
      </c>
      <c r="P1293" s="92" t="s">
        <v>64</v>
      </c>
      <c r="Z1293" s="93">
        <f>IF(AQ1293="5",BJ1293,0)</f>
        <v>0</v>
      </c>
      <c r="AB1293" s="93">
        <f>IF(AQ1293="1",BH1293,0)</f>
        <v>0</v>
      </c>
      <c r="AC1293" s="93">
        <f>IF(AQ1293="1",BI1293,0)</f>
        <v>0</v>
      </c>
      <c r="AD1293" s="93">
        <f>IF(AQ1293="7",BH1293,0)</f>
        <v>0</v>
      </c>
      <c r="AE1293" s="93">
        <f>IF(AQ1293="7",BI1293,0)</f>
        <v>0</v>
      </c>
      <c r="AF1293" s="93">
        <f>IF(AQ1293="2",BH1293,0)</f>
        <v>0</v>
      </c>
      <c r="AG1293" s="93">
        <f>IF(AQ1293="2",BI1293,0)</f>
        <v>0</v>
      </c>
      <c r="AH1293" s="93">
        <f>IF(AQ1293="0",BJ1293,0)</f>
        <v>0</v>
      </c>
      <c r="AI1293" s="88" t="s">
        <v>55</v>
      </c>
      <c r="AJ1293" s="93">
        <f>IF(AN1293=0,L1293,0)</f>
        <v>0</v>
      </c>
      <c r="AK1293" s="93">
        <f>IF(AN1293=12,L1293,0)</f>
        <v>0</v>
      </c>
      <c r="AL1293" s="93">
        <f>IF(AN1293=21,L1293,0)</f>
        <v>0</v>
      </c>
      <c r="AN1293" s="93">
        <v>21</v>
      </c>
      <c r="AO1293" s="93">
        <f>H1293*0.107114627</f>
        <v>0</v>
      </c>
      <c r="AP1293" s="93">
        <f>H1293*(1-0.107114627)</f>
        <v>0</v>
      </c>
      <c r="AQ1293" s="94" t="s">
        <v>148</v>
      </c>
      <c r="AV1293" s="93">
        <f>AW1293+AX1293</f>
        <v>0</v>
      </c>
      <c r="AW1293" s="93">
        <f>G1293*AO1293</f>
        <v>0</v>
      </c>
      <c r="AX1293" s="93">
        <f>G1293*AP1293</f>
        <v>0</v>
      </c>
      <c r="AY1293" s="94" t="s">
        <v>1455</v>
      </c>
      <c r="AZ1293" s="94" t="s">
        <v>1362</v>
      </c>
      <c r="BA1293" s="88" t="s">
        <v>67</v>
      </c>
      <c r="BC1293" s="93">
        <f>AW1293+AX1293</f>
        <v>0</v>
      </c>
      <c r="BD1293" s="93">
        <f>H1293/(100-BE1293)*100</f>
        <v>0</v>
      </c>
      <c r="BE1293" s="93">
        <v>0</v>
      </c>
      <c r="BF1293" s="93">
        <f>O1293</f>
        <v>0.3312264795</v>
      </c>
      <c r="BH1293" s="93">
        <f>G1293*AO1293</f>
        <v>0</v>
      </c>
      <c r="BI1293" s="93">
        <f>G1293*AP1293</f>
        <v>0</v>
      </c>
      <c r="BJ1293" s="93">
        <f>G1293*H1293</f>
        <v>0</v>
      </c>
      <c r="BK1293" s="93"/>
      <c r="BL1293" s="93">
        <v>712</v>
      </c>
      <c r="BW1293" s="93" t="str">
        <f>I1293</f>
        <v>21</v>
      </c>
      <c r="BX1293" s="2" t="s">
        <v>1463</v>
      </c>
    </row>
    <row r="1294" spans="1:76" s="81" customFormat="1" x14ac:dyDescent="0.25">
      <c r="A1294" s="95"/>
      <c r="B1294" s="95"/>
      <c r="C1294" s="95"/>
      <c r="D1294" s="76" t="s">
        <v>54</v>
      </c>
      <c r="E1294" s="76" t="s">
        <v>831</v>
      </c>
      <c r="F1294" s="95"/>
      <c r="G1294" s="96">
        <v>0</v>
      </c>
      <c r="H1294" s="97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95"/>
      <c r="B1295" s="95"/>
      <c r="C1295" s="95"/>
      <c r="D1295" s="76" t="s">
        <v>54</v>
      </c>
      <c r="E1295" s="76" t="s">
        <v>832</v>
      </c>
      <c r="F1295" s="95"/>
      <c r="G1295" s="96">
        <v>0</v>
      </c>
      <c r="H1295" s="97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95"/>
      <c r="B1296" s="95"/>
      <c r="C1296" s="95"/>
      <c r="D1296" s="76" t="s">
        <v>1410</v>
      </c>
      <c r="E1296" s="76" t="s">
        <v>841</v>
      </c>
      <c r="F1296" s="95"/>
      <c r="G1296" s="96">
        <v>42.173999999999999</v>
      </c>
      <c r="H1296" s="97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95"/>
      <c r="B1297" s="95"/>
      <c r="C1297" s="95"/>
      <c r="D1297" s="76" t="s">
        <v>1411</v>
      </c>
      <c r="E1297" s="76" t="s">
        <v>843</v>
      </c>
      <c r="F1297" s="95"/>
      <c r="G1297" s="96">
        <v>13.88</v>
      </c>
      <c r="H1297" s="97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x14ac:dyDescent="0.25">
      <c r="A1298" s="95"/>
      <c r="B1298" s="95"/>
      <c r="C1298" s="95"/>
      <c r="D1298" s="76" t="s">
        <v>1412</v>
      </c>
      <c r="E1298" s="76" t="s">
        <v>834</v>
      </c>
      <c r="F1298" s="95"/>
      <c r="G1298" s="96">
        <v>40.29</v>
      </c>
      <c r="H1298" s="97"/>
      <c r="I1298" s="95"/>
      <c r="J1298" s="95"/>
      <c r="K1298" s="95"/>
      <c r="L1298" s="95"/>
      <c r="M1298" s="95"/>
      <c r="N1298" s="95"/>
      <c r="O1298" s="95"/>
      <c r="P1298" s="95"/>
    </row>
    <row r="1299" spans="1:76" s="81" customFormat="1" x14ac:dyDescent="0.25">
      <c r="A1299" s="95"/>
      <c r="B1299" s="95"/>
      <c r="C1299" s="95"/>
      <c r="D1299" s="76" t="s">
        <v>54</v>
      </c>
      <c r="E1299" s="76" t="s">
        <v>835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95"/>
      <c r="B1300" s="95"/>
      <c r="C1300" s="95"/>
      <c r="D1300" s="76" t="s">
        <v>1413</v>
      </c>
      <c r="E1300" s="76" t="s">
        <v>54</v>
      </c>
      <c r="F1300" s="95"/>
      <c r="G1300" s="96">
        <v>510.66300000000001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95"/>
      <c r="B1301" s="95"/>
      <c r="C1301" s="95"/>
      <c r="D1301" s="76" t="s">
        <v>54</v>
      </c>
      <c r="E1301" s="76" t="s">
        <v>837</v>
      </c>
      <c r="F1301" s="95"/>
      <c r="G1301" s="96">
        <v>0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95"/>
      <c r="B1302" s="95"/>
      <c r="C1302" s="95"/>
      <c r="D1302" s="76" t="s">
        <v>54</v>
      </c>
      <c r="E1302" s="76" t="s">
        <v>443</v>
      </c>
      <c r="F1302" s="95"/>
      <c r="G1302" s="96">
        <v>0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95"/>
      <c r="B1303" s="95"/>
      <c r="C1303" s="95"/>
      <c r="D1303" s="76" t="s">
        <v>1414</v>
      </c>
      <c r="E1303" s="76" t="s">
        <v>839</v>
      </c>
      <c r="F1303" s="95"/>
      <c r="G1303" s="96">
        <v>266.63436999999999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95"/>
      <c r="B1304" s="95"/>
      <c r="C1304" s="95"/>
      <c r="D1304" s="76" t="s">
        <v>54</v>
      </c>
      <c r="E1304" s="76" t="s">
        <v>1218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95"/>
      <c r="B1305" s="95"/>
      <c r="C1305" s="95"/>
      <c r="D1305" s="76" t="s">
        <v>54</v>
      </c>
      <c r="E1305" s="76" t="s">
        <v>443</v>
      </c>
      <c r="F1305" s="95"/>
      <c r="G1305" s="96">
        <v>0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95"/>
      <c r="B1306" s="95"/>
      <c r="C1306" s="95"/>
      <c r="D1306" s="76" t="s">
        <v>1219</v>
      </c>
      <c r="E1306" s="76" t="s">
        <v>54</v>
      </c>
      <c r="F1306" s="95"/>
      <c r="G1306" s="96">
        <v>72.72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ht="25.5" x14ac:dyDescent="0.25">
      <c r="A1307" s="72" t="s">
        <v>1464</v>
      </c>
      <c r="B1307" s="72" t="s">
        <v>55</v>
      </c>
      <c r="C1307" s="72" t="s">
        <v>1465</v>
      </c>
      <c r="D1307" s="175" t="s">
        <v>1466</v>
      </c>
      <c r="E1307" s="175"/>
      <c r="F1307" s="72" t="s">
        <v>192</v>
      </c>
      <c r="G1307" s="90">
        <v>1088.31558</v>
      </c>
      <c r="H1307" s="91"/>
      <c r="I1307" s="92" t="s">
        <v>63</v>
      </c>
      <c r="J1307" s="90">
        <f>G1307*AO1307</f>
        <v>0</v>
      </c>
      <c r="K1307" s="90">
        <f>G1307*AP1307</f>
        <v>0</v>
      </c>
      <c r="L1307" s="90">
        <f>G1307*H1307</f>
        <v>0</v>
      </c>
      <c r="M1307" s="90">
        <f>L1307*(1+BW1307/100)</f>
        <v>0</v>
      </c>
      <c r="N1307" s="90">
        <v>4.4999999999999997E-3</v>
      </c>
      <c r="O1307" s="90">
        <f>G1307*N1307</f>
        <v>4.8974201099999997</v>
      </c>
      <c r="P1307" s="92" t="s">
        <v>64</v>
      </c>
      <c r="Z1307" s="93">
        <f>IF(AQ1307="5",BJ1307,0)</f>
        <v>0</v>
      </c>
      <c r="AB1307" s="93">
        <f>IF(AQ1307="1",BH1307,0)</f>
        <v>0</v>
      </c>
      <c r="AC1307" s="93">
        <f>IF(AQ1307="1",BI1307,0)</f>
        <v>0</v>
      </c>
      <c r="AD1307" s="93">
        <f>IF(AQ1307="7",BH1307,0)</f>
        <v>0</v>
      </c>
      <c r="AE1307" s="93">
        <f>IF(AQ1307="7",BI1307,0)</f>
        <v>0</v>
      </c>
      <c r="AF1307" s="93">
        <f>IF(AQ1307="2",BH1307,0)</f>
        <v>0</v>
      </c>
      <c r="AG1307" s="93">
        <f>IF(AQ1307="2",BI1307,0)</f>
        <v>0</v>
      </c>
      <c r="AH1307" s="93">
        <f>IF(AQ1307="0",BJ1307,0)</f>
        <v>0</v>
      </c>
      <c r="AI1307" s="88" t="s">
        <v>55</v>
      </c>
      <c r="AJ1307" s="93">
        <f>IF(AN1307=0,L1307,0)</f>
        <v>0</v>
      </c>
      <c r="AK1307" s="93">
        <f>IF(AN1307=12,L1307,0)</f>
        <v>0</v>
      </c>
      <c r="AL1307" s="93">
        <f>IF(AN1307=21,L1307,0)</f>
        <v>0</v>
      </c>
      <c r="AN1307" s="93">
        <v>21</v>
      </c>
      <c r="AO1307" s="93">
        <f>H1307*1</f>
        <v>0</v>
      </c>
      <c r="AP1307" s="93">
        <f>H1307*(1-1)</f>
        <v>0</v>
      </c>
      <c r="AQ1307" s="94" t="s">
        <v>148</v>
      </c>
      <c r="AV1307" s="93">
        <f>AW1307+AX1307</f>
        <v>0</v>
      </c>
      <c r="AW1307" s="93">
        <f>G1307*AO1307</f>
        <v>0</v>
      </c>
      <c r="AX1307" s="93">
        <f>G1307*AP1307</f>
        <v>0</v>
      </c>
      <c r="AY1307" s="94" t="s">
        <v>1455</v>
      </c>
      <c r="AZ1307" s="94" t="s">
        <v>1362</v>
      </c>
      <c r="BA1307" s="88" t="s">
        <v>67</v>
      </c>
      <c r="BC1307" s="93">
        <f>AW1307+AX1307</f>
        <v>0</v>
      </c>
      <c r="BD1307" s="93">
        <f>H1307/(100-BE1307)*100</f>
        <v>0</v>
      </c>
      <c r="BE1307" s="93">
        <v>0</v>
      </c>
      <c r="BF1307" s="93">
        <f>O1307</f>
        <v>4.8974201099999997</v>
      </c>
      <c r="BH1307" s="93">
        <f>G1307*AO1307</f>
        <v>0</v>
      </c>
      <c r="BI1307" s="93">
        <f>G1307*AP1307</f>
        <v>0</v>
      </c>
      <c r="BJ1307" s="93">
        <f>G1307*H1307</f>
        <v>0</v>
      </c>
      <c r="BK1307" s="93"/>
      <c r="BL1307" s="93">
        <v>712</v>
      </c>
      <c r="BW1307" s="93" t="str">
        <f>I1307</f>
        <v>21</v>
      </c>
      <c r="BX1307" s="2" t="s">
        <v>1466</v>
      </c>
    </row>
    <row r="1308" spans="1:76" s="81" customFormat="1" x14ac:dyDescent="0.25">
      <c r="A1308" s="95"/>
      <c r="B1308" s="95"/>
      <c r="C1308" s="95"/>
      <c r="D1308" s="76" t="s">
        <v>1467</v>
      </c>
      <c r="E1308" s="76" t="s">
        <v>54</v>
      </c>
      <c r="F1308" s="95"/>
      <c r="G1308" s="96">
        <v>946.36136999999997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95"/>
      <c r="B1309" s="95"/>
      <c r="C1309" s="95"/>
      <c r="D1309" s="76" t="s">
        <v>1468</v>
      </c>
      <c r="E1309" s="76" t="s">
        <v>54</v>
      </c>
      <c r="F1309" s="95"/>
      <c r="G1309" s="96">
        <v>141.95420999999999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ht="25.5" x14ac:dyDescent="0.25">
      <c r="A1310" s="72" t="s">
        <v>1469</v>
      </c>
      <c r="B1310" s="72" t="s">
        <v>55</v>
      </c>
      <c r="C1310" s="72" t="s">
        <v>1470</v>
      </c>
      <c r="D1310" s="175" t="s">
        <v>1471</v>
      </c>
      <c r="E1310" s="175"/>
      <c r="F1310" s="72" t="s">
        <v>192</v>
      </c>
      <c r="G1310" s="90">
        <v>1324.0291099999999</v>
      </c>
      <c r="H1310" s="91"/>
      <c r="I1310" s="92" t="s">
        <v>63</v>
      </c>
      <c r="J1310" s="90">
        <f>G1310*AO1310</f>
        <v>0</v>
      </c>
      <c r="K1310" s="90">
        <f>G1310*AP1310</f>
        <v>0</v>
      </c>
      <c r="L1310" s="90">
        <f>G1310*H1310</f>
        <v>0</v>
      </c>
      <c r="M1310" s="90">
        <f>L1310*(1+BW1310/100)</f>
        <v>0</v>
      </c>
      <c r="N1310" s="90">
        <v>4.0299999999999997E-3</v>
      </c>
      <c r="O1310" s="90">
        <f>G1310*N1310</f>
        <v>5.335837313299999</v>
      </c>
      <c r="P1310" s="92" t="s">
        <v>64</v>
      </c>
      <c r="Z1310" s="93">
        <f>IF(AQ1310="5",BJ1310,0)</f>
        <v>0</v>
      </c>
      <c r="AB1310" s="93">
        <f>IF(AQ1310="1",BH1310,0)</f>
        <v>0</v>
      </c>
      <c r="AC1310" s="93">
        <f>IF(AQ1310="1",BI1310,0)</f>
        <v>0</v>
      </c>
      <c r="AD1310" s="93">
        <f>IF(AQ1310="7",BH1310,0)</f>
        <v>0</v>
      </c>
      <c r="AE1310" s="93">
        <f>IF(AQ1310="7",BI1310,0)</f>
        <v>0</v>
      </c>
      <c r="AF1310" s="93">
        <f>IF(AQ1310="2",BH1310,0)</f>
        <v>0</v>
      </c>
      <c r="AG1310" s="93">
        <f>IF(AQ1310="2",BI1310,0)</f>
        <v>0</v>
      </c>
      <c r="AH1310" s="93">
        <f>IF(AQ1310="0",BJ1310,0)</f>
        <v>0</v>
      </c>
      <c r="AI1310" s="88" t="s">
        <v>55</v>
      </c>
      <c r="AJ1310" s="93">
        <f>IF(AN1310=0,L1310,0)</f>
        <v>0</v>
      </c>
      <c r="AK1310" s="93">
        <f>IF(AN1310=12,L1310,0)</f>
        <v>0</v>
      </c>
      <c r="AL1310" s="93">
        <f>IF(AN1310=21,L1310,0)</f>
        <v>0</v>
      </c>
      <c r="AN1310" s="93">
        <v>21</v>
      </c>
      <c r="AO1310" s="93">
        <f>H1310*0.754333996</f>
        <v>0</v>
      </c>
      <c r="AP1310" s="93">
        <f>H1310*(1-0.754333996)</f>
        <v>0</v>
      </c>
      <c r="AQ1310" s="94" t="s">
        <v>148</v>
      </c>
      <c r="AV1310" s="93">
        <f>AW1310+AX1310</f>
        <v>0</v>
      </c>
      <c r="AW1310" s="93">
        <f>G1310*AO1310</f>
        <v>0</v>
      </c>
      <c r="AX1310" s="93">
        <f>G1310*AP1310</f>
        <v>0</v>
      </c>
      <c r="AY1310" s="94" t="s">
        <v>1455</v>
      </c>
      <c r="AZ1310" s="94" t="s">
        <v>1362</v>
      </c>
      <c r="BA1310" s="88" t="s">
        <v>67</v>
      </c>
      <c r="BC1310" s="93">
        <f>AW1310+AX1310</f>
        <v>0</v>
      </c>
      <c r="BD1310" s="93">
        <f>H1310/(100-BE1310)*100</f>
        <v>0</v>
      </c>
      <c r="BE1310" s="93">
        <v>0</v>
      </c>
      <c r="BF1310" s="93">
        <f>O1310</f>
        <v>5.335837313299999</v>
      </c>
      <c r="BH1310" s="93">
        <f>G1310*AO1310</f>
        <v>0</v>
      </c>
      <c r="BI1310" s="93">
        <f>G1310*AP1310</f>
        <v>0</v>
      </c>
      <c r="BJ1310" s="93">
        <f>G1310*H1310</f>
        <v>0</v>
      </c>
      <c r="BK1310" s="93"/>
      <c r="BL1310" s="93">
        <v>712</v>
      </c>
      <c r="BW1310" s="93" t="str">
        <f>I1310</f>
        <v>21</v>
      </c>
      <c r="BX1310" s="2" t="s">
        <v>1471</v>
      </c>
    </row>
    <row r="1311" spans="1:76" s="81" customFormat="1" ht="13.5" customHeight="1" x14ac:dyDescent="0.25">
      <c r="A1311" s="95"/>
      <c r="B1311" s="95"/>
      <c r="C1311" s="95"/>
      <c r="D1311" s="182" t="s">
        <v>1472</v>
      </c>
      <c r="E1311" s="182"/>
      <c r="F1311" s="182"/>
      <c r="G1311" s="182"/>
      <c r="H1311" s="182"/>
      <c r="I1311" s="182"/>
      <c r="J1311" s="182"/>
      <c r="K1311" s="182"/>
      <c r="L1311" s="182"/>
      <c r="M1311" s="182"/>
      <c r="N1311" s="182"/>
      <c r="O1311" s="182"/>
      <c r="P1311" s="182"/>
    </row>
    <row r="1312" spans="1:76" s="81" customFormat="1" x14ac:dyDescent="0.25">
      <c r="A1312" s="95"/>
      <c r="B1312" s="95"/>
      <c r="C1312" s="95"/>
      <c r="D1312" s="76" t="s">
        <v>54</v>
      </c>
      <c r="E1312" s="76" t="s">
        <v>831</v>
      </c>
      <c r="F1312" s="95"/>
      <c r="G1312" s="96">
        <v>0</v>
      </c>
      <c r="H1312" s="95"/>
      <c r="I1312" s="95"/>
      <c r="J1312" s="95"/>
      <c r="K1312" s="95"/>
      <c r="L1312" s="95"/>
      <c r="M1312" s="95"/>
      <c r="N1312" s="95"/>
      <c r="O1312" s="95"/>
      <c r="P1312" s="95"/>
    </row>
    <row r="1313" spans="1:76" s="81" customFormat="1" x14ac:dyDescent="0.25">
      <c r="A1313" s="95"/>
      <c r="B1313" s="95"/>
      <c r="C1313" s="95"/>
      <c r="D1313" s="76" t="s">
        <v>54</v>
      </c>
      <c r="E1313" s="76" t="s">
        <v>832</v>
      </c>
      <c r="F1313" s="95"/>
      <c r="G1313" s="96">
        <v>0</v>
      </c>
      <c r="H1313" s="95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x14ac:dyDescent="0.25">
      <c r="A1314" s="95"/>
      <c r="B1314" s="95"/>
      <c r="C1314" s="95"/>
      <c r="D1314" s="76" t="s">
        <v>1410</v>
      </c>
      <c r="E1314" s="76" t="s">
        <v>841</v>
      </c>
      <c r="F1314" s="95"/>
      <c r="G1314" s="96">
        <v>42.173999999999999</v>
      </c>
      <c r="H1314" s="95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x14ac:dyDescent="0.25">
      <c r="A1315" s="95"/>
      <c r="B1315" s="95"/>
      <c r="C1315" s="95"/>
      <c r="D1315" s="76" t="s">
        <v>1411</v>
      </c>
      <c r="E1315" s="76" t="s">
        <v>843</v>
      </c>
      <c r="F1315" s="95"/>
      <c r="G1315" s="96">
        <v>13.88</v>
      </c>
      <c r="H1315" s="95"/>
      <c r="I1315" s="95"/>
      <c r="J1315" s="95"/>
      <c r="K1315" s="95"/>
      <c r="L1315" s="95"/>
      <c r="M1315" s="95"/>
      <c r="N1315" s="95"/>
      <c r="O1315" s="95"/>
      <c r="P1315" s="95"/>
    </row>
    <row r="1316" spans="1:76" s="81" customFormat="1" x14ac:dyDescent="0.25">
      <c r="A1316" s="95"/>
      <c r="B1316" s="95"/>
      <c r="C1316" s="95"/>
      <c r="D1316" s="76" t="s">
        <v>1412</v>
      </c>
      <c r="E1316" s="76" t="s">
        <v>834</v>
      </c>
      <c r="F1316" s="95"/>
      <c r="G1316" s="96">
        <v>40.29</v>
      </c>
      <c r="H1316" s="95"/>
      <c r="I1316" s="95"/>
      <c r="J1316" s="95"/>
      <c r="K1316" s="95"/>
      <c r="L1316" s="95"/>
      <c r="M1316" s="95"/>
      <c r="N1316" s="95"/>
      <c r="O1316" s="95"/>
      <c r="P1316" s="95"/>
    </row>
    <row r="1317" spans="1:76" s="81" customFormat="1" x14ac:dyDescent="0.25">
      <c r="A1317" s="95"/>
      <c r="B1317" s="95"/>
      <c r="C1317" s="95"/>
      <c r="D1317" s="76" t="s">
        <v>54</v>
      </c>
      <c r="E1317" s="76" t="s">
        <v>835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95"/>
      <c r="B1318" s="95"/>
      <c r="C1318" s="95"/>
      <c r="D1318" s="76" t="s">
        <v>1413</v>
      </c>
      <c r="E1318" s="76" t="s">
        <v>54</v>
      </c>
      <c r="F1318" s="95"/>
      <c r="G1318" s="96">
        <v>510.66300000000001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95"/>
      <c r="B1319" s="95"/>
      <c r="C1319" s="95"/>
      <c r="D1319" s="76" t="s">
        <v>54</v>
      </c>
      <c r="E1319" s="76" t="s">
        <v>837</v>
      </c>
      <c r="F1319" s="95"/>
      <c r="G1319" s="96">
        <v>0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95"/>
      <c r="B1320" s="95"/>
      <c r="C1320" s="95"/>
      <c r="D1320" s="76" t="s">
        <v>54</v>
      </c>
      <c r="E1320" s="76" t="s">
        <v>443</v>
      </c>
      <c r="F1320" s="95"/>
      <c r="G1320" s="96">
        <v>0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95"/>
      <c r="B1321" s="95"/>
      <c r="C1321" s="95"/>
      <c r="D1321" s="76" t="s">
        <v>1414</v>
      </c>
      <c r="E1321" s="76" t="s">
        <v>839</v>
      </c>
      <c r="F1321" s="95"/>
      <c r="G1321" s="96">
        <v>266.63436999999999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95"/>
      <c r="B1322" s="95"/>
      <c r="C1322" s="95"/>
      <c r="D1322" s="76" t="s">
        <v>1473</v>
      </c>
      <c r="E1322" s="76" t="s">
        <v>1474</v>
      </c>
      <c r="F1322" s="95"/>
      <c r="G1322" s="96">
        <v>450.38774000000001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ht="25.5" x14ac:dyDescent="0.25">
      <c r="A1323" s="72" t="s">
        <v>1475</v>
      </c>
      <c r="B1323" s="72" t="s">
        <v>55</v>
      </c>
      <c r="C1323" s="72" t="s">
        <v>1476</v>
      </c>
      <c r="D1323" s="175" t="s">
        <v>1463</v>
      </c>
      <c r="E1323" s="175"/>
      <c r="F1323" s="72" t="s">
        <v>192</v>
      </c>
      <c r="G1323" s="90">
        <v>873.64137000000005</v>
      </c>
      <c r="H1323" s="91"/>
      <c r="I1323" s="92" t="s">
        <v>63</v>
      </c>
      <c r="J1323" s="90">
        <f>G1323*AO1323</f>
        <v>0</v>
      </c>
      <c r="K1323" s="90">
        <f>G1323*AP1323</f>
        <v>0</v>
      </c>
      <c r="L1323" s="90">
        <f>G1323*H1323</f>
        <v>0</v>
      </c>
      <c r="M1323" s="90">
        <f>L1323*(1+BW1323/100)</f>
        <v>0</v>
      </c>
      <c r="N1323" s="90">
        <v>5.5300000000000002E-3</v>
      </c>
      <c r="O1323" s="90">
        <f>G1323*N1323</f>
        <v>4.8312367761000008</v>
      </c>
      <c r="P1323" s="92" t="s">
        <v>64</v>
      </c>
      <c r="Z1323" s="93">
        <f>IF(AQ1323="5",BJ1323,0)</f>
        <v>0</v>
      </c>
      <c r="AB1323" s="93">
        <f>IF(AQ1323="1",BH1323,0)</f>
        <v>0</v>
      </c>
      <c r="AC1323" s="93">
        <f>IF(AQ1323="1",BI1323,0)</f>
        <v>0</v>
      </c>
      <c r="AD1323" s="93">
        <f>IF(AQ1323="7",BH1323,0)</f>
        <v>0</v>
      </c>
      <c r="AE1323" s="93">
        <f>IF(AQ1323="7",BI1323,0)</f>
        <v>0</v>
      </c>
      <c r="AF1323" s="93">
        <f>IF(AQ1323="2",BH1323,0)</f>
        <v>0</v>
      </c>
      <c r="AG1323" s="93">
        <f>IF(AQ1323="2",BI1323,0)</f>
        <v>0</v>
      </c>
      <c r="AH1323" s="93">
        <f>IF(AQ1323="0",BJ1323,0)</f>
        <v>0</v>
      </c>
      <c r="AI1323" s="88" t="s">
        <v>55</v>
      </c>
      <c r="AJ1323" s="93">
        <f>IF(AN1323=0,L1323,0)</f>
        <v>0</v>
      </c>
      <c r="AK1323" s="93">
        <f>IF(AN1323=12,L1323,0)</f>
        <v>0</v>
      </c>
      <c r="AL1323" s="93">
        <f>IF(AN1323=21,L1323,0)</f>
        <v>0</v>
      </c>
      <c r="AN1323" s="93">
        <v>21</v>
      </c>
      <c r="AO1323" s="93">
        <f>H1323*0.799144383</f>
        <v>0</v>
      </c>
      <c r="AP1323" s="93">
        <f>H1323*(1-0.799144383)</f>
        <v>0</v>
      </c>
      <c r="AQ1323" s="94" t="s">
        <v>148</v>
      </c>
      <c r="AV1323" s="93">
        <f>AW1323+AX1323</f>
        <v>0</v>
      </c>
      <c r="AW1323" s="93">
        <f>G1323*AO1323</f>
        <v>0</v>
      </c>
      <c r="AX1323" s="93">
        <f>G1323*AP1323</f>
        <v>0</v>
      </c>
      <c r="AY1323" s="94" t="s">
        <v>1455</v>
      </c>
      <c r="AZ1323" s="94" t="s">
        <v>1362</v>
      </c>
      <c r="BA1323" s="88" t="s">
        <v>67</v>
      </c>
      <c r="BC1323" s="93">
        <f>AW1323+AX1323</f>
        <v>0</v>
      </c>
      <c r="BD1323" s="93">
        <f>H1323/(100-BE1323)*100</f>
        <v>0</v>
      </c>
      <c r="BE1323" s="93">
        <v>0</v>
      </c>
      <c r="BF1323" s="93">
        <f>O1323</f>
        <v>4.8312367761000008</v>
      </c>
      <c r="BH1323" s="93">
        <f>G1323*AO1323</f>
        <v>0</v>
      </c>
      <c r="BI1323" s="93">
        <f>G1323*AP1323</f>
        <v>0</v>
      </c>
      <c r="BJ1323" s="93">
        <f>G1323*H1323</f>
        <v>0</v>
      </c>
      <c r="BK1323" s="93"/>
      <c r="BL1323" s="93">
        <v>712</v>
      </c>
      <c r="BW1323" s="93" t="str">
        <f>I1323</f>
        <v>21</v>
      </c>
      <c r="BX1323" s="2" t="s">
        <v>1463</v>
      </c>
    </row>
    <row r="1324" spans="1:76" s="81" customFormat="1" ht="13.5" customHeight="1" x14ac:dyDescent="0.25">
      <c r="A1324" s="95"/>
      <c r="B1324" s="95"/>
      <c r="C1324" s="95"/>
      <c r="D1324" s="182" t="s">
        <v>1477</v>
      </c>
      <c r="E1324" s="182"/>
      <c r="F1324" s="182"/>
      <c r="G1324" s="182"/>
      <c r="H1324" s="182"/>
      <c r="I1324" s="182"/>
      <c r="J1324" s="182"/>
      <c r="K1324" s="182"/>
      <c r="L1324" s="182"/>
      <c r="M1324" s="182"/>
      <c r="N1324" s="182"/>
      <c r="O1324" s="182"/>
      <c r="P1324" s="182"/>
    </row>
    <row r="1325" spans="1:76" s="81" customFormat="1" x14ac:dyDescent="0.25">
      <c r="A1325" s="95"/>
      <c r="B1325" s="95"/>
      <c r="C1325" s="95"/>
      <c r="D1325" s="76" t="s">
        <v>54</v>
      </c>
      <c r="E1325" s="76" t="s">
        <v>831</v>
      </c>
      <c r="F1325" s="95"/>
      <c r="G1325" s="96">
        <v>0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95"/>
      <c r="B1326" s="95"/>
      <c r="C1326" s="95"/>
      <c r="D1326" s="76" t="s">
        <v>54</v>
      </c>
      <c r="E1326" s="76" t="s">
        <v>832</v>
      </c>
      <c r="F1326" s="95"/>
      <c r="G1326" s="96">
        <v>0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x14ac:dyDescent="0.25">
      <c r="A1327" s="95"/>
      <c r="B1327" s="95"/>
      <c r="C1327" s="95"/>
      <c r="D1327" s="76" t="s">
        <v>1410</v>
      </c>
      <c r="E1327" s="76" t="s">
        <v>841</v>
      </c>
      <c r="F1327" s="95"/>
      <c r="G1327" s="96">
        <v>42.173999999999999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x14ac:dyDescent="0.25">
      <c r="A1328" s="95"/>
      <c r="B1328" s="95"/>
      <c r="C1328" s="95"/>
      <c r="D1328" s="76" t="s">
        <v>1411</v>
      </c>
      <c r="E1328" s="76" t="s">
        <v>843</v>
      </c>
      <c r="F1328" s="95"/>
      <c r="G1328" s="96">
        <v>13.88</v>
      </c>
      <c r="H1328" s="95"/>
      <c r="I1328" s="95"/>
      <c r="J1328" s="95"/>
      <c r="K1328" s="95"/>
      <c r="L1328" s="95"/>
      <c r="M1328" s="95"/>
      <c r="N1328" s="95"/>
      <c r="O1328" s="95"/>
      <c r="P1328" s="95"/>
    </row>
    <row r="1329" spans="1:76" s="81" customFormat="1" x14ac:dyDescent="0.25">
      <c r="A1329" s="95"/>
      <c r="B1329" s="95"/>
      <c r="C1329" s="95"/>
      <c r="D1329" s="76" t="s">
        <v>1412</v>
      </c>
      <c r="E1329" s="76" t="s">
        <v>834</v>
      </c>
      <c r="F1329" s="95"/>
      <c r="G1329" s="96">
        <v>40.29</v>
      </c>
      <c r="H1329" s="95"/>
      <c r="I1329" s="95"/>
      <c r="J1329" s="95"/>
      <c r="K1329" s="95"/>
      <c r="L1329" s="95"/>
      <c r="M1329" s="95"/>
      <c r="N1329" s="95"/>
      <c r="O1329" s="95"/>
      <c r="P1329" s="95"/>
    </row>
    <row r="1330" spans="1:76" s="81" customFormat="1" x14ac:dyDescent="0.25">
      <c r="A1330" s="95"/>
      <c r="B1330" s="95"/>
      <c r="C1330" s="95"/>
      <c r="D1330" s="76" t="s">
        <v>54</v>
      </c>
      <c r="E1330" s="76" t="s">
        <v>835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95"/>
      <c r="B1331" s="95"/>
      <c r="C1331" s="95"/>
      <c r="D1331" s="76" t="s">
        <v>1413</v>
      </c>
      <c r="E1331" s="76" t="s">
        <v>54</v>
      </c>
      <c r="F1331" s="95"/>
      <c r="G1331" s="96">
        <v>510.66300000000001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95"/>
      <c r="B1332" s="95"/>
      <c r="C1332" s="95"/>
      <c r="D1332" s="76" t="s">
        <v>54</v>
      </c>
      <c r="E1332" s="76" t="s">
        <v>837</v>
      </c>
      <c r="F1332" s="95"/>
      <c r="G1332" s="96">
        <v>0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95"/>
      <c r="B1333" s="95"/>
      <c r="C1333" s="95"/>
      <c r="D1333" s="76" t="s">
        <v>54</v>
      </c>
      <c r="E1333" s="76" t="s">
        <v>443</v>
      </c>
      <c r="F1333" s="95"/>
      <c r="G1333" s="96">
        <v>0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95"/>
      <c r="B1334" s="95"/>
      <c r="C1334" s="95"/>
      <c r="D1334" s="76" t="s">
        <v>1414</v>
      </c>
      <c r="E1334" s="76" t="s">
        <v>839</v>
      </c>
      <c r="F1334" s="95"/>
      <c r="G1334" s="96">
        <v>266.63436999999999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ht="25.5" x14ac:dyDescent="0.25">
      <c r="A1335" s="72" t="s">
        <v>1478</v>
      </c>
      <c r="B1335" s="72" t="s">
        <v>55</v>
      </c>
      <c r="C1335" s="72" t="s">
        <v>1479</v>
      </c>
      <c r="D1335" s="175" t="s">
        <v>1480</v>
      </c>
      <c r="E1335" s="175"/>
      <c r="F1335" s="72" t="s">
        <v>192</v>
      </c>
      <c r="G1335" s="90">
        <v>72.72</v>
      </c>
      <c r="H1335" s="91"/>
      <c r="I1335" s="92" t="s">
        <v>63</v>
      </c>
      <c r="J1335" s="90">
        <f>G1335*AO1335</f>
        <v>0</v>
      </c>
      <c r="K1335" s="90">
        <f>G1335*AP1335</f>
        <v>0</v>
      </c>
      <c r="L1335" s="90">
        <f>G1335*H1335</f>
        <v>0</v>
      </c>
      <c r="M1335" s="90">
        <f>L1335*(1+BW1335/100)</f>
        <v>0</v>
      </c>
      <c r="N1335" s="90">
        <v>3.2000000000000003E-4</v>
      </c>
      <c r="O1335" s="90">
        <f>G1335*N1335</f>
        <v>2.32704E-2</v>
      </c>
      <c r="P1335" s="92" t="s">
        <v>64</v>
      </c>
      <c r="Z1335" s="93">
        <f>IF(AQ1335="5",BJ1335,0)</f>
        <v>0</v>
      </c>
      <c r="AB1335" s="93">
        <f>IF(AQ1335="1",BH1335,0)</f>
        <v>0</v>
      </c>
      <c r="AC1335" s="93">
        <f>IF(AQ1335="1",BI1335,0)</f>
        <v>0</v>
      </c>
      <c r="AD1335" s="93">
        <f>IF(AQ1335="7",BH1335,0)</f>
        <v>0</v>
      </c>
      <c r="AE1335" s="93">
        <f>IF(AQ1335="7",BI1335,0)</f>
        <v>0</v>
      </c>
      <c r="AF1335" s="93">
        <f>IF(AQ1335="2",BH1335,0)</f>
        <v>0</v>
      </c>
      <c r="AG1335" s="93">
        <f>IF(AQ1335="2",BI1335,0)</f>
        <v>0</v>
      </c>
      <c r="AH1335" s="93">
        <f>IF(AQ1335="0",BJ1335,0)</f>
        <v>0</v>
      </c>
      <c r="AI1335" s="88" t="s">
        <v>55</v>
      </c>
      <c r="AJ1335" s="93">
        <f>IF(AN1335=0,L1335,0)</f>
        <v>0</v>
      </c>
      <c r="AK1335" s="93">
        <f>IF(AN1335=12,L1335,0)</f>
        <v>0</v>
      </c>
      <c r="AL1335" s="93">
        <f>IF(AN1335=21,L1335,0)</f>
        <v>0</v>
      </c>
      <c r="AN1335" s="93">
        <v>21</v>
      </c>
      <c r="AO1335" s="93">
        <f>H1335*0.402544834</f>
        <v>0</v>
      </c>
      <c r="AP1335" s="93">
        <f>H1335*(1-0.402544834)</f>
        <v>0</v>
      </c>
      <c r="AQ1335" s="94" t="s">
        <v>148</v>
      </c>
      <c r="AV1335" s="93">
        <f>AW1335+AX1335</f>
        <v>0</v>
      </c>
      <c r="AW1335" s="93">
        <f>G1335*AO1335</f>
        <v>0</v>
      </c>
      <c r="AX1335" s="93">
        <f>G1335*AP1335</f>
        <v>0</v>
      </c>
      <c r="AY1335" s="94" t="s">
        <v>1455</v>
      </c>
      <c r="AZ1335" s="94" t="s">
        <v>1362</v>
      </c>
      <c r="BA1335" s="88" t="s">
        <v>67</v>
      </c>
      <c r="BC1335" s="93">
        <f>AW1335+AX1335</f>
        <v>0</v>
      </c>
      <c r="BD1335" s="93">
        <f>H1335/(100-BE1335)*100</f>
        <v>0</v>
      </c>
      <c r="BE1335" s="93">
        <v>0</v>
      </c>
      <c r="BF1335" s="93">
        <f>O1335</f>
        <v>2.32704E-2</v>
      </c>
      <c r="BH1335" s="93">
        <f>G1335*AO1335</f>
        <v>0</v>
      </c>
      <c r="BI1335" s="93">
        <f>G1335*AP1335</f>
        <v>0</v>
      </c>
      <c r="BJ1335" s="93">
        <f>G1335*H1335</f>
        <v>0</v>
      </c>
      <c r="BK1335" s="93"/>
      <c r="BL1335" s="93">
        <v>712</v>
      </c>
      <c r="BW1335" s="93" t="str">
        <f>I1335</f>
        <v>21</v>
      </c>
      <c r="BX1335" s="2" t="s">
        <v>1480</v>
      </c>
    </row>
    <row r="1336" spans="1:76" s="81" customFormat="1" ht="13.5" customHeight="1" x14ac:dyDescent="0.25">
      <c r="A1336" s="95"/>
      <c r="B1336" s="95"/>
      <c r="C1336" s="95"/>
      <c r="D1336" s="182" t="s">
        <v>1481</v>
      </c>
      <c r="E1336" s="182"/>
      <c r="F1336" s="182"/>
      <c r="G1336" s="182"/>
      <c r="H1336" s="182"/>
      <c r="I1336" s="182"/>
      <c r="J1336" s="182"/>
      <c r="K1336" s="182"/>
      <c r="L1336" s="182"/>
      <c r="M1336" s="182"/>
      <c r="N1336" s="182"/>
      <c r="O1336" s="182"/>
      <c r="P1336" s="182"/>
    </row>
    <row r="1337" spans="1:76" s="81" customFormat="1" x14ac:dyDescent="0.25">
      <c r="A1337" s="95"/>
      <c r="B1337" s="95"/>
      <c r="C1337" s="95"/>
      <c r="D1337" s="76" t="s">
        <v>54</v>
      </c>
      <c r="E1337" s="76" t="s">
        <v>1218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95"/>
      <c r="B1338" s="95"/>
      <c r="C1338" s="95"/>
      <c r="D1338" s="76" t="s">
        <v>54</v>
      </c>
      <c r="E1338" s="76" t="s">
        <v>443</v>
      </c>
      <c r="F1338" s="95"/>
      <c r="G1338" s="96">
        <v>0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x14ac:dyDescent="0.25">
      <c r="A1339" s="95"/>
      <c r="B1339" s="95"/>
      <c r="C1339" s="95"/>
      <c r="D1339" s="76" t="s">
        <v>1219</v>
      </c>
      <c r="E1339" s="76" t="s">
        <v>54</v>
      </c>
      <c r="F1339" s="95"/>
      <c r="G1339" s="96">
        <v>72.72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ht="25.5" x14ac:dyDescent="0.25">
      <c r="A1340" s="72" t="s">
        <v>1482</v>
      </c>
      <c r="B1340" s="72" t="s">
        <v>55</v>
      </c>
      <c r="C1340" s="72" t="s">
        <v>1483</v>
      </c>
      <c r="D1340" s="175" t="s">
        <v>1484</v>
      </c>
      <c r="E1340" s="175"/>
      <c r="F1340" s="72" t="s">
        <v>213</v>
      </c>
      <c r="G1340" s="90">
        <v>309.22000000000003</v>
      </c>
      <c r="H1340" s="91"/>
      <c r="I1340" s="92" t="s">
        <v>63</v>
      </c>
      <c r="J1340" s="90">
        <f>G1340*AO1340</f>
        <v>0</v>
      </c>
      <c r="K1340" s="90">
        <f>G1340*AP1340</f>
        <v>0</v>
      </c>
      <c r="L1340" s="90">
        <f>G1340*H1340</f>
        <v>0</v>
      </c>
      <c r="M1340" s="90">
        <f>L1340*(1+BW1340/100)</f>
        <v>0</v>
      </c>
      <c r="N1340" s="90">
        <v>1.8400000000000001E-3</v>
      </c>
      <c r="O1340" s="90">
        <f>G1340*N1340</f>
        <v>0.56896480000000005</v>
      </c>
      <c r="P1340" s="92" t="s">
        <v>371</v>
      </c>
      <c r="Z1340" s="93">
        <f>IF(AQ1340="5",BJ1340,0)</f>
        <v>0</v>
      </c>
      <c r="AB1340" s="93">
        <f>IF(AQ1340="1",BH1340,0)</f>
        <v>0</v>
      </c>
      <c r="AC1340" s="93">
        <f>IF(AQ1340="1",BI1340,0)</f>
        <v>0</v>
      </c>
      <c r="AD1340" s="93">
        <f>IF(AQ1340="7",BH1340,0)</f>
        <v>0</v>
      </c>
      <c r="AE1340" s="93">
        <f>IF(AQ1340="7",BI1340,0)</f>
        <v>0</v>
      </c>
      <c r="AF1340" s="93">
        <f>IF(AQ1340="2",BH1340,0)</f>
        <v>0</v>
      </c>
      <c r="AG1340" s="93">
        <f>IF(AQ1340="2",BI1340,0)</f>
        <v>0</v>
      </c>
      <c r="AH1340" s="93">
        <f>IF(AQ1340="0",BJ1340,0)</f>
        <v>0</v>
      </c>
      <c r="AI1340" s="88" t="s">
        <v>55</v>
      </c>
      <c r="AJ1340" s="93">
        <f>IF(AN1340=0,L1340,0)</f>
        <v>0</v>
      </c>
      <c r="AK1340" s="93">
        <f>IF(AN1340=12,L1340,0)</f>
        <v>0</v>
      </c>
      <c r="AL1340" s="93">
        <f>IF(AN1340=21,L1340,0)</f>
        <v>0</v>
      </c>
      <c r="AN1340" s="93">
        <v>21</v>
      </c>
      <c r="AO1340" s="93">
        <f>H1340*0.656231095</f>
        <v>0</v>
      </c>
      <c r="AP1340" s="93">
        <f>H1340*(1-0.656231095)</f>
        <v>0</v>
      </c>
      <c r="AQ1340" s="94" t="s">
        <v>148</v>
      </c>
      <c r="AV1340" s="93">
        <f>AW1340+AX1340</f>
        <v>0</v>
      </c>
      <c r="AW1340" s="93">
        <f>G1340*AO1340</f>
        <v>0</v>
      </c>
      <c r="AX1340" s="93">
        <f>G1340*AP1340</f>
        <v>0</v>
      </c>
      <c r="AY1340" s="94" t="s">
        <v>1455</v>
      </c>
      <c r="AZ1340" s="94" t="s">
        <v>1362</v>
      </c>
      <c r="BA1340" s="88" t="s">
        <v>67</v>
      </c>
      <c r="BC1340" s="93">
        <f>AW1340+AX1340</f>
        <v>0</v>
      </c>
      <c r="BD1340" s="93">
        <f>H1340/(100-BE1340)*100</f>
        <v>0</v>
      </c>
      <c r="BE1340" s="93">
        <v>0</v>
      </c>
      <c r="BF1340" s="93">
        <f>O1340</f>
        <v>0.56896480000000005</v>
      </c>
      <c r="BH1340" s="93">
        <f>G1340*AO1340</f>
        <v>0</v>
      </c>
      <c r="BI1340" s="93">
        <f>G1340*AP1340</f>
        <v>0</v>
      </c>
      <c r="BJ1340" s="93">
        <f>G1340*H1340</f>
        <v>0</v>
      </c>
      <c r="BK1340" s="93"/>
      <c r="BL1340" s="93">
        <v>712</v>
      </c>
      <c r="BW1340" s="93" t="str">
        <f>I1340</f>
        <v>21</v>
      </c>
      <c r="BX1340" s="2" t="s">
        <v>1484</v>
      </c>
    </row>
    <row r="1341" spans="1:76" s="81" customFormat="1" x14ac:dyDescent="0.25">
      <c r="A1341" s="95"/>
      <c r="B1341" s="95"/>
      <c r="C1341" s="95"/>
      <c r="D1341" s="76" t="s">
        <v>54</v>
      </c>
      <c r="E1341" s="76" t="s">
        <v>831</v>
      </c>
      <c r="F1341" s="95"/>
      <c r="G1341" s="96">
        <v>0</v>
      </c>
      <c r="H1341" s="97"/>
      <c r="I1341" s="95"/>
      <c r="J1341" s="95"/>
      <c r="K1341" s="95"/>
      <c r="L1341" s="95"/>
      <c r="M1341" s="95"/>
      <c r="N1341" s="95"/>
      <c r="O1341" s="95"/>
      <c r="P1341" s="95"/>
    </row>
    <row r="1342" spans="1:76" s="81" customFormat="1" x14ac:dyDescent="0.25">
      <c r="A1342" s="95"/>
      <c r="B1342" s="95"/>
      <c r="C1342" s="95"/>
      <c r="D1342" s="76" t="s">
        <v>54</v>
      </c>
      <c r="E1342" s="76" t="s">
        <v>832</v>
      </c>
      <c r="F1342" s="95"/>
      <c r="G1342" s="96">
        <v>0</v>
      </c>
      <c r="H1342" s="97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95"/>
      <c r="B1343" s="95"/>
      <c r="C1343" s="95"/>
      <c r="D1343" s="76" t="s">
        <v>1485</v>
      </c>
      <c r="E1343" s="76" t="s">
        <v>841</v>
      </c>
      <c r="F1343" s="95"/>
      <c r="G1343" s="96">
        <v>0</v>
      </c>
      <c r="H1343" s="97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95"/>
      <c r="B1344" s="95"/>
      <c r="C1344" s="95"/>
      <c r="D1344" s="76" t="s">
        <v>1486</v>
      </c>
      <c r="E1344" s="76" t="s">
        <v>843</v>
      </c>
      <c r="F1344" s="95"/>
      <c r="G1344" s="96">
        <v>13.34</v>
      </c>
      <c r="H1344" s="97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x14ac:dyDescent="0.25">
      <c r="A1345" s="95"/>
      <c r="B1345" s="95"/>
      <c r="C1345" s="95"/>
      <c r="D1345" s="76" t="s">
        <v>1487</v>
      </c>
      <c r="E1345" s="76" t="s">
        <v>834</v>
      </c>
      <c r="F1345" s="95"/>
      <c r="G1345" s="96">
        <v>45.78</v>
      </c>
      <c r="H1345" s="97"/>
      <c r="I1345" s="95"/>
      <c r="J1345" s="95"/>
      <c r="K1345" s="95"/>
      <c r="L1345" s="95"/>
      <c r="M1345" s="95"/>
      <c r="N1345" s="95"/>
      <c r="O1345" s="95"/>
      <c r="P1345" s="95"/>
    </row>
    <row r="1346" spans="1:76" s="81" customFormat="1" x14ac:dyDescent="0.25">
      <c r="A1346" s="95"/>
      <c r="B1346" s="95"/>
      <c r="C1346" s="95"/>
      <c r="D1346" s="76" t="s">
        <v>54</v>
      </c>
      <c r="E1346" s="76" t="s">
        <v>835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95"/>
      <c r="B1347" s="95"/>
      <c r="C1347" s="95"/>
      <c r="D1347" s="76" t="s">
        <v>1488</v>
      </c>
      <c r="E1347" s="76" t="s">
        <v>54</v>
      </c>
      <c r="F1347" s="95"/>
      <c r="G1347" s="96">
        <v>175.91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95"/>
      <c r="B1348" s="95"/>
      <c r="C1348" s="95"/>
      <c r="D1348" s="76" t="s">
        <v>54</v>
      </c>
      <c r="E1348" s="76" t="s">
        <v>837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95"/>
      <c r="B1349" s="95"/>
      <c r="C1349" s="95"/>
      <c r="D1349" s="76" t="s">
        <v>54</v>
      </c>
      <c r="E1349" s="76" t="s">
        <v>443</v>
      </c>
      <c r="F1349" s="95"/>
      <c r="G1349" s="96">
        <v>0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95"/>
      <c r="B1350" s="95"/>
      <c r="C1350" s="95"/>
      <c r="D1350" s="76" t="s">
        <v>1489</v>
      </c>
      <c r="E1350" s="76" t="s">
        <v>839</v>
      </c>
      <c r="F1350" s="95"/>
      <c r="G1350" s="96">
        <v>74.19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ht="25.5" x14ac:dyDescent="0.25">
      <c r="A1351" s="72" t="s">
        <v>1490</v>
      </c>
      <c r="B1351" s="72" t="s">
        <v>55</v>
      </c>
      <c r="C1351" s="72" t="s">
        <v>1491</v>
      </c>
      <c r="D1351" s="175" t="s">
        <v>1492</v>
      </c>
      <c r="E1351" s="175"/>
      <c r="F1351" s="72" t="s">
        <v>192</v>
      </c>
      <c r="G1351" s="90">
        <v>72.72</v>
      </c>
      <c r="H1351" s="91"/>
      <c r="I1351" s="92" t="s">
        <v>63</v>
      </c>
      <c r="J1351" s="90">
        <f>G1351*AO1351</f>
        <v>0</v>
      </c>
      <c r="K1351" s="90">
        <f>G1351*AP1351</f>
        <v>0</v>
      </c>
      <c r="L1351" s="90">
        <f>G1351*H1351</f>
        <v>0</v>
      </c>
      <c r="M1351" s="90">
        <f>L1351*(1+BW1351/100)</f>
        <v>0</v>
      </c>
      <c r="N1351" s="90">
        <v>2.8800000000000002E-3</v>
      </c>
      <c r="O1351" s="90">
        <f>G1351*N1351</f>
        <v>0.2094336</v>
      </c>
      <c r="P1351" s="92" t="s">
        <v>64</v>
      </c>
      <c r="Z1351" s="93">
        <f>IF(AQ1351="5",BJ1351,0)</f>
        <v>0</v>
      </c>
      <c r="AB1351" s="93">
        <f>IF(AQ1351="1",BH1351,0)</f>
        <v>0</v>
      </c>
      <c r="AC1351" s="93">
        <f>IF(AQ1351="1",BI1351,0)</f>
        <v>0</v>
      </c>
      <c r="AD1351" s="93">
        <f>IF(AQ1351="7",BH1351,0)</f>
        <v>0</v>
      </c>
      <c r="AE1351" s="93">
        <f>IF(AQ1351="7",BI1351,0)</f>
        <v>0</v>
      </c>
      <c r="AF1351" s="93">
        <f>IF(AQ1351="2",BH1351,0)</f>
        <v>0</v>
      </c>
      <c r="AG1351" s="93">
        <f>IF(AQ1351="2",BI1351,0)</f>
        <v>0</v>
      </c>
      <c r="AH1351" s="93">
        <f>IF(AQ1351="0",BJ1351,0)</f>
        <v>0</v>
      </c>
      <c r="AI1351" s="88" t="s">
        <v>55</v>
      </c>
      <c r="AJ1351" s="93">
        <f>IF(AN1351=0,L1351,0)</f>
        <v>0</v>
      </c>
      <c r="AK1351" s="93">
        <f>IF(AN1351=12,L1351,0)</f>
        <v>0</v>
      </c>
      <c r="AL1351" s="93">
        <f>IF(AN1351=21,L1351,0)</f>
        <v>0</v>
      </c>
      <c r="AN1351" s="93">
        <v>21</v>
      </c>
      <c r="AO1351" s="93">
        <f>H1351*0.737452693</f>
        <v>0</v>
      </c>
      <c r="AP1351" s="93">
        <f>H1351*(1-0.737452693)</f>
        <v>0</v>
      </c>
      <c r="AQ1351" s="94" t="s">
        <v>148</v>
      </c>
      <c r="AV1351" s="93">
        <f>AW1351+AX1351</f>
        <v>0</v>
      </c>
      <c r="AW1351" s="93">
        <f>G1351*AO1351</f>
        <v>0</v>
      </c>
      <c r="AX1351" s="93">
        <f>G1351*AP1351</f>
        <v>0</v>
      </c>
      <c r="AY1351" s="94" t="s">
        <v>1455</v>
      </c>
      <c r="AZ1351" s="94" t="s">
        <v>1362</v>
      </c>
      <c r="BA1351" s="88" t="s">
        <v>67</v>
      </c>
      <c r="BC1351" s="93">
        <f>AW1351+AX1351</f>
        <v>0</v>
      </c>
      <c r="BD1351" s="93">
        <f>H1351/(100-BE1351)*100</f>
        <v>0</v>
      </c>
      <c r="BE1351" s="93">
        <v>0</v>
      </c>
      <c r="BF1351" s="93">
        <f>O1351</f>
        <v>0.2094336</v>
      </c>
      <c r="BH1351" s="93">
        <f>G1351*AO1351</f>
        <v>0</v>
      </c>
      <c r="BI1351" s="93">
        <f>G1351*AP1351</f>
        <v>0</v>
      </c>
      <c r="BJ1351" s="93">
        <f>G1351*H1351</f>
        <v>0</v>
      </c>
      <c r="BK1351" s="93"/>
      <c r="BL1351" s="93">
        <v>712</v>
      </c>
      <c r="BW1351" s="93" t="str">
        <f>I1351</f>
        <v>21</v>
      </c>
      <c r="BX1351" s="2" t="s">
        <v>1492</v>
      </c>
    </row>
    <row r="1352" spans="1:76" s="81" customFormat="1" ht="13.5" customHeight="1" x14ac:dyDescent="0.25">
      <c r="A1352" s="95"/>
      <c r="B1352" s="95"/>
      <c r="C1352" s="95"/>
      <c r="D1352" s="182" t="s">
        <v>1493</v>
      </c>
      <c r="E1352" s="182"/>
      <c r="F1352" s="182"/>
      <c r="G1352" s="182"/>
      <c r="H1352" s="182"/>
      <c r="I1352" s="182"/>
      <c r="J1352" s="182"/>
      <c r="K1352" s="182"/>
      <c r="L1352" s="182"/>
      <c r="M1352" s="182"/>
      <c r="N1352" s="182"/>
      <c r="O1352" s="182"/>
      <c r="P1352" s="182"/>
    </row>
    <row r="1353" spans="1:76" s="81" customFormat="1" x14ac:dyDescent="0.25">
      <c r="A1353" s="95"/>
      <c r="B1353" s="95"/>
      <c r="C1353" s="95"/>
      <c r="D1353" s="76" t="s">
        <v>54</v>
      </c>
      <c r="E1353" s="76" t="s">
        <v>1218</v>
      </c>
      <c r="F1353" s="95"/>
      <c r="G1353" s="96">
        <v>0</v>
      </c>
      <c r="H1353" s="95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95"/>
      <c r="B1354" s="95"/>
      <c r="C1354" s="95"/>
      <c r="D1354" s="76" t="s">
        <v>54</v>
      </c>
      <c r="E1354" s="76" t="s">
        <v>443</v>
      </c>
      <c r="F1354" s="95"/>
      <c r="G1354" s="96">
        <v>0</v>
      </c>
      <c r="H1354" s="95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x14ac:dyDescent="0.25">
      <c r="A1355" s="95"/>
      <c r="B1355" s="95"/>
      <c r="C1355" s="95"/>
      <c r="D1355" s="76" t="s">
        <v>1219</v>
      </c>
      <c r="E1355" s="76" t="s">
        <v>54</v>
      </c>
      <c r="F1355" s="95"/>
      <c r="G1355" s="96">
        <v>72.72</v>
      </c>
      <c r="H1355" s="95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ht="25.5" x14ac:dyDescent="0.25">
      <c r="A1356" s="72" t="s">
        <v>1494</v>
      </c>
      <c r="B1356" s="72" t="s">
        <v>55</v>
      </c>
      <c r="C1356" s="72" t="s">
        <v>1495</v>
      </c>
      <c r="D1356" s="175" t="s">
        <v>1496</v>
      </c>
      <c r="E1356" s="175"/>
      <c r="F1356" s="72" t="s">
        <v>192</v>
      </c>
      <c r="G1356" s="90">
        <v>459.00565999999998</v>
      </c>
      <c r="H1356" s="91"/>
      <c r="I1356" s="92" t="s">
        <v>63</v>
      </c>
      <c r="J1356" s="90">
        <f>G1356*AO1356</f>
        <v>0</v>
      </c>
      <c r="K1356" s="90">
        <f>G1356*AP1356</f>
        <v>0</v>
      </c>
      <c r="L1356" s="90">
        <f>G1356*H1356</f>
        <v>0</v>
      </c>
      <c r="M1356" s="90">
        <f>L1356*(1+BW1356/100)</f>
        <v>0</v>
      </c>
      <c r="N1356" s="90">
        <v>3.5E-4</v>
      </c>
      <c r="O1356" s="90">
        <f>G1356*N1356</f>
        <v>0.160651981</v>
      </c>
      <c r="P1356" s="92" t="s">
        <v>64</v>
      </c>
      <c r="Z1356" s="93">
        <f>IF(AQ1356="5",BJ1356,0)</f>
        <v>0</v>
      </c>
      <c r="AB1356" s="93">
        <f>IF(AQ1356="1",BH1356,0)</f>
        <v>0</v>
      </c>
      <c r="AC1356" s="93">
        <f>IF(AQ1356="1",BI1356,0)</f>
        <v>0</v>
      </c>
      <c r="AD1356" s="93">
        <f>IF(AQ1356="7",BH1356,0)</f>
        <v>0</v>
      </c>
      <c r="AE1356" s="93">
        <f>IF(AQ1356="7",BI1356,0)</f>
        <v>0</v>
      </c>
      <c r="AF1356" s="93">
        <f>IF(AQ1356="2",BH1356,0)</f>
        <v>0</v>
      </c>
      <c r="AG1356" s="93">
        <f>IF(AQ1356="2",BI1356,0)</f>
        <v>0</v>
      </c>
      <c r="AH1356" s="93">
        <f>IF(AQ1356="0",BJ1356,0)</f>
        <v>0</v>
      </c>
      <c r="AI1356" s="88" t="s">
        <v>55</v>
      </c>
      <c r="AJ1356" s="93">
        <f>IF(AN1356=0,L1356,0)</f>
        <v>0</v>
      </c>
      <c r="AK1356" s="93">
        <f>IF(AN1356=12,L1356,0)</f>
        <v>0</v>
      </c>
      <c r="AL1356" s="93">
        <f>IF(AN1356=21,L1356,0)</f>
        <v>0</v>
      </c>
      <c r="AN1356" s="93">
        <v>21</v>
      </c>
      <c r="AO1356" s="93">
        <f>H1356*0.68205131</f>
        <v>0</v>
      </c>
      <c r="AP1356" s="93">
        <f>H1356*(1-0.68205131)</f>
        <v>0</v>
      </c>
      <c r="AQ1356" s="94" t="s">
        <v>148</v>
      </c>
      <c r="AV1356" s="93">
        <f>AW1356+AX1356</f>
        <v>0</v>
      </c>
      <c r="AW1356" s="93">
        <f>G1356*AO1356</f>
        <v>0</v>
      </c>
      <c r="AX1356" s="93">
        <f>G1356*AP1356</f>
        <v>0</v>
      </c>
      <c r="AY1356" s="94" t="s">
        <v>1455</v>
      </c>
      <c r="AZ1356" s="94" t="s">
        <v>1362</v>
      </c>
      <c r="BA1356" s="88" t="s">
        <v>67</v>
      </c>
      <c r="BC1356" s="93">
        <f>AW1356+AX1356</f>
        <v>0</v>
      </c>
      <c r="BD1356" s="93">
        <f>H1356/(100-BE1356)*100</f>
        <v>0</v>
      </c>
      <c r="BE1356" s="93">
        <v>0</v>
      </c>
      <c r="BF1356" s="93">
        <f>O1356</f>
        <v>0.160651981</v>
      </c>
      <c r="BH1356" s="93">
        <f>G1356*AO1356</f>
        <v>0</v>
      </c>
      <c r="BI1356" s="93">
        <f>G1356*AP1356</f>
        <v>0</v>
      </c>
      <c r="BJ1356" s="93">
        <f>G1356*H1356</f>
        <v>0</v>
      </c>
      <c r="BK1356" s="93"/>
      <c r="BL1356" s="93">
        <v>712</v>
      </c>
      <c r="BW1356" s="93" t="str">
        <f>I1356</f>
        <v>21</v>
      </c>
      <c r="BX1356" s="2" t="s">
        <v>1496</v>
      </c>
    </row>
    <row r="1357" spans="1:76" s="81" customFormat="1" ht="13.5" customHeight="1" x14ac:dyDescent="0.25">
      <c r="A1357" s="95"/>
      <c r="B1357" s="95"/>
      <c r="C1357" s="95"/>
      <c r="D1357" s="182" t="s">
        <v>1460</v>
      </c>
      <c r="E1357" s="182"/>
      <c r="F1357" s="182"/>
      <c r="G1357" s="182"/>
      <c r="H1357" s="182"/>
      <c r="I1357" s="182"/>
      <c r="J1357" s="182"/>
      <c r="K1357" s="182"/>
      <c r="L1357" s="182"/>
      <c r="M1357" s="182"/>
      <c r="N1357" s="182"/>
      <c r="O1357" s="182"/>
      <c r="P1357" s="182"/>
    </row>
    <row r="1358" spans="1:76" s="81" customFormat="1" x14ac:dyDescent="0.25">
      <c r="A1358" s="95"/>
      <c r="B1358" s="95"/>
      <c r="C1358" s="95"/>
      <c r="D1358" s="76" t="s">
        <v>54</v>
      </c>
      <c r="E1358" s="76" t="s">
        <v>831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95"/>
      <c r="B1359" s="95"/>
      <c r="C1359" s="95"/>
      <c r="D1359" s="76" t="s">
        <v>54</v>
      </c>
      <c r="E1359" s="76" t="s">
        <v>832</v>
      </c>
      <c r="F1359" s="95"/>
      <c r="G1359" s="96">
        <v>0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x14ac:dyDescent="0.25">
      <c r="A1360" s="95"/>
      <c r="B1360" s="95"/>
      <c r="C1360" s="95"/>
      <c r="D1360" s="76" t="s">
        <v>1497</v>
      </c>
      <c r="E1360" s="76" t="s">
        <v>54</v>
      </c>
      <c r="F1360" s="95"/>
      <c r="G1360" s="96">
        <v>15.76155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x14ac:dyDescent="0.25">
      <c r="A1361" s="95"/>
      <c r="B1361" s="95"/>
      <c r="C1361" s="95"/>
      <c r="D1361" s="76" t="s">
        <v>1498</v>
      </c>
      <c r="E1361" s="76" t="s">
        <v>54</v>
      </c>
      <c r="F1361" s="95"/>
      <c r="G1361" s="96">
        <v>16.266749999999998</v>
      </c>
      <c r="H1361" s="95"/>
      <c r="I1361" s="95"/>
      <c r="J1361" s="95"/>
      <c r="K1361" s="95"/>
      <c r="L1361" s="95"/>
      <c r="M1361" s="95"/>
      <c r="N1361" s="95"/>
      <c r="O1361" s="95"/>
      <c r="P1361" s="95"/>
    </row>
    <row r="1362" spans="1:76" s="81" customFormat="1" x14ac:dyDescent="0.25">
      <c r="A1362" s="95"/>
      <c r="B1362" s="95"/>
      <c r="C1362" s="95"/>
      <c r="D1362" s="76" t="s">
        <v>1499</v>
      </c>
      <c r="E1362" s="76" t="s">
        <v>54</v>
      </c>
      <c r="F1362" s="95"/>
      <c r="G1362" s="96">
        <v>21.979649999999999</v>
      </c>
      <c r="H1362" s="95"/>
      <c r="I1362" s="95"/>
      <c r="J1362" s="95"/>
      <c r="K1362" s="95"/>
      <c r="L1362" s="95"/>
      <c r="M1362" s="95"/>
      <c r="N1362" s="95"/>
      <c r="O1362" s="95"/>
      <c r="P1362" s="95"/>
    </row>
    <row r="1363" spans="1:76" s="81" customFormat="1" x14ac:dyDescent="0.25">
      <c r="A1363" s="95"/>
      <c r="B1363" s="95"/>
      <c r="C1363" s="95"/>
      <c r="D1363" s="76" t="s">
        <v>1500</v>
      </c>
      <c r="E1363" s="76" t="s">
        <v>54</v>
      </c>
      <c r="F1363" s="95"/>
      <c r="G1363" s="96">
        <v>3.7821699999999998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95"/>
      <c r="B1364" s="95"/>
      <c r="C1364" s="95"/>
      <c r="D1364" s="76" t="s">
        <v>1501</v>
      </c>
      <c r="E1364" s="76" t="s">
        <v>54</v>
      </c>
      <c r="F1364" s="95"/>
      <c r="G1364" s="96">
        <v>1.34592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95"/>
      <c r="B1365" s="95"/>
      <c r="C1365" s="95"/>
      <c r="D1365" s="76" t="s">
        <v>1502</v>
      </c>
      <c r="E1365" s="76" t="s">
        <v>54</v>
      </c>
      <c r="F1365" s="95"/>
      <c r="G1365" s="96">
        <v>334.42070000000001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95"/>
      <c r="B1366" s="95"/>
      <c r="C1366" s="95"/>
      <c r="D1366" s="76" t="s">
        <v>54</v>
      </c>
      <c r="E1366" s="76" t="s">
        <v>837</v>
      </c>
      <c r="F1366" s="95"/>
      <c r="G1366" s="96">
        <v>0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95"/>
      <c r="B1367" s="95"/>
      <c r="C1367" s="95"/>
      <c r="D1367" s="76" t="s">
        <v>1503</v>
      </c>
      <c r="E1367" s="76" t="s">
        <v>54</v>
      </c>
      <c r="F1367" s="95"/>
      <c r="G1367" s="96">
        <v>23.1525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95"/>
      <c r="B1368" s="95"/>
      <c r="C1368" s="95"/>
      <c r="D1368" s="76" t="s">
        <v>1504</v>
      </c>
      <c r="E1368" s="76" t="s">
        <v>54</v>
      </c>
      <c r="F1368" s="95"/>
      <c r="G1368" s="96">
        <v>13.588749999999999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95"/>
      <c r="B1369" s="95"/>
      <c r="C1369" s="95"/>
      <c r="D1369" s="76" t="s">
        <v>1505</v>
      </c>
      <c r="E1369" s="76" t="s">
        <v>54</v>
      </c>
      <c r="F1369" s="95"/>
      <c r="G1369" s="96">
        <v>20.089749999999999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95"/>
      <c r="B1370" s="95"/>
      <c r="C1370" s="95"/>
      <c r="D1370" s="76" t="s">
        <v>54</v>
      </c>
      <c r="E1370" s="76" t="s">
        <v>1218</v>
      </c>
      <c r="F1370" s="95"/>
      <c r="G1370" s="96">
        <v>0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95"/>
      <c r="B1371" s="95"/>
      <c r="C1371" s="95"/>
      <c r="D1371" s="76" t="s">
        <v>1506</v>
      </c>
      <c r="E1371" s="76" t="s">
        <v>54</v>
      </c>
      <c r="F1371" s="95"/>
      <c r="G1371" s="96">
        <v>8.6179199999999998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ht="25.5" x14ac:dyDescent="0.25">
      <c r="A1372" s="72" t="s">
        <v>1507</v>
      </c>
      <c r="B1372" s="72" t="s">
        <v>55</v>
      </c>
      <c r="C1372" s="72" t="s">
        <v>1508</v>
      </c>
      <c r="D1372" s="175" t="s">
        <v>1509</v>
      </c>
      <c r="E1372" s="175"/>
      <c r="F1372" s="72" t="s">
        <v>192</v>
      </c>
      <c r="G1372" s="90">
        <v>459.00565999999998</v>
      </c>
      <c r="H1372" s="91"/>
      <c r="I1372" s="92" t="s">
        <v>63</v>
      </c>
      <c r="J1372" s="90">
        <f>G1372*AO1372</f>
        <v>0</v>
      </c>
      <c r="K1372" s="90">
        <f>G1372*AP1372</f>
        <v>0</v>
      </c>
      <c r="L1372" s="90">
        <f>G1372*H1372</f>
        <v>0</v>
      </c>
      <c r="M1372" s="90">
        <f>L1372*(1+BW1372/100)</f>
        <v>0</v>
      </c>
      <c r="N1372" s="90">
        <v>4.2000000000000002E-4</v>
      </c>
      <c r="O1372" s="90">
        <f>G1372*N1372</f>
        <v>0.19278237719999999</v>
      </c>
      <c r="P1372" s="92" t="s">
        <v>64</v>
      </c>
      <c r="Z1372" s="93">
        <f>IF(AQ1372="5",BJ1372,0)</f>
        <v>0</v>
      </c>
      <c r="AB1372" s="93">
        <f>IF(AQ1372="1",BH1372,0)</f>
        <v>0</v>
      </c>
      <c r="AC1372" s="93">
        <f>IF(AQ1372="1",BI1372,0)</f>
        <v>0</v>
      </c>
      <c r="AD1372" s="93">
        <f>IF(AQ1372="7",BH1372,0)</f>
        <v>0</v>
      </c>
      <c r="AE1372" s="93">
        <f>IF(AQ1372="7",BI1372,0)</f>
        <v>0</v>
      </c>
      <c r="AF1372" s="93">
        <f>IF(AQ1372="2",BH1372,0)</f>
        <v>0</v>
      </c>
      <c r="AG1372" s="93">
        <f>IF(AQ1372="2",BI1372,0)</f>
        <v>0</v>
      </c>
      <c r="AH1372" s="93">
        <f>IF(AQ1372="0",BJ1372,0)</f>
        <v>0</v>
      </c>
      <c r="AI1372" s="88" t="s">
        <v>55</v>
      </c>
      <c r="AJ1372" s="93">
        <f>IF(AN1372=0,L1372,0)</f>
        <v>0</v>
      </c>
      <c r="AK1372" s="93">
        <f>IF(AN1372=12,L1372,0)</f>
        <v>0</v>
      </c>
      <c r="AL1372" s="93">
        <f>IF(AN1372=21,L1372,0)</f>
        <v>0</v>
      </c>
      <c r="AN1372" s="93">
        <v>21</v>
      </c>
      <c r="AO1372" s="93">
        <f>H1372*0.062410451</f>
        <v>0</v>
      </c>
      <c r="AP1372" s="93">
        <f>H1372*(1-0.062410451)</f>
        <v>0</v>
      </c>
      <c r="AQ1372" s="94" t="s">
        <v>148</v>
      </c>
      <c r="AV1372" s="93">
        <f>AW1372+AX1372</f>
        <v>0</v>
      </c>
      <c r="AW1372" s="93">
        <f>G1372*AO1372</f>
        <v>0</v>
      </c>
      <c r="AX1372" s="93">
        <f>G1372*AP1372</f>
        <v>0</v>
      </c>
      <c r="AY1372" s="94" t="s">
        <v>1455</v>
      </c>
      <c r="AZ1372" s="94" t="s">
        <v>1362</v>
      </c>
      <c r="BA1372" s="88" t="s">
        <v>67</v>
      </c>
      <c r="BC1372" s="93">
        <f>AW1372+AX1372</f>
        <v>0</v>
      </c>
      <c r="BD1372" s="93">
        <f>H1372/(100-BE1372)*100</f>
        <v>0</v>
      </c>
      <c r="BE1372" s="93">
        <v>0</v>
      </c>
      <c r="BF1372" s="93">
        <f>O1372</f>
        <v>0.19278237719999999</v>
      </c>
      <c r="BH1372" s="93">
        <f>G1372*AO1372</f>
        <v>0</v>
      </c>
      <c r="BI1372" s="93">
        <f>G1372*AP1372</f>
        <v>0</v>
      </c>
      <c r="BJ1372" s="93">
        <f>G1372*H1372</f>
        <v>0</v>
      </c>
      <c r="BK1372" s="93"/>
      <c r="BL1372" s="93">
        <v>712</v>
      </c>
      <c r="BW1372" s="93" t="str">
        <f>I1372</f>
        <v>21</v>
      </c>
      <c r="BX1372" s="2" t="s">
        <v>1509</v>
      </c>
    </row>
    <row r="1373" spans="1:76" s="81" customFormat="1" ht="25.5" x14ac:dyDescent="0.25">
      <c r="A1373" s="72" t="s">
        <v>1510</v>
      </c>
      <c r="B1373" s="72" t="s">
        <v>55</v>
      </c>
      <c r="C1373" s="72" t="s">
        <v>1465</v>
      </c>
      <c r="D1373" s="175" t="s">
        <v>1466</v>
      </c>
      <c r="E1373" s="175"/>
      <c r="F1373" s="72" t="s">
        <v>192</v>
      </c>
      <c r="G1373" s="90">
        <v>550.80678999999998</v>
      </c>
      <c r="H1373" s="91"/>
      <c r="I1373" s="92" t="s">
        <v>63</v>
      </c>
      <c r="J1373" s="90">
        <f>G1373*AO1373</f>
        <v>0</v>
      </c>
      <c r="K1373" s="90">
        <f>G1373*AP1373</f>
        <v>0</v>
      </c>
      <c r="L1373" s="90">
        <f>G1373*H1373</f>
        <v>0</v>
      </c>
      <c r="M1373" s="90">
        <f>L1373*(1+BW1373/100)</f>
        <v>0</v>
      </c>
      <c r="N1373" s="90">
        <v>4.4999999999999997E-3</v>
      </c>
      <c r="O1373" s="90">
        <f>G1373*N1373</f>
        <v>2.4786305549999996</v>
      </c>
      <c r="P1373" s="92" t="s">
        <v>64</v>
      </c>
      <c r="Z1373" s="93">
        <f>IF(AQ1373="5",BJ1373,0)</f>
        <v>0</v>
      </c>
      <c r="AB1373" s="93">
        <f>IF(AQ1373="1",BH1373,0)</f>
        <v>0</v>
      </c>
      <c r="AC1373" s="93">
        <f>IF(AQ1373="1",BI1373,0)</f>
        <v>0</v>
      </c>
      <c r="AD1373" s="93">
        <f>IF(AQ1373="7",BH1373,0)</f>
        <v>0</v>
      </c>
      <c r="AE1373" s="93">
        <f>IF(AQ1373="7",BI1373,0)</f>
        <v>0</v>
      </c>
      <c r="AF1373" s="93">
        <f>IF(AQ1373="2",BH1373,0)</f>
        <v>0</v>
      </c>
      <c r="AG1373" s="93">
        <f>IF(AQ1373="2",BI1373,0)</f>
        <v>0</v>
      </c>
      <c r="AH1373" s="93">
        <f>IF(AQ1373="0",BJ1373,0)</f>
        <v>0</v>
      </c>
      <c r="AI1373" s="88" t="s">
        <v>55</v>
      </c>
      <c r="AJ1373" s="93">
        <f>IF(AN1373=0,L1373,0)</f>
        <v>0</v>
      </c>
      <c r="AK1373" s="93">
        <f>IF(AN1373=12,L1373,0)</f>
        <v>0</v>
      </c>
      <c r="AL1373" s="93">
        <f>IF(AN1373=21,L1373,0)</f>
        <v>0</v>
      </c>
      <c r="AN1373" s="93">
        <v>21</v>
      </c>
      <c r="AO1373" s="93">
        <f>H1373*1</f>
        <v>0</v>
      </c>
      <c r="AP1373" s="93">
        <f>H1373*(1-1)</f>
        <v>0</v>
      </c>
      <c r="AQ1373" s="94" t="s">
        <v>148</v>
      </c>
      <c r="AV1373" s="93">
        <f>AW1373+AX1373</f>
        <v>0</v>
      </c>
      <c r="AW1373" s="93">
        <f>G1373*AO1373</f>
        <v>0</v>
      </c>
      <c r="AX1373" s="93">
        <f>G1373*AP1373</f>
        <v>0</v>
      </c>
      <c r="AY1373" s="94" t="s">
        <v>1455</v>
      </c>
      <c r="AZ1373" s="94" t="s">
        <v>1362</v>
      </c>
      <c r="BA1373" s="88" t="s">
        <v>67</v>
      </c>
      <c r="BC1373" s="93">
        <f>AW1373+AX1373</f>
        <v>0</v>
      </c>
      <c r="BD1373" s="93">
        <f>H1373/(100-BE1373)*100</f>
        <v>0</v>
      </c>
      <c r="BE1373" s="93">
        <v>0</v>
      </c>
      <c r="BF1373" s="93">
        <f>O1373</f>
        <v>2.4786305549999996</v>
      </c>
      <c r="BH1373" s="93">
        <f>G1373*AO1373</f>
        <v>0</v>
      </c>
      <c r="BI1373" s="93">
        <f>G1373*AP1373</f>
        <v>0</v>
      </c>
      <c r="BJ1373" s="93">
        <f>G1373*H1373</f>
        <v>0</v>
      </c>
      <c r="BK1373" s="93"/>
      <c r="BL1373" s="93">
        <v>712</v>
      </c>
      <c r="BW1373" s="93" t="str">
        <f>I1373</f>
        <v>21</v>
      </c>
      <c r="BX1373" s="2" t="s">
        <v>1466</v>
      </c>
    </row>
    <row r="1374" spans="1:76" s="81" customFormat="1" x14ac:dyDescent="0.25">
      <c r="A1374" s="95"/>
      <c r="B1374" s="95"/>
      <c r="C1374" s="95"/>
      <c r="D1374" s="76" t="s">
        <v>1511</v>
      </c>
      <c r="E1374" s="76" t="s">
        <v>54</v>
      </c>
      <c r="F1374" s="95"/>
      <c r="G1374" s="96">
        <v>459.00565999999998</v>
      </c>
      <c r="H1374" s="97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95"/>
      <c r="B1375" s="95"/>
      <c r="C1375" s="95"/>
      <c r="D1375" s="76" t="s">
        <v>1512</v>
      </c>
      <c r="E1375" s="76" t="s">
        <v>54</v>
      </c>
      <c r="F1375" s="95"/>
      <c r="G1375" s="96">
        <v>91.801130000000001</v>
      </c>
      <c r="H1375" s="97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ht="25.5" x14ac:dyDescent="0.25">
      <c r="A1376" s="72" t="s">
        <v>1513</v>
      </c>
      <c r="B1376" s="72" t="s">
        <v>55</v>
      </c>
      <c r="C1376" s="72" t="s">
        <v>1514</v>
      </c>
      <c r="D1376" s="175" t="s">
        <v>1515</v>
      </c>
      <c r="E1376" s="175"/>
      <c r="F1376" s="72" t="s">
        <v>192</v>
      </c>
      <c r="G1376" s="90">
        <v>450.38774000000001</v>
      </c>
      <c r="H1376" s="91"/>
      <c r="I1376" s="92" t="s">
        <v>63</v>
      </c>
      <c r="J1376" s="90">
        <f>G1376*AO1376</f>
        <v>0</v>
      </c>
      <c r="K1376" s="90">
        <f>G1376*AP1376</f>
        <v>0</v>
      </c>
      <c r="L1376" s="90">
        <f>G1376*H1376</f>
        <v>0</v>
      </c>
      <c r="M1376" s="90">
        <f>L1376*(1+BW1376/100)</f>
        <v>0</v>
      </c>
      <c r="N1376" s="90">
        <v>5.8199999999999997E-3</v>
      </c>
      <c r="O1376" s="90">
        <f>G1376*N1376</f>
        <v>2.6212566468</v>
      </c>
      <c r="P1376" s="92" t="s">
        <v>371</v>
      </c>
      <c r="Z1376" s="93">
        <f>IF(AQ1376="5",BJ1376,0)</f>
        <v>0</v>
      </c>
      <c r="AB1376" s="93">
        <f>IF(AQ1376="1",BH1376,0)</f>
        <v>0</v>
      </c>
      <c r="AC1376" s="93">
        <f>IF(AQ1376="1",BI1376,0)</f>
        <v>0</v>
      </c>
      <c r="AD1376" s="93">
        <f>IF(AQ1376="7",BH1376,0)</f>
        <v>0</v>
      </c>
      <c r="AE1376" s="93">
        <f>IF(AQ1376="7",BI1376,0)</f>
        <v>0</v>
      </c>
      <c r="AF1376" s="93">
        <f>IF(AQ1376="2",BH1376,0)</f>
        <v>0</v>
      </c>
      <c r="AG1376" s="93">
        <f>IF(AQ1376="2",BI1376,0)</f>
        <v>0</v>
      </c>
      <c r="AH1376" s="93">
        <f>IF(AQ1376="0",BJ1376,0)</f>
        <v>0</v>
      </c>
      <c r="AI1376" s="88" t="s">
        <v>55</v>
      </c>
      <c r="AJ1376" s="93">
        <f>IF(AN1376=0,L1376,0)</f>
        <v>0</v>
      </c>
      <c r="AK1376" s="93">
        <f>IF(AN1376=12,L1376,0)</f>
        <v>0</v>
      </c>
      <c r="AL1376" s="93">
        <f>IF(AN1376=21,L1376,0)</f>
        <v>0</v>
      </c>
      <c r="AN1376" s="93">
        <v>21</v>
      </c>
      <c r="AO1376" s="93">
        <f>H1376*0.73290829</f>
        <v>0</v>
      </c>
      <c r="AP1376" s="93">
        <f>H1376*(1-0.73290829)</f>
        <v>0</v>
      </c>
      <c r="AQ1376" s="94" t="s">
        <v>148</v>
      </c>
      <c r="AV1376" s="93">
        <f>AW1376+AX1376</f>
        <v>0</v>
      </c>
      <c r="AW1376" s="93">
        <f>G1376*AO1376</f>
        <v>0</v>
      </c>
      <c r="AX1376" s="93">
        <f>G1376*AP1376</f>
        <v>0</v>
      </c>
      <c r="AY1376" s="94" t="s">
        <v>1455</v>
      </c>
      <c r="AZ1376" s="94" t="s">
        <v>1362</v>
      </c>
      <c r="BA1376" s="88" t="s">
        <v>67</v>
      </c>
      <c r="BC1376" s="93">
        <f>AW1376+AX1376</f>
        <v>0</v>
      </c>
      <c r="BD1376" s="93">
        <f>H1376/(100-BE1376)*100</f>
        <v>0</v>
      </c>
      <c r="BE1376" s="93">
        <v>0</v>
      </c>
      <c r="BF1376" s="93">
        <f>O1376</f>
        <v>2.6212566468</v>
      </c>
      <c r="BH1376" s="93">
        <f>G1376*AO1376</f>
        <v>0</v>
      </c>
      <c r="BI1376" s="93">
        <f>G1376*AP1376</f>
        <v>0</v>
      </c>
      <c r="BJ1376" s="93">
        <f>G1376*H1376</f>
        <v>0</v>
      </c>
      <c r="BK1376" s="93"/>
      <c r="BL1376" s="93">
        <v>712</v>
      </c>
      <c r="BW1376" s="93" t="str">
        <f>I1376</f>
        <v>21</v>
      </c>
      <c r="BX1376" s="2" t="s">
        <v>1515</v>
      </c>
    </row>
    <row r="1377" spans="1:76" s="81" customFormat="1" ht="13.5" customHeight="1" x14ac:dyDescent="0.25">
      <c r="A1377" s="95"/>
      <c r="B1377" s="95"/>
      <c r="C1377" s="95"/>
      <c r="D1377" s="182" t="s">
        <v>1477</v>
      </c>
      <c r="E1377" s="182"/>
      <c r="F1377" s="182"/>
      <c r="G1377" s="182"/>
      <c r="H1377" s="182"/>
      <c r="I1377" s="182"/>
      <c r="J1377" s="182"/>
      <c r="K1377" s="182"/>
      <c r="L1377" s="182"/>
      <c r="M1377" s="182"/>
      <c r="N1377" s="182"/>
      <c r="O1377" s="182"/>
      <c r="P1377" s="182"/>
    </row>
    <row r="1378" spans="1:76" s="81" customFormat="1" ht="25.5" x14ac:dyDescent="0.25">
      <c r="A1378" s="72" t="s">
        <v>1516</v>
      </c>
      <c r="B1378" s="72" t="s">
        <v>55</v>
      </c>
      <c r="C1378" s="72" t="s">
        <v>1517</v>
      </c>
      <c r="D1378" s="175" t="s">
        <v>1518</v>
      </c>
      <c r="E1378" s="175"/>
      <c r="F1378" s="72" t="s">
        <v>192</v>
      </c>
      <c r="G1378" s="90">
        <v>8.6179199999999998</v>
      </c>
      <c r="H1378" s="91"/>
      <c r="I1378" s="92" t="s">
        <v>63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2.9499999999999999E-3</v>
      </c>
      <c r="O1378" s="90">
        <f>G1378*N1378</f>
        <v>2.5422864E-2</v>
      </c>
      <c r="P1378" s="92" t="s">
        <v>64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55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H1378*0.730965663</f>
        <v>0</v>
      </c>
      <c r="AP1378" s="93">
        <f>H1378*(1-0.730965663)</f>
        <v>0</v>
      </c>
      <c r="AQ1378" s="94" t="s">
        <v>148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1455</v>
      </c>
      <c r="AZ1378" s="94" t="s">
        <v>1362</v>
      </c>
      <c r="BA1378" s="88" t="s">
        <v>67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2.5422864E-2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1518</v>
      </c>
    </row>
    <row r="1379" spans="1:76" s="81" customFormat="1" ht="13.5" customHeight="1" x14ac:dyDescent="0.25">
      <c r="A1379" s="95"/>
      <c r="B1379" s="95"/>
      <c r="C1379" s="95"/>
      <c r="D1379" s="182" t="s">
        <v>1493</v>
      </c>
      <c r="E1379" s="182"/>
      <c r="F1379" s="182"/>
      <c r="G1379" s="182"/>
      <c r="H1379" s="182"/>
      <c r="I1379" s="182"/>
      <c r="J1379" s="182"/>
      <c r="K1379" s="182"/>
      <c r="L1379" s="182"/>
      <c r="M1379" s="182"/>
      <c r="N1379" s="182"/>
      <c r="O1379" s="182"/>
      <c r="P1379" s="182"/>
    </row>
    <row r="1380" spans="1:76" s="81" customFormat="1" x14ac:dyDescent="0.25">
      <c r="A1380" s="95"/>
      <c r="B1380" s="95"/>
      <c r="C1380" s="95"/>
      <c r="D1380" s="76" t="s">
        <v>54</v>
      </c>
      <c r="E1380" s="76" t="s">
        <v>1218</v>
      </c>
      <c r="F1380" s="95"/>
      <c r="G1380" s="96">
        <v>0</v>
      </c>
      <c r="H1380" s="95"/>
      <c r="I1380" s="95"/>
      <c r="J1380" s="95"/>
      <c r="K1380" s="95"/>
      <c r="L1380" s="95"/>
      <c r="M1380" s="95"/>
      <c r="N1380" s="95"/>
      <c r="O1380" s="95"/>
      <c r="P1380" s="95"/>
    </row>
    <row r="1381" spans="1:76" s="81" customFormat="1" x14ac:dyDescent="0.25">
      <c r="A1381" s="95"/>
      <c r="B1381" s="95"/>
      <c r="C1381" s="95"/>
      <c r="D1381" s="76" t="s">
        <v>1506</v>
      </c>
      <c r="E1381" s="76" t="s">
        <v>54</v>
      </c>
      <c r="F1381" s="95"/>
      <c r="G1381" s="96">
        <v>8.6179199999999998</v>
      </c>
      <c r="H1381" s="95"/>
      <c r="I1381" s="95"/>
      <c r="J1381" s="95"/>
      <c r="K1381" s="95"/>
      <c r="L1381" s="95"/>
      <c r="M1381" s="95"/>
      <c r="N1381" s="95"/>
      <c r="O1381" s="95"/>
      <c r="P1381" s="95"/>
    </row>
    <row r="1382" spans="1:76" s="81" customFormat="1" ht="25.5" x14ac:dyDescent="0.25">
      <c r="A1382" s="72" t="s">
        <v>1519</v>
      </c>
      <c r="B1382" s="72" t="s">
        <v>55</v>
      </c>
      <c r="C1382" s="72" t="s">
        <v>1520</v>
      </c>
      <c r="D1382" s="175" t="s">
        <v>1521</v>
      </c>
      <c r="E1382" s="175"/>
      <c r="F1382" s="72" t="s">
        <v>1449</v>
      </c>
      <c r="G1382" s="91"/>
      <c r="H1382" s="91"/>
      <c r="I1382" s="92" t="s">
        <v>63</v>
      </c>
      <c r="J1382" s="90">
        <f>G1382*AO1382</f>
        <v>0</v>
      </c>
      <c r="K1382" s="90">
        <f>G1382*AP1382</f>
        <v>0</v>
      </c>
      <c r="L1382" s="90">
        <f>G1382*H1382</f>
        <v>0</v>
      </c>
      <c r="M1382" s="90">
        <f>L1382*(1+BW1382/100)</f>
        <v>0</v>
      </c>
      <c r="N1382" s="90">
        <v>0</v>
      </c>
      <c r="O1382" s="90">
        <f>G1382*N1382</f>
        <v>0</v>
      </c>
      <c r="P1382" s="92" t="s">
        <v>64</v>
      </c>
      <c r="Z1382" s="93">
        <f>IF(AQ1382="5",BJ1382,0)</f>
        <v>0</v>
      </c>
      <c r="AB1382" s="93">
        <f>IF(AQ1382="1",BH1382,0)</f>
        <v>0</v>
      </c>
      <c r="AC1382" s="93">
        <f>IF(AQ1382="1",BI1382,0)</f>
        <v>0</v>
      </c>
      <c r="AD1382" s="93">
        <f>IF(AQ1382="7",BH1382,0)</f>
        <v>0</v>
      </c>
      <c r="AE1382" s="93">
        <f>IF(AQ1382="7",BI1382,0)</f>
        <v>0</v>
      </c>
      <c r="AF1382" s="93">
        <f>IF(AQ1382="2",BH1382,0)</f>
        <v>0</v>
      </c>
      <c r="AG1382" s="93">
        <f>IF(AQ1382="2",BI1382,0)</f>
        <v>0</v>
      </c>
      <c r="AH1382" s="93">
        <f>IF(AQ1382="0",BJ1382,0)</f>
        <v>0</v>
      </c>
      <c r="AI1382" s="88" t="s">
        <v>55</v>
      </c>
      <c r="AJ1382" s="93">
        <f>IF(AN1382=0,L1382,0)</f>
        <v>0</v>
      </c>
      <c r="AK1382" s="93">
        <f>IF(AN1382=12,L1382,0)</f>
        <v>0</v>
      </c>
      <c r="AL1382" s="93">
        <f>IF(AN1382=21,L1382,0)</f>
        <v>0</v>
      </c>
      <c r="AN1382" s="93">
        <v>21</v>
      </c>
      <c r="AO1382" s="93">
        <f>H1382*0</f>
        <v>0</v>
      </c>
      <c r="AP1382" s="93">
        <f>H1382*(1-0)</f>
        <v>0</v>
      </c>
      <c r="AQ1382" s="94" t="s">
        <v>136</v>
      </c>
      <c r="AV1382" s="93">
        <f>AW1382+AX1382</f>
        <v>0</v>
      </c>
      <c r="AW1382" s="93">
        <f>G1382*AO1382</f>
        <v>0</v>
      </c>
      <c r="AX1382" s="93">
        <f>G1382*AP1382</f>
        <v>0</v>
      </c>
      <c r="AY1382" s="94" t="s">
        <v>1455</v>
      </c>
      <c r="AZ1382" s="94" t="s">
        <v>1362</v>
      </c>
      <c r="BA1382" s="88" t="s">
        <v>67</v>
      </c>
      <c r="BC1382" s="93">
        <f>AW1382+AX1382</f>
        <v>0</v>
      </c>
      <c r="BD1382" s="93">
        <f>H1382/(100-BE1382)*100</f>
        <v>0</v>
      </c>
      <c r="BE1382" s="93">
        <v>0</v>
      </c>
      <c r="BF1382" s="93">
        <f>O1382</f>
        <v>0</v>
      </c>
      <c r="BH1382" s="93">
        <f>G1382*AO1382</f>
        <v>0</v>
      </c>
      <c r="BI1382" s="93">
        <f>G1382*AP1382</f>
        <v>0</v>
      </c>
      <c r="BJ1382" s="93">
        <f>G1382*H1382</f>
        <v>0</v>
      </c>
      <c r="BK1382" s="93"/>
      <c r="BL1382" s="93">
        <v>712</v>
      </c>
      <c r="BW1382" s="93" t="str">
        <f>I1382</f>
        <v>21</v>
      </c>
      <c r="BX1382" s="2" t="s">
        <v>1521</v>
      </c>
    </row>
    <row r="1383" spans="1:76" s="81" customFormat="1" x14ac:dyDescent="0.25">
      <c r="A1383" s="85" t="s">
        <v>54</v>
      </c>
      <c r="B1383" s="74" t="s">
        <v>55</v>
      </c>
      <c r="C1383" s="74" t="s">
        <v>1522</v>
      </c>
      <c r="D1383" s="176" t="s">
        <v>1523</v>
      </c>
      <c r="E1383" s="176"/>
      <c r="F1383" s="85" t="s">
        <v>4</v>
      </c>
      <c r="G1383" s="85" t="s">
        <v>4</v>
      </c>
      <c r="H1383" s="85" t="s">
        <v>4</v>
      </c>
      <c r="I1383" s="85" t="s">
        <v>4</v>
      </c>
      <c r="J1383" s="86">
        <f>SUM(J1384:J1547)</f>
        <v>0</v>
      </c>
      <c r="K1383" s="86">
        <f>SUM(K1384:K1547)</f>
        <v>0</v>
      </c>
      <c r="L1383" s="86">
        <f>SUM(L1384:L1547)</f>
        <v>0</v>
      </c>
      <c r="M1383" s="86">
        <f>SUM(M1384:M1547)</f>
        <v>0</v>
      </c>
      <c r="N1383" s="87" t="s">
        <v>54</v>
      </c>
      <c r="O1383" s="86">
        <f>SUM(O1384:O1547)</f>
        <v>32.251211821300004</v>
      </c>
      <c r="P1383" s="87" t="s">
        <v>54</v>
      </c>
      <c r="AI1383" s="88" t="s">
        <v>55</v>
      </c>
      <c r="AS1383" s="89">
        <f>SUM(AJ1384:AJ1547)</f>
        <v>0</v>
      </c>
      <c r="AT1383" s="89">
        <f>SUM(AK1384:AK1547)</f>
        <v>0</v>
      </c>
      <c r="AU1383" s="89">
        <f>SUM(AL1384:AL1547)</f>
        <v>0</v>
      </c>
    </row>
    <row r="1384" spans="1:76" s="81" customFormat="1" ht="25.5" x14ac:dyDescent="0.25">
      <c r="A1384" s="72" t="s">
        <v>1524</v>
      </c>
      <c r="B1384" s="72" t="s">
        <v>55</v>
      </c>
      <c r="C1384" s="72" t="s">
        <v>1525</v>
      </c>
      <c r="D1384" s="175" t="s">
        <v>1526</v>
      </c>
      <c r="E1384" s="175"/>
      <c r="F1384" s="72" t="s">
        <v>192</v>
      </c>
      <c r="G1384" s="90">
        <v>26.864999999999998</v>
      </c>
      <c r="H1384" s="91"/>
      <c r="I1384" s="92" t="s">
        <v>63</v>
      </c>
      <c r="J1384" s="90">
        <f>G1384*AO1384</f>
        <v>0</v>
      </c>
      <c r="K1384" s="90">
        <f>G1384*AP1384</f>
        <v>0</v>
      </c>
      <c r="L1384" s="90">
        <f>G1384*H1384</f>
        <v>0</v>
      </c>
      <c r="M1384" s="90">
        <f>L1384*(1+BW1384/100)</f>
        <v>0</v>
      </c>
      <c r="N1384" s="90">
        <v>3.0000000000000001E-3</v>
      </c>
      <c r="O1384" s="90">
        <f>G1384*N1384</f>
        <v>8.0595E-2</v>
      </c>
      <c r="P1384" s="92" t="s">
        <v>64</v>
      </c>
      <c r="Z1384" s="93">
        <f>IF(AQ1384="5",BJ1384,0)</f>
        <v>0</v>
      </c>
      <c r="AB1384" s="93">
        <f>IF(AQ1384="1",BH1384,0)</f>
        <v>0</v>
      </c>
      <c r="AC1384" s="93">
        <f>IF(AQ1384="1",BI1384,0)</f>
        <v>0</v>
      </c>
      <c r="AD1384" s="93">
        <f>IF(AQ1384="7",BH1384,0)</f>
        <v>0</v>
      </c>
      <c r="AE1384" s="93">
        <f>IF(AQ1384="7",BI1384,0)</f>
        <v>0</v>
      </c>
      <c r="AF1384" s="93">
        <f>IF(AQ1384="2",BH1384,0)</f>
        <v>0</v>
      </c>
      <c r="AG1384" s="93">
        <f>IF(AQ1384="2",BI1384,0)</f>
        <v>0</v>
      </c>
      <c r="AH1384" s="93">
        <f>IF(AQ1384="0",BJ1384,0)</f>
        <v>0</v>
      </c>
      <c r="AI1384" s="88" t="s">
        <v>55</v>
      </c>
      <c r="AJ1384" s="93">
        <f>IF(AN1384=0,L1384,0)</f>
        <v>0</v>
      </c>
      <c r="AK1384" s="93">
        <f>IF(AN1384=12,L1384,0)</f>
        <v>0</v>
      </c>
      <c r="AL1384" s="93">
        <f>IF(AN1384=21,L1384,0)</f>
        <v>0</v>
      </c>
      <c r="AN1384" s="93">
        <v>21</v>
      </c>
      <c r="AO1384" s="93">
        <f>H1384*0.241538462</f>
        <v>0</v>
      </c>
      <c r="AP1384" s="93">
        <f>H1384*(1-0.241538462)</f>
        <v>0</v>
      </c>
      <c r="AQ1384" s="94" t="s">
        <v>148</v>
      </c>
      <c r="AV1384" s="93">
        <f>AW1384+AX1384</f>
        <v>0</v>
      </c>
      <c r="AW1384" s="93">
        <f>G1384*AO1384</f>
        <v>0</v>
      </c>
      <c r="AX1384" s="93">
        <f>G1384*AP1384</f>
        <v>0</v>
      </c>
      <c r="AY1384" s="94" t="s">
        <v>1527</v>
      </c>
      <c r="AZ1384" s="94" t="s">
        <v>1362</v>
      </c>
      <c r="BA1384" s="88" t="s">
        <v>67</v>
      </c>
      <c r="BC1384" s="93">
        <f>AW1384+AX1384</f>
        <v>0</v>
      </c>
      <c r="BD1384" s="93">
        <f>H1384/(100-BE1384)*100</f>
        <v>0</v>
      </c>
      <c r="BE1384" s="93">
        <v>0</v>
      </c>
      <c r="BF1384" s="93">
        <f>O1384</f>
        <v>8.0595E-2</v>
      </c>
      <c r="BH1384" s="93">
        <f>G1384*AO1384</f>
        <v>0</v>
      </c>
      <c r="BI1384" s="93">
        <f>G1384*AP1384</f>
        <v>0</v>
      </c>
      <c r="BJ1384" s="93">
        <f>G1384*H1384</f>
        <v>0</v>
      </c>
      <c r="BK1384" s="93"/>
      <c r="BL1384" s="93">
        <v>713</v>
      </c>
      <c r="BW1384" s="93" t="str">
        <f>I1384</f>
        <v>21</v>
      </c>
      <c r="BX1384" s="2" t="s">
        <v>1526</v>
      </c>
    </row>
    <row r="1385" spans="1:76" s="81" customFormat="1" x14ac:dyDescent="0.25">
      <c r="A1385" s="95"/>
      <c r="B1385" s="95"/>
      <c r="C1385" s="95"/>
      <c r="D1385" s="76" t="s">
        <v>54</v>
      </c>
      <c r="E1385" s="76" t="s">
        <v>294</v>
      </c>
      <c r="F1385" s="95"/>
      <c r="G1385" s="96">
        <v>0</v>
      </c>
      <c r="H1385" s="97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ht="25.5" x14ac:dyDescent="0.25">
      <c r="A1386" s="95"/>
      <c r="B1386" s="95"/>
      <c r="C1386" s="95"/>
      <c r="D1386" s="76" t="s">
        <v>54</v>
      </c>
      <c r="E1386" s="76" t="s">
        <v>1528</v>
      </c>
      <c r="F1386" s="95"/>
      <c r="G1386" s="96">
        <v>0</v>
      </c>
      <c r="H1386" s="97"/>
      <c r="I1386" s="95"/>
      <c r="J1386" s="95"/>
      <c r="K1386" s="95"/>
      <c r="L1386" s="95"/>
      <c r="M1386" s="95"/>
      <c r="N1386" s="95"/>
      <c r="O1386" s="95"/>
      <c r="P1386" s="95"/>
    </row>
    <row r="1387" spans="1:76" s="81" customFormat="1" x14ac:dyDescent="0.25">
      <c r="A1387" s="95"/>
      <c r="B1387" s="95"/>
      <c r="C1387" s="95"/>
      <c r="D1387" s="76" t="s">
        <v>1529</v>
      </c>
      <c r="E1387" s="76" t="s">
        <v>54</v>
      </c>
      <c r="F1387" s="95"/>
      <c r="G1387" s="96">
        <v>26.864999999999998</v>
      </c>
      <c r="H1387" s="97"/>
      <c r="I1387" s="95"/>
      <c r="J1387" s="95"/>
      <c r="K1387" s="95"/>
      <c r="L1387" s="95"/>
      <c r="M1387" s="95"/>
      <c r="N1387" s="95"/>
      <c r="O1387" s="95"/>
      <c r="P1387" s="95"/>
    </row>
    <row r="1388" spans="1:76" s="81" customFormat="1" ht="25.5" x14ac:dyDescent="0.25">
      <c r="A1388" s="72" t="s">
        <v>1530</v>
      </c>
      <c r="B1388" s="72" t="s">
        <v>55</v>
      </c>
      <c r="C1388" s="72" t="s">
        <v>1531</v>
      </c>
      <c r="D1388" s="175" t="s">
        <v>1532</v>
      </c>
      <c r="E1388" s="175"/>
      <c r="F1388" s="72" t="s">
        <v>192</v>
      </c>
      <c r="G1388" s="90">
        <v>27.4023</v>
      </c>
      <c r="H1388" s="91"/>
      <c r="I1388" s="92" t="s">
        <v>63</v>
      </c>
      <c r="J1388" s="90">
        <f>G1388*AO1388</f>
        <v>0</v>
      </c>
      <c r="K1388" s="90">
        <f>G1388*AP1388</f>
        <v>0</v>
      </c>
      <c r="L1388" s="90">
        <f>G1388*H1388</f>
        <v>0</v>
      </c>
      <c r="M1388" s="90">
        <f>L1388*(1+BW1388/100)</f>
        <v>0</v>
      </c>
      <c r="N1388" s="90">
        <v>2.3999999999999998E-3</v>
      </c>
      <c r="O1388" s="90">
        <f>G1388*N1388</f>
        <v>6.5765519999999994E-2</v>
      </c>
      <c r="P1388" s="92" t="s">
        <v>64</v>
      </c>
      <c r="Z1388" s="93">
        <f>IF(AQ1388="5",BJ1388,0)</f>
        <v>0</v>
      </c>
      <c r="AB1388" s="93">
        <f>IF(AQ1388="1",BH1388,0)</f>
        <v>0</v>
      </c>
      <c r="AC1388" s="93">
        <f>IF(AQ1388="1",BI1388,0)</f>
        <v>0</v>
      </c>
      <c r="AD1388" s="93">
        <f>IF(AQ1388="7",BH1388,0)</f>
        <v>0</v>
      </c>
      <c r="AE1388" s="93">
        <f>IF(AQ1388="7",BI1388,0)</f>
        <v>0</v>
      </c>
      <c r="AF1388" s="93">
        <f>IF(AQ1388="2",BH1388,0)</f>
        <v>0</v>
      </c>
      <c r="AG1388" s="93">
        <f>IF(AQ1388="2",BI1388,0)</f>
        <v>0</v>
      </c>
      <c r="AH1388" s="93">
        <f>IF(AQ1388="0",BJ1388,0)</f>
        <v>0</v>
      </c>
      <c r="AI1388" s="88" t="s">
        <v>55</v>
      </c>
      <c r="AJ1388" s="93">
        <f>IF(AN1388=0,L1388,0)</f>
        <v>0</v>
      </c>
      <c r="AK1388" s="93">
        <f>IF(AN1388=12,L1388,0)</f>
        <v>0</v>
      </c>
      <c r="AL1388" s="93">
        <f>IF(AN1388=21,L1388,0)</f>
        <v>0</v>
      </c>
      <c r="AN1388" s="93">
        <v>21</v>
      </c>
      <c r="AO1388" s="93">
        <f>H1388*1</f>
        <v>0</v>
      </c>
      <c r="AP1388" s="93">
        <f>H1388*(1-1)</f>
        <v>0</v>
      </c>
      <c r="AQ1388" s="94" t="s">
        <v>148</v>
      </c>
      <c r="AV1388" s="93">
        <f>AW1388+AX1388</f>
        <v>0</v>
      </c>
      <c r="AW1388" s="93">
        <f>G1388*AO1388</f>
        <v>0</v>
      </c>
      <c r="AX1388" s="93">
        <f>G1388*AP1388</f>
        <v>0</v>
      </c>
      <c r="AY1388" s="94" t="s">
        <v>1527</v>
      </c>
      <c r="AZ1388" s="94" t="s">
        <v>1362</v>
      </c>
      <c r="BA1388" s="88" t="s">
        <v>67</v>
      </c>
      <c r="BC1388" s="93">
        <f>AW1388+AX1388</f>
        <v>0</v>
      </c>
      <c r="BD1388" s="93">
        <f>H1388/(100-BE1388)*100</f>
        <v>0</v>
      </c>
      <c r="BE1388" s="93">
        <v>0</v>
      </c>
      <c r="BF1388" s="93">
        <f>O1388</f>
        <v>6.5765519999999994E-2</v>
      </c>
      <c r="BH1388" s="93">
        <f>G1388*AO1388</f>
        <v>0</v>
      </c>
      <c r="BI1388" s="93">
        <f>G1388*AP1388</f>
        <v>0</v>
      </c>
      <c r="BJ1388" s="93">
        <f>G1388*H1388</f>
        <v>0</v>
      </c>
      <c r="BK1388" s="93"/>
      <c r="BL1388" s="93">
        <v>713</v>
      </c>
      <c r="BW1388" s="93" t="str">
        <f>I1388</f>
        <v>21</v>
      </c>
      <c r="BX1388" s="2" t="s">
        <v>1532</v>
      </c>
    </row>
    <row r="1389" spans="1:76" s="81" customFormat="1" x14ac:dyDescent="0.25">
      <c r="A1389" s="95"/>
      <c r="B1389" s="95"/>
      <c r="C1389" s="95"/>
      <c r="D1389" s="76" t="s">
        <v>1533</v>
      </c>
      <c r="E1389" s="76" t="s">
        <v>54</v>
      </c>
      <c r="F1389" s="95"/>
      <c r="G1389" s="96">
        <v>26.864999999999998</v>
      </c>
      <c r="H1389" s="97"/>
      <c r="I1389" s="95"/>
      <c r="J1389" s="95"/>
      <c r="K1389" s="95"/>
      <c r="L1389" s="95"/>
      <c r="M1389" s="95"/>
      <c r="N1389" s="95"/>
      <c r="O1389" s="95"/>
      <c r="P1389" s="95"/>
    </row>
    <row r="1390" spans="1:76" s="81" customFormat="1" x14ac:dyDescent="0.25">
      <c r="A1390" s="95"/>
      <c r="B1390" s="95"/>
      <c r="C1390" s="95"/>
      <c r="D1390" s="76" t="s">
        <v>1534</v>
      </c>
      <c r="E1390" s="76" t="s">
        <v>54</v>
      </c>
      <c r="F1390" s="95"/>
      <c r="G1390" s="96">
        <v>0.5373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ht="25.5" x14ac:dyDescent="0.25">
      <c r="A1391" s="72" t="s">
        <v>1535</v>
      </c>
      <c r="B1391" s="72" t="s">
        <v>55</v>
      </c>
      <c r="C1391" s="72" t="s">
        <v>1536</v>
      </c>
      <c r="D1391" s="175" t="s">
        <v>1537</v>
      </c>
      <c r="E1391" s="175"/>
      <c r="F1391" s="72" t="s">
        <v>192</v>
      </c>
      <c r="G1391" s="90">
        <v>1146.5119999999999</v>
      </c>
      <c r="H1391" s="91"/>
      <c r="I1391" s="92" t="s">
        <v>63</v>
      </c>
      <c r="J1391" s="90">
        <f>G1391*AO1391</f>
        <v>0</v>
      </c>
      <c r="K1391" s="90">
        <f>G1391*AP1391</f>
        <v>0</v>
      </c>
      <c r="L1391" s="90">
        <f>G1391*H1391</f>
        <v>0</v>
      </c>
      <c r="M1391" s="90">
        <f>L1391*(1+BW1391/100)</f>
        <v>0</v>
      </c>
      <c r="N1391" s="90">
        <v>1.0000000000000001E-5</v>
      </c>
      <c r="O1391" s="90">
        <f>G1391*N1391</f>
        <v>1.1465120000000001E-2</v>
      </c>
      <c r="P1391" s="92" t="s">
        <v>64</v>
      </c>
      <c r="Z1391" s="93">
        <f>IF(AQ1391="5",BJ1391,0)</f>
        <v>0</v>
      </c>
      <c r="AB1391" s="93">
        <f>IF(AQ1391="1",BH1391,0)</f>
        <v>0</v>
      </c>
      <c r="AC1391" s="93">
        <f>IF(AQ1391="1",BI1391,0)</f>
        <v>0</v>
      </c>
      <c r="AD1391" s="93">
        <f>IF(AQ1391="7",BH1391,0)</f>
        <v>0</v>
      </c>
      <c r="AE1391" s="93">
        <f>IF(AQ1391="7",BI1391,0)</f>
        <v>0</v>
      </c>
      <c r="AF1391" s="93">
        <f>IF(AQ1391="2",BH1391,0)</f>
        <v>0</v>
      </c>
      <c r="AG1391" s="93">
        <f>IF(AQ1391="2",BI1391,0)</f>
        <v>0</v>
      </c>
      <c r="AH1391" s="93">
        <f>IF(AQ1391="0",BJ1391,0)</f>
        <v>0</v>
      </c>
      <c r="AI1391" s="88" t="s">
        <v>55</v>
      </c>
      <c r="AJ1391" s="93">
        <f>IF(AN1391=0,L1391,0)</f>
        <v>0</v>
      </c>
      <c r="AK1391" s="93">
        <f>IF(AN1391=12,L1391,0)</f>
        <v>0</v>
      </c>
      <c r="AL1391" s="93">
        <f>IF(AN1391=21,L1391,0)</f>
        <v>0</v>
      </c>
      <c r="AN1391" s="93">
        <v>21</v>
      </c>
      <c r="AO1391" s="93">
        <f>H1391*0.211576851</f>
        <v>0</v>
      </c>
      <c r="AP1391" s="93">
        <f>H1391*(1-0.211576851)</f>
        <v>0</v>
      </c>
      <c r="AQ1391" s="94" t="s">
        <v>148</v>
      </c>
      <c r="AV1391" s="93">
        <f>AW1391+AX1391</f>
        <v>0</v>
      </c>
      <c r="AW1391" s="93">
        <f>G1391*AO1391</f>
        <v>0</v>
      </c>
      <c r="AX1391" s="93">
        <f>G1391*AP1391</f>
        <v>0</v>
      </c>
      <c r="AY1391" s="94" t="s">
        <v>1527</v>
      </c>
      <c r="AZ1391" s="94" t="s">
        <v>1362</v>
      </c>
      <c r="BA1391" s="88" t="s">
        <v>67</v>
      </c>
      <c r="BC1391" s="93">
        <f>AW1391+AX1391</f>
        <v>0</v>
      </c>
      <c r="BD1391" s="93">
        <f>H1391/(100-BE1391)*100</f>
        <v>0</v>
      </c>
      <c r="BE1391" s="93">
        <v>0</v>
      </c>
      <c r="BF1391" s="93">
        <f>O1391</f>
        <v>1.1465120000000001E-2</v>
      </c>
      <c r="BH1391" s="93">
        <f>G1391*AO1391</f>
        <v>0</v>
      </c>
      <c r="BI1391" s="93">
        <f>G1391*AP1391</f>
        <v>0</v>
      </c>
      <c r="BJ1391" s="93">
        <f>G1391*H1391</f>
        <v>0</v>
      </c>
      <c r="BK1391" s="93"/>
      <c r="BL1391" s="93">
        <v>713</v>
      </c>
      <c r="BW1391" s="93" t="str">
        <f>I1391</f>
        <v>21</v>
      </c>
      <c r="BX1391" s="2" t="s">
        <v>1537</v>
      </c>
    </row>
    <row r="1392" spans="1:76" s="81" customFormat="1" ht="13.5" customHeight="1" x14ac:dyDescent="0.25">
      <c r="A1392" s="95"/>
      <c r="B1392" s="95"/>
      <c r="C1392" s="95"/>
      <c r="D1392" s="182" t="s">
        <v>1538</v>
      </c>
      <c r="E1392" s="182"/>
      <c r="F1392" s="182"/>
      <c r="G1392" s="182"/>
      <c r="H1392" s="182"/>
      <c r="I1392" s="182"/>
      <c r="J1392" s="182"/>
      <c r="K1392" s="182"/>
      <c r="L1392" s="182"/>
      <c r="M1392" s="182"/>
      <c r="N1392" s="182"/>
      <c r="O1392" s="182"/>
      <c r="P1392" s="182"/>
    </row>
    <row r="1393" spans="1:16" s="81" customFormat="1" x14ac:dyDescent="0.25">
      <c r="A1393" s="95"/>
      <c r="B1393" s="95"/>
      <c r="C1393" s="95"/>
      <c r="D1393" s="76" t="s">
        <v>54</v>
      </c>
      <c r="E1393" s="76" t="s">
        <v>1102</v>
      </c>
      <c r="F1393" s="95"/>
      <c r="G1393" s="96">
        <v>0</v>
      </c>
      <c r="H1393" s="95"/>
      <c r="I1393" s="95"/>
      <c r="J1393" s="95"/>
      <c r="K1393" s="95"/>
      <c r="L1393" s="95"/>
      <c r="M1393" s="95"/>
      <c r="N1393" s="95"/>
      <c r="O1393" s="95"/>
      <c r="P1393" s="95"/>
    </row>
    <row r="1394" spans="1:16" s="81" customFormat="1" x14ac:dyDescent="0.25">
      <c r="A1394" s="95"/>
      <c r="B1394" s="95"/>
      <c r="C1394" s="95"/>
      <c r="D1394" s="76" t="s">
        <v>54</v>
      </c>
      <c r="E1394" s="76" t="s">
        <v>1103</v>
      </c>
      <c r="F1394" s="95"/>
      <c r="G1394" s="96">
        <v>0</v>
      </c>
      <c r="H1394" s="95"/>
      <c r="I1394" s="95"/>
      <c r="J1394" s="95"/>
      <c r="K1394" s="95"/>
      <c r="L1394" s="95"/>
      <c r="M1394" s="95"/>
      <c r="N1394" s="95"/>
      <c r="O1394" s="95"/>
      <c r="P1394" s="95"/>
    </row>
    <row r="1395" spans="1:16" s="81" customFormat="1" ht="25.5" x14ac:dyDescent="0.25">
      <c r="A1395" s="95"/>
      <c r="B1395" s="95"/>
      <c r="C1395" s="95"/>
      <c r="D1395" s="76" t="s">
        <v>1104</v>
      </c>
      <c r="E1395" s="76" t="s">
        <v>1105</v>
      </c>
      <c r="F1395" s="95"/>
      <c r="G1395" s="96">
        <v>476.9</v>
      </c>
      <c r="H1395" s="95"/>
      <c r="I1395" s="95"/>
      <c r="J1395" s="95"/>
      <c r="K1395" s="95"/>
      <c r="L1395" s="95"/>
      <c r="M1395" s="95"/>
      <c r="N1395" s="95"/>
      <c r="O1395" s="95"/>
      <c r="P1395" s="95"/>
    </row>
    <row r="1396" spans="1:16" s="81" customFormat="1" x14ac:dyDescent="0.25">
      <c r="A1396" s="95"/>
      <c r="B1396" s="95"/>
      <c r="C1396" s="95"/>
      <c r="D1396" s="76" t="s">
        <v>54</v>
      </c>
      <c r="E1396" s="76" t="s">
        <v>1106</v>
      </c>
      <c r="F1396" s="95"/>
      <c r="G1396" s="96">
        <v>0</v>
      </c>
      <c r="H1396" s="95"/>
      <c r="I1396" s="95"/>
      <c r="J1396" s="95"/>
      <c r="K1396" s="95"/>
      <c r="L1396" s="95"/>
      <c r="M1396" s="95"/>
      <c r="N1396" s="95"/>
      <c r="O1396" s="95"/>
      <c r="P1396" s="95"/>
    </row>
    <row r="1397" spans="1:16" s="81" customFormat="1" x14ac:dyDescent="0.25">
      <c r="A1397" s="95"/>
      <c r="B1397" s="95"/>
      <c r="C1397" s="95"/>
      <c r="D1397" s="76" t="s">
        <v>54</v>
      </c>
      <c r="E1397" s="76" t="s">
        <v>1107</v>
      </c>
      <c r="F1397" s="95"/>
      <c r="G1397" s="96">
        <v>0</v>
      </c>
      <c r="H1397" s="95"/>
      <c r="I1397" s="95"/>
      <c r="J1397" s="95"/>
      <c r="K1397" s="95"/>
      <c r="L1397" s="95"/>
      <c r="M1397" s="95"/>
      <c r="N1397" s="95"/>
      <c r="O1397" s="95"/>
      <c r="P1397" s="95"/>
    </row>
    <row r="1398" spans="1:16" s="81" customFormat="1" x14ac:dyDescent="0.25">
      <c r="A1398" s="95"/>
      <c r="B1398" s="95"/>
      <c r="C1398" s="95"/>
      <c r="D1398" s="76" t="s">
        <v>1115</v>
      </c>
      <c r="E1398" s="76" t="s">
        <v>1116</v>
      </c>
      <c r="F1398" s="95"/>
      <c r="G1398" s="96">
        <v>9.3119999999999994</v>
      </c>
      <c r="H1398" s="95"/>
      <c r="I1398" s="95"/>
      <c r="J1398" s="95"/>
      <c r="K1398" s="95"/>
      <c r="L1398" s="95"/>
      <c r="M1398" s="95"/>
      <c r="N1398" s="95"/>
      <c r="O1398" s="95"/>
      <c r="P1398" s="95"/>
    </row>
    <row r="1399" spans="1:16" s="81" customFormat="1" ht="25.5" x14ac:dyDescent="0.25">
      <c r="A1399" s="95"/>
      <c r="B1399" s="95"/>
      <c r="C1399" s="95"/>
      <c r="D1399" s="76" t="s">
        <v>1110</v>
      </c>
      <c r="E1399" s="76" t="s">
        <v>1111</v>
      </c>
      <c r="F1399" s="95"/>
      <c r="G1399" s="96">
        <v>330.5</v>
      </c>
      <c r="H1399" s="95"/>
      <c r="I1399" s="95"/>
      <c r="J1399" s="95"/>
      <c r="K1399" s="95"/>
      <c r="L1399" s="95"/>
      <c r="M1399" s="95"/>
      <c r="N1399" s="95"/>
      <c r="O1399" s="95"/>
      <c r="P1399" s="95"/>
    </row>
    <row r="1400" spans="1:16" s="81" customFormat="1" x14ac:dyDescent="0.25">
      <c r="A1400" s="95"/>
      <c r="B1400" s="95"/>
      <c r="C1400" s="95"/>
      <c r="D1400" s="76" t="s">
        <v>54</v>
      </c>
      <c r="E1400" s="76" t="s">
        <v>1117</v>
      </c>
      <c r="F1400" s="95"/>
      <c r="G1400" s="96">
        <v>0</v>
      </c>
      <c r="H1400" s="95"/>
      <c r="I1400" s="95"/>
      <c r="J1400" s="95"/>
      <c r="K1400" s="95"/>
      <c r="L1400" s="95"/>
      <c r="M1400" s="95"/>
      <c r="N1400" s="95"/>
      <c r="O1400" s="95"/>
      <c r="P1400" s="95"/>
    </row>
    <row r="1401" spans="1:16" s="81" customFormat="1" x14ac:dyDescent="0.25">
      <c r="A1401" s="95"/>
      <c r="B1401" s="95"/>
      <c r="C1401" s="95"/>
      <c r="D1401" s="76" t="s">
        <v>54</v>
      </c>
      <c r="E1401" s="76" t="s">
        <v>1103</v>
      </c>
      <c r="F1401" s="95"/>
      <c r="G1401" s="96">
        <v>0</v>
      </c>
      <c r="H1401" s="95"/>
      <c r="I1401" s="95"/>
      <c r="J1401" s="95"/>
      <c r="K1401" s="95"/>
      <c r="L1401" s="95"/>
      <c r="M1401" s="95"/>
      <c r="N1401" s="95"/>
      <c r="O1401" s="95"/>
      <c r="P1401" s="95"/>
    </row>
    <row r="1402" spans="1:16" s="81" customFormat="1" ht="25.5" x14ac:dyDescent="0.25">
      <c r="A1402" s="95"/>
      <c r="B1402" s="95"/>
      <c r="C1402" s="95"/>
      <c r="D1402" s="76" t="s">
        <v>1118</v>
      </c>
      <c r="E1402" s="76" t="s">
        <v>1119</v>
      </c>
      <c r="F1402" s="95"/>
      <c r="G1402" s="96">
        <v>118.3</v>
      </c>
      <c r="H1402" s="95"/>
      <c r="I1402" s="95"/>
      <c r="J1402" s="95"/>
      <c r="K1402" s="95"/>
      <c r="L1402" s="95"/>
      <c r="M1402" s="95"/>
      <c r="N1402" s="95"/>
      <c r="O1402" s="95"/>
      <c r="P1402" s="95"/>
    </row>
    <row r="1403" spans="1:16" s="81" customFormat="1" x14ac:dyDescent="0.25">
      <c r="A1403" s="95"/>
      <c r="B1403" s="95"/>
      <c r="C1403" s="95"/>
      <c r="D1403" s="76" t="s">
        <v>54</v>
      </c>
      <c r="E1403" s="76" t="s">
        <v>1120</v>
      </c>
      <c r="F1403" s="95"/>
      <c r="G1403" s="96">
        <v>0</v>
      </c>
      <c r="H1403" s="95"/>
      <c r="I1403" s="95"/>
      <c r="J1403" s="95"/>
      <c r="K1403" s="95"/>
      <c r="L1403" s="95"/>
      <c r="M1403" s="95"/>
      <c r="N1403" s="95"/>
      <c r="O1403" s="95"/>
      <c r="P1403" s="95"/>
    </row>
    <row r="1404" spans="1:16" s="81" customFormat="1" x14ac:dyDescent="0.25">
      <c r="A1404" s="95"/>
      <c r="B1404" s="95"/>
      <c r="C1404" s="95"/>
      <c r="D1404" s="76" t="s">
        <v>54</v>
      </c>
      <c r="E1404" s="76" t="s">
        <v>1107</v>
      </c>
      <c r="F1404" s="95"/>
      <c r="G1404" s="96">
        <v>0</v>
      </c>
      <c r="H1404" s="95"/>
      <c r="I1404" s="95"/>
      <c r="J1404" s="95"/>
      <c r="K1404" s="95"/>
      <c r="L1404" s="95"/>
      <c r="M1404" s="95"/>
      <c r="N1404" s="95"/>
      <c r="O1404" s="95"/>
      <c r="P1404" s="95"/>
    </row>
    <row r="1405" spans="1:16" s="81" customFormat="1" ht="25.5" x14ac:dyDescent="0.25">
      <c r="A1405" s="95"/>
      <c r="B1405" s="95"/>
      <c r="C1405" s="95"/>
      <c r="D1405" s="76" t="s">
        <v>1121</v>
      </c>
      <c r="E1405" s="76" t="s">
        <v>1122</v>
      </c>
      <c r="F1405" s="95"/>
      <c r="G1405" s="96">
        <v>44.3</v>
      </c>
      <c r="H1405" s="95"/>
      <c r="I1405" s="95"/>
      <c r="J1405" s="95"/>
      <c r="K1405" s="95"/>
      <c r="L1405" s="95"/>
      <c r="M1405" s="95"/>
      <c r="N1405" s="95"/>
      <c r="O1405" s="95"/>
      <c r="P1405" s="95"/>
    </row>
    <row r="1406" spans="1:16" s="81" customFormat="1" x14ac:dyDescent="0.25">
      <c r="A1406" s="95"/>
      <c r="B1406" s="95"/>
      <c r="C1406" s="95"/>
      <c r="D1406" s="76" t="s">
        <v>54</v>
      </c>
      <c r="E1406" s="76" t="s">
        <v>1176</v>
      </c>
      <c r="F1406" s="95"/>
      <c r="G1406" s="96">
        <v>0</v>
      </c>
      <c r="H1406" s="95"/>
      <c r="I1406" s="95"/>
      <c r="J1406" s="95"/>
      <c r="K1406" s="95"/>
      <c r="L1406" s="95"/>
      <c r="M1406" s="95"/>
      <c r="N1406" s="95"/>
      <c r="O1406" s="95"/>
      <c r="P1406" s="95"/>
    </row>
    <row r="1407" spans="1:16" s="81" customFormat="1" x14ac:dyDescent="0.25">
      <c r="A1407" s="95"/>
      <c r="B1407" s="95"/>
      <c r="C1407" s="95"/>
      <c r="D1407" s="76" t="s">
        <v>1539</v>
      </c>
      <c r="E1407" s="76" t="s">
        <v>1540</v>
      </c>
      <c r="F1407" s="95"/>
      <c r="G1407" s="96">
        <v>125</v>
      </c>
      <c r="H1407" s="95"/>
      <c r="I1407" s="95"/>
      <c r="J1407" s="95"/>
      <c r="K1407" s="95"/>
      <c r="L1407" s="95"/>
      <c r="M1407" s="95"/>
      <c r="N1407" s="95"/>
      <c r="O1407" s="95"/>
      <c r="P1407" s="95"/>
    </row>
    <row r="1408" spans="1:16" s="81" customFormat="1" x14ac:dyDescent="0.25">
      <c r="A1408" s="95"/>
      <c r="B1408" s="95"/>
      <c r="C1408" s="95"/>
      <c r="D1408" s="76" t="s">
        <v>54</v>
      </c>
      <c r="E1408" s="76" t="s">
        <v>1541</v>
      </c>
      <c r="F1408" s="95"/>
      <c r="G1408" s="96">
        <v>0</v>
      </c>
      <c r="H1408" s="95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95"/>
      <c r="B1409" s="95"/>
      <c r="C1409" s="95"/>
      <c r="D1409" s="76" t="s">
        <v>1299</v>
      </c>
      <c r="E1409" s="76" t="s">
        <v>1542</v>
      </c>
      <c r="F1409" s="95"/>
      <c r="G1409" s="96">
        <v>42.2</v>
      </c>
      <c r="H1409" s="95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ht="25.5" x14ac:dyDescent="0.25">
      <c r="A1410" s="72" t="s">
        <v>1543</v>
      </c>
      <c r="B1410" s="72" t="s">
        <v>55</v>
      </c>
      <c r="C1410" s="72" t="s">
        <v>1544</v>
      </c>
      <c r="D1410" s="175" t="s">
        <v>1545</v>
      </c>
      <c r="E1410" s="175"/>
      <c r="F1410" s="72" t="s">
        <v>192</v>
      </c>
      <c r="G1410" s="90">
        <v>384.11200000000002</v>
      </c>
      <c r="H1410" s="91"/>
      <c r="I1410" s="92" t="s">
        <v>63</v>
      </c>
      <c r="J1410" s="90">
        <f>G1410*AO1410</f>
        <v>0</v>
      </c>
      <c r="K1410" s="90">
        <f>G1410*AP1410</f>
        <v>0</v>
      </c>
      <c r="L1410" s="90">
        <f>G1410*H1410</f>
        <v>0</v>
      </c>
      <c r="M1410" s="90">
        <f>L1410*(1+BW1410/100)</f>
        <v>0</v>
      </c>
      <c r="N1410" s="90">
        <v>0</v>
      </c>
      <c r="O1410" s="90">
        <f>G1410*N1410</f>
        <v>0</v>
      </c>
      <c r="P1410" s="92" t="s">
        <v>64</v>
      </c>
      <c r="Z1410" s="93">
        <f>IF(AQ1410="5",BJ1410,0)</f>
        <v>0</v>
      </c>
      <c r="AB1410" s="93">
        <f>IF(AQ1410="1",BH1410,0)</f>
        <v>0</v>
      </c>
      <c r="AC1410" s="93">
        <f>IF(AQ1410="1",BI1410,0)</f>
        <v>0</v>
      </c>
      <c r="AD1410" s="93">
        <f>IF(AQ1410="7",BH1410,0)</f>
        <v>0</v>
      </c>
      <c r="AE1410" s="93">
        <f>IF(AQ1410="7",BI1410,0)</f>
        <v>0</v>
      </c>
      <c r="AF1410" s="93">
        <f>IF(AQ1410="2",BH1410,0)</f>
        <v>0</v>
      </c>
      <c r="AG1410" s="93">
        <f>IF(AQ1410="2",BI1410,0)</f>
        <v>0</v>
      </c>
      <c r="AH1410" s="93">
        <f>IF(AQ1410="0",BJ1410,0)</f>
        <v>0</v>
      </c>
      <c r="AI1410" s="88" t="s">
        <v>55</v>
      </c>
      <c r="AJ1410" s="93">
        <f>IF(AN1410=0,L1410,0)</f>
        <v>0</v>
      </c>
      <c r="AK1410" s="93">
        <f>IF(AN1410=12,L1410,0)</f>
        <v>0</v>
      </c>
      <c r="AL1410" s="93">
        <f>IF(AN1410=21,L1410,0)</f>
        <v>0</v>
      </c>
      <c r="AN1410" s="93">
        <v>21</v>
      </c>
      <c r="AO1410" s="93">
        <f>H1410*0</f>
        <v>0</v>
      </c>
      <c r="AP1410" s="93">
        <f>H1410*(1-0)</f>
        <v>0</v>
      </c>
      <c r="AQ1410" s="94" t="s">
        <v>148</v>
      </c>
      <c r="AV1410" s="93">
        <f>AW1410+AX1410</f>
        <v>0</v>
      </c>
      <c r="AW1410" s="93">
        <f>G1410*AO1410</f>
        <v>0</v>
      </c>
      <c r="AX1410" s="93">
        <f>G1410*AP1410</f>
        <v>0</v>
      </c>
      <c r="AY1410" s="94" t="s">
        <v>1527</v>
      </c>
      <c r="AZ1410" s="94" t="s">
        <v>1362</v>
      </c>
      <c r="BA1410" s="88" t="s">
        <v>67</v>
      </c>
      <c r="BC1410" s="93">
        <f>AW1410+AX1410</f>
        <v>0</v>
      </c>
      <c r="BD1410" s="93">
        <f>H1410/(100-BE1410)*100</f>
        <v>0</v>
      </c>
      <c r="BE1410" s="93">
        <v>0</v>
      </c>
      <c r="BF1410" s="93">
        <f>O1410</f>
        <v>0</v>
      </c>
      <c r="BH1410" s="93">
        <f>G1410*AO1410</f>
        <v>0</v>
      </c>
      <c r="BI1410" s="93">
        <f>G1410*AP1410</f>
        <v>0</v>
      </c>
      <c r="BJ1410" s="93">
        <f>G1410*H1410</f>
        <v>0</v>
      </c>
      <c r="BK1410" s="93"/>
      <c r="BL1410" s="93">
        <v>713</v>
      </c>
      <c r="BW1410" s="93" t="str">
        <f>I1410</f>
        <v>21</v>
      </c>
      <c r="BX1410" s="2" t="s">
        <v>1545</v>
      </c>
    </row>
    <row r="1411" spans="1:76" s="81" customFormat="1" x14ac:dyDescent="0.25">
      <c r="A1411" s="95"/>
      <c r="B1411" s="95"/>
      <c r="C1411" s="95"/>
      <c r="D1411" s="76" t="s">
        <v>54</v>
      </c>
      <c r="E1411" s="76" t="s">
        <v>1106</v>
      </c>
      <c r="F1411" s="95"/>
      <c r="G1411" s="96">
        <v>0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95"/>
      <c r="B1412" s="95"/>
      <c r="C1412" s="95"/>
      <c r="D1412" s="76" t="s">
        <v>54</v>
      </c>
      <c r="E1412" s="76" t="s">
        <v>1107</v>
      </c>
      <c r="F1412" s="95"/>
      <c r="G1412" s="96">
        <v>0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95"/>
      <c r="B1413" s="95"/>
      <c r="C1413" s="95"/>
      <c r="D1413" s="76" t="s">
        <v>1115</v>
      </c>
      <c r="E1413" s="76" t="s">
        <v>1116</v>
      </c>
      <c r="F1413" s="95"/>
      <c r="G1413" s="96">
        <v>9.3119999999999994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ht="25.5" x14ac:dyDescent="0.25">
      <c r="A1414" s="95"/>
      <c r="B1414" s="95"/>
      <c r="C1414" s="95"/>
      <c r="D1414" s="76" t="s">
        <v>1110</v>
      </c>
      <c r="E1414" s="76" t="s">
        <v>1111</v>
      </c>
      <c r="F1414" s="95"/>
      <c r="G1414" s="96">
        <v>330.5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95"/>
      <c r="B1415" s="95"/>
      <c r="C1415" s="95"/>
      <c r="D1415" s="76" t="s">
        <v>54</v>
      </c>
      <c r="E1415" s="76" t="s">
        <v>1120</v>
      </c>
      <c r="F1415" s="95"/>
      <c r="G1415" s="96">
        <v>0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x14ac:dyDescent="0.25">
      <c r="A1416" s="95"/>
      <c r="B1416" s="95"/>
      <c r="C1416" s="95"/>
      <c r="D1416" s="76" t="s">
        <v>54</v>
      </c>
      <c r="E1416" s="76" t="s">
        <v>1107</v>
      </c>
      <c r="F1416" s="95"/>
      <c r="G1416" s="96">
        <v>0</v>
      </c>
      <c r="H1416" s="97"/>
      <c r="I1416" s="95"/>
      <c r="J1416" s="95"/>
      <c r="K1416" s="95"/>
      <c r="L1416" s="95"/>
      <c r="M1416" s="95"/>
      <c r="N1416" s="95"/>
      <c r="O1416" s="95"/>
      <c r="P1416" s="95"/>
    </row>
    <row r="1417" spans="1:76" s="81" customFormat="1" ht="25.5" x14ac:dyDescent="0.25">
      <c r="A1417" s="95"/>
      <c r="B1417" s="95"/>
      <c r="C1417" s="95"/>
      <c r="D1417" s="76" t="s">
        <v>1121</v>
      </c>
      <c r="E1417" s="76" t="s">
        <v>1122</v>
      </c>
      <c r="F1417" s="95"/>
      <c r="G1417" s="96">
        <v>44.3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ht="25.5" x14ac:dyDescent="0.25">
      <c r="A1418" s="72" t="s">
        <v>1546</v>
      </c>
      <c r="B1418" s="72" t="s">
        <v>55</v>
      </c>
      <c r="C1418" s="72" t="s">
        <v>1547</v>
      </c>
      <c r="D1418" s="175" t="s">
        <v>1548</v>
      </c>
      <c r="E1418" s="175"/>
      <c r="F1418" s="72" t="s">
        <v>192</v>
      </c>
      <c r="G1418" s="90">
        <v>595.20000000000005</v>
      </c>
      <c r="H1418" s="91"/>
      <c r="I1418" s="92" t="s">
        <v>63</v>
      </c>
      <c r="J1418" s="90">
        <f>G1418*AO1418</f>
        <v>0</v>
      </c>
      <c r="K1418" s="90">
        <f>G1418*AP1418</f>
        <v>0</v>
      </c>
      <c r="L1418" s="90">
        <f>G1418*H1418</f>
        <v>0</v>
      </c>
      <c r="M1418" s="90">
        <f>L1418*(1+BW1418/100)</f>
        <v>0</v>
      </c>
      <c r="N1418" s="90">
        <v>0</v>
      </c>
      <c r="O1418" s="90">
        <f>G1418*N1418</f>
        <v>0</v>
      </c>
      <c r="P1418" s="92" t="s">
        <v>64</v>
      </c>
      <c r="Z1418" s="93">
        <f>IF(AQ1418="5",BJ1418,0)</f>
        <v>0</v>
      </c>
      <c r="AB1418" s="93">
        <f>IF(AQ1418="1",BH1418,0)</f>
        <v>0</v>
      </c>
      <c r="AC1418" s="93">
        <f>IF(AQ1418="1",BI1418,0)</f>
        <v>0</v>
      </c>
      <c r="AD1418" s="93">
        <f>IF(AQ1418="7",BH1418,0)</f>
        <v>0</v>
      </c>
      <c r="AE1418" s="93">
        <f>IF(AQ1418="7",BI1418,0)</f>
        <v>0</v>
      </c>
      <c r="AF1418" s="93">
        <f>IF(AQ1418="2",BH1418,0)</f>
        <v>0</v>
      </c>
      <c r="AG1418" s="93">
        <f>IF(AQ1418="2",BI1418,0)</f>
        <v>0</v>
      </c>
      <c r="AH1418" s="93">
        <f>IF(AQ1418="0",BJ1418,0)</f>
        <v>0</v>
      </c>
      <c r="AI1418" s="88" t="s">
        <v>55</v>
      </c>
      <c r="AJ1418" s="93">
        <f>IF(AN1418=0,L1418,0)</f>
        <v>0</v>
      </c>
      <c r="AK1418" s="93">
        <f>IF(AN1418=12,L1418,0)</f>
        <v>0</v>
      </c>
      <c r="AL1418" s="93">
        <f>IF(AN1418=21,L1418,0)</f>
        <v>0</v>
      </c>
      <c r="AN1418" s="93">
        <v>21</v>
      </c>
      <c r="AO1418" s="93">
        <f>H1418*0</f>
        <v>0</v>
      </c>
      <c r="AP1418" s="93">
        <f>H1418*(1-0)</f>
        <v>0</v>
      </c>
      <c r="AQ1418" s="94" t="s">
        <v>148</v>
      </c>
      <c r="AV1418" s="93">
        <f>AW1418+AX1418</f>
        <v>0</v>
      </c>
      <c r="AW1418" s="93">
        <f>G1418*AO1418</f>
        <v>0</v>
      </c>
      <c r="AX1418" s="93">
        <f>G1418*AP1418</f>
        <v>0</v>
      </c>
      <c r="AY1418" s="94" t="s">
        <v>1527</v>
      </c>
      <c r="AZ1418" s="94" t="s">
        <v>1362</v>
      </c>
      <c r="BA1418" s="88" t="s">
        <v>67</v>
      </c>
      <c r="BC1418" s="93">
        <f>AW1418+AX1418</f>
        <v>0</v>
      </c>
      <c r="BD1418" s="93">
        <f>H1418/(100-BE1418)*100</f>
        <v>0</v>
      </c>
      <c r="BE1418" s="93">
        <v>0</v>
      </c>
      <c r="BF1418" s="93">
        <f>O1418</f>
        <v>0</v>
      </c>
      <c r="BH1418" s="93">
        <f>G1418*AO1418</f>
        <v>0</v>
      </c>
      <c r="BI1418" s="93">
        <f>G1418*AP1418</f>
        <v>0</v>
      </c>
      <c r="BJ1418" s="93">
        <f>G1418*H1418</f>
        <v>0</v>
      </c>
      <c r="BK1418" s="93"/>
      <c r="BL1418" s="93">
        <v>713</v>
      </c>
      <c r="BW1418" s="93" t="str">
        <f>I1418</f>
        <v>21</v>
      </c>
      <c r="BX1418" s="2" t="s">
        <v>1548</v>
      </c>
    </row>
    <row r="1419" spans="1:76" s="81" customFormat="1" x14ac:dyDescent="0.25">
      <c r="A1419" s="95"/>
      <c r="B1419" s="95"/>
      <c r="C1419" s="95"/>
      <c r="D1419" s="76" t="s">
        <v>54</v>
      </c>
      <c r="E1419" s="76" t="s">
        <v>1102</v>
      </c>
      <c r="F1419" s="95"/>
      <c r="G1419" s="96">
        <v>0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x14ac:dyDescent="0.25">
      <c r="A1420" s="95"/>
      <c r="B1420" s="95"/>
      <c r="C1420" s="95"/>
      <c r="D1420" s="76" t="s">
        <v>54</v>
      </c>
      <c r="E1420" s="76" t="s">
        <v>1103</v>
      </c>
      <c r="F1420" s="95"/>
      <c r="G1420" s="96">
        <v>0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ht="25.5" x14ac:dyDescent="0.25">
      <c r="A1421" s="95"/>
      <c r="B1421" s="95"/>
      <c r="C1421" s="95"/>
      <c r="D1421" s="76" t="s">
        <v>1549</v>
      </c>
      <c r="E1421" s="76" t="s">
        <v>1105</v>
      </c>
      <c r="F1421" s="95"/>
      <c r="G1421" s="96">
        <v>476.9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x14ac:dyDescent="0.25">
      <c r="A1422" s="95"/>
      <c r="B1422" s="95"/>
      <c r="C1422" s="95"/>
      <c r="D1422" s="76" t="s">
        <v>54</v>
      </c>
      <c r="E1422" s="76" t="s">
        <v>1117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x14ac:dyDescent="0.25">
      <c r="A1423" s="95"/>
      <c r="B1423" s="95"/>
      <c r="C1423" s="95"/>
      <c r="D1423" s="76" t="s">
        <v>54</v>
      </c>
      <c r="E1423" s="76" t="s">
        <v>1103</v>
      </c>
      <c r="F1423" s="95"/>
      <c r="G1423" s="96">
        <v>0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95"/>
      <c r="B1424" s="95"/>
      <c r="C1424" s="95"/>
      <c r="D1424" s="76" t="s">
        <v>1118</v>
      </c>
      <c r="E1424" s="76" t="s">
        <v>1119</v>
      </c>
      <c r="F1424" s="95"/>
      <c r="G1424" s="96">
        <v>118.3</v>
      </c>
      <c r="H1424" s="97"/>
      <c r="I1424" s="95"/>
      <c r="J1424" s="95"/>
      <c r="K1424" s="95"/>
      <c r="L1424" s="95"/>
      <c r="M1424" s="95"/>
      <c r="N1424" s="95"/>
      <c r="O1424" s="95"/>
      <c r="P1424" s="95"/>
    </row>
    <row r="1425" spans="1:76" s="81" customFormat="1" ht="25.5" x14ac:dyDescent="0.25">
      <c r="A1425" s="72" t="s">
        <v>1550</v>
      </c>
      <c r="B1425" s="72" t="s">
        <v>55</v>
      </c>
      <c r="C1425" s="72" t="s">
        <v>1551</v>
      </c>
      <c r="D1425" s="175" t="s">
        <v>1552</v>
      </c>
      <c r="E1425" s="175"/>
      <c r="F1425" s="72" t="s">
        <v>192</v>
      </c>
      <c r="G1425" s="90">
        <v>391.79424</v>
      </c>
      <c r="H1425" s="91"/>
      <c r="I1425" s="92" t="s">
        <v>63</v>
      </c>
      <c r="J1425" s="90">
        <f>G1425*AO1425</f>
        <v>0</v>
      </c>
      <c r="K1425" s="90">
        <f>G1425*AP1425</f>
        <v>0</v>
      </c>
      <c r="L1425" s="90">
        <f>G1425*H1425</f>
        <v>0</v>
      </c>
      <c r="M1425" s="90">
        <f>L1425*(1+BW1425/100)</f>
        <v>0</v>
      </c>
      <c r="N1425" s="90">
        <v>8.9999999999999993E-3</v>
      </c>
      <c r="O1425" s="90">
        <f>G1425*N1425</f>
        <v>3.5261481599999995</v>
      </c>
      <c r="P1425" s="92" t="s">
        <v>64</v>
      </c>
      <c r="Z1425" s="93">
        <f>IF(AQ1425="5",BJ1425,0)</f>
        <v>0</v>
      </c>
      <c r="AB1425" s="93">
        <f>IF(AQ1425="1",BH1425,0)</f>
        <v>0</v>
      </c>
      <c r="AC1425" s="93">
        <f>IF(AQ1425="1",BI1425,0)</f>
        <v>0</v>
      </c>
      <c r="AD1425" s="93">
        <f>IF(AQ1425="7",BH1425,0)</f>
        <v>0</v>
      </c>
      <c r="AE1425" s="93">
        <f>IF(AQ1425="7",BI1425,0)</f>
        <v>0</v>
      </c>
      <c r="AF1425" s="93">
        <f>IF(AQ1425="2",BH1425,0)</f>
        <v>0</v>
      </c>
      <c r="AG1425" s="93">
        <f>IF(AQ1425="2",BI1425,0)</f>
        <v>0</v>
      </c>
      <c r="AH1425" s="93">
        <f>IF(AQ1425="0",BJ1425,0)</f>
        <v>0</v>
      </c>
      <c r="AI1425" s="88" t="s">
        <v>55</v>
      </c>
      <c r="AJ1425" s="93">
        <f>IF(AN1425=0,L1425,0)</f>
        <v>0</v>
      </c>
      <c r="AK1425" s="93">
        <f>IF(AN1425=12,L1425,0)</f>
        <v>0</v>
      </c>
      <c r="AL1425" s="93">
        <f>IF(AN1425=21,L1425,0)</f>
        <v>0</v>
      </c>
      <c r="AN1425" s="93">
        <v>21</v>
      </c>
      <c r="AO1425" s="93">
        <f>H1425*1</f>
        <v>0</v>
      </c>
      <c r="AP1425" s="93">
        <f>H1425*(1-1)</f>
        <v>0</v>
      </c>
      <c r="AQ1425" s="94" t="s">
        <v>148</v>
      </c>
      <c r="AV1425" s="93">
        <f>AW1425+AX1425</f>
        <v>0</v>
      </c>
      <c r="AW1425" s="93">
        <f>G1425*AO1425</f>
        <v>0</v>
      </c>
      <c r="AX1425" s="93">
        <f>G1425*AP1425</f>
        <v>0</v>
      </c>
      <c r="AY1425" s="94" t="s">
        <v>1527</v>
      </c>
      <c r="AZ1425" s="94" t="s">
        <v>1362</v>
      </c>
      <c r="BA1425" s="88" t="s">
        <v>67</v>
      </c>
      <c r="BC1425" s="93">
        <f>AW1425+AX1425</f>
        <v>0</v>
      </c>
      <c r="BD1425" s="93">
        <f>H1425/(100-BE1425)*100</f>
        <v>0</v>
      </c>
      <c r="BE1425" s="93">
        <v>0</v>
      </c>
      <c r="BF1425" s="93">
        <f>O1425</f>
        <v>3.5261481599999995</v>
      </c>
      <c r="BH1425" s="93">
        <f>G1425*AO1425</f>
        <v>0</v>
      </c>
      <c r="BI1425" s="93">
        <f>G1425*AP1425</f>
        <v>0</v>
      </c>
      <c r="BJ1425" s="93">
        <f>G1425*H1425</f>
        <v>0</v>
      </c>
      <c r="BK1425" s="93"/>
      <c r="BL1425" s="93">
        <v>713</v>
      </c>
      <c r="BW1425" s="93" t="str">
        <f>I1425</f>
        <v>21</v>
      </c>
      <c r="BX1425" s="2" t="s">
        <v>1552</v>
      </c>
    </row>
    <row r="1426" spans="1:76" s="81" customFormat="1" x14ac:dyDescent="0.25">
      <c r="A1426" s="95"/>
      <c r="B1426" s="95"/>
      <c r="C1426" s="95"/>
      <c r="D1426" s="76" t="s">
        <v>54</v>
      </c>
      <c r="E1426" s="76" t="s">
        <v>1106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x14ac:dyDescent="0.25">
      <c r="A1427" s="95"/>
      <c r="B1427" s="95"/>
      <c r="C1427" s="95"/>
      <c r="D1427" s="76" t="s">
        <v>54</v>
      </c>
      <c r="E1427" s="76" t="s">
        <v>1107</v>
      </c>
      <c r="F1427" s="95"/>
      <c r="G1427" s="96">
        <v>0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95"/>
      <c r="B1428" s="95"/>
      <c r="C1428" s="95"/>
      <c r="D1428" s="76" t="s">
        <v>1115</v>
      </c>
      <c r="E1428" s="76" t="s">
        <v>1116</v>
      </c>
      <c r="F1428" s="95"/>
      <c r="G1428" s="96">
        <v>9.3119999999999994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ht="25.5" x14ac:dyDescent="0.25">
      <c r="A1429" s="95"/>
      <c r="B1429" s="95"/>
      <c r="C1429" s="95"/>
      <c r="D1429" s="76" t="s">
        <v>1110</v>
      </c>
      <c r="E1429" s="76" t="s">
        <v>1111</v>
      </c>
      <c r="F1429" s="95"/>
      <c r="G1429" s="96">
        <v>330.5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x14ac:dyDescent="0.25">
      <c r="A1430" s="95"/>
      <c r="B1430" s="95"/>
      <c r="C1430" s="95"/>
      <c r="D1430" s="76" t="s">
        <v>54</v>
      </c>
      <c r="E1430" s="76" t="s">
        <v>1120</v>
      </c>
      <c r="F1430" s="95"/>
      <c r="G1430" s="96">
        <v>0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x14ac:dyDescent="0.25">
      <c r="A1431" s="95"/>
      <c r="B1431" s="95"/>
      <c r="C1431" s="95"/>
      <c r="D1431" s="76" t="s">
        <v>54</v>
      </c>
      <c r="E1431" s="76" t="s">
        <v>1107</v>
      </c>
      <c r="F1431" s="95"/>
      <c r="G1431" s="96">
        <v>0</v>
      </c>
      <c r="H1431" s="97"/>
      <c r="I1431" s="95"/>
      <c r="J1431" s="95"/>
      <c r="K1431" s="95"/>
      <c r="L1431" s="95"/>
      <c r="M1431" s="95"/>
      <c r="N1431" s="95"/>
      <c r="O1431" s="95"/>
      <c r="P1431" s="95"/>
    </row>
    <row r="1432" spans="1:76" s="81" customFormat="1" x14ac:dyDescent="0.25">
      <c r="A1432" s="95"/>
      <c r="B1432" s="95"/>
      <c r="C1432" s="95"/>
      <c r="D1432" s="76" t="s">
        <v>1553</v>
      </c>
      <c r="E1432" s="76" t="s">
        <v>54</v>
      </c>
      <c r="F1432" s="95"/>
      <c r="G1432" s="96">
        <v>7.6822400000000002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ht="25.5" x14ac:dyDescent="0.25">
      <c r="A1433" s="95"/>
      <c r="B1433" s="95"/>
      <c r="C1433" s="95"/>
      <c r="D1433" s="76" t="s">
        <v>1121</v>
      </c>
      <c r="E1433" s="76" t="s">
        <v>1122</v>
      </c>
      <c r="F1433" s="95"/>
      <c r="G1433" s="96">
        <v>44.3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ht="25.5" x14ac:dyDescent="0.25">
      <c r="A1434" s="72" t="s">
        <v>1554</v>
      </c>
      <c r="B1434" s="72" t="s">
        <v>55</v>
      </c>
      <c r="C1434" s="72" t="s">
        <v>1555</v>
      </c>
      <c r="D1434" s="175" t="s">
        <v>1556</v>
      </c>
      <c r="E1434" s="175"/>
      <c r="F1434" s="72" t="s">
        <v>192</v>
      </c>
      <c r="G1434" s="90">
        <v>1214.2080000000001</v>
      </c>
      <c r="H1434" s="91"/>
      <c r="I1434" s="92" t="s">
        <v>63</v>
      </c>
      <c r="J1434" s="90">
        <f>G1434*AO1434</f>
        <v>0</v>
      </c>
      <c r="K1434" s="90">
        <f>G1434*AP1434</f>
        <v>0</v>
      </c>
      <c r="L1434" s="90">
        <f>G1434*H1434</f>
        <v>0</v>
      </c>
      <c r="M1434" s="90">
        <f>L1434*(1+BW1434/100)</f>
        <v>0</v>
      </c>
      <c r="N1434" s="90">
        <v>1.4E-2</v>
      </c>
      <c r="O1434" s="90">
        <f>G1434*N1434</f>
        <v>16.998912000000001</v>
      </c>
      <c r="P1434" s="92" t="s">
        <v>64</v>
      </c>
      <c r="Z1434" s="93">
        <f>IF(AQ1434="5",BJ1434,0)</f>
        <v>0</v>
      </c>
      <c r="AB1434" s="93">
        <f>IF(AQ1434="1",BH1434,0)</f>
        <v>0</v>
      </c>
      <c r="AC1434" s="93">
        <f>IF(AQ1434="1",BI1434,0)</f>
        <v>0</v>
      </c>
      <c r="AD1434" s="93">
        <f>IF(AQ1434="7",BH1434,0)</f>
        <v>0</v>
      </c>
      <c r="AE1434" s="93">
        <f>IF(AQ1434="7",BI1434,0)</f>
        <v>0</v>
      </c>
      <c r="AF1434" s="93">
        <f>IF(AQ1434="2",BH1434,0)</f>
        <v>0</v>
      </c>
      <c r="AG1434" s="93">
        <f>IF(AQ1434="2",BI1434,0)</f>
        <v>0</v>
      </c>
      <c r="AH1434" s="93">
        <f>IF(AQ1434="0",BJ1434,0)</f>
        <v>0</v>
      </c>
      <c r="AI1434" s="88" t="s">
        <v>55</v>
      </c>
      <c r="AJ1434" s="93">
        <f>IF(AN1434=0,L1434,0)</f>
        <v>0</v>
      </c>
      <c r="AK1434" s="93">
        <f>IF(AN1434=12,L1434,0)</f>
        <v>0</v>
      </c>
      <c r="AL1434" s="93">
        <f>IF(AN1434=21,L1434,0)</f>
        <v>0</v>
      </c>
      <c r="AN1434" s="93">
        <v>21</v>
      </c>
      <c r="AO1434" s="93">
        <f>H1434*1</f>
        <v>0</v>
      </c>
      <c r="AP1434" s="93">
        <f>H1434*(1-1)</f>
        <v>0</v>
      </c>
      <c r="AQ1434" s="94" t="s">
        <v>148</v>
      </c>
      <c r="AV1434" s="93">
        <f>AW1434+AX1434</f>
        <v>0</v>
      </c>
      <c r="AW1434" s="93">
        <f>G1434*AO1434</f>
        <v>0</v>
      </c>
      <c r="AX1434" s="93">
        <f>G1434*AP1434</f>
        <v>0</v>
      </c>
      <c r="AY1434" s="94" t="s">
        <v>1527</v>
      </c>
      <c r="AZ1434" s="94" t="s">
        <v>1362</v>
      </c>
      <c r="BA1434" s="88" t="s">
        <v>67</v>
      </c>
      <c r="BC1434" s="93">
        <f>AW1434+AX1434</f>
        <v>0</v>
      </c>
      <c r="BD1434" s="93">
        <f>H1434/(100-BE1434)*100</f>
        <v>0</v>
      </c>
      <c r="BE1434" s="93">
        <v>0</v>
      </c>
      <c r="BF1434" s="93">
        <f>O1434</f>
        <v>16.998912000000001</v>
      </c>
      <c r="BH1434" s="93">
        <f>G1434*AO1434</f>
        <v>0</v>
      </c>
      <c r="BI1434" s="93">
        <f>G1434*AP1434</f>
        <v>0</v>
      </c>
      <c r="BJ1434" s="93">
        <f>G1434*H1434</f>
        <v>0</v>
      </c>
      <c r="BK1434" s="93"/>
      <c r="BL1434" s="93">
        <v>713</v>
      </c>
      <c r="BW1434" s="93" t="str">
        <f>I1434</f>
        <v>21</v>
      </c>
      <c r="BX1434" s="2" t="s">
        <v>1556</v>
      </c>
    </row>
    <row r="1435" spans="1:76" s="81" customFormat="1" ht="25.5" x14ac:dyDescent="0.25">
      <c r="A1435" s="95"/>
      <c r="B1435" s="95"/>
      <c r="C1435" s="95"/>
      <c r="D1435" s="76" t="s">
        <v>54</v>
      </c>
      <c r="E1435" s="76" t="s">
        <v>1557</v>
      </c>
      <c r="F1435" s="95"/>
      <c r="G1435" s="96">
        <v>0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95"/>
      <c r="B1436" s="95"/>
      <c r="C1436" s="95"/>
      <c r="D1436" s="76" t="s">
        <v>54</v>
      </c>
      <c r="E1436" s="76" t="s">
        <v>1103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ht="25.5" x14ac:dyDescent="0.25">
      <c r="A1437" s="95"/>
      <c r="B1437" s="95"/>
      <c r="C1437" s="95"/>
      <c r="D1437" s="76" t="s">
        <v>1558</v>
      </c>
      <c r="E1437" s="76" t="s">
        <v>1105</v>
      </c>
      <c r="F1437" s="95"/>
      <c r="G1437" s="96">
        <v>953.8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x14ac:dyDescent="0.25">
      <c r="A1438" s="95"/>
      <c r="B1438" s="95"/>
      <c r="C1438" s="95"/>
      <c r="D1438" s="76" t="s">
        <v>54</v>
      </c>
      <c r="E1438" s="76" t="s">
        <v>1117</v>
      </c>
      <c r="F1438" s="95"/>
      <c r="G1438" s="96">
        <v>0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x14ac:dyDescent="0.25">
      <c r="A1439" s="95"/>
      <c r="B1439" s="95"/>
      <c r="C1439" s="95"/>
      <c r="D1439" s="76" t="s">
        <v>54</v>
      </c>
      <c r="E1439" s="76" t="s">
        <v>1103</v>
      </c>
      <c r="F1439" s="95"/>
      <c r="G1439" s="96">
        <v>0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95"/>
      <c r="B1440" s="95"/>
      <c r="C1440" s="95"/>
      <c r="D1440" s="76" t="s">
        <v>1559</v>
      </c>
      <c r="E1440" s="76" t="s">
        <v>1119</v>
      </c>
      <c r="F1440" s="95"/>
      <c r="G1440" s="96">
        <v>236.6</v>
      </c>
      <c r="H1440" s="97"/>
      <c r="I1440" s="95"/>
      <c r="J1440" s="95"/>
      <c r="K1440" s="95"/>
      <c r="L1440" s="95"/>
      <c r="M1440" s="95"/>
      <c r="N1440" s="95"/>
      <c r="O1440" s="95"/>
      <c r="P1440" s="95"/>
    </row>
    <row r="1441" spans="1:76" s="81" customFormat="1" x14ac:dyDescent="0.25">
      <c r="A1441" s="95"/>
      <c r="B1441" s="95"/>
      <c r="C1441" s="95"/>
      <c r="D1441" s="76" t="s">
        <v>1560</v>
      </c>
      <c r="E1441" s="76" t="s">
        <v>54</v>
      </c>
      <c r="F1441" s="95"/>
      <c r="G1441" s="96">
        <v>23.808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ht="25.5" x14ac:dyDescent="0.25">
      <c r="A1442" s="72" t="s">
        <v>1561</v>
      </c>
      <c r="B1442" s="72" t="s">
        <v>55</v>
      </c>
      <c r="C1442" s="72" t="s">
        <v>1544</v>
      </c>
      <c r="D1442" s="175" t="s">
        <v>1545</v>
      </c>
      <c r="E1442" s="175"/>
      <c r="F1442" s="72" t="s">
        <v>192</v>
      </c>
      <c r="G1442" s="90">
        <v>167.2</v>
      </c>
      <c r="H1442" s="91"/>
      <c r="I1442" s="92" t="s">
        <v>63</v>
      </c>
      <c r="J1442" s="90">
        <f>G1442*AO1442</f>
        <v>0</v>
      </c>
      <c r="K1442" s="90">
        <f>G1442*AP1442</f>
        <v>0</v>
      </c>
      <c r="L1442" s="90">
        <f>G1442*H1442</f>
        <v>0</v>
      </c>
      <c r="M1442" s="90">
        <f>L1442*(1+BW1442/100)</f>
        <v>0</v>
      </c>
      <c r="N1442" s="90">
        <v>0</v>
      </c>
      <c r="O1442" s="90">
        <f>G1442*N1442</f>
        <v>0</v>
      </c>
      <c r="P1442" s="92" t="s">
        <v>64</v>
      </c>
      <c r="Z1442" s="93">
        <f>IF(AQ1442="5",BJ1442,0)</f>
        <v>0</v>
      </c>
      <c r="AB1442" s="93">
        <f>IF(AQ1442="1",BH1442,0)</f>
        <v>0</v>
      </c>
      <c r="AC1442" s="93">
        <f>IF(AQ1442="1",BI1442,0)</f>
        <v>0</v>
      </c>
      <c r="AD1442" s="93">
        <f>IF(AQ1442="7",BH1442,0)</f>
        <v>0</v>
      </c>
      <c r="AE1442" s="93">
        <f>IF(AQ1442="7",BI1442,0)</f>
        <v>0</v>
      </c>
      <c r="AF1442" s="93">
        <f>IF(AQ1442="2",BH1442,0)</f>
        <v>0</v>
      </c>
      <c r="AG1442" s="93">
        <f>IF(AQ1442="2",BI1442,0)</f>
        <v>0</v>
      </c>
      <c r="AH1442" s="93">
        <f>IF(AQ1442="0",BJ1442,0)</f>
        <v>0</v>
      </c>
      <c r="AI1442" s="88" t="s">
        <v>55</v>
      </c>
      <c r="AJ1442" s="93">
        <f>IF(AN1442=0,L1442,0)</f>
        <v>0</v>
      </c>
      <c r="AK1442" s="93">
        <f>IF(AN1442=12,L1442,0)</f>
        <v>0</v>
      </c>
      <c r="AL1442" s="93">
        <f>IF(AN1442=21,L1442,0)</f>
        <v>0</v>
      </c>
      <c r="AN1442" s="93">
        <v>21</v>
      </c>
      <c r="AO1442" s="93">
        <f>H1442*0</f>
        <v>0</v>
      </c>
      <c r="AP1442" s="93">
        <f>H1442*(1-0)</f>
        <v>0</v>
      </c>
      <c r="AQ1442" s="94" t="s">
        <v>148</v>
      </c>
      <c r="AV1442" s="93">
        <f>AW1442+AX1442</f>
        <v>0</v>
      </c>
      <c r="AW1442" s="93">
        <f>G1442*AO1442</f>
        <v>0</v>
      </c>
      <c r="AX1442" s="93">
        <f>G1442*AP1442</f>
        <v>0</v>
      </c>
      <c r="AY1442" s="94" t="s">
        <v>1527</v>
      </c>
      <c r="AZ1442" s="94" t="s">
        <v>1362</v>
      </c>
      <c r="BA1442" s="88" t="s">
        <v>67</v>
      </c>
      <c r="BC1442" s="93">
        <f>AW1442+AX1442</f>
        <v>0</v>
      </c>
      <c r="BD1442" s="93">
        <f>H1442/(100-BE1442)*100</f>
        <v>0</v>
      </c>
      <c r="BE1442" s="93">
        <v>0</v>
      </c>
      <c r="BF1442" s="93">
        <f>O1442</f>
        <v>0</v>
      </c>
      <c r="BH1442" s="93">
        <f>G1442*AO1442</f>
        <v>0</v>
      </c>
      <c r="BI1442" s="93">
        <f>G1442*AP1442</f>
        <v>0</v>
      </c>
      <c r="BJ1442" s="93">
        <f>G1442*H1442</f>
        <v>0</v>
      </c>
      <c r="BK1442" s="93"/>
      <c r="BL1442" s="93">
        <v>713</v>
      </c>
      <c r="BW1442" s="93" t="str">
        <f>I1442</f>
        <v>21</v>
      </c>
      <c r="BX1442" s="2" t="s">
        <v>1545</v>
      </c>
    </row>
    <row r="1443" spans="1:76" s="81" customFormat="1" x14ac:dyDescent="0.25">
      <c r="A1443" s="95"/>
      <c r="B1443" s="95"/>
      <c r="C1443" s="95"/>
      <c r="D1443" s="76" t="s">
        <v>54</v>
      </c>
      <c r="E1443" s="76" t="s">
        <v>1176</v>
      </c>
      <c r="F1443" s="95"/>
      <c r="G1443" s="96">
        <v>0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95"/>
      <c r="B1444" s="95"/>
      <c r="C1444" s="95"/>
      <c r="D1444" s="76" t="s">
        <v>1539</v>
      </c>
      <c r="E1444" s="76" t="s">
        <v>1562</v>
      </c>
      <c r="F1444" s="95"/>
      <c r="G1444" s="96">
        <v>125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x14ac:dyDescent="0.25">
      <c r="A1445" s="95"/>
      <c r="B1445" s="95"/>
      <c r="C1445" s="95"/>
      <c r="D1445" s="76" t="s">
        <v>54</v>
      </c>
      <c r="E1445" s="76" t="s">
        <v>1541</v>
      </c>
      <c r="F1445" s="95"/>
      <c r="G1445" s="96">
        <v>0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x14ac:dyDescent="0.25">
      <c r="A1446" s="95"/>
      <c r="B1446" s="95"/>
      <c r="C1446" s="95"/>
      <c r="D1446" s="76" t="s">
        <v>1299</v>
      </c>
      <c r="E1446" s="76" t="s">
        <v>1542</v>
      </c>
      <c r="F1446" s="95"/>
      <c r="G1446" s="96">
        <v>42.2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ht="25.5" x14ac:dyDescent="0.25">
      <c r="A1447" s="72" t="s">
        <v>1563</v>
      </c>
      <c r="B1447" s="72" t="s">
        <v>55</v>
      </c>
      <c r="C1447" s="72" t="s">
        <v>1564</v>
      </c>
      <c r="D1447" s="175" t="s">
        <v>1565</v>
      </c>
      <c r="E1447" s="175"/>
      <c r="F1447" s="72" t="s">
        <v>192</v>
      </c>
      <c r="G1447" s="90">
        <v>127.5</v>
      </c>
      <c r="H1447" s="91"/>
      <c r="I1447" s="92" t="s">
        <v>63</v>
      </c>
      <c r="J1447" s="90">
        <f>G1447*AO1447</f>
        <v>0</v>
      </c>
      <c r="K1447" s="90">
        <f>G1447*AP1447</f>
        <v>0</v>
      </c>
      <c r="L1447" s="90">
        <f>G1447*H1447</f>
        <v>0</v>
      </c>
      <c r="M1447" s="90">
        <f>L1447*(1+BW1447/100)</f>
        <v>0</v>
      </c>
      <c r="N1447" s="90">
        <v>3.5999999999999999E-3</v>
      </c>
      <c r="O1447" s="90">
        <f>G1447*N1447</f>
        <v>0.45899999999999996</v>
      </c>
      <c r="P1447" s="92" t="s">
        <v>64</v>
      </c>
      <c r="Z1447" s="93">
        <f>IF(AQ1447="5",BJ1447,0)</f>
        <v>0</v>
      </c>
      <c r="AB1447" s="93">
        <f>IF(AQ1447="1",BH1447,0)</f>
        <v>0</v>
      </c>
      <c r="AC1447" s="93">
        <f>IF(AQ1447="1",BI1447,0)</f>
        <v>0</v>
      </c>
      <c r="AD1447" s="93">
        <f>IF(AQ1447="7",BH1447,0)</f>
        <v>0</v>
      </c>
      <c r="AE1447" s="93">
        <f>IF(AQ1447="7",BI1447,0)</f>
        <v>0</v>
      </c>
      <c r="AF1447" s="93">
        <f>IF(AQ1447="2",BH1447,0)</f>
        <v>0</v>
      </c>
      <c r="AG1447" s="93">
        <f>IF(AQ1447="2",BI1447,0)</f>
        <v>0</v>
      </c>
      <c r="AH1447" s="93">
        <f>IF(AQ1447="0",BJ1447,0)</f>
        <v>0</v>
      </c>
      <c r="AI1447" s="88" t="s">
        <v>55</v>
      </c>
      <c r="AJ1447" s="93">
        <f>IF(AN1447=0,L1447,0)</f>
        <v>0</v>
      </c>
      <c r="AK1447" s="93">
        <f>IF(AN1447=12,L1447,0)</f>
        <v>0</v>
      </c>
      <c r="AL1447" s="93">
        <f>IF(AN1447=21,L1447,0)</f>
        <v>0</v>
      </c>
      <c r="AN1447" s="93">
        <v>21</v>
      </c>
      <c r="AO1447" s="93">
        <f>H1447*1</f>
        <v>0</v>
      </c>
      <c r="AP1447" s="93">
        <f>H1447*(1-1)</f>
        <v>0</v>
      </c>
      <c r="AQ1447" s="94" t="s">
        <v>148</v>
      </c>
      <c r="AV1447" s="93">
        <f>AW1447+AX1447</f>
        <v>0</v>
      </c>
      <c r="AW1447" s="93">
        <f>G1447*AO1447</f>
        <v>0</v>
      </c>
      <c r="AX1447" s="93">
        <f>G1447*AP1447</f>
        <v>0</v>
      </c>
      <c r="AY1447" s="94" t="s">
        <v>1527</v>
      </c>
      <c r="AZ1447" s="94" t="s">
        <v>1362</v>
      </c>
      <c r="BA1447" s="88" t="s">
        <v>67</v>
      </c>
      <c r="BC1447" s="93">
        <f>AW1447+AX1447</f>
        <v>0</v>
      </c>
      <c r="BD1447" s="93">
        <f>H1447/(100-BE1447)*100</f>
        <v>0</v>
      </c>
      <c r="BE1447" s="93">
        <v>0</v>
      </c>
      <c r="BF1447" s="93">
        <f>O1447</f>
        <v>0.45899999999999996</v>
      </c>
      <c r="BH1447" s="93">
        <f>G1447*AO1447</f>
        <v>0</v>
      </c>
      <c r="BI1447" s="93">
        <f>G1447*AP1447</f>
        <v>0</v>
      </c>
      <c r="BJ1447" s="93">
        <f>G1447*H1447</f>
        <v>0</v>
      </c>
      <c r="BK1447" s="93"/>
      <c r="BL1447" s="93">
        <v>713</v>
      </c>
      <c r="BW1447" s="93" t="str">
        <f>I1447</f>
        <v>21</v>
      </c>
      <c r="BX1447" s="2" t="s">
        <v>1565</v>
      </c>
    </row>
    <row r="1448" spans="1:76" s="81" customFormat="1" x14ac:dyDescent="0.25">
      <c r="A1448" s="95"/>
      <c r="B1448" s="95"/>
      <c r="C1448" s="95"/>
      <c r="D1448" s="76" t="s">
        <v>1056</v>
      </c>
      <c r="E1448" s="76" t="s">
        <v>54</v>
      </c>
      <c r="F1448" s="95"/>
      <c r="G1448" s="96">
        <v>125</v>
      </c>
      <c r="H1448" s="97"/>
      <c r="I1448" s="95"/>
      <c r="J1448" s="95"/>
      <c r="K1448" s="95"/>
      <c r="L1448" s="95"/>
      <c r="M1448" s="95"/>
      <c r="N1448" s="95"/>
      <c r="O1448" s="95"/>
      <c r="P1448" s="95"/>
    </row>
    <row r="1449" spans="1:76" s="81" customFormat="1" x14ac:dyDescent="0.25">
      <c r="A1449" s="95"/>
      <c r="B1449" s="95"/>
      <c r="C1449" s="95"/>
      <c r="D1449" s="76" t="s">
        <v>1566</v>
      </c>
      <c r="E1449" s="76" t="s">
        <v>54</v>
      </c>
      <c r="F1449" s="95"/>
      <c r="G1449" s="96">
        <v>2.5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ht="25.5" x14ac:dyDescent="0.25">
      <c r="A1450" s="72" t="s">
        <v>1567</v>
      </c>
      <c r="B1450" s="72" t="s">
        <v>55</v>
      </c>
      <c r="C1450" s="72" t="s">
        <v>1568</v>
      </c>
      <c r="D1450" s="175" t="s">
        <v>1569</v>
      </c>
      <c r="E1450" s="175"/>
      <c r="F1450" s="72" t="s">
        <v>192</v>
      </c>
      <c r="G1450" s="90">
        <v>43.043999999999997</v>
      </c>
      <c r="H1450" s="91"/>
      <c r="I1450" s="92" t="s">
        <v>63</v>
      </c>
      <c r="J1450" s="90">
        <f>G1450*AO1450</f>
        <v>0</v>
      </c>
      <c r="K1450" s="90">
        <f>G1450*AP1450</f>
        <v>0</v>
      </c>
      <c r="L1450" s="90">
        <f>G1450*H1450</f>
        <v>0</v>
      </c>
      <c r="M1450" s="90">
        <f>L1450*(1+BW1450/100)</f>
        <v>0</v>
      </c>
      <c r="N1450" s="90">
        <v>5.4000000000000003E-3</v>
      </c>
      <c r="O1450" s="90">
        <f>G1450*N1450</f>
        <v>0.23243759999999999</v>
      </c>
      <c r="P1450" s="92" t="s">
        <v>64</v>
      </c>
      <c r="Z1450" s="93">
        <f>IF(AQ1450="5",BJ1450,0)</f>
        <v>0</v>
      </c>
      <c r="AB1450" s="93">
        <f>IF(AQ1450="1",BH1450,0)</f>
        <v>0</v>
      </c>
      <c r="AC1450" s="93">
        <f>IF(AQ1450="1",BI1450,0)</f>
        <v>0</v>
      </c>
      <c r="AD1450" s="93">
        <f>IF(AQ1450="7",BH1450,0)</f>
        <v>0</v>
      </c>
      <c r="AE1450" s="93">
        <f>IF(AQ1450="7",BI1450,0)</f>
        <v>0</v>
      </c>
      <c r="AF1450" s="93">
        <f>IF(AQ1450="2",BH1450,0)</f>
        <v>0</v>
      </c>
      <c r="AG1450" s="93">
        <f>IF(AQ1450="2",BI1450,0)</f>
        <v>0</v>
      </c>
      <c r="AH1450" s="93">
        <f>IF(AQ1450="0",BJ1450,0)</f>
        <v>0</v>
      </c>
      <c r="AI1450" s="88" t="s">
        <v>55</v>
      </c>
      <c r="AJ1450" s="93">
        <f>IF(AN1450=0,L1450,0)</f>
        <v>0</v>
      </c>
      <c r="AK1450" s="93">
        <f>IF(AN1450=12,L1450,0)</f>
        <v>0</v>
      </c>
      <c r="AL1450" s="93">
        <f>IF(AN1450=21,L1450,0)</f>
        <v>0</v>
      </c>
      <c r="AN1450" s="93">
        <v>21</v>
      </c>
      <c r="AO1450" s="93">
        <f>H1450*1</f>
        <v>0</v>
      </c>
      <c r="AP1450" s="93">
        <f>H1450*(1-1)</f>
        <v>0</v>
      </c>
      <c r="AQ1450" s="94" t="s">
        <v>148</v>
      </c>
      <c r="AV1450" s="93">
        <f>AW1450+AX1450</f>
        <v>0</v>
      </c>
      <c r="AW1450" s="93">
        <f>G1450*AO1450</f>
        <v>0</v>
      </c>
      <c r="AX1450" s="93">
        <f>G1450*AP1450</f>
        <v>0</v>
      </c>
      <c r="AY1450" s="94" t="s">
        <v>1527</v>
      </c>
      <c r="AZ1450" s="94" t="s">
        <v>1362</v>
      </c>
      <c r="BA1450" s="88" t="s">
        <v>67</v>
      </c>
      <c r="BC1450" s="93">
        <f>AW1450+AX1450</f>
        <v>0</v>
      </c>
      <c r="BD1450" s="93">
        <f>H1450/(100-BE1450)*100</f>
        <v>0</v>
      </c>
      <c r="BE1450" s="93">
        <v>0</v>
      </c>
      <c r="BF1450" s="93">
        <f>O1450</f>
        <v>0.23243759999999999</v>
      </c>
      <c r="BH1450" s="93">
        <f>G1450*AO1450</f>
        <v>0</v>
      </c>
      <c r="BI1450" s="93">
        <f>G1450*AP1450</f>
        <v>0</v>
      </c>
      <c r="BJ1450" s="93">
        <f>G1450*H1450</f>
        <v>0</v>
      </c>
      <c r="BK1450" s="93"/>
      <c r="BL1450" s="93">
        <v>713</v>
      </c>
      <c r="BW1450" s="93" t="str">
        <f>I1450</f>
        <v>21</v>
      </c>
      <c r="BX1450" s="2" t="s">
        <v>1569</v>
      </c>
    </row>
    <row r="1451" spans="1:76" s="81" customFormat="1" x14ac:dyDescent="0.25">
      <c r="A1451" s="95"/>
      <c r="B1451" s="95"/>
      <c r="C1451" s="95"/>
      <c r="D1451" s="76" t="s">
        <v>1299</v>
      </c>
      <c r="E1451" s="76" t="s">
        <v>54</v>
      </c>
      <c r="F1451" s="95"/>
      <c r="G1451" s="96">
        <v>42.2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95"/>
      <c r="B1452" s="95"/>
      <c r="C1452" s="95"/>
      <c r="D1452" s="76" t="s">
        <v>1570</v>
      </c>
      <c r="E1452" s="76" t="s">
        <v>54</v>
      </c>
      <c r="F1452" s="95"/>
      <c r="G1452" s="96">
        <v>0.84399999999999997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72" t="s">
        <v>1571</v>
      </c>
      <c r="B1453" s="72" t="s">
        <v>55</v>
      </c>
      <c r="C1453" s="72" t="s">
        <v>1572</v>
      </c>
      <c r="D1453" s="175" t="s">
        <v>1573</v>
      </c>
      <c r="E1453" s="175"/>
      <c r="F1453" s="72" t="s">
        <v>192</v>
      </c>
      <c r="G1453" s="90">
        <v>946.36136999999997</v>
      </c>
      <c r="H1453" s="91"/>
      <c r="I1453" s="92" t="s">
        <v>63</v>
      </c>
      <c r="J1453" s="90">
        <f>G1453*AO1453</f>
        <v>0</v>
      </c>
      <c r="K1453" s="90">
        <f>G1453*AP1453</f>
        <v>0</v>
      </c>
      <c r="L1453" s="90">
        <f>G1453*H1453</f>
        <v>0</v>
      </c>
      <c r="M1453" s="90">
        <f>L1453*(1+BW1453/100)</f>
        <v>0</v>
      </c>
      <c r="N1453" s="90">
        <v>3.3E-4</v>
      </c>
      <c r="O1453" s="90">
        <f>G1453*N1453</f>
        <v>0.31229925209999998</v>
      </c>
      <c r="P1453" s="92" t="s">
        <v>64</v>
      </c>
      <c r="Z1453" s="93">
        <f>IF(AQ1453="5",BJ1453,0)</f>
        <v>0</v>
      </c>
      <c r="AB1453" s="93">
        <f>IF(AQ1453="1",BH1453,0)</f>
        <v>0</v>
      </c>
      <c r="AC1453" s="93">
        <f>IF(AQ1453="1",BI1453,0)</f>
        <v>0</v>
      </c>
      <c r="AD1453" s="93">
        <f>IF(AQ1453="7",BH1453,0)</f>
        <v>0</v>
      </c>
      <c r="AE1453" s="93">
        <f>IF(AQ1453="7",BI1453,0)</f>
        <v>0</v>
      </c>
      <c r="AF1453" s="93">
        <f>IF(AQ1453="2",BH1453,0)</f>
        <v>0</v>
      </c>
      <c r="AG1453" s="93">
        <f>IF(AQ1453="2",BI1453,0)</f>
        <v>0</v>
      </c>
      <c r="AH1453" s="93">
        <f>IF(AQ1453="0",BJ1453,0)</f>
        <v>0</v>
      </c>
      <c r="AI1453" s="88" t="s">
        <v>55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H1453*0.3847099</f>
        <v>0</v>
      </c>
      <c r="AP1453" s="93">
        <f>H1453*(1-0.3847099)</f>
        <v>0</v>
      </c>
      <c r="AQ1453" s="94" t="s">
        <v>148</v>
      </c>
      <c r="AV1453" s="93">
        <f>AW1453+AX1453</f>
        <v>0</v>
      </c>
      <c r="AW1453" s="93">
        <f>G1453*AO1453</f>
        <v>0</v>
      </c>
      <c r="AX1453" s="93">
        <f>G1453*AP1453</f>
        <v>0</v>
      </c>
      <c r="AY1453" s="94" t="s">
        <v>1527</v>
      </c>
      <c r="AZ1453" s="94" t="s">
        <v>1362</v>
      </c>
      <c r="BA1453" s="88" t="s">
        <v>67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0.31229925209999998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 t="str">
        <f>I1453</f>
        <v>21</v>
      </c>
      <c r="BX1453" s="2" t="s">
        <v>1573</v>
      </c>
    </row>
    <row r="1454" spans="1:76" s="81" customFormat="1" x14ac:dyDescent="0.25">
      <c r="A1454" s="95"/>
      <c r="B1454" s="95"/>
      <c r="C1454" s="95"/>
      <c r="D1454" s="76" t="s">
        <v>54</v>
      </c>
      <c r="E1454" s="76" t="s">
        <v>1574</v>
      </c>
      <c r="F1454" s="95"/>
      <c r="G1454" s="96">
        <v>0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95"/>
      <c r="B1455" s="95"/>
      <c r="C1455" s="95"/>
      <c r="D1455" s="76" t="s">
        <v>54</v>
      </c>
      <c r="E1455" s="76" t="s">
        <v>831</v>
      </c>
      <c r="F1455" s="95"/>
      <c r="G1455" s="96">
        <v>0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x14ac:dyDescent="0.25">
      <c r="A1456" s="95"/>
      <c r="B1456" s="95"/>
      <c r="C1456" s="95"/>
      <c r="D1456" s="76" t="s">
        <v>54</v>
      </c>
      <c r="E1456" s="76" t="s">
        <v>1575</v>
      </c>
      <c r="F1456" s="95"/>
      <c r="G1456" s="96">
        <v>0</v>
      </c>
      <c r="H1456" s="97"/>
      <c r="I1456" s="95"/>
      <c r="J1456" s="95"/>
      <c r="K1456" s="95"/>
      <c r="L1456" s="95"/>
      <c r="M1456" s="95"/>
      <c r="N1456" s="95"/>
      <c r="O1456" s="95"/>
      <c r="P1456" s="95"/>
    </row>
    <row r="1457" spans="1:76" s="81" customFormat="1" x14ac:dyDescent="0.25">
      <c r="A1457" s="95"/>
      <c r="B1457" s="95"/>
      <c r="C1457" s="95"/>
      <c r="D1457" s="76" t="s">
        <v>1410</v>
      </c>
      <c r="E1457" s="76" t="s">
        <v>841</v>
      </c>
      <c r="F1457" s="95"/>
      <c r="G1457" s="96">
        <v>42.173999999999999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95"/>
      <c r="B1458" s="95"/>
      <c r="C1458" s="95"/>
      <c r="D1458" s="76" t="s">
        <v>1411</v>
      </c>
      <c r="E1458" s="76" t="s">
        <v>843</v>
      </c>
      <c r="F1458" s="95"/>
      <c r="G1458" s="96">
        <v>13.88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x14ac:dyDescent="0.25">
      <c r="A1459" s="95"/>
      <c r="B1459" s="95"/>
      <c r="C1459" s="95"/>
      <c r="D1459" s="76" t="s">
        <v>1412</v>
      </c>
      <c r="E1459" s="76" t="s">
        <v>834</v>
      </c>
      <c r="F1459" s="95"/>
      <c r="G1459" s="96">
        <v>40.29</v>
      </c>
      <c r="H1459" s="97"/>
      <c r="I1459" s="95"/>
      <c r="J1459" s="95"/>
      <c r="K1459" s="95"/>
      <c r="L1459" s="95"/>
      <c r="M1459" s="95"/>
      <c r="N1459" s="95"/>
      <c r="O1459" s="95"/>
      <c r="P1459" s="95"/>
    </row>
    <row r="1460" spans="1:76" s="81" customFormat="1" x14ac:dyDescent="0.25">
      <c r="A1460" s="95"/>
      <c r="B1460" s="95"/>
      <c r="C1460" s="95"/>
      <c r="D1460" s="76" t="s">
        <v>54</v>
      </c>
      <c r="E1460" s="76" t="s">
        <v>835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95"/>
      <c r="B1461" s="95"/>
      <c r="C1461" s="95"/>
      <c r="D1461" s="76" t="s">
        <v>1413</v>
      </c>
      <c r="E1461" s="76" t="s">
        <v>54</v>
      </c>
      <c r="F1461" s="95"/>
      <c r="G1461" s="96">
        <v>510.66300000000001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95"/>
      <c r="B1462" s="95"/>
      <c r="C1462" s="95"/>
      <c r="D1462" s="76" t="s">
        <v>54</v>
      </c>
      <c r="E1462" s="76" t="s">
        <v>1576</v>
      </c>
      <c r="F1462" s="95"/>
      <c r="G1462" s="96">
        <v>0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95"/>
      <c r="B1463" s="95"/>
      <c r="C1463" s="95"/>
      <c r="D1463" s="76" t="s">
        <v>54</v>
      </c>
      <c r="E1463" s="76" t="s">
        <v>443</v>
      </c>
      <c r="F1463" s="95"/>
      <c r="G1463" s="96">
        <v>0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95"/>
      <c r="B1464" s="95"/>
      <c r="C1464" s="95"/>
      <c r="D1464" s="76" t="s">
        <v>1414</v>
      </c>
      <c r="E1464" s="76" t="s">
        <v>839</v>
      </c>
      <c r="F1464" s="95"/>
      <c r="G1464" s="96">
        <v>266.63436999999999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95"/>
      <c r="B1465" s="95"/>
      <c r="C1465" s="95"/>
      <c r="D1465" s="76" t="s">
        <v>54</v>
      </c>
      <c r="E1465" s="76" t="s">
        <v>1218</v>
      </c>
      <c r="F1465" s="95"/>
      <c r="G1465" s="96">
        <v>0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95"/>
      <c r="B1466" s="95"/>
      <c r="C1466" s="95"/>
      <c r="D1466" s="76" t="s">
        <v>54</v>
      </c>
      <c r="E1466" s="76" t="s">
        <v>443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95"/>
      <c r="B1467" s="95"/>
      <c r="C1467" s="95"/>
      <c r="D1467" s="76" t="s">
        <v>1219</v>
      </c>
      <c r="E1467" s="76" t="s">
        <v>54</v>
      </c>
      <c r="F1467" s="95"/>
      <c r="G1467" s="96">
        <v>72.72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ht="25.5" x14ac:dyDescent="0.25">
      <c r="A1468" s="72" t="s">
        <v>1577</v>
      </c>
      <c r="B1468" s="72" t="s">
        <v>55</v>
      </c>
      <c r="C1468" s="72" t="s">
        <v>1578</v>
      </c>
      <c r="D1468" s="175" t="s">
        <v>1579</v>
      </c>
      <c r="E1468" s="175"/>
      <c r="F1468" s="72" t="s">
        <v>62</v>
      </c>
      <c r="G1468" s="90">
        <v>173.77271999999999</v>
      </c>
      <c r="H1468" s="91"/>
      <c r="I1468" s="92" t="s">
        <v>63</v>
      </c>
      <c r="J1468" s="90">
        <f>G1468*AO1468</f>
        <v>0</v>
      </c>
      <c r="K1468" s="90">
        <f>G1468*AP1468</f>
        <v>0</v>
      </c>
      <c r="L1468" s="90">
        <f>G1468*H1468</f>
        <v>0</v>
      </c>
      <c r="M1468" s="90">
        <f>L1468*(1+BW1468/100)</f>
        <v>0</v>
      </c>
      <c r="N1468" s="90">
        <v>2.5000000000000001E-2</v>
      </c>
      <c r="O1468" s="90">
        <f>G1468*N1468</f>
        <v>4.3443180000000003</v>
      </c>
      <c r="P1468" s="92" t="s">
        <v>64</v>
      </c>
      <c r="Z1468" s="93">
        <f>IF(AQ1468="5",BJ1468,0)</f>
        <v>0</v>
      </c>
      <c r="AB1468" s="93">
        <f>IF(AQ1468="1",BH1468,0)</f>
        <v>0</v>
      </c>
      <c r="AC1468" s="93">
        <f>IF(AQ1468="1",BI1468,0)</f>
        <v>0</v>
      </c>
      <c r="AD1468" s="93">
        <f>IF(AQ1468="7",BH1468,0)</f>
        <v>0</v>
      </c>
      <c r="AE1468" s="93">
        <f>IF(AQ1468="7",BI1468,0)</f>
        <v>0</v>
      </c>
      <c r="AF1468" s="93">
        <f>IF(AQ1468="2",BH1468,0)</f>
        <v>0</v>
      </c>
      <c r="AG1468" s="93">
        <f>IF(AQ1468="2",BI1468,0)</f>
        <v>0</v>
      </c>
      <c r="AH1468" s="93">
        <f>IF(AQ1468="0",BJ1468,0)</f>
        <v>0</v>
      </c>
      <c r="AI1468" s="88" t="s">
        <v>55</v>
      </c>
      <c r="AJ1468" s="93">
        <f>IF(AN1468=0,L1468,0)</f>
        <v>0</v>
      </c>
      <c r="AK1468" s="93">
        <f>IF(AN1468=12,L1468,0)</f>
        <v>0</v>
      </c>
      <c r="AL1468" s="93">
        <f>IF(AN1468=21,L1468,0)</f>
        <v>0</v>
      </c>
      <c r="AN1468" s="93">
        <v>21</v>
      </c>
      <c r="AO1468" s="93">
        <f>H1468*1</f>
        <v>0</v>
      </c>
      <c r="AP1468" s="93">
        <f>H1468*(1-1)</f>
        <v>0</v>
      </c>
      <c r="AQ1468" s="94" t="s">
        <v>148</v>
      </c>
      <c r="AV1468" s="93">
        <f>AW1468+AX1468</f>
        <v>0</v>
      </c>
      <c r="AW1468" s="93">
        <f>G1468*AO1468</f>
        <v>0</v>
      </c>
      <c r="AX1468" s="93">
        <f>G1468*AP1468</f>
        <v>0</v>
      </c>
      <c r="AY1468" s="94" t="s">
        <v>1527</v>
      </c>
      <c r="AZ1468" s="94" t="s">
        <v>1362</v>
      </c>
      <c r="BA1468" s="88" t="s">
        <v>67</v>
      </c>
      <c r="BC1468" s="93">
        <f>AW1468+AX1468</f>
        <v>0</v>
      </c>
      <c r="BD1468" s="93">
        <f>H1468/(100-BE1468)*100</f>
        <v>0</v>
      </c>
      <c r="BE1468" s="93">
        <v>0</v>
      </c>
      <c r="BF1468" s="93">
        <f>O1468</f>
        <v>4.3443180000000003</v>
      </c>
      <c r="BH1468" s="93">
        <f>G1468*AO1468</f>
        <v>0</v>
      </c>
      <c r="BI1468" s="93">
        <f>G1468*AP1468</f>
        <v>0</v>
      </c>
      <c r="BJ1468" s="93">
        <f>G1468*H1468</f>
        <v>0</v>
      </c>
      <c r="BK1468" s="93"/>
      <c r="BL1468" s="93">
        <v>713</v>
      </c>
      <c r="BW1468" s="93" t="str">
        <f>I1468</f>
        <v>21</v>
      </c>
      <c r="BX1468" s="2" t="s">
        <v>1579</v>
      </c>
    </row>
    <row r="1469" spans="1:76" s="81" customFormat="1" x14ac:dyDescent="0.25">
      <c r="A1469" s="95"/>
      <c r="B1469" s="95"/>
      <c r="C1469" s="95"/>
      <c r="D1469" s="76" t="s">
        <v>54</v>
      </c>
      <c r="E1469" s="76" t="s">
        <v>831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95"/>
      <c r="B1470" s="95"/>
      <c r="C1470" s="95"/>
      <c r="D1470" s="76" t="s">
        <v>54</v>
      </c>
      <c r="E1470" s="76" t="s">
        <v>832</v>
      </c>
      <c r="F1470" s="95"/>
      <c r="G1470" s="96">
        <v>0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95"/>
      <c r="B1471" s="95"/>
      <c r="C1471" s="95"/>
      <c r="D1471" s="76" t="s">
        <v>1580</v>
      </c>
      <c r="E1471" s="76" t="s">
        <v>841</v>
      </c>
      <c r="F1471" s="95"/>
      <c r="G1471" s="96">
        <v>8.4347999999999992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95"/>
      <c r="B1472" s="95"/>
      <c r="C1472" s="95"/>
      <c r="D1472" s="76" t="s">
        <v>1581</v>
      </c>
      <c r="E1472" s="76" t="s">
        <v>843</v>
      </c>
      <c r="F1472" s="95"/>
      <c r="G1472" s="96">
        <v>2.7759999999999998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95"/>
      <c r="B1473" s="95"/>
      <c r="C1473" s="95"/>
      <c r="D1473" s="76" t="s">
        <v>1582</v>
      </c>
      <c r="E1473" s="76" t="s">
        <v>834</v>
      </c>
      <c r="F1473" s="95"/>
      <c r="G1473" s="96">
        <v>8.0579999999999998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x14ac:dyDescent="0.25">
      <c r="A1474" s="95"/>
      <c r="B1474" s="95"/>
      <c r="C1474" s="95"/>
      <c r="D1474" s="76" t="s">
        <v>54</v>
      </c>
      <c r="E1474" s="76" t="s">
        <v>835</v>
      </c>
      <c r="F1474" s="95"/>
      <c r="G1474" s="96">
        <v>0</v>
      </c>
      <c r="H1474" s="97"/>
      <c r="I1474" s="95"/>
      <c r="J1474" s="95"/>
      <c r="K1474" s="95"/>
      <c r="L1474" s="95"/>
      <c r="M1474" s="95"/>
      <c r="N1474" s="95"/>
      <c r="O1474" s="95"/>
      <c r="P1474" s="95"/>
    </row>
    <row r="1475" spans="1:76" s="81" customFormat="1" x14ac:dyDescent="0.25">
      <c r="A1475" s="95"/>
      <c r="B1475" s="95"/>
      <c r="C1475" s="95"/>
      <c r="D1475" s="76" t="s">
        <v>1583</v>
      </c>
      <c r="E1475" s="76" t="s">
        <v>54</v>
      </c>
      <c r="F1475" s="95"/>
      <c r="G1475" s="96">
        <v>102.1326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95"/>
      <c r="B1476" s="95"/>
      <c r="C1476" s="95"/>
      <c r="D1476" s="76" t="s">
        <v>54</v>
      </c>
      <c r="E1476" s="76" t="s">
        <v>837</v>
      </c>
      <c r="F1476" s="95"/>
      <c r="G1476" s="96">
        <v>0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95"/>
      <c r="B1477" s="95"/>
      <c r="C1477" s="95"/>
      <c r="D1477" s="76" t="s">
        <v>54</v>
      </c>
      <c r="E1477" s="76" t="s">
        <v>443</v>
      </c>
      <c r="F1477" s="95"/>
      <c r="G1477" s="96">
        <v>0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95"/>
      <c r="B1478" s="95"/>
      <c r="C1478" s="95"/>
      <c r="D1478" s="76" t="s">
        <v>1584</v>
      </c>
      <c r="E1478" s="76" t="s">
        <v>839</v>
      </c>
      <c r="F1478" s="95"/>
      <c r="G1478" s="96">
        <v>37.328809999999997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95"/>
      <c r="B1479" s="95"/>
      <c r="C1479" s="95"/>
      <c r="D1479" s="76" t="s">
        <v>54</v>
      </c>
      <c r="E1479" s="76" t="s">
        <v>1218</v>
      </c>
      <c r="F1479" s="95"/>
      <c r="G1479" s="96">
        <v>0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95"/>
      <c r="B1480" s="95"/>
      <c r="C1480" s="95"/>
      <c r="D1480" s="76" t="s">
        <v>54</v>
      </c>
      <c r="E1480" s="76" t="s">
        <v>443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95"/>
      <c r="B1481" s="95"/>
      <c r="C1481" s="95"/>
      <c r="D1481" s="76" t="s">
        <v>1585</v>
      </c>
      <c r="E1481" s="76" t="s">
        <v>54</v>
      </c>
      <c r="F1481" s="95"/>
      <c r="G1481" s="96">
        <v>11.635199999999999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95"/>
      <c r="B1482" s="95"/>
      <c r="C1482" s="95"/>
      <c r="D1482" s="76" t="s">
        <v>1586</v>
      </c>
      <c r="E1482" s="76" t="s">
        <v>54</v>
      </c>
      <c r="F1482" s="95"/>
      <c r="G1482" s="96">
        <v>3.4073099999999998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ht="25.5" x14ac:dyDescent="0.25">
      <c r="A1483" s="72" t="s">
        <v>1587</v>
      </c>
      <c r="B1483" s="72" t="s">
        <v>55</v>
      </c>
      <c r="C1483" s="72" t="s">
        <v>1572</v>
      </c>
      <c r="D1483" s="175" t="s">
        <v>1588</v>
      </c>
      <c r="E1483" s="175"/>
      <c r="F1483" s="72" t="s">
        <v>192</v>
      </c>
      <c r="G1483" s="90">
        <v>1892.7227399999999</v>
      </c>
      <c r="H1483" s="91"/>
      <c r="I1483" s="92" t="s">
        <v>63</v>
      </c>
      <c r="J1483" s="90">
        <f>G1483*AO1483</f>
        <v>0</v>
      </c>
      <c r="K1483" s="90">
        <f>G1483*AP1483</f>
        <v>0</v>
      </c>
      <c r="L1483" s="90">
        <f>G1483*H1483</f>
        <v>0</v>
      </c>
      <c r="M1483" s="90">
        <f>L1483*(1+BW1483/100)</f>
        <v>0</v>
      </c>
      <c r="N1483" s="90">
        <v>3.3E-4</v>
      </c>
      <c r="O1483" s="90">
        <f>G1483*N1483</f>
        <v>0.62459850419999996</v>
      </c>
      <c r="P1483" s="92" t="s">
        <v>64</v>
      </c>
      <c r="Z1483" s="93">
        <f>IF(AQ1483="5",BJ1483,0)</f>
        <v>0</v>
      </c>
      <c r="AB1483" s="93">
        <f>IF(AQ1483="1",BH1483,0)</f>
        <v>0</v>
      </c>
      <c r="AC1483" s="93">
        <f>IF(AQ1483="1",BI1483,0)</f>
        <v>0</v>
      </c>
      <c r="AD1483" s="93">
        <f>IF(AQ1483="7",BH1483,0)</f>
        <v>0</v>
      </c>
      <c r="AE1483" s="93">
        <f>IF(AQ1483="7",BI1483,0)</f>
        <v>0</v>
      </c>
      <c r="AF1483" s="93">
        <f>IF(AQ1483="2",BH1483,0)</f>
        <v>0</v>
      </c>
      <c r="AG1483" s="93">
        <f>IF(AQ1483="2",BI1483,0)</f>
        <v>0</v>
      </c>
      <c r="AH1483" s="93">
        <f>IF(AQ1483="0",BJ1483,0)</f>
        <v>0</v>
      </c>
      <c r="AI1483" s="88" t="s">
        <v>55</v>
      </c>
      <c r="AJ1483" s="93">
        <f>IF(AN1483=0,L1483,0)</f>
        <v>0</v>
      </c>
      <c r="AK1483" s="93">
        <f>IF(AN1483=12,L1483,0)</f>
        <v>0</v>
      </c>
      <c r="AL1483" s="93">
        <f>IF(AN1483=21,L1483,0)</f>
        <v>0</v>
      </c>
      <c r="AN1483" s="93">
        <v>21</v>
      </c>
      <c r="AO1483" s="93">
        <f>H1483*0.3847099</f>
        <v>0</v>
      </c>
      <c r="AP1483" s="93">
        <f>H1483*(1-0.3847099)</f>
        <v>0</v>
      </c>
      <c r="AQ1483" s="94" t="s">
        <v>148</v>
      </c>
      <c r="AV1483" s="93">
        <f>AW1483+AX1483</f>
        <v>0</v>
      </c>
      <c r="AW1483" s="93">
        <f>G1483*AO1483</f>
        <v>0</v>
      </c>
      <c r="AX1483" s="93">
        <f>G1483*AP1483</f>
        <v>0</v>
      </c>
      <c r="AY1483" s="94" t="s">
        <v>1527</v>
      </c>
      <c r="AZ1483" s="94" t="s">
        <v>1362</v>
      </c>
      <c r="BA1483" s="88" t="s">
        <v>67</v>
      </c>
      <c r="BC1483" s="93">
        <f>AW1483+AX1483</f>
        <v>0</v>
      </c>
      <c r="BD1483" s="93">
        <f>H1483/(100-BE1483)*100</f>
        <v>0</v>
      </c>
      <c r="BE1483" s="93">
        <v>0</v>
      </c>
      <c r="BF1483" s="93">
        <f>O1483</f>
        <v>0.62459850419999996</v>
      </c>
      <c r="BH1483" s="93">
        <f>G1483*AO1483</f>
        <v>0</v>
      </c>
      <c r="BI1483" s="93">
        <f>G1483*AP1483</f>
        <v>0</v>
      </c>
      <c r="BJ1483" s="93">
        <f>G1483*H1483</f>
        <v>0</v>
      </c>
      <c r="BK1483" s="93"/>
      <c r="BL1483" s="93">
        <v>713</v>
      </c>
      <c r="BW1483" s="93" t="str">
        <f>I1483</f>
        <v>21</v>
      </c>
      <c r="BX1483" s="2" t="s">
        <v>1588</v>
      </c>
    </row>
    <row r="1484" spans="1:76" s="81" customFormat="1" ht="25.5" x14ac:dyDescent="0.25">
      <c r="A1484" s="95"/>
      <c r="B1484" s="95"/>
      <c r="C1484" s="95"/>
      <c r="D1484" s="76" t="s">
        <v>54</v>
      </c>
      <c r="E1484" s="76" t="s">
        <v>1589</v>
      </c>
      <c r="F1484" s="95"/>
      <c r="G1484" s="96">
        <v>0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95"/>
      <c r="B1485" s="95"/>
      <c r="C1485" s="95"/>
      <c r="D1485" s="76" t="s">
        <v>1590</v>
      </c>
      <c r="E1485" s="76" t="s">
        <v>1591</v>
      </c>
      <c r="F1485" s="95"/>
      <c r="G1485" s="96">
        <v>1747.2827400000001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95"/>
      <c r="B1486" s="95"/>
      <c r="C1486" s="95"/>
      <c r="D1486" s="76" t="s">
        <v>1592</v>
      </c>
      <c r="E1486" s="76" t="s">
        <v>1218</v>
      </c>
      <c r="F1486" s="95"/>
      <c r="G1486" s="96">
        <v>145.44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ht="25.5" x14ac:dyDescent="0.25">
      <c r="A1487" s="72" t="s">
        <v>1593</v>
      </c>
      <c r="B1487" s="72" t="s">
        <v>55</v>
      </c>
      <c r="C1487" s="72" t="s">
        <v>1594</v>
      </c>
      <c r="D1487" s="175" t="s">
        <v>1595</v>
      </c>
      <c r="E1487" s="175"/>
      <c r="F1487" s="72" t="s">
        <v>62</v>
      </c>
      <c r="G1487" s="90">
        <v>85.392489999999995</v>
      </c>
      <c r="H1487" s="91"/>
      <c r="I1487" s="92" t="s">
        <v>63</v>
      </c>
      <c r="J1487" s="90">
        <f>G1487*AO1487</f>
        <v>0</v>
      </c>
      <c r="K1487" s="90">
        <f>G1487*AP1487</f>
        <v>0</v>
      </c>
      <c r="L1487" s="90">
        <f>G1487*H1487</f>
        <v>0</v>
      </c>
      <c r="M1487" s="90">
        <f>L1487*(1+BW1487/100)</f>
        <v>0</v>
      </c>
      <c r="N1487" s="90">
        <v>2.5000000000000001E-2</v>
      </c>
      <c r="O1487" s="90">
        <f>G1487*N1487</f>
        <v>2.13481225</v>
      </c>
      <c r="P1487" s="92" t="s">
        <v>64</v>
      </c>
      <c r="Z1487" s="93">
        <f>IF(AQ1487="5",BJ1487,0)</f>
        <v>0</v>
      </c>
      <c r="AB1487" s="93">
        <f>IF(AQ1487="1",BH1487,0)</f>
        <v>0</v>
      </c>
      <c r="AC1487" s="93">
        <f>IF(AQ1487="1",BI1487,0)</f>
        <v>0</v>
      </c>
      <c r="AD1487" s="93">
        <f>IF(AQ1487="7",BH1487,0)</f>
        <v>0</v>
      </c>
      <c r="AE1487" s="93">
        <f>IF(AQ1487="7",BI1487,0)</f>
        <v>0</v>
      </c>
      <c r="AF1487" s="93">
        <f>IF(AQ1487="2",BH1487,0)</f>
        <v>0</v>
      </c>
      <c r="AG1487" s="93">
        <f>IF(AQ1487="2",BI1487,0)</f>
        <v>0</v>
      </c>
      <c r="AH1487" s="93">
        <f>IF(AQ1487="0",BJ1487,0)</f>
        <v>0</v>
      </c>
      <c r="AI1487" s="88" t="s">
        <v>55</v>
      </c>
      <c r="AJ1487" s="93">
        <f>IF(AN1487=0,L1487,0)</f>
        <v>0</v>
      </c>
      <c r="AK1487" s="93">
        <f>IF(AN1487=12,L1487,0)</f>
        <v>0</v>
      </c>
      <c r="AL1487" s="93">
        <f>IF(AN1487=21,L1487,0)</f>
        <v>0</v>
      </c>
      <c r="AN1487" s="93">
        <v>21</v>
      </c>
      <c r="AO1487" s="93">
        <f>H1487*1</f>
        <v>0</v>
      </c>
      <c r="AP1487" s="93">
        <f>H1487*(1-1)</f>
        <v>0</v>
      </c>
      <c r="AQ1487" s="94" t="s">
        <v>148</v>
      </c>
      <c r="AV1487" s="93">
        <f>AW1487+AX1487</f>
        <v>0</v>
      </c>
      <c r="AW1487" s="93">
        <f>G1487*AO1487</f>
        <v>0</v>
      </c>
      <c r="AX1487" s="93">
        <f>G1487*AP1487</f>
        <v>0</v>
      </c>
      <c r="AY1487" s="94" t="s">
        <v>1527</v>
      </c>
      <c r="AZ1487" s="94" t="s">
        <v>1362</v>
      </c>
      <c r="BA1487" s="88" t="s">
        <v>67</v>
      </c>
      <c r="BC1487" s="93">
        <f>AW1487+AX1487</f>
        <v>0</v>
      </c>
      <c r="BD1487" s="93">
        <f>H1487/(100-BE1487)*100</f>
        <v>0</v>
      </c>
      <c r="BE1487" s="93">
        <v>0</v>
      </c>
      <c r="BF1487" s="93">
        <f>O1487</f>
        <v>2.13481225</v>
      </c>
      <c r="BH1487" s="93">
        <f>G1487*AO1487</f>
        <v>0</v>
      </c>
      <c r="BI1487" s="93">
        <f>G1487*AP1487</f>
        <v>0</v>
      </c>
      <c r="BJ1487" s="93">
        <f>G1487*H1487</f>
        <v>0</v>
      </c>
      <c r="BK1487" s="93"/>
      <c r="BL1487" s="93">
        <v>713</v>
      </c>
      <c r="BW1487" s="93" t="str">
        <f>I1487</f>
        <v>21</v>
      </c>
      <c r="BX1487" s="2" t="s">
        <v>1595</v>
      </c>
    </row>
    <row r="1488" spans="1:76" s="81" customFormat="1" x14ac:dyDescent="0.25">
      <c r="A1488" s="95"/>
      <c r="B1488" s="95"/>
      <c r="C1488" s="95"/>
      <c r="D1488" s="76" t="s">
        <v>54</v>
      </c>
      <c r="E1488" s="76" t="s">
        <v>1591</v>
      </c>
      <c r="F1488" s="95"/>
      <c r="G1488" s="96">
        <v>0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x14ac:dyDescent="0.25">
      <c r="A1489" s="95"/>
      <c r="B1489" s="95"/>
      <c r="C1489" s="95"/>
      <c r="D1489" s="76" t="s">
        <v>54</v>
      </c>
      <c r="E1489" s="76" t="s">
        <v>1218</v>
      </c>
      <c r="F1489" s="95"/>
      <c r="G1489" s="96">
        <v>0</v>
      </c>
      <c r="H1489" s="97"/>
      <c r="I1489" s="95"/>
      <c r="J1489" s="95"/>
      <c r="K1489" s="95"/>
      <c r="L1489" s="95"/>
      <c r="M1489" s="95"/>
      <c r="N1489" s="95"/>
      <c r="O1489" s="95"/>
      <c r="P1489" s="95"/>
    </row>
    <row r="1490" spans="1:76" s="81" customFormat="1" x14ac:dyDescent="0.25">
      <c r="A1490" s="95"/>
      <c r="B1490" s="95"/>
      <c r="C1490" s="95"/>
      <c r="D1490" s="76" t="s">
        <v>1596</v>
      </c>
      <c r="E1490" s="76" t="s">
        <v>54</v>
      </c>
      <c r="F1490" s="95"/>
      <c r="G1490" s="96">
        <v>5.1922100000000002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95"/>
      <c r="B1491" s="95"/>
      <c r="C1491" s="95"/>
      <c r="D1491" s="76" t="s">
        <v>1597</v>
      </c>
      <c r="E1491" s="76" t="s">
        <v>54</v>
      </c>
      <c r="F1491" s="95"/>
      <c r="G1491" s="96">
        <v>80.200280000000006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ht="25.5" x14ac:dyDescent="0.25">
      <c r="A1492" s="72" t="s">
        <v>1598</v>
      </c>
      <c r="B1492" s="72" t="s">
        <v>55</v>
      </c>
      <c r="C1492" s="72" t="s">
        <v>1599</v>
      </c>
      <c r="D1492" s="175" t="s">
        <v>1600</v>
      </c>
      <c r="E1492" s="175"/>
      <c r="F1492" s="72" t="s">
        <v>192</v>
      </c>
      <c r="G1492" s="90">
        <v>140.7235</v>
      </c>
      <c r="H1492" s="91"/>
      <c r="I1492" s="92" t="s">
        <v>63</v>
      </c>
      <c r="J1492" s="90">
        <f>G1492*AO1492</f>
        <v>0</v>
      </c>
      <c r="K1492" s="90">
        <f>G1492*AP1492</f>
        <v>0</v>
      </c>
      <c r="L1492" s="90">
        <f>G1492*H1492</f>
        <v>0</v>
      </c>
      <c r="M1492" s="90">
        <f>L1492*(1+BW1492/100)</f>
        <v>0</v>
      </c>
      <c r="N1492" s="90">
        <v>6.4900000000000001E-3</v>
      </c>
      <c r="O1492" s="90">
        <f>G1492*N1492</f>
        <v>0.91329551500000006</v>
      </c>
      <c r="P1492" s="92" t="s">
        <v>64</v>
      </c>
      <c r="Z1492" s="93">
        <f>IF(AQ1492="5",BJ1492,0)</f>
        <v>0</v>
      </c>
      <c r="AB1492" s="93">
        <f>IF(AQ1492="1",BH1492,0)</f>
        <v>0</v>
      </c>
      <c r="AC1492" s="93">
        <f>IF(AQ1492="1",BI1492,0)</f>
        <v>0</v>
      </c>
      <c r="AD1492" s="93">
        <f>IF(AQ1492="7",BH1492,0)</f>
        <v>0</v>
      </c>
      <c r="AE1492" s="93">
        <f>IF(AQ1492="7",BI1492,0)</f>
        <v>0</v>
      </c>
      <c r="AF1492" s="93">
        <f>IF(AQ1492="2",BH1492,0)</f>
        <v>0</v>
      </c>
      <c r="AG1492" s="93">
        <f>IF(AQ1492="2",BI1492,0)</f>
        <v>0</v>
      </c>
      <c r="AH1492" s="93">
        <f>IF(AQ1492="0",BJ1492,0)</f>
        <v>0</v>
      </c>
      <c r="AI1492" s="88" t="s">
        <v>55</v>
      </c>
      <c r="AJ1492" s="93">
        <f>IF(AN1492=0,L1492,0)</f>
        <v>0</v>
      </c>
      <c r="AK1492" s="93">
        <f>IF(AN1492=12,L1492,0)</f>
        <v>0</v>
      </c>
      <c r="AL1492" s="93">
        <f>IF(AN1492=21,L1492,0)</f>
        <v>0</v>
      </c>
      <c r="AN1492" s="93">
        <v>21</v>
      </c>
      <c r="AO1492" s="93">
        <f>H1492*0.831452966</f>
        <v>0</v>
      </c>
      <c r="AP1492" s="93">
        <f>H1492*(1-0.831452966)</f>
        <v>0</v>
      </c>
      <c r="AQ1492" s="94" t="s">
        <v>148</v>
      </c>
      <c r="AV1492" s="93">
        <f>AW1492+AX1492</f>
        <v>0</v>
      </c>
      <c r="AW1492" s="93">
        <f>G1492*AO1492</f>
        <v>0</v>
      </c>
      <c r="AX1492" s="93">
        <f>G1492*AP1492</f>
        <v>0</v>
      </c>
      <c r="AY1492" s="94" t="s">
        <v>1527</v>
      </c>
      <c r="AZ1492" s="94" t="s">
        <v>1362</v>
      </c>
      <c r="BA1492" s="88" t="s">
        <v>67</v>
      </c>
      <c r="BC1492" s="93">
        <f>AW1492+AX1492</f>
        <v>0</v>
      </c>
      <c r="BD1492" s="93">
        <f>H1492/(100-BE1492)*100</f>
        <v>0</v>
      </c>
      <c r="BE1492" s="93">
        <v>0</v>
      </c>
      <c r="BF1492" s="93">
        <f>O1492</f>
        <v>0.91329551500000006</v>
      </c>
      <c r="BH1492" s="93">
        <f>G1492*AO1492</f>
        <v>0</v>
      </c>
      <c r="BI1492" s="93">
        <f>G1492*AP1492</f>
        <v>0</v>
      </c>
      <c r="BJ1492" s="93">
        <f>G1492*H1492</f>
        <v>0</v>
      </c>
      <c r="BK1492" s="93"/>
      <c r="BL1492" s="93">
        <v>713</v>
      </c>
      <c r="BW1492" s="93" t="str">
        <f>I1492</f>
        <v>21</v>
      </c>
      <c r="BX1492" s="2" t="s">
        <v>1600</v>
      </c>
    </row>
    <row r="1493" spans="1:76" s="81" customFormat="1" ht="13.5" customHeight="1" x14ac:dyDescent="0.25">
      <c r="A1493" s="95"/>
      <c r="B1493" s="95"/>
      <c r="C1493" s="95"/>
      <c r="D1493" s="182" t="s">
        <v>1601</v>
      </c>
      <c r="E1493" s="182"/>
      <c r="F1493" s="182"/>
      <c r="G1493" s="182"/>
      <c r="H1493" s="182"/>
      <c r="I1493" s="182"/>
      <c r="J1493" s="182"/>
      <c r="K1493" s="182"/>
      <c r="L1493" s="182"/>
      <c r="M1493" s="182"/>
      <c r="N1493" s="182"/>
      <c r="O1493" s="182"/>
      <c r="P1493" s="182"/>
    </row>
    <row r="1494" spans="1:76" s="81" customFormat="1" x14ac:dyDescent="0.25">
      <c r="A1494" s="95"/>
      <c r="B1494" s="95"/>
      <c r="C1494" s="95"/>
      <c r="D1494" s="76" t="s">
        <v>54</v>
      </c>
      <c r="E1494" s="76" t="s">
        <v>831</v>
      </c>
      <c r="F1494" s="95"/>
      <c r="G1494" s="96">
        <v>0</v>
      </c>
      <c r="H1494" s="95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95"/>
      <c r="B1495" s="95"/>
      <c r="C1495" s="95"/>
      <c r="D1495" s="76" t="s">
        <v>54</v>
      </c>
      <c r="E1495" s="76" t="s">
        <v>832</v>
      </c>
      <c r="F1495" s="95"/>
      <c r="G1495" s="96">
        <v>0</v>
      </c>
      <c r="H1495" s="95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95"/>
      <c r="B1496" s="95"/>
      <c r="C1496" s="95"/>
      <c r="D1496" s="76" t="s">
        <v>1498</v>
      </c>
      <c r="E1496" s="76" t="s">
        <v>54</v>
      </c>
      <c r="F1496" s="95"/>
      <c r="G1496" s="96">
        <v>16.266749999999998</v>
      </c>
      <c r="H1496" s="95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x14ac:dyDescent="0.25">
      <c r="A1497" s="95"/>
      <c r="B1497" s="95"/>
      <c r="C1497" s="95"/>
      <c r="D1497" s="76" t="s">
        <v>1602</v>
      </c>
      <c r="E1497" s="76" t="s">
        <v>54</v>
      </c>
      <c r="F1497" s="95"/>
      <c r="G1497" s="96">
        <v>104.367</v>
      </c>
      <c r="H1497" s="95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x14ac:dyDescent="0.25">
      <c r="A1498" s="95"/>
      <c r="B1498" s="95"/>
      <c r="C1498" s="95"/>
      <c r="D1498" s="76" t="s">
        <v>54</v>
      </c>
      <c r="E1498" s="76" t="s">
        <v>837</v>
      </c>
      <c r="F1498" s="95"/>
      <c r="G1498" s="96">
        <v>0</v>
      </c>
      <c r="H1498" s="95"/>
      <c r="I1498" s="95"/>
      <c r="J1498" s="95"/>
      <c r="K1498" s="95"/>
      <c r="L1498" s="95"/>
      <c r="M1498" s="95"/>
      <c r="N1498" s="95"/>
      <c r="O1498" s="95"/>
      <c r="P1498" s="95"/>
    </row>
    <row r="1499" spans="1:76" s="81" customFormat="1" x14ac:dyDescent="0.25">
      <c r="A1499" s="95"/>
      <c r="B1499" s="95"/>
      <c r="C1499" s="95"/>
      <c r="D1499" s="76" t="s">
        <v>1603</v>
      </c>
      <c r="E1499" s="76" t="s">
        <v>54</v>
      </c>
      <c r="F1499" s="95"/>
      <c r="G1499" s="96">
        <v>20.089749999999999</v>
      </c>
      <c r="H1499" s="97"/>
      <c r="I1499" s="95"/>
      <c r="J1499" s="95"/>
      <c r="K1499" s="95"/>
      <c r="L1499" s="95"/>
      <c r="M1499" s="95"/>
      <c r="N1499" s="95"/>
      <c r="O1499" s="95"/>
      <c r="P1499" s="95"/>
    </row>
    <row r="1500" spans="1:76" s="81" customFormat="1" ht="25.5" x14ac:dyDescent="0.25">
      <c r="A1500" s="72" t="s">
        <v>1604</v>
      </c>
      <c r="B1500" s="72" t="s">
        <v>55</v>
      </c>
      <c r="C1500" s="72" t="s">
        <v>1525</v>
      </c>
      <c r="D1500" s="175" t="s">
        <v>1605</v>
      </c>
      <c r="E1500" s="175"/>
      <c r="F1500" s="72" t="s">
        <v>192</v>
      </c>
      <c r="G1500" s="90">
        <v>318.52846</v>
      </c>
      <c r="H1500" s="91"/>
      <c r="I1500" s="92" t="s">
        <v>63</v>
      </c>
      <c r="J1500" s="90">
        <f>G1500*AO1500</f>
        <v>0</v>
      </c>
      <c r="K1500" s="90">
        <f>G1500*AP1500</f>
        <v>0</v>
      </c>
      <c r="L1500" s="90">
        <f>G1500*H1500</f>
        <v>0</v>
      </c>
      <c r="M1500" s="90">
        <f>L1500*(1+BW1500/100)</f>
        <v>0</v>
      </c>
      <c r="N1500" s="90">
        <v>3.0000000000000001E-3</v>
      </c>
      <c r="O1500" s="90">
        <f>G1500*N1500</f>
        <v>0.95558538000000004</v>
      </c>
      <c r="P1500" s="92" t="s">
        <v>64</v>
      </c>
      <c r="Z1500" s="93">
        <f>IF(AQ1500="5",BJ1500,0)</f>
        <v>0</v>
      </c>
      <c r="AB1500" s="93">
        <f>IF(AQ1500="1",BH1500,0)</f>
        <v>0</v>
      </c>
      <c r="AC1500" s="93">
        <f>IF(AQ1500="1",BI1500,0)</f>
        <v>0</v>
      </c>
      <c r="AD1500" s="93">
        <f>IF(AQ1500="7",BH1500,0)</f>
        <v>0</v>
      </c>
      <c r="AE1500" s="93">
        <f>IF(AQ1500="7",BI1500,0)</f>
        <v>0</v>
      </c>
      <c r="AF1500" s="93">
        <f>IF(AQ1500="2",BH1500,0)</f>
        <v>0</v>
      </c>
      <c r="AG1500" s="93">
        <f>IF(AQ1500="2",BI1500,0)</f>
        <v>0</v>
      </c>
      <c r="AH1500" s="93">
        <f>IF(AQ1500="0",BJ1500,0)</f>
        <v>0</v>
      </c>
      <c r="AI1500" s="88" t="s">
        <v>55</v>
      </c>
      <c r="AJ1500" s="93">
        <f>IF(AN1500=0,L1500,0)</f>
        <v>0</v>
      </c>
      <c r="AK1500" s="93">
        <f>IF(AN1500=12,L1500,0)</f>
        <v>0</v>
      </c>
      <c r="AL1500" s="93">
        <f>IF(AN1500=21,L1500,0)</f>
        <v>0</v>
      </c>
      <c r="AN1500" s="93">
        <v>21</v>
      </c>
      <c r="AO1500" s="93">
        <f>H1500*0.24153846</f>
        <v>0</v>
      </c>
      <c r="AP1500" s="93">
        <f>H1500*(1-0.24153846)</f>
        <v>0</v>
      </c>
      <c r="AQ1500" s="94" t="s">
        <v>148</v>
      </c>
      <c r="AV1500" s="93">
        <f>AW1500+AX1500</f>
        <v>0</v>
      </c>
      <c r="AW1500" s="93">
        <f>G1500*AO1500</f>
        <v>0</v>
      </c>
      <c r="AX1500" s="93">
        <f>G1500*AP1500</f>
        <v>0</v>
      </c>
      <c r="AY1500" s="94" t="s">
        <v>1527</v>
      </c>
      <c r="AZ1500" s="94" t="s">
        <v>1362</v>
      </c>
      <c r="BA1500" s="88" t="s">
        <v>67</v>
      </c>
      <c r="BC1500" s="93">
        <f>AW1500+AX1500</f>
        <v>0</v>
      </c>
      <c r="BD1500" s="93">
        <f>H1500/(100-BE1500)*100</f>
        <v>0</v>
      </c>
      <c r="BE1500" s="93">
        <v>0</v>
      </c>
      <c r="BF1500" s="93">
        <f>O1500</f>
        <v>0.95558538000000004</v>
      </c>
      <c r="BH1500" s="93">
        <f>G1500*AO1500</f>
        <v>0</v>
      </c>
      <c r="BI1500" s="93">
        <f>G1500*AP1500</f>
        <v>0</v>
      </c>
      <c r="BJ1500" s="93">
        <f>G1500*H1500</f>
        <v>0</v>
      </c>
      <c r="BK1500" s="93"/>
      <c r="BL1500" s="93">
        <v>713</v>
      </c>
      <c r="BW1500" s="93" t="str">
        <f>I1500</f>
        <v>21</v>
      </c>
      <c r="BX1500" s="2" t="s">
        <v>1605</v>
      </c>
    </row>
    <row r="1501" spans="1:76" s="81" customFormat="1" ht="25.5" x14ac:dyDescent="0.25">
      <c r="A1501" s="95"/>
      <c r="B1501" s="95"/>
      <c r="C1501" s="95"/>
      <c r="D1501" s="76" t="s">
        <v>54</v>
      </c>
      <c r="E1501" s="76" t="s">
        <v>1606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95"/>
      <c r="B1502" s="95"/>
      <c r="C1502" s="95"/>
      <c r="D1502" s="76" t="s">
        <v>54</v>
      </c>
      <c r="E1502" s="76" t="s">
        <v>1607</v>
      </c>
      <c r="F1502" s="95"/>
      <c r="G1502" s="96">
        <v>0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95"/>
      <c r="B1503" s="95"/>
      <c r="C1503" s="95"/>
      <c r="D1503" s="76" t="s">
        <v>1497</v>
      </c>
      <c r="E1503" s="76" t="s">
        <v>54</v>
      </c>
      <c r="F1503" s="95"/>
      <c r="G1503" s="96">
        <v>15.76155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95"/>
      <c r="B1504" s="95"/>
      <c r="C1504" s="95"/>
      <c r="D1504" s="76" t="s">
        <v>1608</v>
      </c>
      <c r="E1504" s="76" t="s">
        <v>54</v>
      </c>
      <c r="F1504" s="95"/>
      <c r="G1504" s="96">
        <v>230.3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95"/>
      <c r="B1505" s="95"/>
      <c r="C1505" s="95"/>
      <c r="D1505" s="76" t="s">
        <v>54</v>
      </c>
      <c r="E1505" s="76" t="s">
        <v>1609</v>
      </c>
      <c r="F1505" s="95"/>
      <c r="G1505" s="96">
        <v>0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x14ac:dyDescent="0.25">
      <c r="A1506" s="95"/>
      <c r="B1506" s="95"/>
      <c r="C1506" s="95"/>
      <c r="D1506" s="76" t="s">
        <v>1500</v>
      </c>
      <c r="E1506" s="76" t="s">
        <v>54</v>
      </c>
      <c r="F1506" s="95"/>
      <c r="G1506" s="96">
        <v>3.7821699999999998</v>
      </c>
      <c r="H1506" s="97"/>
      <c r="I1506" s="95"/>
      <c r="J1506" s="95"/>
      <c r="K1506" s="95"/>
      <c r="L1506" s="95"/>
      <c r="M1506" s="95"/>
      <c r="N1506" s="95"/>
      <c r="O1506" s="95"/>
      <c r="P1506" s="95"/>
    </row>
    <row r="1507" spans="1:76" s="81" customFormat="1" x14ac:dyDescent="0.25">
      <c r="A1507" s="95"/>
      <c r="B1507" s="95"/>
      <c r="C1507" s="95"/>
      <c r="D1507" s="76" t="s">
        <v>1501</v>
      </c>
      <c r="E1507" s="76" t="s">
        <v>54</v>
      </c>
      <c r="F1507" s="95"/>
      <c r="G1507" s="96">
        <v>1.34592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95"/>
      <c r="B1508" s="95"/>
      <c r="C1508" s="95"/>
      <c r="D1508" s="76" t="s">
        <v>1610</v>
      </c>
      <c r="E1508" s="76" t="s">
        <v>54</v>
      </c>
      <c r="F1508" s="95"/>
      <c r="G1508" s="96">
        <v>36.741250000000001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95"/>
      <c r="B1509" s="95"/>
      <c r="C1509" s="95"/>
      <c r="D1509" s="76" t="s">
        <v>54</v>
      </c>
      <c r="E1509" s="76" t="s">
        <v>1611</v>
      </c>
      <c r="F1509" s="95"/>
      <c r="G1509" s="96">
        <v>0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95"/>
      <c r="B1510" s="95"/>
      <c r="C1510" s="95"/>
      <c r="D1510" s="76" t="s">
        <v>1499</v>
      </c>
      <c r="E1510" s="76" t="s">
        <v>54</v>
      </c>
      <c r="F1510" s="95"/>
      <c r="G1510" s="96">
        <v>21.979649999999999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95"/>
      <c r="B1511" s="95"/>
      <c r="C1511" s="95"/>
      <c r="D1511" s="76" t="s">
        <v>1506</v>
      </c>
      <c r="E1511" s="76" t="s">
        <v>54</v>
      </c>
      <c r="F1511" s="95"/>
      <c r="G1511" s="96">
        <v>8.6179199999999998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ht="25.5" x14ac:dyDescent="0.25">
      <c r="A1512" s="72" t="s">
        <v>1612</v>
      </c>
      <c r="B1512" s="72" t="s">
        <v>55</v>
      </c>
      <c r="C1512" s="72" t="s">
        <v>1613</v>
      </c>
      <c r="D1512" s="175" t="s">
        <v>1614</v>
      </c>
      <c r="E1512" s="175"/>
      <c r="F1512" s="72" t="s">
        <v>62</v>
      </c>
      <c r="G1512" s="90">
        <v>38.725119999999997</v>
      </c>
      <c r="H1512" s="91"/>
      <c r="I1512" s="92" t="s">
        <v>63</v>
      </c>
      <c r="J1512" s="90">
        <f>G1512*AO1512</f>
        <v>0</v>
      </c>
      <c r="K1512" s="90">
        <f>G1512*AP1512</f>
        <v>0</v>
      </c>
      <c r="L1512" s="90">
        <f>G1512*H1512</f>
        <v>0</v>
      </c>
      <c r="M1512" s="90">
        <f>L1512*(1+BW1512/100)</f>
        <v>0</v>
      </c>
      <c r="N1512" s="90">
        <v>3.5000000000000003E-2</v>
      </c>
      <c r="O1512" s="90">
        <f>G1512*N1512</f>
        <v>1.3553792</v>
      </c>
      <c r="P1512" s="92" t="s">
        <v>64</v>
      </c>
      <c r="Z1512" s="93">
        <f>IF(AQ1512="5",BJ1512,0)</f>
        <v>0</v>
      </c>
      <c r="AB1512" s="93">
        <f>IF(AQ1512="1",BH1512,0)</f>
        <v>0</v>
      </c>
      <c r="AC1512" s="93">
        <f>IF(AQ1512="1",BI1512,0)</f>
        <v>0</v>
      </c>
      <c r="AD1512" s="93">
        <f>IF(AQ1512="7",BH1512,0)</f>
        <v>0</v>
      </c>
      <c r="AE1512" s="93">
        <f>IF(AQ1512="7",BI1512,0)</f>
        <v>0</v>
      </c>
      <c r="AF1512" s="93">
        <f>IF(AQ1512="2",BH1512,0)</f>
        <v>0</v>
      </c>
      <c r="AG1512" s="93">
        <f>IF(AQ1512="2",BI1512,0)</f>
        <v>0</v>
      </c>
      <c r="AH1512" s="93">
        <f>IF(AQ1512="0",BJ1512,0)</f>
        <v>0</v>
      </c>
      <c r="AI1512" s="88" t="s">
        <v>55</v>
      </c>
      <c r="AJ1512" s="93">
        <f>IF(AN1512=0,L1512,0)</f>
        <v>0</v>
      </c>
      <c r="AK1512" s="93">
        <f>IF(AN1512=12,L1512,0)</f>
        <v>0</v>
      </c>
      <c r="AL1512" s="93">
        <f>IF(AN1512=21,L1512,0)</f>
        <v>0</v>
      </c>
      <c r="AN1512" s="93">
        <v>21</v>
      </c>
      <c r="AO1512" s="93">
        <f>H1512*1</f>
        <v>0</v>
      </c>
      <c r="AP1512" s="93">
        <f>H1512*(1-1)</f>
        <v>0</v>
      </c>
      <c r="AQ1512" s="94" t="s">
        <v>148</v>
      </c>
      <c r="AV1512" s="93">
        <f>AW1512+AX1512</f>
        <v>0</v>
      </c>
      <c r="AW1512" s="93">
        <f>G1512*AO1512</f>
        <v>0</v>
      </c>
      <c r="AX1512" s="93">
        <f>G1512*AP1512</f>
        <v>0</v>
      </c>
      <c r="AY1512" s="94" t="s">
        <v>1527</v>
      </c>
      <c r="AZ1512" s="94" t="s">
        <v>1362</v>
      </c>
      <c r="BA1512" s="88" t="s">
        <v>67</v>
      </c>
      <c r="BC1512" s="93">
        <f>AW1512+AX1512</f>
        <v>0</v>
      </c>
      <c r="BD1512" s="93">
        <f>H1512/(100-BE1512)*100</f>
        <v>0</v>
      </c>
      <c r="BE1512" s="93">
        <v>0</v>
      </c>
      <c r="BF1512" s="93">
        <f>O1512</f>
        <v>1.3553792</v>
      </c>
      <c r="BH1512" s="93">
        <f>G1512*AO1512</f>
        <v>0</v>
      </c>
      <c r="BI1512" s="93">
        <f>G1512*AP1512</f>
        <v>0</v>
      </c>
      <c r="BJ1512" s="93">
        <f>G1512*H1512</f>
        <v>0</v>
      </c>
      <c r="BK1512" s="93"/>
      <c r="BL1512" s="93">
        <v>713</v>
      </c>
      <c r="BW1512" s="93" t="str">
        <f>I1512</f>
        <v>21</v>
      </c>
      <c r="BX1512" s="2" t="s">
        <v>1614</v>
      </c>
    </row>
    <row r="1513" spans="1:76" s="81" customFormat="1" ht="25.5" x14ac:dyDescent="0.25">
      <c r="A1513" s="95"/>
      <c r="B1513" s="95"/>
      <c r="C1513" s="95"/>
      <c r="D1513" s="76" t="s">
        <v>54</v>
      </c>
      <c r="E1513" s="76" t="s">
        <v>1606</v>
      </c>
      <c r="F1513" s="95"/>
      <c r="G1513" s="96">
        <v>0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95"/>
      <c r="B1514" s="95"/>
      <c r="C1514" s="95"/>
      <c r="D1514" s="76" t="s">
        <v>54</v>
      </c>
      <c r="E1514" s="76" t="s">
        <v>1607</v>
      </c>
      <c r="F1514" s="95"/>
      <c r="G1514" s="96">
        <v>0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95"/>
      <c r="B1515" s="95"/>
      <c r="C1515" s="95"/>
      <c r="D1515" s="76" t="s">
        <v>1615</v>
      </c>
      <c r="E1515" s="76" t="s">
        <v>54</v>
      </c>
      <c r="F1515" s="95"/>
      <c r="G1515" s="96">
        <v>1.9292100000000001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95"/>
      <c r="B1516" s="95"/>
      <c r="C1516" s="95"/>
      <c r="D1516" s="76" t="s">
        <v>1616</v>
      </c>
      <c r="E1516" s="76" t="s">
        <v>54</v>
      </c>
      <c r="F1516" s="95"/>
      <c r="G1516" s="96">
        <v>28.18872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95"/>
      <c r="B1517" s="95"/>
      <c r="C1517" s="95"/>
      <c r="D1517" s="76" t="s">
        <v>54</v>
      </c>
      <c r="E1517" s="76" t="s">
        <v>1609</v>
      </c>
      <c r="F1517" s="95"/>
      <c r="G1517" s="96">
        <v>0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x14ac:dyDescent="0.25">
      <c r="A1518" s="95"/>
      <c r="B1518" s="95"/>
      <c r="C1518" s="95"/>
      <c r="D1518" s="76" t="s">
        <v>1617</v>
      </c>
      <c r="E1518" s="76" t="s">
        <v>54</v>
      </c>
      <c r="F1518" s="95"/>
      <c r="G1518" s="96">
        <v>0.27005000000000001</v>
      </c>
      <c r="H1518" s="97"/>
      <c r="I1518" s="95"/>
      <c r="J1518" s="95"/>
      <c r="K1518" s="95"/>
      <c r="L1518" s="95"/>
      <c r="M1518" s="95"/>
      <c r="N1518" s="95"/>
      <c r="O1518" s="95"/>
      <c r="P1518" s="95"/>
    </row>
    <row r="1519" spans="1:76" s="81" customFormat="1" x14ac:dyDescent="0.25">
      <c r="A1519" s="95"/>
      <c r="B1519" s="95"/>
      <c r="C1519" s="95"/>
      <c r="D1519" s="76" t="s">
        <v>1618</v>
      </c>
      <c r="E1519" s="76" t="s">
        <v>54</v>
      </c>
      <c r="F1519" s="95"/>
      <c r="G1519" s="96">
        <v>9.6100000000000005E-2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ht="25.5" x14ac:dyDescent="0.25">
      <c r="A1520" s="95"/>
      <c r="B1520" s="95"/>
      <c r="C1520" s="95"/>
      <c r="D1520" s="76" t="s">
        <v>1619</v>
      </c>
      <c r="E1520" s="76" t="s">
        <v>54</v>
      </c>
      <c r="F1520" s="95"/>
      <c r="G1520" s="96">
        <v>2.6233300000000002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95"/>
      <c r="B1521" s="95"/>
      <c r="C1521" s="95"/>
      <c r="D1521" s="76" t="s">
        <v>54</v>
      </c>
      <c r="E1521" s="76" t="s">
        <v>1611</v>
      </c>
      <c r="F1521" s="95"/>
      <c r="G1521" s="96">
        <v>0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95"/>
      <c r="B1522" s="95"/>
      <c r="C1522" s="95"/>
      <c r="D1522" s="76" t="s">
        <v>1620</v>
      </c>
      <c r="E1522" s="76" t="s">
        <v>54</v>
      </c>
      <c r="F1522" s="95"/>
      <c r="G1522" s="96">
        <v>4.0354599999999996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95"/>
      <c r="B1523" s="95"/>
      <c r="C1523" s="95"/>
      <c r="D1523" s="76" t="s">
        <v>1621</v>
      </c>
      <c r="E1523" s="76" t="s">
        <v>54</v>
      </c>
      <c r="F1523" s="95"/>
      <c r="G1523" s="96">
        <v>1.5822499999999999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ht="25.5" x14ac:dyDescent="0.25">
      <c r="A1524" s="72" t="s">
        <v>1622</v>
      </c>
      <c r="B1524" s="72" t="s">
        <v>55</v>
      </c>
      <c r="C1524" s="72" t="s">
        <v>1623</v>
      </c>
      <c r="D1524" s="175" t="s">
        <v>1624</v>
      </c>
      <c r="E1524" s="175"/>
      <c r="F1524" s="72" t="s">
        <v>213</v>
      </c>
      <c r="G1524" s="90">
        <v>739.37599999999998</v>
      </c>
      <c r="H1524" s="91"/>
      <c r="I1524" s="92" t="s">
        <v>63</v>
      </c>
      <c r="J1524" s="90">
        <f>G1524*AO1524</f>
        <v>0</v>
      </c>
      <c r="K1524" s="90">
        <f>G1524*AP1524</f>
        <v>0</v>
      </c>
      <c r="L1524" s="90">
        <f>G1524*H1524</f>
        <v>0</v>
      </c>
      <c r="M1524" s="90">
        <f>L1524*(1+BW1524/100)</f>
        <v>0</v>
      </c>
      <c r="N1524" s="90">
        <v>3.2000000000000003E-4</v>
      </c>
      <c r="O1524" s="90">
        <f>G1524*N1524</f>
        <v>0.23660032</v>
      </c>
      <c r="P1524" s="92" t="s">
        <v>64</v>
      </c>
      <c r="Z1524" s="93">
        <f>IF(AQ1524="5",BJ1524,0)</f>
        <v>0</v>
      </c>
      <c r="AB1524" s="93">
        <f>IF(AQ1524="1",BH1524,0)</f>
        <v>0</v>
      </c>
      <c r="AC1524" s="93">
        <f>IF(AQ1524="1",BI1524,0)</f>
        <v>0</v>
      </c>
      <c r="AD1524" s="93">
        <f>IF(AQ1524="7",BH1524,0)</f>
        <v>0</v>
      </c>
      <c r="AE1524" s="93">
        <f>IF(AQ1524="7",BI1524,0)</f>
        <v>0</v>
      </c>
      <c r="AF1524" s="93">
        <f>IF(AQ1524="2",BH1524,0)</f>
        <v>0</v>
      </c>
      <c r="AG1524" s="93">
        <f>IF(AQ1524="2",BI1524,0)</f>
        <v>0</v>
      </c>
      <c r="AH1524" s="93">
        <f>IF(AQ1524="0",BJ1524,0)</f>
        <v>0</v>
      </c>
      <c r="AI1524" s="88" t="s">
        <v>55</v>
      </c>
      <c r="AJ1524" s="93">
        <f>IF(AN1524=0,L1524,0)</f>
        <v>0</v>
      </c>
      <c r="AK1524" s="93">
        <f>IF(AN1524=12,L1524,0)</f>
        <v>0</v>
      </c>
      <c r="AL1524" s="93">
        <f>IF(AN1524=21,L1524,0)</f>
        <v>0</v>
      </c>
      <c r="AN1524" s="93">
        <v>21</v>
      </c>
      <c r="AO1524" s="93">
        <f>H1524*0.6646429</f>
        <v>0</v>
      </c>
      <c r="AP1524" s="93">
        <f>H1524*(1-0.6646429)</f>
        <v>0</v>
      </c>
      <c r="AQ1524" s="94" t="s">
        <v>148</v>
      </c>
      <c r="AV1524" s="93">
        <f>AW1524+AX1524</f>
        <v>0</v>
      </c>
      <c r="AW1524" s="93">
        <f>G1524*AO1524</f>
        <v>0</v>
      </c>
      <c r="AX1524" s="93">
        <f>G1524*AP1524</f>
        <v>0</v>
      </c>
      <c r="AY1524" s="94" t="s">
        <v>1527</v>
      </c>
      <c r="AZ1524" s="94" t="s">
        <v>1362</v>
      </c>
      <c r="BA1524" s="88" t="s">
        <v>67</v>
      </c>
      <c r="BC1524" s="93">
        <f>AW1524+AX1524</f>
        <v>0</v>
      </c>
      <c r="BD1524" s="93">
        <f>H1524/(100-BE1524)*100</f>
        <v>0</v>
      </c>
      <c r="BE1524" s="93">
        <v>0</v>
      </c>
      <c r="BF1524" s="93">
        <f>O1524</f>
        <v>0.23660032</v>
      </c>
      <c r="BH1524" s="93">
        <f>G1524*AO1524</f>
        <v>0</v>
      </c>
      <c r="BI1524" s="93">
        <f>G1524*AP1524</f>
        <v>0</v>
      </c>
      <c r="BJ1524" s="93">
        <f>G1524*H1524</f>
        <v>0</v>
      </c>
      <c r="BK1524" s="93"/>
      <c r="BL1524" s="93">
        <v>713</v>
      </c>
      <c r="BW1524" s="93" t="str">
        <f>I1524</f>
        <v>21</v>
      </c>
      <c r="BX1524" s="2" t="s">
        <v>1624</v>
      </c>
    </row>
    <row r="1525" spans="1:76" s="81" customFormat="1" ht="13.5" customHeight="1" x14ac:dyDescent="0.25">
      <c r="A1525" s="95"/>
      <c r="B1525" s="95"/>
      <c r="C1525" s="95"/>
      <c r="D1525" s="182" t="s">
        <v>1625</v>
      </c>
      <c r="E1525" s="182"/>
      <c r="F1525" s="182"/>
      <c r="G1525" s="182"/>
      <c r="H1525" s="182"/>
      <c r="I1525" s="182"/>
      <c r="J1525" s="182"/>
      <c r="K1525" s="182"/>
      <c r="L1525" s="182"/>
      <c r="M1525" s="182"/>
      <c r="N1525" s="182"/>
      <c r="O1525" s="182"/>
      <c r="P1525" s="182"/>
    </row>
    <row r="1526" spans="1:76" s="81" customFormat="1" x14ac:dyDescent="0.25">
      <c r="A1526" s="95"/>
      <c r="B1526" s="95"/>
      <c r="C1526" s="95"/>
      <c r="D1526" s="76" t="s">
        <v>54</v>
      </c>
      <c r="E1526" s="76" t="s">
        <v>1323</v>
      </c>
      <c r="F1526" s="95"/>
      <c r="G1526" s="96">
        <v>0</v>
      </c>
      <c r="H1526" s="95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95"/>
      <c r="B1527" s="95"/>
      <c r="C1527" s="95"/>
      <c r="D1527" s="76" t="s">
        <v>54</v>
      </c>
      <c r="E1527" s="76" t="s">
        <v>299</v>
      </c>
      <c r="F1527" s="95"/>
      <c r="G1527" s="96">
        <v>0</v>
      </c>
      <c r="H1527" s="95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95"/>
      <c r="B1528" s="95"/>
      <c r="C1528" s="95"/>
      <c r="D1528" s="76" t="s">
        <v>1626</v>
      </c>
      <c r="E1528" s="76" t="s">
        <v>54</v>
      </c>
      <c r="F1528" s="95"/>
      <c r="G1528" s="96">
        <v>8.5500000000000007</v>
      </c>
      <c r="H1528" s="95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x14ac:dyDescent="0.25">
      <c r="A1529" s="95"/>
      <c r="B1529" s="95"/>
      <c r="C1529" s="95"/>
      <c r="D1529" s="76" t="s">
        <v>1627</v>
      </c>
      <c r="E1529" s="76" t="s">
        <v>54</v>
      </c>
      <c r="F1529" s="95"/>
      <c r="G1529" s="96">
        <v>7.65</v>
      </c>
      <c r="H1529" s="95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x14ac:dyDescent="0.25">
      <c r="A1530" s="95"/>
      <c r="B1530" s="95"/>
      <c r="C1530" s="95"/>
      <c r="D1530" s="76" t="s">
        <v>1628</v>
      </c>
      <c r="E1530" s="76" t="s">
        <v>54</v>
      </c>
      <c r="F1530" s="95"/>
      <c r="G1530" s="96">
        <v>8.5</v>
      </c>
      <c r="H1530" s="95"/>
      <c r="I1530" s="95"/>
      <c r="J1530" s="95"/>
      <c r="K1530" s="95"/>
      <c r="L1530" s="95"/>
      <c r="M1530" s="95"/>
      <c r="N1530" s="95"/>
      <c r="O1530" s="95"/>
      <c r="P1530" s="95"/>
    </row>
    <row r="1531" spans="1:76" s="81" customFormat="1" x14ac:dyDescent="0.25">
      <c r="A1531" s="95"/>
      <c r="B1531" s="95"/>
      <c r="C1531" s="95"/>
      <c r="D1531" s="76" t="s">
        <v>1629</v>
      </c>
      <c r="E1531" s="76" t="s">
        <v>54</v>
      </c>
      <c r="F1531" s="95"/>
      <c r="G1531" s="96">
        <v>7.7</v>
      </c>
      <c r="H1531" s="95"/>
      <c r="I1531" s="95"/>
      <c r="J1531" s="95"/>
      <c r="K1531" s="95"/>
      <c r="L1531" s="95"/>
      <c r="M1531" s="95"/>
      <c r="N1531" s="95"/>
      <c r="O1531" s="95"/>
      <c r="P1531" s="95"/>
    </row>
    <row r="1532" spans="1:76" s="81" customFormat="1" x14ac:dyDescent="0.25">
      <c r="A1532" s="95"/>
      <c r="B1532" s="95"/>
      <c r="C1532" s="95"/>
      <c r="D1532" s="76" t="s">
        <v>1630</v>
      </c>
      <c r="E1532" s="76" t="s">
        <v>54</v>
      </c>
      <c r="F1532" s="95"/>
      <c r="G1532" s="96">
        <v>6.4</v>
      </c>
      <c r="H1532" s="95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95"/>
      <c r="B1533" s="95"/>
      <c r="C1533" s="95"/>
      <c r="D1533" s="76" t="s">
        <v>1631</v>
      </c>
      <c r="E1533" s="76" t="s">
        <v>54</v>
      </c>
      <c r="F1533" s="95"/>
      <c r="G1533" s="96">
        <v>8.4</v>
      </c>
      <c r="H1533" s="95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95"/>
      <c r="B1534" s="95"/>
      <c r="C1534" s="95"/>
      <c r="D1534" s="76" t="s">
        <v>1632</v>
      </c>
      <c r="E1534" s="76" t="s">
        <v>54</v>
      </c>
      <c r="F1534" s="95"/>
      <c r="G1534" s="96">
        <v>28.734999999999999</v>
      </c>
      <c r="H1534" s="95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95"/>
      <c r="B1535" s="95"/>
      <c r="C1535" s="95"/>
      <c r="D1535" s="76" t="s">
        <v>1633</v>
      </c>
      <c r="E1535" s="76" t="s">
        <v>54</v>
      </c>
      <c r="F1535" s="95"/>
      <c r="G1535" s="96">
        <v>2.1</v>
      </c>
      <c r="H1535" s="95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95"/>
      <c r="B1536" s="95"/>
      <c r="C1536" s="95"/>
      <c r="D1536" s="76" t="s">
        <v>1634</v>
      </c>
      <c r="E1536" s="76" t="s">
        <v>54</v>
      </c>
      <c r="F1536" s="95"/>
      <c r="G1536" s="96">
        <v>2.2650000000000001</v>
      </c>
      <c r="H1536" s="95"/>
      <c r="I1536" s="95"/>
      <c r="J1536" s="95"/>
      <c r="K1536" s="95"/>
      <c r="L1536" s="95"/>
      <c r="M1536" s="95"/>
      <c r="N1536" s="95"/>
      <c r="O1536" s="95"/>
      <c r="P1536" s="95"/>
    </row>
    <row r="1537" spans="1:76" s="81" customFormat="1" x14ac:dyDescent="0.25">
      <c r="A1537" s="95"/>
      <c r="B1537" s="95"/>
      <c r="C1537" s="95"/>
      <c r="D1537" s="76" t="s">
        <v>54</v>
      </c>
      <c r="E1537" s="76" t="s">
        <v>308</v>
      </c>
      <c r="F1537" s="95"/>
      <c r="G1537" s="96">
        <v>0</v>
      </c>
      <c r="H1537" s="95"/>
      <c r="I1537" s="95"/>
      <c r="J1537" s="95"/>
      <c r="K1537" s="95"/>
      <c r="L1537" s="95"/>
      <c r="M1537" s="95"/>
      <c r="N1537" s="95"/>
      <c r="O1537" s="95"/>
      <c r="P1537" s="95"/>
    </row>
    <row r="1538" spans="1:76" s="81" customFormat="1" x14ac:dyDescent="0.25">
      <c r="A1538" s="95"/>
      <c r="B1538" s="95"/>
      <c r="C1538" s="95"/>
      <c r="D1538" s="76" t="s">
        <v>1635</v>
      </c>
      <c r="E1538" s="76" t="s">
        <v>54</v>
      </c>
      <c r="F1538" s="95"/>
      <c r="G1538" s="96">
        <v>5.9</v>
      </c>
      <c r="H1538" s="95"/>
      <c r="I1538" s="95"/>
      <c r="J1538" s="95"/>
      <c r="K1538" s="95"/>
      <c r="L1538" s="95"/>
      <c r="M1538" s="95"/>
      <c r="N1538" s="95"/>
      <c r="O1538" s="95"/>
      <c r="P1538" s="95"/>
    </row>
    <row r="1539" spans="1:76" s="81" customFormat="1" x14ac:dyDescent="0.25">
      <c r="A1539" s="95"/>
      <c r="B1539" s="95"/>
      <c r="C1539" s="95"/>
      <c r="D1539" s="76" t="s">
        <v>1636</v>
      </c>
      <c r="E1539" s="76" t="s">
        <v>54</v>
      </c>
      <c r="F1539" s="95"/>
      <c r="G1539" s="96">
        <v>7.44</v>
      </c>
      <c r="H1539" s="95"/>
      <c r="I1539" s="95"/>
      <c r="J1539" s="95"/>
      <c r="K1539" s="95"/>
      <c r="L1539" s="95"/>
      <c r="M1539" s="95"/>
      <c r="N1539" s="95"/>
      <c r="O1539" s="95"/>
      <c r="P1539" s="95"/>
    </row>
    <row r="1540" spans="1:76" s="81" customFormat="1" x14ac:dyDescent="0.25">
      <c r="A1540" s="95"/>
      <c r="B1540" s="95"/>
      <c r="C1540" s="95"/>
      <c r="D1540" s="76" t="s">
        <v>1637</v>
      </c>
      <c r="E1540" s="76" t="s">
        <v>54</v>
      </c>
      <c r="F1540" s="95"/>
      <c r="G1540" s="96">
        <v>5.59</v>
      </c>
      <c r="H1540" s="95"/>
      <c r="I1540" s="95"/>
      <c r="J1540" s="95"/>
      <c r="K1540" s="95"/>
      <c r="L1540" s="95"/>
      <c r="M1540" s="95"/>
      <c r="N1540" s="95"/>
      <c r="O1540" s="95"/>
      <c r="P1540" s="95"/>
    </row>
    <row r="1541" spans="1:76" s="81" customFormat="1" x14ac:dyDescent="0.25">
      <c r="A1541" s="95"/>
      <c r="B1541" s="95"/>
      <c r="C1541" s="95"/>
      <c r="D1541" s="76" t="s">
        <v>1638</v>
      </c>
      <c r="E1541" s="76" t="s">
        <v>54</v>
      </c>
      <c r="F1541" s="95"/>
      <c r="G1541" s="96">
        <v>7.44</v>
      </c>
      <c r="H1541" s="95"/>
      <c r="I1541" s="95"/>
      <c r="J1541" s="95"/>
      <c r="K1541" s="95"/>
      <c r="L1541" s="95"/>
      <c r="M1541" s="95"/>
      <c r="N1541" s="95"/>
      <c r="O1541" s="95"/>
      <c r="P1541" s="95"/>
    </row>
    <row r="1542" spans="1:76" s="81" customFormat="1" x14ac:dyDescent="0.25">
      <c r="A1542" s="95"/>
      <c r="B1542" s="95"/>
      <c r="C1542" s="95"/>
      <c r="D1542" s="76" t="s">
        <v>1639</v>
      </c>
      <c r="E1542" s="76" t="s">
        <v>54</v>
      </c>
      <c r="F1542" s="95"/>
      <c r="G1542" s="96">
        <v>5.49</v>
      </c>
      <c r="H1542" s="95"/>
      <c r="I1542" s="95"/>
      <c r="J1542" s="95"/>
      <c r="K1542" s="95"/>
      <c r="L1542" s="95"/>
      <c r="M1542" s="95"/>
      <c r="N1542" s="95"/>
      <c r="O1542" s="95"/>
      <c r="P1542" s="95"/>
    </row>
    <row r="1543" spans="1:76" s="81" customFormat="1" x14ac:dyDescent="0.25">
      <c r="A1543" s="95"/>
      <c r="B1543" s="95"/>
      <c r="C1543" s="95"/>
      <c r="D1543" s="76" t="s">
        <v>1640</v>
      </c>
      <c r="E1543" s="76" t="s">
        <v>54</v>
      </c>
      <c r="F1543" s="95"/>
      <c r="G1543" s="96">
        <v>6.8</v>
      </c>
      <c r="H1543" s="95"/>
      <c r="I1543" s="95"/>
      <c r="J1543" s="95"/>
      <c r="K1543" s="95"/>
      <c r="L1543" s="95"/>
      <c r="M1543" s="95"/>
      <c r="N1543" s="95"/>
      <c r="O1543" s="95"/>
      <c r="P1543" s="95"/>
    </row>
    <row r="1544" spans="1:76" s="81" customFormat="1" x14ac:dyDescent="0.25">
      <c r="A1544" s="95"/>
      <c r="B1544" s="95"/>
      <c r="C1544" s="95"/>
      <c r="D1544" s="76" t="s">
        <v>1641</v>
      </c>
      <c r="E1544" s="76" t="s">
        <v>54</v>
      </c>
      <c r="F1544" s="95"/>
      <c r="G1544" s="96">
        <v>5.9</v>
      </c>
      <c r="H1544" s="95"/>
      <c r="I1544" s="95"/>
      <c r="J1544" s="95"/>
      <c r="K1544" s="95"/>
      <c r="L1544" s="95"/>
      <c r="M1544" s="95"/>
      <c r="N1544" s="95"/>
      <c r="O1544" s="95"/>
      <c r="P1544" s="95"/>
    </row>
    <row r="1545" spans="1:76" s="81" customFormat="1" x14ac:dyDescent="0.25">
      <c r="A1545" s="95"/>
      <c r="B1545" s="95"/>
      <c r="C1545" s="95"/>
      <c r="D1545" s="76" t="s">
        <v>1642</v>
      </c>
      <c r="E1545" s="76" t="s">
        <v>54</v>
      </c>
      <c r="F1545" s="95"/>
      <c r="G1545" s="96">
        <v>8.43</v>
      </c>
      <c r="H1545" s="95"/>
      <c r="I1545" s="95"/>
      <c r="J1545" s="95"/>
      <c r="K1545" s="95"/>
      <c r="L1545" s="95"/>
      <c r="M1545" s="95"/>
      <c r="N1545" s="95"/>
      <c r="O1545" s="95"/>
      <c r="P1545" s="95"/>
    </row>
    <row r="1546" spans="1:76" s="81" customFormat="1" x14ac:dyDescent="0.25">
      <c r="A1546" s="95"/>
      <c r="B1546" s="95"/>
      <c r="C1546" s="95"/>
      <c r="D1546" s="76" t="s">
        <v>1643</v>
      </c>
      <c r="E1546" s="76" t="s">
        <v>54</v>
      </c>
      <c r="F1546" s="95"/>
      <c r="G1546" s="96">
        <v>606.08600000000001</v>
      </c>
      <c r="H1546" s="95"/>
      <c r="I1546" s="95"/>
      <c r="J1546" s="95"/>
      <c r="K1546" s="95"/>
      <c r="L1546" s="95"/>
      <c r="M1546" s="95"/>
      <c r="N1546" s="95"/>
      <c r="O1546" s="95"/>
      <c r="P1546" s="95"/>
    </row>
    <row r="1547" spans="1:76" s="81" customFormat="1" ht="25.5" x14ac:dyDescent="0.25">
      <c r="A1547" s="72" t="s">
        <v>1644</v>
      </c>
      <c r="B1547" s="72" t="s">
        <v>55</v>
      </c>
      <c r="C1547" s="72" t="s">
        <v>1645</v>
      </c>
      <c r="D1547" s="175" t="s">
        <v>1646</v>
      </c>
      <c r="E1547" s="175"/>
      <c r="F1547" s="72" t="s">
        <v>1449</v>
      </c>
      <c r="G1547" s="91"/>
      <c r="H1547" s="91"/>
      <c r="I1547" s="92" t="s">
        <v>63</v>
      </c>
      <c r="J1547" s="90">
        <f>G1547*AO1547</f>
        <v>0</v>
      </c>
      <c r="K1547" s="90">
        <f>G1547*AP1547</f>
        <v>0</v>
      </c>
      <c r="L1547" s="90">
        <f>G1547*H1547</f>
        <v>0</v>
      </c>
      <c r="M1547" s="90">
        <f>L1547*(1+BW1547/100)</f>
        <v>0</v>
      </c>
      <c r="N1547" s="90">
        <v>0</v>
      </c>
      <c r="O1547" s="90">
        <f>G1547*N1547</f>
        <v>0</v>
      </c>
      <c r="P1547" s="92" t="s">
        <v>64</v>
      </c>
      <c r="Z1547" s="93">
        <f>IF(AQ1547="5",BJ1547,0)</f>
        <v>0</v>
      </c>
      <c r="AB1547" s="93">
        <f>IF(AQ1547="1",BH1547,0)</f>
        <v>0</v>
      </c>
      <c r="AC1547" s="93">
        <f>IF(AQ1547="1",BI1547,0)</f>
        <v>0</v>
      </c>
      <c r="AD1547" s="93">
        <f>IF(AQ1547="7",BH1547,0)</f>
        <v>0</v>
      </c>
      <c r="AE1547" s="93">
        <f>IF(AQ1547="7",BI1547,0)</f>
        <v>0</v>
      </c>
      <c r="AF1547" s="93">
        <f>IF(AQ1547="2",BH1547,0)</f>
        <v>0</v>
      </c>
      <c r="AG1547" s="93">
        <f>IF(AQ1547="2",BI1547,0)</f>
        <v>0</v>
      </c>
      <c r="AH1547" s="93">
        <f>IF(AQ1547="0",BJ1547,0)</f>
        <v>0</v>
      </c>
      <c r="AI1547" s="88" t="s">
        <v>55</v>
      </c>
      <c r="AJ1547" s="93">
        <f>IF(AN1547=0,L1547,0)</f>
        <v>0</v>
      </c>
      <c r="AK1547" s="93">
        <f>IF(AN1547=12,L1547,0)</f>
        <v>0</v>
      </c>
      <c r="AL1547" s="93">
        <f>IF(AN1547=21,L1547,0)</f>
        <v>0</v>
      </c>
      <c r="AN1547" s="93">
        <v>21</v>
      </c>
      <c r="AO1547" s="93">
        <f>H1547*0</f>
        <v>0</v>
      </c>
      <c r="AP1547" s="93">
        <f>H1547*(1-0)</f>
        <v>0</v>
      </c>
      <c r="AQ1547" s="94" t="s">
        <v>136</v>
      </c>
      <c r="AV1547" s="93">
        <f>AW1547+AX1547</f>
        <v>0</v>
      </c>
      <c r="AW1547" s="93">
        <f>G1547*AO1547</f>
        <v>0</v>
      </c>
      <c r="AX1547" s="93">
        <f>G1547*AP1547</f>
        <v>0</v>
      </c>
      <c r="AY1547" s="94" t="s">
        <v>1527</v>
      </c>
      <c r="AZ1547" s="94" t="s">
        <v>1362</v>
      </c>
      <c r="BA1547" s="88" t="s">
        <v>67</v>
      </c>
      <c r="BC1547" s="93">
        <f>AW1547+AX1547</f>
        <v>0</v>
      </c>
      <c r="BD1547" s="93">
        <f>H1547/(100-BE1547)*100</f>
        <v>0</v>
      </c>
      <c r="BE1547" s="93">
        <v>0</v>
      </c>
      <c r="BF1547" s="93">
        <f>O1547</f>
        <v>0</v>
      </c>
      <c r="BH1547" s="93">
        <f>G1547*AO1547</f>
        <v>0</v>
      </c>
      <c r="BI1547" s="93">
        <f>G1547*AP1547</f>
        <v>0</v>
      </c>
      <c r="BJ1547" s="93">
        <f>G1547*H1547</f>
        <v>0</v>
      </c>
      <c r="BK1547" s="93"/>
      <c r="BL1547" s="93">
        <v>713</v>
      </c>
      <c r="BW1547" s="93" t="str">
        <f>I1547</f>
        <v>21</v>
      </c>
      <c r="BX1547" s="2" t="s">
        <v>1646</v>
      </c>
    </row>
    <row r="1548" spans="1:76" s="81" customFormat="1" x14ac:dyDescent="0.25">
      <c r="A1548" s="85" t="s">
        <v>54</v>
      </c>
      <c r="B1548" s="74" t="s">
        <v>55</v>
      </c>
      <c r="C1548" s="74" t="s">
        <v>1647</v>
      </c>
      <c r="D1548" s="176" t="s">
        <v>1648</v>
      </c>
      <c r="E1548" s="176"/>
      <c r="F1548" s="85" t="s">
        <v>4</v>
      </c>
      <c r="G1548" s="85" t="s">
        <v>4</v>
      </c>
      <c r="H1548" s="85" t="s">
        <v>4</v>
      </c>
      <c r="I1548" s="85" t="s">
        <v>4</v>
      </c>
      <c r="J1548" s="86">
        <f>SUM(J1549:J1569)</f>
        <v>0</v>
      </c>
      <c r="K1548" s="86">
        <f>SUM(K1549:K1569)</f>
        <v>0</v>
      </c>
      <c r="L1548" s="86">
        <f>SUM(L1549:L1569)</f>
        <v>0</v>
      </c>
      <c r="M1548" s="86">
        <f>SUM(M1549:M1569)</f>
        <v>0</v>
      </c>
      <c r="N1548" s="87" t="s">
        <v>54</v>
      </c>
      <c r="O1548" s="86">
        <f>SUM(O1549:O1569)</f>
        <v>0</v>
      </c>
      <c r="P1548" s="87" t="s">
        <v>54</v>
      </c>
      <c r="AI1548" s="88" t="s">
        <v>55</v>
      </c>
      <c r="AS1548" s="89">
        <f>SUM(AJ1549:AJ1569)</f>
        <v>0</v>
      </c>
      <c r="AT1548" s="89">
        <f>SUM(AK1549:AK1569)</f>
        <v>0</v>
      </c>
      <c r="AU1548" s="89">
        <f>SUM(AL1549:AL1569)</f>
        <v>0</v>
      </c>
    </row>
    <row r="1549" spans="1:76" s="81" customFormat="1" ht="25.5" x14ac:dyDescent="0.25">
      <c r="A1549" s="72" t="s">
        <v>1649</v>
      </c>
      <c r="B1549" s="72" t="s">
        <v>55</v>
      </c>
      <c r="C1549" s="72" t="s">
        <v>1650</v>
      </c>
      <c r="D1549" s="175" t="s">
        <v>1651</v>
      </c>
      <c r="E1549" s="175"/>
      <c r="F1549" s="72" t="s">
        <v>203</v>
      </c>
      <c r="G1549" s="90">
        <v>2</v>
      </c>
      <c r="H1549" s="91"/>
      <c r="I1549" s="92" t="s">
        <v>63</v>
      </c>
      <c r="J1549" s="90">
        <f t="shared" ref="J1549:J1569" si="0">G1549*AO1549</f>
        <v>0</v>
      </c>
      <c r="K1549" s="90">
        <f t="shared" ref="K1549:K1569" si="1">G1549*AP1549</f>
        <v>0</v>
      </c>
      <c r="L1549" s="90">
        <f t="shared" ref="L1549:L1569" si="2">G1549*H1549</f>
        <v>0</v>
      </c>
      <c r="M1549" s="90">
        <f t="shared" ref="M1549:M1569" si="3">L1549*(1+BW1549/100)</f>
        <v>0</v>
      </c>
      <c r="N1549" s="90">
        <v>0</v>
      </c>
      <c r="O1549" s="90">
        <f t="shared" ref="O1549:O1569" si="4">G1549*N1549</f>
        <v>0</v>
      </c>
      <c r="P1549" s="92" t="s">
        <v>1652</v>
      </c>
      <c r="Z1549" s="93">
        <f t="shared" ref="Z1549:Z1569" si="5">IF(AQ1549="5",BJ1549,0)</f>
        <v>0</v>
      </c>
      <c r="AB1549" s="93">
        <f t="shared" ref="AB1549:AB1569" si="6">IF(AQ1549="1",BH1549,0)</f>
        <v>0</v>
      </c>
      <c r="AC1549" s="93">
        <f t="shared" ref="AC1549:AC1569" si="7">IF(AQ1549="1",BI1549,0)</f>
        <v>0</v>
      </c>
      <c r="AD1549" s="93">
        <f t="shared" ref="AD1549:AD1569" si="8">IF(AQ1549="7",BH1549,0)</f>
        <v>0</v>
      </c>
      <c r="AE1549" s="93">
        <f t="shared" ref="AE1549:AE1569" si="9">IF(AQ1549="7",BI1549,0)</f>
        <v>0</v>
      </c>
      <c r="AF1549" s="93">
        <f t="shared" ref="AF1549:AF1569" si="10">IF(AQ1549="2",BH1549,0)</f>
        <v>0</v>
      </c>
      <c r="AG1549" s="93">
        <f t="shared" ref="AG1549:AG1569" si="11">IF(AQ1549="2",BI1549,0)</f>
        <v>0</v>
      </c>
      <c r="AH1549" s="93">
        <f t="shared" ref="AH1549:AH1569" si="12">IF(AQ1549="0",BJ1549,0)</f>
        <v>0</v>
      </c>
      <c r="AI1549" s="88" t="s">
        <v>55</v>
      </c>
      <c r="AJ1549" s="93">
        <f t="shared" ref="AJ1549:AJ1569" si="13">IF(AN1549=0,L1549,0)</f>
        <v>0</v>
      </c>
      <c r="AK1549" s="93">
        <f t="shared" ref="AK1549:AK1569" si="14">IF(AN1549=12,L1549,0)</f>
        <v>0</v>
      </c>
      <c r="AL1549" s="93">
        <f t="shared" ref="AL1549:AL1569" si="15">IF(AN1549=21,L1549,0)</f>
        <v>0</v>
      </c>
      <c r="AN1549" s="93">
        <v>21</v>
      </c>
      <c r="AO1549" s="93">
        <f t="shared" ref="AO1549:AO1569" si="16">H1549*0</f>
        <v>0</v>
      </c>
      <c r="AP1549" s="93">
        <f t="shared" ref="AP1549:AP1569" si="17">H1549*(1-0)</f>
        <v>0</v>
      </c>
      <c r="AQ1549" s="94" t="s">
        <v>148</v>
      </c>
      <c r="AV1549" s="93">
        <f t="shared" ref="AV1549:AV1569" si="18">AW1549+AX1549</f>
        <v>0</v>
      </c>
      <c r="AW1549" s="93">
        <f t="shared" ref="AW1549:AW1569" si="19">G1549*AO1549</f>
        <v>0</v>
      </c>
      <c r="AX1549" s="93">
        <f t="shared" ref="AX1549:AX1569" si="20">G1549*AP1549</f>
        <v>0</v>
      </c>
      <c r="AY1549" s="94" t="s">
        <v>1653</v>
      </c>
      <c r="AZ1549" s="94" t="s">
        <v>1654</v>
      </c>
      <c r="BA1549" s="88" t="s">
        <v>67</v>
      </c>
      <c r="BC1549" s="93">
        <f t="shared" ref="BC1549:BC1569" si="21">AW1549+AX1549</f>
        <v>0</v>
      </c>
      <c r="BD1549" s="93">
        <f t="shared" ref="BD1549:BD1569" si="22">H1549/(100-BE1549)*100</f>
        <v>0</v>
      </c>
      <c r="BE1549" s="93">
        <v>0</v>
      </c>
      <c r="BF1549" s="93">
        <f t="shared" ref="BF1549:BF1569" si="23">O1549</f>
        <v>0</v>
      </c>
      <c r="BH1549" s="93">
        <f t="shared" ref="BH1549:BH1569" si="24">G1549*AO1549</f>
        <v>0</v>
      </c>
      <c r="BI1549" s="93">
        <f t="shared" ref="BI1549:BI1569" si="25">G1549*AP1549</f>
        <v>0</v>
      </c>
      <c r="BJ1549" s="93">
        <f t="shared" ref="BJ1549:BJ1569" si="26">G1549*H1549</f>
        <v>0</v>
      </c>
      <c r="BK1549" s="93"/>
      <c r="BL1549" s="93"/>
      <c r="BW1549" s="93" t="str">
        <f t="shared" ref="BW1549:BW1569" si="27">I1549</f>
        <v>21</v>
      </c>
      <c r="BX1549" s="2" t="s">
        <v>1651</v>
      </c>
    </row>
    <row r="1550" spans="1:76" s="81" customFormat="1" ht="25.5" x14ac:dyDescent="0.25">
      <c r="A1550" s="72" t="s">
        <v>1655</v>
      </c>
      <c r="B1550" s="72" t="s">
        <v>55</v>
      </c>
      <c r="C1550" s="72" t="s">
        <v>1656</v>
      </c>
      <c r="D1550" s="175" t="s">
        <v>1657</v>
      </c>
      <c r="E1550" s="175"/>
      <c r="F1550" s="72" t="s">
        <v>54</v>
      </c>
      <c r="G1550" s="90">
        <v>4</v>
      </c>
      <c r="H1550" s="91"/>
      <c r="I1550" s="92" t="s">
        <v>63</v>
      </c>
      <c r="J1550" s="90">
        <f t="shared" si="0"/>
        <v>0</v>
      </c>
      <c r="K1550" s="90">
        <f t="shared" si="1"/>
        <v>0</v>
      </c>
      <c r="L1550" s="90">
        <f t="shared" si="2"/>
        <v>0</v>
      </c>
      <c r="M1550" s="90">
        <f t="shared" si="3"/>
        <v>0</v>
      </c>
      <c r="N1550" s="90">
        <v>0</v>
      </c>
      <c r="O1550" s="90">
        <f t="shared" si="4"/>
        <v>0</v>
      </c>
      <c r="P1550" s="92" t="s">
        <v>1652</v>
      </c>
      <c r="Z1550" s="93">
        <f t="shared" si="5"/>
        <v>0</v>
      </c>
      <c r="AB1550" s="93">
        <f t="shared" si="6"/>
        <v>0</v>
      </c>
      <c r="AC1550" s="93">
        <f t="shared" si="7"/>
        <v>0</v>
      </c>
      <c r="AD1550" s="93">
        <f t="shared" si="8"/>
        <v>0</v>
      </c>
      <c r="AE1550" s="93">
        <f t="shared" si="9"/>
        <v>0</v>
      </c>
      <c r="AF1550" s="93">
        <f t="shared" si="10"/>
        <v>0</v>
      </c>
      <c r="AG1550" s="93">
        <f t="shared" si="11"/>
        <v>0</v>
      </c>
      <c r="AH1550" s="93">
        <f t="shared" si="12"/>
        <v>0</v>
      </c>
      <c r="AI1550" s="88" t="s">
        <v>55</v>
      </c>
      <c r="AJ1550" s="93">
        <f t="shared" si="13"/>
        <v>0</v>
      </c>
      <c r="AK1550" s="93">
        <f t="shared" si="14"/>
        <v>0</v>
      </c>
      <c r="AL1550" s="93">
        <f t="shared" si="15"/>
        <v>0</v>
      </c>
      <c r="AN1550" s="93">
        <v>21</v>
      </c>
      <c r="AO1550" s="93">
        <f t="shared" si="16"/>
        <v>0</v>
      </c>
      <c r="AP1550" s="93">
        <f t="shared" si="17"/>
        <v>0</v>
      </c>
      <c r="AQ1550" s="94" t="s">
        <v>148</v>
      </c>
      <c r="AV1550" s="93">
        <f t="shared" si="18"/>
        <v>0</v>
      </c>
      <c r="AW1550" s="93">
        <f t="shared" si="19"/>
        <v>0</v>
      </c>
      <c r="AX1550" s="93">
        <f t="shared" si="20"/>
        <v>0</v>
      </c>
      <c r="AY1550" s="94" t="s">
        <v>1653</v>
      </c>
      <c r="AZ1550" s="94" t="s">
        <v>1654</v>
      </c>
      <c r="BA1550" s="88" t="s">
        <v>67</v>
      </c>
      <c r="BC1550" s="93">
        <f t="shared" si="21"/>
        <v>0</v>
      </c>
      <c r="BD1550" s="93">
        <f t="shared" si="22"/>
        <v>0</v>
      </c>
      <c r="BE1550" s="93">
        <v>0</v>
      </c>
      <c r="BF1550" s="93">
        <f t="shared" si="23"/>
        <v>0</v>
      </c>
      <c r="BH1550" s="93">
        <f t="shared" si="24"/>
        <v>0</v>
      </c>
      <c r="BI1550" s="93">
        <f t="shared" si="25"/>
        <v>0</v>
      </c>
      <c r="BJ1550" s="93">
        <f t="shared" si="26"/>
        <v>0</v>
      </c>
      <c r="BK1550" s="93"/>
      <c r="BL1550" s="93"/>
      <c r="BW1550" s="93" t="str">
        <f t="shared" si="27"/>
        <v>21</v>
      </c>
      <c r="BX1550" s="2" t="s">
        <v>1657</v>
      </c>
    </row>
    <row r="1551" spans="1:76" s="81" customFormat="1" ht="25.5" x14ac:dyDescent="0.25">
      <c r="A1551" s="72" t="s">
        <v>1658</v>
      </c>
      <c r="B1551" s="72" t="s">
        <v>55</v>
      </c>
      <c r="C1551" s="72" t="s">
        <v>1659</v>
      </c>
      <c r="D1551" s="175" t="s">
        <v>1660</v>
      </c>
      <c r="E1551" s="175"/>
      <c r="F1551" s="72" t="s">
        <v>203</v>
      </c>
      <c r="G1551" s="90">
        <v>3</v>
      </c>
      <c r="H1551" s="91"/>
      <c r="I1551" s="92" t="s">
        <v>63</v>
      </c>
      <c r="J1551" s="90">
        <f t="shared" si="0"/>
        <v>0</v>
      </c>
      <c r="K1551" s="90">
        <f t="shared" si="1"/>
        <v>0</v>
      </c>
      <c r="L1551" s="90">
        <f t="shared" si="2"/>
        <v>0</v>
      </c>
      <c r="M1551" s="90">
        <f t="shared" si="3"/>
        <v>0</v>
      </c>
      <c r="N1551" s="90">
        <v>0</v>
      </c>
      <c r="O1551" s="90">
        <f t="shared" si="4"/>
        <v>0</v>
      </c>
      <c r="P1551" s="92" t="s">
        <v>1652</v>
      </c>
      <c r="Z1551" s="93">
        <f t="shared" si="5"/>
        <v>0</v>
      </c>
      <c r="AB1551" s="93">
        <f t="shared" si="6"/>
        <v>0</v>
      </c>
      <c r="AC1551" s="93">
        <f t="shared" si="7"/>
        <v>0</v>
      </c>
      <c r="AD1551" s="93">
        <f t="shared" si="8"/>
        <v>0</v>
      </c>
      <c r="AE1551" s="93">
        <f t="shared" si="9"/>
        <v>0</v>
      </c>
      <c r="AF1551" s="93">
        <f t="shared" si="10"/>
        <v>0</v>
      </c>
      <c r="AG1551" s="93">
        <f t="shared" si="11"/>
        <v>0</v>
      </c>
      <c r="AH1551" s="93">
        <f t="shared" si="12"/>
        <v>0</v>
      </c>
      <c r="AI1551" s="88" t="s">
        <v>55</v>
      </c>
      <c r="AJ1551" s="93">
        <f t="shared" si="13"/>
        <v>0</v>
      </c>
      <c r="AK1551" s="93">
        <f t="shared" si="14"/>
        <v>0</v>
      </c>
      <c r="AL1551" s="93">
        <f t="shared" si="15"/>
        <v>0</v>
      </c>
      <c r="AN1551" s="93">
        <v>21</v>
      </c>
      <c r="AO1551" s="93">
        <f t="shared" si="16"/>
        <v>0</v>
      </c>
      <c r="AP1551" s="93">
        <f t="shared" si="17"/>
        <v>0</v>
      </c>
      <c r="AQ1551" s="94" t="s">
        <v>148</v>
      </c>
      <c r="AV1551" s="93">
        <f t="shared" si="18"/>
        <v>0</v>
      </c>
      <c r="AW1551" s="93">
        <f t="shared" si="19"/>
        <v>0</v>
      </c>
      <c r="AX1551" s="93">
        <f t="shared" si="20"/>
        <v>0</v>
      </c>
      <c r="AY1551" s="94" t="s">
        <v>1653</v>
      </c>
      <c r="AZ1551" s="94" t="s">
        <v>1654</v>
      </c>
      <c r="BA1551" s="88" t="s">
        <v>67</v>
      </c>
      <c r="BC1551" s="93">
        <f t="shared" si="21"/>
        <v>0</v>
      </c>
      <c r="BD1551" s="93">
        <f t="shared" si="22"/>
        <v>0</v>
      </c>
      <c r="BE1551" s="93">
        <v>0</v>
      </c>
      <c r="BF1551" s="93">
        <f t="shared" si="23"/>
        <v>0</v>
      </c>
      <c r="BH1551" s="93">
        <f t="shared" si="24"/>
        <v>0</v>
      </c>
      <c r="BI1551" s="93">
        <f t="shared" si="25"/>
        <v>0</v>
      </c>
      <c r="BJ1551" s="93">
        <f t="shared" si="26"/>
        <v>0</v>
      </c>
      <c r="BK1551" s="93"/>
      <c r="BL1551" s="93"/>
      <c r="BW1551" s="93" t="str">
        <f t="shared" si="27"/>
        <v>21</v>
      </c>
      <c r="BX1551" s="2" t="s">
        <v>1660</v>
      </c>
    </row>
    <row r="1552" spans="1:76" s="81" customFormat="1" ht="25.5" x14ac:dyDescent="0.25">
      <c r="A1552" s="72" t="s">
        <v>1661</v>
      </c>
      <c r="B1552" s="72" t="s">
        <v>55</v>
      </c>
      <c r="C1552" s="72" t="s">
        <v>1662</v>
      </c>
      <c r="D1552" s="175" t="s">
        <v>1663</v>
      </c>
      <c r="E1552" s="175"/>
      <c r="F1552" s="72" t="s">
        <v>203</v>
      </c>
      <c r="G1552" s="90">
        <v>2</v>
      </c>
      <c r="H1552" s="91"/>
      <c r="I1552" s="92" t="s">
        <v>63</v>
      </c>
      <c r="J1552" s="90">
        <f t="shared" si="0"/>
        <v>0</v>
      </c>
      <c r="K1552" s="90">
        <f t="shared" si="1"/>
        <v>0</v>
      </c>
      <c r="L1552" s="90">
        <f t="shared" si="2"/>
        <v>0</v>
      </c>
      <c r="M1552" s="90">
        <f t="shared" si="3"/>
        <v>0</v>
      </c>
      <c r="N1552" s="90">
        <v>0</v>
      </c>
      <c r="O1552" s="90">
        <f t="shared" si="4"/>
        <v>0</v>
      </c>
      <c r="P1552" s="92" t="s">
        <v>1652</v>
      </c>
      <c r="Z1552" s="93">
        <f t="shared" si="5"/>
        <v>0</v>
      </c>
      <c r="AB1552" s="93">
        <f t="shared" si="6"/>
        <v>0</v>
      </c>
      <c r="AC1552" s="93">
        <f t="shared" si="7"/>
        <v>0</v>
      </c>
      <c r="AD1552" s="93">
        <f t="shared" si="8"/>
        <v>0</v>
      </c>
      <c r="AE1552" s="93">
        <f t="shared" si="9"/>
        <v>0</v>
      </c>
      <c r="AF1552" s="93">
        <f t="shared" si="10"/>
        <v>0</v>
      </c>
      <c r="AG1552" s="93">
        <f t="shared" si="11"/>
        <v>0</v>
      </c>
      <c r="AH1552" s="93">
        <f t="shared" si="12"/>
        <v>0</v>
      </c>
      <c r="AI1552" s="88" t="s">
        <v>55</v>
      </c>
      <c r="AJ1552" s="93">
        <f t="shared" si="13"/>
        <v>0</v>
      </c>
      <c r="AK1552" s="93">
        <f t="shared" si="14"/>
        <v>0</v>
      </c>
      <c r="AL1552" s="93">
        <f t="shared" si="15"/>
        <v>0</v>
      </c>
      <c r="AN1552" s="93">
        <v>21</v>
      </c>
      <c r="AO1552" s="93">
        <f t="shared" si="16"/>
        <v>0</v>
      </c>
      <c r="AP1552" s="93">
        <f t="shared" si="17"/>
        <v>0</v>
      </c>
      <c r="AQ1552" s="94" t="s">
        <v>148</v>
      </c>
      <c r="AV1552" s="93">
        <f t="shared" si="18"/>
        <v>0</v>
      </c>
      <c r="AW1552" s="93">
        <f t="shared" si="19"/>
        <v>0</v>
      </c>
      <c r="AX1552" s="93">
        <f t="shared" si="20"/>
        <v>0</v>
      </c>
      <c r="AY1552" s="94" t="s">
        <v>1653</v>
      </c>
      <c r="AZ1552" s="94" t="s">
        <v>1654</v>
      </c>
      <c r="BA1552" s="88" t="s">
        <v>67</v>
      </c>
      <c r="BC1552" s="93">
        <f t="shared" si="21"/>
        <v>0</v>
      </c>
      <c r="BD1552" s="93">
        <f t="shared" si="22"/>
        <v>0</v>
      </c>
      <c r="BE1552" s="93">
        <v>0</v>
      </c>
      <c r="BF1552" s="93">
        <f t="shared" si="23"/>
        <v>0</v>
      </c>
      <c r="BH1552" s="93">
        <f t="shared" si="24"/>
        <v>0</v>
      </c>
      <c r="BI1552" s="93">
        <f t="shared" si="25"/>
        <v>0</v>
      </c>
      <c r="BJ1552" s="93">
        <f t="shared" si="26"/>
        <v>0</v>
      </c>
      <c r="BK1552" s="93"/>
      <c r="BL1552" s="93"/>
      <c r="BW1552" s="93" t="str">
        <f t="shared" si="27"/>
        <v>21</v>
      </c>
      <c r="BX1552" s="2" t="s">
        <v>1663</v>
      </c>
    </row>
    <row r="1553" spans="1:76" s="81" customFormat="1" ht="25.5" x14ac:dyDescent="0.25">
      <c r="A1553" s="72" t="s">
        <v>1664</v>
      </c>
      <c r="B1553" s="72" t="s">
        <v>55</v>
      </c>
      <c r="C1553" s="72" t="s">
        <v>1665</v>
      </c>
      <c r="D1553" s="175" t="s">
        <v>1666</v>
      </c>
      <c r="E1553" s="175"/>
      <c r="F1553" s="72" t="s">
        <v>203</v>
      </c>
      <c r="G1553" s="90">
        <v>3</v>
      </c>
      <c r="H1553" s="91"/>
      <c r="I1553" s="92" t="s">
        <v>63</v>
      </c>
      <c r="J1553" s="90">
        <f t="shared" si="0"/>
        <v>0</v>
      </c>
      <c r="K1553" s="90">
        <f t="shared" si="1"/>
        <v>0</v>
      </c>
      <c r="L1553" s="90">
        <f t="shared" si="2"/>
        <v>0</v>
      </c>
      <c r="M1553" s="90">
        <f t="shared" si="3"/>
        <v>0</v>
      </c>
      <c r="N1553" s="90">
        <v>0</v>
      </c>
      <c r="O1553" s="90">
        <f t="shared" si="4"/>
        <v>0</v>
      </c>
      <c r="P1553" s="92" t="s">
        <v>1652</v>
      </c>
      <c r="Z1553" s="93">
        <f t="shared" si="5"/>
        <v>0</v>
      </c>
      <c r="AB1553" s="93">
        <f t="shared" si="6"/>
        <v>0</v>
      </c>
      <c r="AC1553" s="93">
        <f t="shared" si="7"/>
        <v>0</v>
      </c>
      <c r="AD1553" s="93">
        <f t="shared" si="8"/>
        <v>0</v>
      </c>
      <c r="AE1553" s="93">
        <f t="shared" si="9"/>
        <v>0</v>
      </c>
      <c r="AF1553" s="93">
        <f t="shared" si="10"/>
        <v>0</v>
      </c>
      <c r="AG1553" s="93">
        <f t="shared" si="11"/>
        <v>0</v>
      </c>
      <c r="AH1553" s="93">
        <f t="shared" si="12"/>
        <v>0</v>
      </c>
      <c r="AI1553" s="88" t="s">
        <v>55</v>
      </c>
      <c r="AJ1553" s="93">
        <f t="shared" si="13"/>
        <v>0</v>
      </c>
      <c r="AK1553" s="93">
        <f t="shared" si="14"/>
        <v>0</v>
      </c>
      <c r="AL1553" s="93">
        <f t="shared" si="15"/>
        <v>0</v>
      </c>
      <c r="AN1553" s="93">
        <v>21</v>
      </c>
      <c r="AO1553" s="93">
        <f t="shared" si="16"/>
        <v>0</v>
      </c>
      <c r="AP1553" s="93">
        <f t="shared" si="17"/>
        <v>0</v>
      </c>
      <c r="AQ1553" s="94" t="s">
        <v>148</v>
      </c>
      <c r="AV1553" s="93">
        <f t="shared" si="18"/>
        <v>0</v>
      </c>
      <c r="AW1553" s="93">
        <f t="shared" si="19"/>
        <v>0</v>
      </c>
      <c r="AX1553" s="93">
        <f t="shared" si="20"/>
        <v>0</v>
      </c>
      <c r="AY1553" s="94" t="s">
        <v>1653</v>
      </c>
      <c r="AZ1553" s="94" t="s">
        <v>1654</v>
      </c>
      <c r="BA1553" s="88" t="s">
        <v>67</v>
      </c>
      <c r="BC1553" s="93">
        <f t="shared" si="21"/>
        <v>0</v>
      </c>
      <c r="BD1553" s="93">
        <f t="shared" si="22"/>
        <v>0</v>
      </c>
      <c r="BE1553" s="93">
        <v>0</v>
      </c>
      <c r="BF1553" s="93">
        <f t="shared" si="23"/>
        <v>0</v>
      </c>
      <c r="BH1553" s="93">
        <f t="shared" si="24"/>
        <v>0</v>
      </c>
      <c r="BI1553" s="93">
        <f t="shared" si="25"/>
        <v>0</v>
      </c>
      <c r="BJ1553" s="93">
        <f t="shared" si="26"/>
        <v>0</v>
      </c>
      <c r="BK1553" s="93"/>
      <c r="BL1553" s="93"/>
      <c r="BW1553" s="93" t="str">
        <f t="shared" si="27"/>
        <v>21</v>
      </c>
      <c r="BX1553" s="2" t="s">
        <v>1666</v>
      </c>
    </row>
    <row r="1554" spans="1:76" s="81" customFormat="1" ht="25.5" x14ac:dyDescent="0.25">
      <c r="A1554" s="72" t="s">
        <v>1667</v>
      </c>
      <c r="B1554" s="72" t="s">
        <v>55</v>
      </c>
      <c r="C1554" s="72" t="s">
        <v>1668</v>
      </c>
      <c r="D1554" s="175" t="s">
        <v>1669</v>
      </c>
      <c r="E1554" s="175"/>
      <c r="F1554" s="72" t="s">
        <v>203</v>
      </c>
      <c r="G1554" s="90">
        <v>8</v>
      </c>
      <c r="H1554" s="91"/>
      <c r="I1554" s="92" t="s">
        <v>63</v>
      </c>
      <c r="J1554" s="90">
        <f t="shared" si="0"/>
        <v>0</v>
      </c>
      <c r="K1554" s="90">
        <f t="shared" si="1"/>
        <v>0</v>
      </c>
      <c r="L1554" s="90">
        <f t="shared" si="2"/>
        <v>0</v>
      </c>
      <c r="M1554" s="90">
        <f t="shared" si="3"/>
        <v>0</v>
      </c>
      <c r="N1554" s="90">
        <v>0</v>
      </c>
      <c r="O1554" s="90">
        <f t="shared" si="4"/>
        <v>0</v>
      </c>
      <c r="P1554" s="92" t="s">
        <v>1652</v>
      </c>
      <c r="Z1554" s="93">
        <f t="shared" si="5"/>
        <v>0</v>
      </c>
      <c r="AB1554" s="93">
        <f t="shared" si="6"/>
        <v>0</v>
      </c>
      <c r="AC1554" s="93">
        <f t="shared" si="7"/>
        <v>0</v>
      </c>
      <c r="AD1554" s="93">
        <f t="shared" si="8"/>
        <v>0</v>
      </c>
      <c r="AE1554" s="93">
        <f t="shared" si="9"/>
        <v>0</v>
      </c>
      <c r="AF1554" s="93">
        <f t="shared" si="10"/>
        <v>0</v>
      </c>
      <c r="AG1554" s="93">
        <f t="shared" si="11"/>
        <v>0</v>
      </c>
      <c r="AH1554" s="93">
        <f t="shared" si="12"/>
        <v>0</v>
      </c>
      <c r="AI1554" s="88" t="s">
        <v>55</v>
      </c>
      <c r="AJ1554" s="93">
        <f t="shared" si="13"/>
        <v>0</v>
      </c>
      <c r="AK1554" s="93">
        <f t="shared" si="14"/>
        <v>0</v>
      </c>
      <c r="AL1554" s="93">
        <f t="shared" si="15"/>
        <v>0</v>
      </c>
      <c r="AN1554" s="93">
        <v>21</v>
      </c>
      <c r="AO1554" s="93">
        <f t="shared" si="16"/>
        <v>0</v>
      </c>
      <c r="AP1554" s="93">
        <f t="shared" si="17"/>
        <v>0</v>
      </c>
      <c r="AQ1554" s="94" t="s">
        <v>148</v>
      </c>
      <c r="AV1554" s="93">
        <f t="shared" si="18"/>
        <v>0</v>
      </c>
      <c r="AW1554" s="93">
        <f t="shared" si="19"/>
        <v>0</v>
      </c>
      <c r="AX1554" s="93">
        <f t="shared" si="20"/>
        <v>0</v>
      </c>
      <c r="AY1554" s="94" t="s">
        <v>1653</v>
      </c>
      <c r="AZ1554" s="94" t="s">
        <v>1654</v>
      </c>
      <c r="BA1554" s="88" t="s">
        <v>67</v>
      </c>
      <c r="BC1554" s="93">
        <f t="shared" si="21"/>
        <v>0</v>
      </c>
      <c r="BD1554" s="93">
        <f t="shared" si="22"/>
        <v>0</v>
      </c>
      <c r="BE1554" s="93">
        <v>0</v>
      </c>
      <c r="BF1554" s="93">
        <f t="shared" si="23"/>
        <v>0</v>
      </c>
      <c r="BH1554" s="93">
        <f t="shared" si="24"/>
        <v>0</v>
      </c>
      <c r="BI1554" s="93">
        <f t="shared" si="25"/>
        <v>0</v>
      </c>
      <c r="BJ1554" s="93">
        <f t="shared" si="26"/>
        <v>0</v>
      </c>
      <c r="BK1554" s="93"/>
      <c r="BL1554" s="93"/>
      <c r="BW1554" s="93" t="str">
        <f t="shared" si="27"/>
        <v>21</v>
      </c>
      <c r="BX1554" s="2" t="s">
        <v>1669</v>
      </c>
    </row>
    <row r="1555" spans="1:76" s="81" customFormat="1" ht="25.5" x14ac:dyDescent="0.25">
      <c r="A1555" s="72" t="s">
        <v>1670</v>
      </c>
      <c r="B1555" s="72" t="s">
        <v>55</v>
      </c>
      <c r="C1555" s="72" t="s">
        <v>1671</v>
      </c>
      <c r="D1555" s="175" t="s">
        <v>1672</v>
      </c>
      <c r="E1555" s="175"/>
      <c r="F1555" s="72" t="s">
        <v>203</v>
      </c>
      <c r="G1555" s="90">
        <v>2</v>
      </c>
      <c r="H1555" s="91"/>
      <c r="I1555" s="92" t="s">
        <v>63</v>
      </c>
      <c r="J1555" s="90">
        <f t="shared" si="0"/>
        <v>0</v>
      </c>
      <c r="K1555" s="90">
        <f t="shared" si="1"/>
        <v>0</v>
      </c>
      <c r="L1555" s="90">
        <f t="shared" si="2"/>
        <v>0</v>
      </c>
      <c r="M1555" s="90">
        <f t="shared" si="3"/>
        <v>0</v>
      </c>
      <c r="N1555" s="90">
        <v>0</v>
      </c>
      <c r="O1555" s="90">
        <f t="shared" si="4"/>
        <v>0</v>
      </c>
      <c r="P1555" s="92" t="s">
        <v>1652</v>
      </c>
      <c r="Z1555" s="93">
        <f t="shared" si="5"/>
        <v>0</v>
      </c>
      <c r="AB1555" s="93">
        <f t="shared" si="6"/>
        <v>0</v>
      </c>
      <c r="AC1555" s="93">
        <f t="shared" si="7"/>
        <v>0</v>
      </c>
      <c r="AD1555" s="93">
        <f t="shared" si="8"/>
        <v>0</v>
      </c>
      <c r="AE1555" s="93">
        <f t="shared" si="9"/>
        <v>0</v>
      </c>
      <c r="AF1555" s="93">
        <f t="shared" si="10"/>
        <v>0</v>
      </c>
      <c r="AG1555" s="93">
        <f t="shared" si="11"/>
        <v>0</v>
      </c>
      <c r="AH1555" s="93">
        <f t="shared" si="12"/>
        <v>0</v>
      </c>
      <c r="AI1555" s="88" t="s">
        <v>55</v>
      </c>
      <c r="AJ1555" s="93">
        <f t="shared" si="13"/>
        <v>0</v>
      </c>
      <c r="AK1555" s="93">
        <f t="shared" si="14"/>
        <v>0</v>
      </c>
      <c r="AL1555" s="93">
        <f t="shared" si="15"/>
        <v>0</v>
      </c>
      <c r="AN1555" s="93">
        <v>21</v>
      </c>
      <c r="AO1555" s="93">
        <f t="shared" si="16"/>
        <v>0</v>
      </c>
      <c r="AP1555" s="93">
        <f t="shared" si="17"/>
        <v>0</v>
      </c>
      <c r="AQ1555" s="94" t="s">
        <v>148</v>
      </c>
      <c r="AV1555" s="93">
        <f t="shared" si="18"/>
        <v>0</v>
      </c>
      <c r="AW1555" s="93">
        <f t="shared" si="19"/>
        <v>0</v>
      </c>
      <c r="AX1555" s="93">
        <f t="shared" si="20"/>
        <v>0</v>
      </c>
      <c r="AY1555" s="94" t="s">
        <v>1653</v>
      </c>
      <c r="AZ1555" s="94" t="s">
        <v>1654</v>
      </c>
      <c r="BA1555" s="88" t="s">
        <v>67</v>
      </c>
      <c r="BC1555" s="93">
        <f t="shared" si="21"/>
        <v>0</v>
      </c>
      <c r="BD1555" s="93">
        <f t="shared" si="22"/>
        <v>0</v>
      </c>
      <c r="BE1555" s="93">
        <v>0</v>
      </c>
      <c r="BF1555" s="93">
        <f t="shared" si="23"/>
        <v>0</v>
      </c>
      <c r="BH1555" s="93">
        <f t="shared" si="24"/>
        <v>0</v>
      </c>
      <c r="BI1555" s="93">
        <f t="shared" si="25"/>
        <v>0</v>
      </c>
      <c r="BJ1555" s="93">
        <f t="shared" si="26"/>
        <v>0</v>
      </c>
      <c r="BK1555" s="93"/>
      <c r="BL1555" s="93"/>
      <c r="BW1555" s="93" t="str">
        <f t="shared" si="27"/>
        <v>21</v>
      </c>
      <c r="BX1555" s="2" t="s">
        <v>1672</v>
      </c>
    </row>
    <row r="1556" spans="1:76" s="81" customFormat="1" ht="25.5" x14ac:dyDescent="0.25">
      <c r="A1556" s="72" t="s">
        <v>1673</v>
      </c>
      <c r="B1556" s="72" t="s">
        <v>55</v>
      </c>
      <c r="C1556" s="72" t="s">
        <v>1674</v>
      </c>
      <c r="D1556" s="175" t="s">
        <v>1675</v>
      </c>
      <c r="E1556" s="175"/>
      <c r="F1556" s="72" t="s">
        <v>1676</v>
      </c>
      <c r="G1556" s="90">
        <v>4</v>
      </c>
      <c r="H1556" s="91"/>
      <c r="I1556" s="92" t="s">
        <v>63</v>
      </c>
      <c r="J1556" s="90">
        <f t="shared" si="0"/>
        <v>0</v>
      </c>
      <c r="K1556" s="90">
        <f t="shared" si="1"/>
        <v>0</v>
      </c>
      <c r="L1556" s="90">
        <f t="shared" si="2"/>
        <v>0</v>
      </c>
      <c r="M1556" s="90">
        <f t="shared" si="3"/>
        <v>0</v>
      </c>
      <c r="N1556" s="90">
        <v>0</v>
      </c>
      <c r="O1556" s="90">
        <f t="shared" si="4"/>
        <v>0</v>
      </c>
      <c r="P1556" s="92" t="s">
        <v>1652</v>
      </c>
      <c r="Z1556" s="93">
        <f t="shared" si="5"/>
        <v>0</v>
      </c>
      <c r="AB1556" s="93">
        <f t="shared" si="6"/>
        <v>0</v>
      </c>
      <c r="AC1556" s="93">
        <f t="shared" si="7"/>
        <v>0</v>
      </c>
      <c r="AD1556" s="93">
        <f t="shared" si="8"/>
        <v>0</v>
      </c>
      <c r="AE1556" s="93">
        <f t="shared" si="9"/>
        <v>0</v>
      </c>
      <c r="AF1556" s="93">
        <f t="shared" si="10"/>
        <v>0</v>
      </c>
      <c r="AG1556" s="93">
        <f t="shared" si="11"/>
        <v>0</v>
      </c>
      <c r="AH1556" s="93">
        <f t="shared" si="12"/>
        <v>0</v>
      </c>
      <c r="AI1556" s="88" t="s">
        <v>55</v>
      </c>
      <c r="AJ1556" s="93">
        <f t="shared" si="13"/>
        <v>0</v>
      </c>
      <c r="AK1556" s="93">
        <f t="shared" si="14"/>
        <v>0</v>
      </c>
      <c r="AL1556" s="93">
        <f t="shared" si="15"/>
        <v>0</v>
      </c>
      <c r="AN1556" s="93">
        <v>21</v>
      </c>
      <c r="AO1556" s="93">
        <f t="shared" si="16"/>
        <v>0</v>
      </c>
      <c r="AP1556" s="93">
        <f t="shared" si="17"/>
        <v>0</v>
      </c>
      <c r="AQ1556" s="94" t="s">
        <v>148</v>
      </c>
      <c r="AV1556" s="93">
        <f t="shared" si="18"/>
        <v>0</v>
      </c>
      <c r="AW1556" s="93">
        <f t="shared" si="19"/>
        <v>0</v>
      </c>
      <c r="AX1556" s="93">
        <f t="shared" si="20"/>
        <v>0</v>
      </c>
      <c r="AY1556" s="94" t="s">
        <v>1653</v>
      </c>
      <c r="AZ1556" s="94" t="s">
        <v>1654</v>
      </c>
      <c r="BA1556" s="88" t="s">
        <v>67</v>
      </c>
      <c r="BC1556" s="93">
        <f t="shared" si="21"/>
        <v>0</v>
      </c>
      <c r="BD1556" s="93">
        <f t="shared" si="22"/>
        <v>0</v>
      </c>
      <c r="BE1556" s="93">
        <v>0</v>
      </c>
      <c r="BF1556" s="93">
        <f t="shared" si="23"/>
        <v>0</v>
      </c>
      <c r="BH1556" s="93">
        <f t="shared" si="24"/>
        <v>0</v>
      </c>
      <c r="BI1556" s="93">
        <f t="shared" si="25"/>
        <v>0</v>
      </c>
      <c r="BJ1556" s="93">
        <f t="shared" si="26"/>
        <v>0</v>
      </c>
      <c r="BK1556" s="93"/>
      <c r="BL1556" s="93"/>
      <c r="BW1556" s="93" t="str">
        <f t="shared" si="27"/>
        <v>21</v>
      </c>
      <c r="BX1556" s="2" t="s">
        <v>1675</v>
      </c>
    </row>
    <row r="1557" spans="1:76" s="81" customFormat="1" ht="25.5" x14ac:dyDescent="0.25">
      <c r="A1557" s="72" t="s">
        <v>1677</v>
      </c>
      <c r="B1557" s="72" t="s">
        <v>55</v>
      </c>
      <c r="C1557" s="72" t="s">
        <v>1678</v>
      </c>
      <c r="D1557" s="175" t="s">
        <v>1679</v>
      </c>
      <c r="E1557" s="175"/>
      <c r="F1557" s="72" t="s">
        <v>1676</v>
      </c>
      <c r="G1557" s="90">
        <v>5</v>
      </c>
      <c r="H1557" s="91"/>
      <c r="I1557" s="92" t="s">
        <v>63</v>
      </c>
      <c r="J1557" s="90">
        <f t="shared" si="0"/>
        <v>0</v>
      </c>
      <c r="K1557" s="90">
        <f t="shared" si="1"/>
        <v>0</v>
      </c>
      <c r="L1557" s="90">
        <f t="shared" si="2"/>
        <v>0</v>
      </c>
      <c r="M1557" s="90">
        <f t="shared" si="3"/>
        <v>0</v>
      </c>
      <c r="N1557" s="90">
        <v>0</v>
      </c>
      <c r="O1557" s="90">
        <f t="shared" si="4"/>
        <v>0</v>
      </c>
      <c r="P1557" s="92" t="s">
        <v>1652</v>
      </c>
      <c r="Z1557" s="93">
        <f t="shared" si="5"/>
        <v>0</v>
      </c>
      <c r="AB1557" s="93">
        <f t="shared" si="6"/>
        <v>0</v>
      </c>
      <c r="AC1557" s="93">
        <f t="shared" si="7"/>
        <v>0</v>
      </c>
      <c r="AD1557" s="93">
        <f t="shared" si="8"/>
        <v>0</v>
      </c>
      <c r="AE1557" s="93">
        <f t="shared" si="9"/>
        <v>0</v>
      </c>
      <c r="AF1557" s="93">
        <f t="shared" si="10"/>
        <v>0</v>
      </c>
      <c r="AG1557" s="93">
        <f t="shared" si="11"/>
        <v>0</v>
      </c>
      <c r="AH1557" s="93">
        <f t="shared" si="12"/>
        <v>0</v>
      </c>
      <c r="AI1557" s="88" t="s">
        <v>55</v>
      </c>
      <c r="AJ1557" s="93">
        <f t="shared" si="13"/>
        <v>0</v>
      </c>
      <c r="AK1557" s="93">
        <f t="shared" si="14"/>
        <v>0</v>
      </c>
      <c r="AL1557" s="93">
        <f t="shared" si="15"/>
        <v>0</v>
      </c>
      <c r="AN1557" s="93">
        <v>21</v>
      </c>
      <c r="AO1557" s="93">
        <f t="shared" si="16"/>
        <v>0</v>
      </c>
      <c r="AP1557" s="93">
        <f t="shared" si="17"/>
        <v>0</v>
      </c>
      <c r="AQ1557" s="94" t="s">
        <v>148</v>
      </c>
      <c r="AV1557" s="93">
        <f t="shared" si="18"/>
        <v>0</v>
      </c>
      <c r="AW1557" s="93">
        <f t="shared" si="19"/>
        <v>0</v>
      </c>
      <c r="AX1557" s="93">
        <f t="shared" si="20"/>
        <v>0</v>
      </c>
      <c r="AY1557" s="94" t="s">
        <v>1653</v>
      </c>
      <c r="AZ1557" s="94" t="s">
        <v>1654</v>
      </c>
      <c r="BA1557" s="88" t="s">
        <v>67</v>
      </c>
      <c r="BC1557" s="93">
        <f t="shared" si="21"/>
        <v>0</v>
      </c>
      <c r="BD1557" s="93">
        <f t="shared" si="22"/>
        <v>0</v>
      </c>
      <c r="BE1557" s="93">
        <v>0</v>
      </c>
      <c r="BF1557" s="93">
        <f t="shared" si="23"/>
        <v>0</v>
      </c>
      <c r="BH1557" s="93">
        <f t="shared" si="24"/>
        <v>0</v>
      </c>
      <c r="BI1557" s="93">
        <f t="shared" si="25"/>
        <v>0</v>
      </c>
      <c r="BJ1557" s="93">
        <f t="shared" si="26"/>
        <v>0</v>
      </c>
      <c r="BK1557" s="93"/>
      <c r="BL1557" s="93"/>
      <c r="BW1557" s="93" t="str">
        <f t="shared" si="27"/>
        <v>21</v>
      </c>
      <c r="BX1557" s="2" t="s">
        <v>1679</v>
      </c>
    </row>
    <row r="1558" spans="1:76" s="81" customFormat="1" ht="25.5" x14ac:dyDescent="0.25">
      <c r="A1558" s="72" t="s">
        <v>1680</v>
      </c>
      <c r="B1558" s="72" t="s">
        <v>55</v>
      </c>
      <c r="C1558" s="72" t="s">
        <v>1681</v>
      </c>
      <c r="D1558" s="175" t="s">
        <v>1682</v>
      </c>
      <c r="E1558" s="175"/>
      <c r="F1558" s="72" t="s">
        <v>203</v>
      </c>
      <c r="G1558" s="90">
        <v>2</v>
      </c>
      <c r="H1558" s="91"/>
      <c r="I1558" s="92" t="s">
        <v>63</v>
      </c>
      <c r="J1558" s="90">
        <f t="shared" si="0"/>
        <v>0</v>
      </c>
      <c r="K1558" s="90">
        <f t="shared" si="1"/>
        <v>0</v>
      </c>
      <c r="L1558" s="90">
        <f t="shared" si="2"/>
        <v>0</v>
      </c>
      <c r="M1558" s="90">
        <f t="shared" si="3"/>
        <v>0</v>
      </c>
      <c r="N1558" s="90">
        <v>0</v>
      </c>
      <c r="O1558" s="90">
        <f t="shared" si="4"/>
        <v>0</v>
      </c>
      <c r="P1558" s="92" t="s">
        <v>1652</v>
      </c>
      <c r="Z1558" s="93">
        <f t="shared" si="5"/>
        <v>0</v>
      </c>
      <c r="AB1558" s="93">
        <f t="shared" si="6"/>
        <v>0</v>
      </c>
      <c r="AC1558" s="93">
        <f t="shared" si="7"/>
        <v>0</v>
      </c>
      <c r="AD1558" s="93">
        <f t="shared" si="8"/>
        <v>0</v>
      </c>
      <c r="AE1558" s="93">
        <f t="shared" si="9"/>
        <v>0</v>
      </c>
      <c r="AF1558" s="93">
        <f t="shared" si="10"/>
        <v>0</v>
      </c>
      <c r="AG1558" s="93">
        <f t="shared" si="11"/>
        <v>0</v>
      </c>
      <c r="AH1558" s="93">
        <f t="shared" si="12"/>
        <v>0</v>
      </c>
      <c r="AI1558" s="88" t="s">
        <v>55</v>
      </c>
      <c r="AJ1558" s="93">
        <f t="shared" si="13"/>
        <v>0</v>
      </c>
      <c r="AK1558" s="93">
        <f t="shared" si="14"/>
        <v>0</v>
      </c>
      <c r="AL1558" s="93">
        <f t="shared" si="15"/>
        <v>0</v>
      </c>
      <c r="AN1558" s="93">
        <v>21</v>
      </c>
      <c r="AO1558" s="93">
        <f t="shared" si="16"/>
        <v>0</v>
      </c>
      <c r="AP1558" s="93">
        <f t="shared" si="17"/>
        <v>0</v>
      </c>
      <c r="AQ1558" s="94" t="s">
        <v>148</v>
      </c>
      <c r="AV1558" s="93">
        <f t="shared" si="18"/>
        <v>0</v>
      </c>
      <c r="AW1558" s="93">
        <f t="shared" si="19"/>
        <v>0</v>
      </c>
      <c r="AX1558" s="93">
        <f t="shared" si="20"/>
        <v>0</v>
      </c>
      <c r="AY1558" s="94" t="s">
        <v>1653</v>
      </c>
      <c r="AZ1558" s="94" t="s">
        <v>1654</v>
      </c>
      <c r="BA1558" s="88" t="s">
        <v>67</v>
      </c>
      <c r="BC1558" s="93">
        <f t="shared" si="21"/>
        <v>0</v>
      </c>
      <c r="BD1558" s="93">
        <f t="shared" si="22"/>
        <v>0</v>
      </c>
      <c r="BE1558" s="93">
        <v>0</v>
      </c>
      <c r="BF1558" s="93">
        <f t="shared" si="23"/>
        <v>0</v>
      </c>
      <c r="BH1558" s="93">
        <f t="shared" si="24"/>
        <v>0</v>
      </c>
      <c r="BI1558" s="93">
        <f t="shared" si="25"/>
        <v>0</v>
      </c>
      <c r="BJ1558" s="93">
        <f t="shared" si="26"/>
        <v>0</v>
      </c>
      <c r="BK1558" s="93"/>
      <c r="BL1558" s="93"/>
      <c r="BW1558" s="93" t="str">
        <f t="shared" si="27"/>
        <v>21</v>
      </c>
      <c r="BX1558" s="2" t="s">
        <v>1682</v>
      </c>
    </row>
    <row r="1559" spans="1:76" s="81" customFormat="1" ht="25.5" x14ac:dyDescent="0.25">
      <c r="A1559" s="72" t="s">
        <v>1683</v>
      </c>
      <c r="B1559" s="72" t="s">
        <v>55</v>
      </c>
      <c r="C1559" s="72" t="s">
        <v>1684</v>
      </c>
      <c r="D1559" s="175" t="s">
        <v>1685</v>
      </c>
      <c r="E1559" s="175"/>
      <c r="F1559" s="72" t="s">
        <v>203</v>
      </c>
      <c r="G1559" s="90">
        <v>3</v>
      </c>
      <c r="H1559" s="91"/>
      <c r="I1559" s="92" t="s">
        <v>63</v>
      </c>
      <c r="J1559" s="90">
        <f t="shared" si="0"/>
        <v>0</v>
      </c>
      <c r="K1559" s="90">
        <f t="shared" si="1"/>
        <v>0</v>
      </c>
      <c r="L1559" s="90">
        <f t="shared" si="2"/>
        <v>0</v>
      </c>
      <c r="M1559" s="90">
        <f t="shared" si="3"/>
        <v>0</v>
      </c>
      <c r="N1559" s="90">
        <v>0</v>
      </c>
      <c r="O1559" s="90">
        <f t="shared" si="4"/>
        <v>0</v>
      </c>
      <c r="P1559" s="92" t="s">
        <v>1652</v>
      </c>
      <c r="Z1559" s="93">
        <f t="shared" si="5"/>
        <v>0</v>
      </c>
      <c r="AB1559" s="93">
        <f t="shared" si="6"/>
        <v>0</v>
      </c>
      <c r="AC1559" s="93">
        <f t="shared" si="7"/>
        <v>0</v>
      </c>
      <c r="AD1559" s="93">
        <f t="shared" si="8"/>
        <v>0</v>
      </c>
      <c r="AE1559" s="93">
        <f t="shared" si="9"/>
        <v>0</v>
      </c>
      <c r="AF1559" s="93">
        <f t="shared" si="10"/>
        <v>0</v>
      </c>
      <c r="AG1559" s="93">
        <f t="shared" si="11"/>
        <v>0</v>
      </c>
      <c r="AH1559" s="93">
        <f t="shared" si="12"/>
        <v>0</v>
      </c>
      <c r="AI1559" s="88" t="s">
        <v>55</v>
      </c>
      <c r="AJ1559" s="93">
        <f t="shared" si="13"/>
        <v>0</v>
      </c>
      <c r="AK1559" s="93">
        <f t="shared" si="14"/>
        <v>0</v>
      </c>
      <c r="AL1559" s="93">
        <f t="shared" si="15"/>
        <v>0</v>
      </c>
      <c r="AN1559" s="93">
        <v>21</v>
      </c>
      <c r="AO1559" s="93">
        <f t="shared" si="16"/>
        <v>0</v>
      </c>
      <c r="AP1559" s="93">
        <f t="shared" si="17"/>
        <v>0</v>
      </c>
      <c r="AQ1559" s="94" t="s">
        <v>148</v>
      </c>
      <c r="AV1559" s="93">
        <f t="shared" si="18"/>
        <v>0</v>
      </c>
      <c r="AW1559" s="93">
        <f t="shared" si="19"/>
        <v>0</v>
      </c>
      <c r="AX1559" s="93">
        <f t="shared" si="20"/>
        <v>0</v>
      </c>
      <c r="AY1559" s="94" t="s">
        <v>1653</v>
      </c>
      <c r="AZ1559" s="94" t="s">
        <v>1654</v>
      </c>
      <c r="BA1559" s="88" t="s">
        <v>67</v>
      </c>
      <c r="BC1559" s="93">
        <f t="shared" si="21"/>
        <v>0</v>
      </c>
      <c r="BD1559" s="93">
        <f t="shared" si="22"/>
        <v>0</v>
      </c>
      <c r="BE1559" s="93">
        <v>0</v>
      </c>
      <c r="BF1559" s="93">
        <f t="shared" si="23"/>
        <v>0</v>
      </c>
      <c r="BH1559" s="93">
        <f t="shared" si="24"/>
        <v>0</v>
      </c>
      <c r="BI1559" s="93">
        <f t="shared" si="25"/>
        <v>0</v>
      </c>
      <c r="BJ1559" s="93">
        <f t="shared" si="26"/>
        <v>0</v>
      </c>
      <c r="BK1559" s="93"/>
      <c r="BL1559" s="93"/>
      <c r="BW1559" s="93" t="str">
        <f t="shared" si="27"/>
        <v>21</v>
      </c>
      <c r="BX1559" s="2" t="s">
        <v>1685</v>
      </c>
    </row>
    <row r="1560" spans="1:76" s="81" customFormat="1" ht="25.5" x14ac:dyDescent="0.25">
      <c r="A1560" s="72" t="s">
        <v>1686</v>
      </c>
      <c r="B1560" s="72" t="s">
        <v>55</v>
      </c>
      <c r="C1560" s="72" t="s">
        <v>1687</v>
      </c>
      <c r="D1560" s="175" t="s">
        <v>1688</v>
      </c>
      <c r="E1560" s="175"/>
      <c r="F1560" s="72" t="s">
        <v>203</v>
      </c>
      <c r="G1560" s="90">
        <v>8</v>
      </c>
      <c r="H1560" s="91"/>
      <c r="I1560" s="92" t="s">
        <v>63</v>
      </c>
      <c r="J1560" s="90">
        <f t="shared" si="0"/>
        <v>0</v>
      </c>
      <c r="K1560" s="90">
        <f t="shared" si="1"/>
        <v>0</v>
      </c>
      <c r="L1560" s="90">
        <f t="shared" si="2"/>
        <v>0</v>
      </c>
      <c r="M1560" s="90">
        <f t="shared" si="3"/>
        <v>0</v>
      </c>
      <c r="N1560" s="90">
        <v>0</v>
      </c>
      <c r="O1560" s="90">
        <f t="shared" si="4"/>
        <v>0</v>
      </c>
      <c r="P1560" s="92" t="s">
        <v>1652</v>
      </c>
      <c r="Z1560" s="93">
        <f t="shared" si="5"/>
        <v>0</v>
      </c>
      <c r="AB1560" s="93">
        <f t="shared" si="6"/>
        <v>0</v>
      </c>
      <c r="AC1560" s="93">
        <f t="shared" si="7"/>
        <v>0</v>
      </c>
      <c r="AD1560" s="93">
        <f t="shared" si="8"/>
        <v>0</v>
      </c>
      <c r="AE1560" s="93">
        <f t="shared" si="9"/>
        <v>0</v>
      </c>
      <c r="AF1560" s="93">
        <f t="shared" si="10"/>
        <v>0</v>
      </c>
      <c r="AG1560" s="93">
        <f t="shared" si="11"/>
        <v>0</v>
      </c>
      <c r="AH1560" s="93">
        <f t="shared" si="12"/>
        <v>0</v>
      </c>
      <c r="AI1560" s="88" t="s">
        <v>55</v>
      </c>
      <c r="AJ1560" s="93">
        <f t="shared" si="13"/>
        <v>0</v>
      </c>
      <c r="AK1560" s="93">
        <f t="shared" si="14"/>
        <v>0</v>
      </c>
      <c r="AL1560" s="93">
        <f t="shared" si="15"/>
        <v>0</v>
      </c>
      <c r="AN1560" s="93">
        <v>21</v>
      </c>
      <c r="AO1560" s="93">
        <f t="shared" si="16"/>
        <v>0</v>
      </c>
      <c r="AP1560" s="93">
        <f t="shared" si="17"/>
        <v>0</v>
      </c>
      <c r="AQ1560" s="94" t="s">
        <v>148</v>
      </c>
      <c r="AV1560" s="93">
        <f t="shared" si="18"/>
        <v>0</v>
      </c>
      <c r="AW1560" s="93">
        <f t="shared" si="19"/>
        <v>0</v>
      </c>
      <c r="AX1560" s="93">
        <f t="shared" si="20"/>
        <v>0</v>
      </c>
      <c r="AY1560" s="94" t="s">
        <v>1653</v>
      </c>
      <c r="AZ1560" s="94" t="s">
        <v>1654</v>
      </c>
      <c r="BA1560" s="88" t="s">
        <v>67</v>
      </c>
      <c r="BC1560" s="93">
        <f t="shared" si="21"/>
        <v>0</v>
      </c>
      <c r="BD1560" s="93">
        <f t="shared" si="22"/>
        <v>0</v>
      </c>
      <c r="BE1560" s="93">
        <v>0</v>
      </c>
      <c r="BF1560" s="93">
        <f t="shared" si="23"/>
        <v>0</v>
      </c>
      <c r="BH1560" s="93">
        <f t="shared" si="24"/>
        <v>0</v>
      </c>
      <c r="BI1560" s="93">
        <f t="shared" si="25"/>
        <v>0</v>
      </c>
      <c r="BJ1560" s="93">
        <f t="shared" si="26"/>
        <v>0</v>
      </c>
      <c r="BK1560" s="93"/>
      <c r="BL1560" s="93"/>
      <c r="BW1560" s="93" t="str">
        <f t="shared" si="27"/>
        <v>21</v>
      </c>
      <c r="BX1560" s="2" t="s">
        <v>1688</v>
      </c>
    </row>
    <row r="1561" spans="1:76" s="81" customFormat="1" ht="25.5" x14ac:dyDescent="0.25">
      <c r="A1561" s="72" t="s">
        <v>1689</v>
      </c>
      <c r="B1561" s="72" t="s">
        <v>55</v>
      </c>
      <c r="C1561" s="72" t="s">
        <v>1690</v>
      </c>
      <c r="D1561" s="175" t="s">
        <v>1691</v>
      </c>
      <c r="E1561" s="175"/>
      <c r="F1561" s="72" t="s">
        <v>203</v>
      </c>
      <c r="G1561" s="90">
        <v>3</v>
      </c>
      <c r="H1561" s="91"/>
      <c r="I1561" s="92" t="s">
        <v>63</v>
      </c>
      <c r="J1561" s="90">
        <f t="shared" si="0"/>
        <v>0</v>
      </c>
      <c r="K1561" s="90">
        <f t="shared" si="1"/>
        <v>0</v>
      </c>
      <c r="L1561" s="90">
        <f t="shared" si="2"/>
        <v>0</v>
      </c>
      <c r="M1561" s="90">
        <f t="shared" si="3"/>
        <v>0</v>
      </c>
      <c r="N1561" s="90">
        <v>0</v>
      </c>
      <c r="O1561" s="90">
        <f t="shared" si="4"/>
        <v>0</v>
      </c>
      <c r="P1561" s="92" t="s">
        <v>1652</v>
      </c>
      <c r="Z1561" s="93">
        <f t="shared" si="5"/>
        <v>0</v>
      </c>
      <c r="AB1561" s="93">
        <f t="shared" si="6"/>
        <v>0</v>
      </c>
      <c r="AC1561" s="93">
        <f t="shared" si="7"/>
        <v>0</v>
      </c>
      <c r="AD1561" s="93">
        <f t="shared" si="8"/>
        <v>0</v>
      </c>
      <c r="AE1561" s="93">
        <f t="shared" si="9"/>
        <v>0</v>
      </c>
      <c r="AF1561" s="93">
        <f t="shared" si="10"/>
        <v>0</v>
      </c>
      <c r="AG1561" s="93">
        <f t="shared" si="11"/>
        <v>0</v>
      </c>
      <c r="AH1561" s="93">
        <f t="shared" si="12"/>
        <v>0</v>
      </c>
      <c r="AI1561" s="88" t="s">
        <v>55</v>
      </c>
      <c r="AJ1561" s="93">
        <f t="shared" si="13"/>
        <v>0</v>
      </c>
      <c r="AK1561" s="93">
        <f t="shared" si="14"/>
        <v>0</v>
      </c>
      <c r="AL1561" s="93">
        <f t="shared" si="15"/>
        <v>0</v>
      </c>
      <c r="AN1561" s="93">
        <v>21</v>
      </c>
      <c r="AO1561" s="93">
        <f t="shared" si="16"/>
        <v>0</v>
      </c>
      <c r="AP1561" s="93">
        <f t="shared" si="17"/>
        <v>0</v>
      </c>
      <c r="AQ1561" s="94" t="s">
        <v>148</v>
      </c>
      <c r="AV1561" s="93">
        <f t="shared" si="18"/>
        <v>0</v>
      </c>
      <c r="AW1561" s="93">
        <f t="shared" si="19"/>
        <v>0</v>
      </c>
      <c r="AX1561" s="93">
        <f t="shared" si="20"/>
        <v>0</v>
      </c>
      <c r="AY1561" s="94" t="s">
        <v>1653</v>
      </c>
      <c r="AZ1561" s="94" t="s">
        <v>1654</v>
      </c>
      <c r="BA1561" s="88" t="s">
        <v>67</v>
      </c>
      <c r="BC1561" s="93">
        <f t="shared" si="21"/>
        <v>0</v>
      </c>
      <c r="BD1561" s="93">
        <f t="shared" si="22"/>
        <v>0</v>
      </c>
      <c r="BE1561" s="93">
        <v>0</v>
      </c>
      <c r="BF1561" s="93">
        <f t="shared" si="23"/>
        <v>0</v>
      </c>
      <c r="BH1561" s="93">
        <f t="shared" si="24"/>
        <v>0</v>
      </c>
      <c r="BI1561" s="93">
        <f t="shared" si="25"/>
        <v>0</v>
      </c>
      <c r="BJ1561" s="93">
        <f t="shared" si="26"/>
        <v>0</v>
      </c>
      <c r="BK1561" s="93"/>
      <c r="BL1561" s="93"/>
      <c r="BW1561" s="93" t="str">
        <f t="shared" si="27"/>
        <v>21</v>
      </c>
      <c r="BX1561" s="2" t="s">
        <v>1691</v>
      </c>
    </row>
    <row r="1562" spans="1:76" s="81" customFormat="1" ht="25.5" x14ac:dyDescent="0.25">
      <c r="A1562" s="72" t="s">
        <v>1692</v>
      </c>
      <c r="B1562" s="72" t="s">
        <v>55</v>
      </c>
      <c r="C1562" s="72" t="s">
        <v>1693</v>
      </c>
      <c r="D1562" s="175" t="s">
        <v>1694</v>
      </c>
      <c r="E1562" s="175"/>
      <c r="F1562" s="72" t="s">
        <v>203</v>
      </c>
      <c r="G1562" s="90">
        <v>2</v>
      </c>
      <c r="H1562" s="91"/>
      <c r="I1562" s="92" t="s">
        <v>63</v>
      </c>
      <c r="J1562" s="90">
        <f t="shared" si="0"/>
        <v>0</v>
      </c>
      <c r="K1562" s="90">
        <f t="shared" si="1"/>
        <v>0</v>
      </c>
      <c r="L1562" s="90">
        <f t="shared" si="2"/>
        <v>0</v>
      </c>
      <c r="M1562" s="90">
        <f t="shared" si="3"/>
        <v>0</v>
      </c>
      <c r="N1562" s="90">
        <v>0</v>
      </c>
      <c r="O1562" s="90">
        <f t="shared" si="4"/>
        <v>0</v>
      </c>
      <c r="P1562" s="92" t="s">
        <v>1652</v>
      </c>
      <c r="Z1562" s="93">
        <f t="shared" si="5"/>
        <v>0</v>
      </c>
      <c r="AB1562" s="93">
        <f t="shared" si="6"/>
        <v>0</v>
      </c>
      <c r="AC1562" s="93">
        <f t="shared" si="7"/>
        <v>0</v>
      </c>
      <c r="AD1562" s="93">
        <f t="shared" si="8"/>
        <v>0</v>
      </c>
      <c r="AE1562" s="93">
        <f t="shared" si="9"/>
        <v>0</v>
      </c>
      <c r="AF1562" s="93">
        <f t="shared" si="10"/>
        <v>0</v>
      </c>
      <c r="AG1562" s="93">
        <f t="shared" si="11"/>
        <v>0</v>
      </c>
      <c r="AH1562" s="93">
        <f t="shared" si="12"/>
        <v>0</v>
      </c>
      <c r="AI1562" s="88" t="s">
        <v>55</v>
      </c>
      <c r="AJ1562" s="93">
        <f t="shared" si="13"/>
        <v>0</v>
      </c>
      <c r="AK1562" s="93">
        <f t="shared" si="14"/>
        <v>0</v>
      </c>
      <c r="AL1562" s="93">
        <f t="shared" si="15"/>
        <v>0</v>
      </c>
      <c r="AN1562" s="93">
        <v>21</v>
      </c>
      <c r="AO1562" s="93">
        <f t="shared" si="16"/>
        <v>0</v>
      </c>
      <c r="AP1562" s="93">
        <f t="shared" si="17"/>
        <v>0</v>
      </c>
      <c r="AQ1562" s="94" t="s">
        <v>148</v>
      </c>
      <c r="AV1562" s="93">
        <f t="shared" si="18"/>
        <v>0</v>
      </c>
      <c r="AW1562" s="93">
        <f t="shared" si="19"/>
        <v>0</v>
      </c>
      <c r="AX1562" s="93">
        <f t="shared" si="20"/>
        <v>0</v>
      </c>
      <c r="AY1562" s="94" t="s">
        <v>1653</v>
      </c>
      <c r="AZ1562" s="94" t="s">
        <v>1654</v>
      </c>
      <c r="BA1562" s="88" t="s">
        <v>67</v>
      </c>
      <c r="BC1562" s="93">
        <f t="shared" si="21"/>
        <v>0</v>
      </c>
      <c r="BD1562" s="93">
        <f t="shared" si="22"/>
        <v>0</v>
      </c>
      <c r="BE1562" s="93">
        <v>0</v>
      </c>
      <c r="BF1562" s="93">
        <f t="shared" si="23"/>
        <v>0</v>
      </c>
      <c r="BH1562" s="93">
        <f t="shared" si="24"/>
        <v>0</v>
      </c>
      <c r="BI1562" s="93">
        <f t="shared" si="25"/>
        <v>0</v>
      </c>
      <c r="BJ1562" s="93">
        <f t="shared" si="26"/>
        <v>0</v>
      </c>
      <c r="BK1562" s="93"/>
      <c r="BL1562" s="93"/>
      <c r="BW1562" s="93" t="str">
        <f t="shared" si="27"/>
        <v>21</v>
      </c>
      <c r="BX1562" s="2" t="s">
        <v>1694</v>
      </c>
    </row>
    <row r="1563" spans="1:76" s="81" customFormat="1" ht="25.5" x14ac:dyDescent="0.25">
      <c r="A1563" s="72" t="s">
        <v>1695</v>
      </c>
      <c r="B1563" s="72" t="s">
        <v>55</v>
      </c>
      <c r="C1563" s="72" t="s">
        <v>1696</v>
      </c>
      <c r="D1563" s="175" t="s">
        <v>1697</v>
      </c>
      <c r="E1563" s="175"/>
      <c r="F1563" s="72" t="s">
        <v>203</v>
      </c>
      <c r="G1563" s="90">
        <v>2</v>
      </c>
      <c r="H1563" s="91"/>
      <c r="I1563" s="92" t="s">
        <v>63</v>
      </c>
      <c r="J1563" s="90">
        <f t="shared" si="0"/>
        <v>0</v>
      </c>
      <c r="K1563" s="90">
        <f t="shared" si="1"/>
        <v>0</v>
      </c>
      <c r="L1563" s="90">
        <f t="shared" si="2"/>
        <v>0</v>
      </c>
      <c r="M1563" s="90">
        <f t="shared" si="3"/>
        <v>0</v>
      </c>
      <c r="N1563" s="90">
        <v>0</v>
      </c>
      <c r="O1563" s="90">
        <f t="shared" si="4"/>
        <v>0</v>
      </c>
      <c r="P1563" s="92" t="s">
        <v>1652</v>
      </c>
      <c r="Z1563" s="93">
        <f t="shared" si="5"/>
        <v>0</v>
      </c>
      <c r="AB1563" s="93">
        <f t="shared" si="6"/>
        <v>0</v>
      </c>
      <c r="AC1563" s="93">
        <f t="shared" si="7"/>
        <v>0</v>
      </c>
      <c r="AD1563" s="93">
        <f t="shared" si="8"/>
        <v>0</v>
      </c>
      <c r="AE1563" s="93">
        <f t="shared" si="9"/>
        <v>0</v>
      </c>
      <c r="AF1563" s="93">
        <f t="shared" si="10"/>
        <v>0</v>
      </c>
      <c r="AG1563" s="93">
        <f t="shared" si="11"/>
        <v>0</v>
      </c>
      <c r="AH1563" s="93">
        <f t="shared" si="12"/>
        <v>0</v>
      </c>
      <c r="AI1563" s="88" t="s">
        <v>55</v>
      </c>
      <c r="AJ1563" s="93">
        <f t="shared" si="13"/>
        <v>0</v>
      </c>
      <c r="AK1563" s="93">
        <f t="shared" si="14"/>
        <v>0</v>
      </c>
      <c r="AL1563" s="93">
        <f t="shared" si="15"/>
        <v>0</v>
      </c>
      <c r="AN1563" s="93">
        <v>21</v>
      </c>
      <c r="AO1563" s="93">
        <f t="shared" si="16"/>
        <v>0</v>
      </c>
      <c r="AP1563" s="93">
        <f t="shared" si="17"/>
        <v>0</v>
      </c>
      <c r="AQ1563" s="94" t="s">
        <v>148</v>
      </c>
      <c r="AV1563" s="93">
        <f t="shared" si="18"/>
        <v>0</v>
      </c>
      <c r="AW1563" s="93">
        <f t="shared" si="19"/>
        <v>0</v>
      </c>
      <c r="AX1563" s="93">
        <f t="shared" si="20"/>
        <v>0</v>
      </c>
      <c r="AY1563" s="94" t="s">
        <v>1653</v>
      </c>
      <c r="AZ1563" s="94" t="s">
        <v>1654</v>
      </c>
      <c r="BA1563" s="88" t="s">
        <v>67</v>
      </c>
      <c r="BC1563" s="93">
        <f t="shared" si="21"/>
        <v>0</v>
      </c>
      <c r="BD1563" s="93">
        <f t="shared" si="22"/>
        <v>0</v>
      </c>
      <c r="BE1563" s="93">
        <v>0</v>
      </c>
      <c r="BF1563" s="93">
        <f t="shared" si="23"/>
        <v>0</v>
      </c>
      <c r="BH1563" s="93">
        <f t="shared" si="24"/>
        <v>0</v>
      </c>
      <c r="BI1563" s="93">
        <f t="shared" si="25"/>
        <v>0</v>
      </c>
      <c r="BJ1563" s="93">
        <f t="shared" si="26"/>
        <v>0</v>
      </c>
      <c r="BK1563" s="93"/>
      <c r="BL1563" s="93"/>
      <c r="BW1563" s="93" t="str">
        <f t="shared" si="27"/>
        <v>21</v>
      </c>
      <c r="BX1563" s="2" t="s">
        <v>1697</v>
      </c>
    </row>
    <row r="1564" spans="1:76" s="81" customFormat="1" ht="25.5" x14ac:dyDescent="0.25">
      <c r="A1564" s="72" t="s">
        <v>1698</v>
      </c>
      <c r="B1564" s="72" t="s">
        <v>55</v>
      </c>
      <c r="C1564" s="72" t="s">
        <v>1699</v>
      </c>
      <c r="D1564" s="175" t="s">
        <v>1700</v>
      </c>
      <c r="E1564" s="175"/>
      <c r="F1564" s="72" t="s">
        <v>203</v>
      </c>
      <c r="G1564" s="90">
        <v>4</v>
      </c>
      <c r="H1564" s="91"/>
      <c r="I1564" s="92" t="s">
        <v>63</v>
      </c>
      <c r="J1564" s="90">
        <f t="shared" si="0"/>
        <v>0</v>
      </c>
      <c r="K1564" s="90">
        <f t="shared" si="1"/>
        <v>0</v>
      </c>
      <c r="L1564" s="90">
        <f t="shared" si="2"/>
        <v>0</v>
      </c>
      <c r="M1564" s="90">
        <f t="shared" si="3"/>
        <v>0</v>
      </c>
      <c r="N1564" s="90">
        <v>0</v>
      </c>
      <c r="O1564" s="90">
        <f t="shared" si="4"/>
        <v>0</v>
      </c>
      <c r="P1564" s="92" t="s">
        <v>1652</v>
      </c>
      <c r="Z1564" s="93">
        <f t="shared" si="5"/>
        <v>0</v>
      </c>
      <c r="AB1564" s="93">
        <f t="shared" si="6"/>
        <v>0</v>
      </c>
      <c r="AC1564" s="93">
        <f t="shared" si="7"/>
        <v>0</v>
      </c>
      <c r="AD1564" s="93">
        <f t="shared" si="8"/>
        <v>0</v>
      </c>
      <c r="AE1564" s="93">
        <f t="shared" si="9"/>
        <v>0</v>
      </c>
      <c r="AF1564" s="93">
        <f t="shared" si="10"/>
        <v>0</v>
      </c>
      <c r="AG1564" s="93">
        <f t="shared" si="11"/>
        <v>0</v>
      </c>
      <c r="AH1564" s="93">
        <f t="shared" si="12"/>
        <v>0</v>
      </c>
      <c r="AI1564" s="88" t="s">
        <v>55</v>
      </c>
      <c r="AJ1564" s="93">
        <f t="shared" si="13"/>
        <v>0</v>
      </c>
      <c r="AK1564" s="93">
        <f t="shared" si="14"/>
        <v>0</v>
      </c>
      <c r="AL1564" s="93">
        <f t="shared" si="15"/>
        <v>0</v>
      </c>
      <c r="AN1564" s="93">
        <v>21</v>
      </c>
      <c r="AO1564" s="93">
        <f t="shared" si="16"/>
        <v>0</v>
      </c>
      <c r="AP1564" s="93">
        <f t="shared" si="17"/>
        <v>0</v>
      </c>
      <c r="AQ1564" s="94" t="s">
        <v>148</v>
      </c>
      <c r="AV1564" s="93">
        <f t="shared" si="18"/>
        <v>0</v>
      </c>
      <c r="AW1564" s="93">
        <f t="shared" si="19"/>
        <v>0</v>
      </c>
      <c r="AX1564" s="93">
        <f t="shared" si="20"/>
        <v>0</v>
      </c>
      <c r="AY1564" s="94" t="s">
        <v>1653</v>
      </c>
      <c r="AZ1564" s="94" t="s">
        <v>1654</v>
      </c>
      <c r="BA1564" s="88" t="s">
        <v>67</v>
      </c>
      <c r="BC1564" s="93">
        <f t="shared" si="21"/>
        <v>0</v>
      </c>
      <c r="BD1564" s="93">
        <f t="shared" si="22"/>
        <v>0</v>
      </c>
      <c r="BE1564" s="93">
        <v>0</v>
      </c>
      <c r="BF1564" s="93">
        <f t="shared" si="23"/>
        <v>0</v>
      </c>
      <c r="BH1564" s="93">
        <f t="shared" si="24"/>
        <v>0</v>
      </c>
      <c r="BI1564" s="93">
        <f t="shared" si="25"/>
        <v>0</v>
      </c>
      <c r="BJ1564" s="93">
        <f t="shared" si="26"/>
        <v>0</v>
      </c>
      <c r="BK1564" s="93"/>
      <c r="BL1564" s="93"/>
      <c r="BW1564" s="93" t="str">
        <f t="shared" si="27"/>
        <v>21</v>
      </c>
      <c r="BX1564" s="2" t="s">
        <v>1700</v>
      </c>
    </row>
    <row r="1565" spans="1:76" s="81" customFormat="1" ht="25.5" x14ac:dyDescent="0.25">
      <c r="A1565" s="72" t="s">
        <v>1701</v>
      </c>
      <c r="B1565" s="72" t="s">
        <v>55</v>
      </c>
      <c r="C1565" s="72" t="s">
        <v>1702</v>
      </c>
      <c r="D1565" s="175" t="s">
        <v>1703</v>
      </c>
      <c r="E1565" s="175"/>
      <c r="F1565" s="72" t="s">
        <v>203</v>
      </c>
      <c r="G1565" s="90">
        <v>1</v>
      </c>
      <c r="H1565" s="91"/>
      <c r="I1565" s="92" t="s">
        <v>63</v>
      </c>
      <c r="J1565" s="90">
        <f t="shared" si="0"/>
        <v>0</v>
      </c>
      <c r="K1565" s="90">
        <f t="shared" si="1"/>
        <v>0</v>
      </c>
      <c r="L1565" s="90">
        <f t="shared" si="2"/>
        <v>0</v>
      </c>
      <c r="M1565" s="90">
        <f t="shared" si="3"/>
        <v>0</v>
      </c>
      <c r="N1565" s="90">
        <v>0</v>
      </c>
      <c r="O1565" s="90">
        <f t="shared" si="4"/>
        <v>0</v>
      </c>
      <c r="P1565" s="92" t="s">
        <v>1652</v>
      </c>
      <c r="Z1565" s="93">
        <f t="shared" si="5"/>
        <v>0</v>
      </c>
      <c r="AB1565" s="93">
        <f t="shared" si="6"/>
        <v>0</v>
      </c>
      <c r="AC1565" s="93">
        <f t="shared" si="7"/>
        <v>0</v>
      </c>
      <c r="AD1565" s="93">
        <f t="shared" si="8"/>
        <v>0</v>
      </c>
      <c r="AE1565" s="93">
        <f t="shared" si="9"/>
        <v>0</v>
      </c>
      <c r="AF1565" s="93">
        <f t="shared" si="10"/>
        <v>0</v>
      </c>
      <c r="AG1565" s="93">
        <f t="shared" si="11"/>
        <v>0</v>
      </c>
      <c r="AH1565" s="93">
        <f t="shared" si="12"/>
        <v>0</v>
      </c>
      <c r="AI1565" s="88" t="s">
        <v>55</v>
      </c>
      <c r="AJ1565" s="93">
        <f t="shared" si="13"/>
        <v>0</v>
      </c>
      <c r="AK1565" s="93">
        <f t="shared" si="14"/>
        <v>0</v>
      </c>
      <c r="AL1565" s="93">
        <f t="shared" si="15"/>
        <v>0</v>
      </c>
      <c r="AN1565" s="93">
        <v>21</v>
      </c>
      <c r="AO1565" s="93">
        <f t="shared" si="16"/>
        <v>0</v>
      </c>
      <c r="AP1565" s="93">
        <f t="shared" si="17"/>
        <v>0</v>
      </c>
      <c r="AQ1565" s="94" t="s">
        <v>148</v>
      </c>
      <c r="AV1565" s="93">
        <f t="shared" si="18"/>
        <v>0</v>
      </c>
      <c r="AW1565" s="93">
        <f t="shared" si="19"/>
        <v>0</v>
      </c>
      <c r="AX1565" s="93">
        <f t="shared" si="20"/>
        <v>0</v>
      </c>
      <c r="AY1565" s="94" t="s">
        <v>1653</v>
      </c>
      <c r="AZ1565" s="94" t="s">
        <v>1654</v>
      </c>
      <c r="BA1565" s="88" t="s">
        <v>67</v>
      </c>
      <c r="BC1565" s="93">
        <f t="shared" si="21"/>
        <v>0</v>
      </c>
      <c r="BD1565" s="93">
        <f t="shared" si="22"/>
        <v>0</v>
      </c>
      <c r="BE1565" s="93">
        <v>0</v>
      </c>
      <c r="BF1565" s="93">
        <f t="shared" si="23"/>
        <v>0</v>
      </c>
      <c r="BH1565" s="93">
        <f t="shared" si="24"/>
        <v>0</v>
      </c>
      <c r="BI1565" s="93">
        <f t="shared" si="25"/>
        <v>0</v>
      </c>
      <c r="BJ1565" s="93">
        <f t="shared" si="26"/>
        <v>0</v>
      </c>
      <c r="BK1565" s="93"/>
      <c r="BL1565" s="93"/>
      <c r="BW1565" s="93" t="str">
        <f t="shared" si="27"/>
        <v>21</v>
      </c>
      <c r="BX1565" s="2" t="s">
        <v>1703</v>
      </c>
    </row>
    <row r="1566" spans="1:76" s="81" customFormat="1" ht="25.5" x14ac:dyDescent="0.25">
      <c r="A1566" s="72" t="s">
        <v>1704</v>
      </c>
      <c r="B1566" s="72" t="s">
        <v>55</v>
      </c>
      <c r="C1566" s="72" t="s">
        <v>1705</v>
      </c>
      <c r="D1566" s="175" t="s">
        <v>1706</v>
      </c>
      <c r="E1566" s="175"/>
      <c r="F1566" s="72" t="s">
        <v>1676</v>
      </c>
      <c r="G1566" s="90">
        <v>20</v>
      </c>
      <c r="H1566" s="91"/>
      <c r="I1566" s="92" t="s">
        <v>63</v>
      </c>
      <c r="J1566" s="90">
        <f t="shared" si="0"/>
        <v>0</v>
      </c>
      <c r="K1566" s="90">
        <f t="shared" si="1"/>
        <v>0</v>
      </c>
      <c r="L1566" s="90">
        <f t="shared" si="2"/>
        <v>0</v>
      </c>
      <c r="M1566" s="90">
        <f t="shared" si="3"/>
        <v>0</v>
      </c>
      <c r="N1566" s="90">
        <v>0</v>
      </c>
      <c r="O1566" s="90">
        <f t="shared" si="4"/>
        <v>0</v>
      </c>
      <c r="P1566" s="92" t="s">
        <v>1652</v>
      </c>
      <c r="Z1566" s="93">
        <f t="shared" si="5"/>
        <v>0</v>
      </c>
      <c r="AB1566" s="93">
        <f t="shared" si="6"/>
        <v>0</v>
      </c>
      <c r="AC1566" s="93">
        <f t="shared" si="7"/>
        <v>0</v>
      </c>
      <c r="AD1566" s="93">
        <f t="shared" si="8"/>
        <v>0</v>
      </c>
      <c r="AE1566" s="93">
        <f t="shared" si="9"/>
        <v>0</v>
      </c>
      <c r="AF1566" s="93">
        <f t="shared" si="10"/>
        <v>0</v>
      </c>
      <c r="AG1566" s="93">
        <f t="shared" si="11"/>
        <v>0</v>
      </c>
      <c r="AH1566" s="93">
        <f t="shared" si="12"/>
        <v>0</v>
      </c>
      <c r="AI1566" s="88" t="s">
        <v>55</v>
      </c>
      <c r="AJ1566" s="93">
        <f t="shared" si="13"/>
        <v>0</v>
      </c>
      <c r="AK1566" s="93">
        <f t="shared" si="14"/>
        <v>0</v>
      </c>
      <c r="AL1566" s="93">
        <f t="shared" si="15"/>
        <v>0</v>
      </c>
      <c r="AN1566" s="93">
        <v>21</v>
      </c>
      <c r="AO1566" s="93">
        <f t="shared" si="16"/>
        <v>0</v>
      </c>
      <c r="AP1566" s="93">
        <f t="shared" si="17"/>
        <v>0</v>
      </c>
      <c r="AQ1566" s="94" t="s">
        <v>148</v>
      </c>
      <c r="AV1566" s="93">
        <f t="shared" si="18"/>
        <v>0</v>
      </c>
      <c r="AW1566" s="93">
        <f t="shared" si="19"/>
        <v>0</v>
      </c>
      <c r="AX1566" s="93">
        <f t="shared" si="20"/>
        <v>0</v>
      </c>
      <c r="AY1566" s="94" t="s">
        <v>1653</v>
      </c>
      <c r="AZ1566" s="94" t="s">
        <v>1654</v>
      </c>
      <c r="BA1566" s="88" t="s">
        <v>67</v>
      </c>
      <c r="BC1566" s="93">
        <f t="shared" si="21"/>
        <v>0</v>
      </c>
      <c r="BD1566" s="93">
        <f t="shared" si="22"/>
        <v>0</v>
      </c>
      <c r="BE1566" s="93">
        <v>0</v>
      </c>
      <c r="BF1566" s="93">
        <f t="shared" si="23"/>
        <v>0</v>
      </c>
      <c r="BH1566" s="93">
        <f t="shared" si="24"/>
        <v>0</v>
      </c>
      <c r="BI1566" s="93">
        <f t="shared" si="25"/>
        <v>0</v>
      </c>
      <c r="BJ1566" s="93">
        <f t="shared" si="26"/>
        <v>0</v>
      </c>
      <c r="BK1566" s="93"/>
      <c r="BL1566" s="93"/>
      <c r="BW1566" s="93" t="str">
        <f t="shared" si="27"/>
        <v>21</v>
      </c>
      <c r="BX1566" s="2" t="s">
        <v>1706</v>
      </c>
    </row>
    <row r="1567" spans="1:76" s="81" customFormat="1" ht="25.5" x14ac:dyDescent="0.25">
      <c r="A1567" s="72" t="s">
        <v>1707</v>
      </c>
      <c r="B1567" s="72" t="s">
        <v>55</v>
      </c>
      <c r="C1567" s="72" t="s">
        <v>1708</v>
      </c>
      <c r="D1567" s="175" t="s">
        <v>1709</v>
      </c>
      <c r="E1567" s="175"/>
      <c r="F1567" s="72" t="s">
        <v>192</v>
      </c>
      <c r="G1567" s="90">
        <v>1</v>
      </c>
      <c r="H1567" s="91"/>
      <c r="I1567" s="92" t="s">
        <v>63</v>
      </c>
      <c r="J1567" s="90">
        <f t="shared" si="0"/>
        <v>0</v>
      </c>
      <c r="K1567" s="90">
        <f t="shared" si="1"/>
        <v>0</v>
      </c>
      <c r="L1567" s="90">
        <f t="shared" si="2"/>
        <v>0</v>
      </c>
      <c r="M1567" s="90">
        <f t="shared" si="3"/>
        <v>0</v>
      </c>
      <c r="N1567" s="90">
        <v>0</v>
      </c>
      <c r="O1567" s="90">
        <f t="shared" si="4"/>
        <v>0</v>
      </c>
      <c r="P1567" s="92" t="s">
        <v>1652</v>
      </c>
      <c r="Z1567" s="93">
        <f t="shared" si="5"/>
        <v>0</v>
      </c>
      <c r="AB1567" s="93">
        <f t="shared" si="6"/>
        <v>0</v>
      </c>
      <c r="AC1567" s="93">
        <f t="shared" si="7"/>
        <v>0</v>
      </c>
      <c r="AD1567" s="93">
        <f t="shared" si="8"/>
        <v>0</v>
      </c>
      <c r="AE1567" s="93">
        <f t="shared" si="9"/>
        <v>0</v>
      </c>
      <c r="AF1567" s="93">
        <f t="shared" si="10"/>
        <v>0</v>
      </c>
      <c r="AG1567" s="93">
        <f t="shared" si="11"/>
        <v>0</v>
      </c>
      <c r="AH1567" s="93">
        <f t="shared" si="12"/>
        <v>0</v>
      </c>
      <c r="AI1567" s="88" t="s">
        <v>55</v>
      </c>
      <c r="AJ1567" s="93">
        <f t="shared" si="13"/>
        <v>0</v>
      </c>
      <c r="AK1567" s="93">
        <f t="shared" si="14"/>
        <v>0</v>
      </c>
      <c r="AL1567" s="93">
        <f t="shared" si="15"/>
        <v>0</v>
      </c>
      <c r="AN1567" s="93">
        <v>21</v>
      </c>
      <c r="AO1567" s="93">
        <f t="shared" si="16"/>
        <v>0</v>
      </c>
      <c r="AP1567" s="93">
        <f t="shared" si="17"/>
        <v>0</v>
      </c>
      <c r="AQ1567" s="94" t="s">
        <v>148</v>
      </c>
      <c r="AV1567" s="93">
        <f t="shared" si="18"/>
        <v>0</v>
      </c>
      <c r="AW1567" s="93">
        <f t="shared" si="19"/>
        <v>0</v>
      </c>
      <c r="AX1567" s="93">
        <f t="shared" si="20"/>
        <v>0</v>
      </c>
      <c r="AY1567" s="94" t="s">
        <v>1653</v>
      </c>
      <c r="AZ1567" s="94" t="s">
        <v>1654</v>
      </c>
      <c r="BA1567" s="88" t="s">
        <v>67</v>
      </c>
      <c r="BC1567" s="93">
        <f t="shared" si="21"/>
        <v>0</v>
      </c>
      <c r="BD1567" s="93">
        <f t="shared" si="22"/>
        <v>0</v>
      </c>
      <c r="BE1567" s="93">
        <v>0</v>
      </c>
      <c r="BF1567" s="93">
        <f t="shared" si="23"/>
        <v>0</v>
      </c>
      <c r="BH1567" s="93">
        <f t="shared" si="24"/>
        <v>0</v>
      </c>
      <c r="BI1567" s="93">
        <f t="shared" si="25"/>
        <v>0</v>
      </c>
      <c r="BJ1567" s="93">
        <f t="shared" si="26"/>
        <v>0</v>
      </c>
      <c r="BK1567" s="93"/>
      <c r="BL1567" s="93"/>
      <c r="BW1567" s="93" t="str">
        <f t="shared" si="27"/>
        <v>21</v>
      </c>
      <c r="BX1567" s="2" t="s">
        <v>1709</v>
      </c>
    </row>
    <row r="1568" spans="1:76" s="81" customFormat="1" ht="25.5" x14ac:dyDescent="0.25">
      <c r="A1568" s="72" t="s">
        <v>1710</v>
      </c>
      <c r="B1568" s="72" t="s">
        <v>55</v>
      </c>
      <c r="C1568" s="72" t="s">
        <v>1711</v>
      </c>
      <c r="D1568" s="175" t="s">
        <v>1712</v>
      </c>
      <c r="E1568" s="175"/>
      <c r="F1568" s="72" t="s">
        <v>203</v>
      </c>
      <c r="G1568" s="90">
        <v>1</v>
      </c>
      <c r="H1568" s="91"/>
      <c r="I1568" s="92" t="s">
        <v>63</v>
      </c>
      <c r="J1568" s="90">
        <f t="shared" si="0"/>
        <v>0</v>
      </c>
      <c r="K1568" s="90">
        <f t="shared" si="1"/>
        <v>0</v>
      </c>
      <c r="L1568" s="90">
        <f t="shared" si="2"/>
        <v>0</v>
      </c>
      <c r="M1568" s="90">
        <f t="shared" si="3"/>
        <v>0</v>
      </c>
      <c r="N1568" s="90">
        <v>0</v>
      </c>
      <c r="O1568" s="90">
        <f t="shared" si="4"/>
        <v>0</v>
      </c>
      <c r="P1568" s="92" t="s">
        <v>1652</v>
      </c>
      <c r="Z1568" s="93">
        <f t="shared" si="5"/>
        <v>0</v>
      </c>
      <c r="AB1568" s="93">
        <f t="shared" si="6"/>
        <v>0</v>
      </c>
      <c r="AC1568" s="93">
        <f t="shared" si="7"/>
        <v>0</v>
      </c>
      <c r="AD1568" s="93">
        <f t="shared" si="8"/>
        <v>0</v>
      </c>
      <c r="AE1568" s="93">
        <f t="shared" si="9"/>
        <v>0</v>
      </c>
      <c r="AF1568" s="93">
        <f t="shared" si="10"/>
        <v>0</v>
      </c>
      <c r="AG1568" s="93">
        <f t="shared" si="11"/>
        <v>0</v>
      </c>
      <c r="AH1568" s="93">
        <f t="shared" si="12"/>
        <v>0</v>
      </c>
      <c r="AI1568" s="88" t="s">
        <v>55</v>
      </c>
      <c r="AJ1568" s="93">
        <f t="shared" si="13"/>
        <v>0</v>
      </c>
      <c r="AK1568" s="93">
        <f t="shared" si="14"/>
        <v>0</v>
      </c>
      <c r="AL1568" s="93">
        <f t="shared" si="15"/>
        <v>0</v>
      </c>
      <c r="AN1568" s="93">
        <v>21</v>
      </c>
      <c r="AO1568" s="93">
        <f t="shared" si="16"/>
        <v>0</v>
      </c>
      <c r="AP1568" s="93">
        <f t="shared" si="17"/>
        <v>0</v>
      </c>
      <c r="AQ1568" s="94" t="s">
        <v>148</v>
      </c>
      <c r="AV1568" s="93">
        <f t="shared" si="18"/>
        <v>0</v>
      </c>
      <c r="AW1568" s="93">
        <f t="shared" si="19"/>
        <v>0</v>
      </c>
      <c r="AX1568" s="93">
        <f t="shared" si="20"/>
        <v>0</v>
      </c>
      <c r="AY1568" s="94" t="s">
        <v>1653</v>
      </c>
      <c r="AZ1568" s="94" t="s">
        <v>1654</v>
      </c>
      <c r="BA1568" s="88" t="s">
        <v>67</v>
      </c>
      <c r="BC1568" s="93">
        <f t="shared" si="21"/>
        <v>0</v>
      </c>
      <c r="BD1568" s="93">
        <f t="shared" si="22"/>
        <v>0</v>
      </c>
      <c r="BE1568" s="93">
        <v>0</v>
      </c>
      <c r="BF1568" s="93">
        <f t="shared" si="23"/>
        <v>0</v>
      </c>
      <c r="BH1568" s="93">
        <f t="shared" si="24"/>
        <v>0</v>
      </c>
      <c r="BI1568" s="93">
        <f t="shared" si="25"/>
        <v>0</v>
      </c>
      <c r="BJ1568" s="93">
        <f t="shared" si="26"/>
        <v>0</v>
      </c>
      <c r="BK1568" s="93"/>
      <c r="BL1568" s="93"/>
      <c r="BW1568" s="93" t="str">
        <f t="shared" si="27"/>
        <v>21</v>
      </c>
      <c r="BX1568" s="2" t="s">
        <v>1712</v>
      </c>
    </row>
    <row r="1569" spans="1:76" s="81" customFormat="1" ht="25.5" x14ac:dyDescent="0.25">
      <c r="A1569" s="72" t="s">
        <v>1713</v>
      </c>
      <c r="B1569" s="72" t="s">
        <v>55</v>
      </c>
      <c r="C1569" s="72" t="s">
        <v>1714</v>
      </c>
      <c r="D1569" s="175" t="s">
        <v>1715</v>
      </c>
      <c r="E1569" s="175"/>
      <c r="F1569" s="72" t="s">
        <v>1334</v>
      </c>
      <c r="G1569" s="90">
        <v>1</v>
      </c>
      <c r="H1569" s="91"/>
      <c r="I1569" s="92" t="s">
        <v>63</v>
      </c>
      <c r="J1569" s="90">
        <f t="shared" si="0"/>
        <v>0</v>
      </c>
      <c r="K1569" s="90">
        <f t="shared" si="1"/>
        <v>0</v>
      </c>
      <c r="L1569" s="90">
        <f t="shared" si="2"/>
        <v>0</v>
      </c>
      <c r="M1569" s="90">
        <f t="shared" si="3"/>
        <v>0</v>
      </c>
      <c r="N1569" s="90">
        <v>0</v>
      </c>
      <c r="O1569" s="90">
        <f t="shared" si="4"/>
        <v>0</v>
      </c>
      <c r="P1569" s="92" t="s">
        <v>1652</v>
      </c>
      <c r="Z1569" s="93">
        <f t="shared" si="5"/>
        <v>0</v>
      </c>
      <c r="AB1569" s="93">
        <f t="shared" si="6"/>
        <v>0</v>
      </c>
      <c r="AC1569" s="93">
        <f t="shared" si="7"/>
        <v>0</v>
      </c>
      <c r="AD1569" s="93">
        <f t="shared" si="8"/>
        <v>0</v>
      </c>
      <c r="AE1569" s="93">
        <f t="shared" si="9"/>
        <v>0</v>
      </c>
      <c r="AF1569" s="93">
        <f t="shared" si="10"/>
        <v>0</v>
      </c>
      <c r="AG1569" s="93">
        <f t="shared" si="11"/>
        <v>0</v>
      </c>
      <c r="AH1569" s="93">
        <f t="shared" si="12"/>
        <v>0</v>
      </c>
      <c r="AI1569" s="88" t="s">
        <v>55</v>
      </c>
      <c r="AJ1569" s="93">
        <f t="shared" si="13"/>
        <v>0</v>
      </c>
      <c r="AK1569" s="93">
        <f t="shared" si="14"/>
        <v>0</v>
      </c>
      <c r="AL1569" s="93">
        <f t="shared" si="15"/>
        <v>0</v>
      </c>
      <c r="AN1569" s="93">
        <v>21</v>
      </c>
      <c r="AO1569" s="93">
        <f t="shared" si="16"/>
        <v>0</v>
      </c>
      <c r="AP1569" s="93">
        <f t="shared" si="17"/>
        <v>0</v>
      </c>
      <c r="AQ1569" s="94" t="s">
        <v>148</v>
      </c>
      <c r="AV1569" s="93">
        <f t="shared" si="18"/>
        <v>0</v>
      </c>
      <c r="AW1569" s="93">
        <f t="shared" si="19"/>
        <v>0</v>
      </c>
      <c r="AX1569" s="93">
        <f t="shared" si="20"/>
        <v>0</v>
      </c>
      <c r="AY1569" s="94" t="s">
        <v>1653</v>
      </c>
      <c r="AZ1569" s="94" t="s">
        <v>1654</v>
      </c>
      <c r="BA1569" s="88" t="s">
        <v>67</v>
      </c>
      <c r="BC1569" s="93">
        <f t="shared" si="21"/>
        <v>0</v>
      </c>
      <c r="BD1569" s="93">
        <f t="shared" si="22"/>
        <v>0</v>
      </c>
      <c r="BE1569" s="93">
        <v>0</v>
      </c>
      <c r="BF1569" s="93">
        <f t="shared" si="23"/>
        <v>0</v>
      </c>
      <c r="BH1569" s="93">
        <f t="shared" si="24"/>
        <v>0</v>
      </c>
      <c r="BI1569" s="93">
        <f t="shared" si="25"/>
        <v>0</v>
      </c>
      <c r="BJ1569" s="93">
        <f t="shared" si="26"/>
        <v>0</v>
      </c>
      <c r="BK1569" s="93"/>
      <c r="BL1569" s="93"/>
      <c r="BW1569" s="93" t="str">
        <f t="shared" si="27"/>
        <v>21</v>
      </c>
      <c r="BX1569" s="2" t="s">
        <v>1715</v>
      </c>
    </row>
    <row r="1570" spans="1:76" s="81" customFormat="1" x14ac:dyDescent="0.25">
      <c r="A1570" s="85" t="s">
        <v>54</v>
      </c>
      <c r="B1570" s="74" t="s">
        <v>55</v>
      </c>
      <c r="C1570" s="74" t="s">
        <v>1716</v>
      </c>
      <c r="D1570" s="176" t="s">
        <v>1717</v>
      </c>
      <c r="E1570" s="176"/>
      <c r="F1570" s="85" t="s">
        <v>4</v>
      </c>
      <c r="G1570" s="85" t="s">
        <v>4</v>
      </c>
      <c r="H1570" s="98"/>
      <c r="I1570" s="85" t="s">
        <v>4</v>
      </c>
      <c r="J1570" s="86">
        <f>SUM(J1571:J1586)</f>
        <v>0</v>
      </c>
      <c r="K1570" s="86">
        <f>SUM(K1571:K1586)</f>
        <v>0</v>
      </c>
      <c r="L1570" s="86">
        <f>SUM(L1571:L1586)</f>
        <v>0</v>
      </c>
      <c r="M1570" s="86">
        <f>SUM(M1571:M1586)</f>
        <v>0</v>
      </c>
      <c r="N1570" s="87" t="s">
        <v>54</v>
      </c>
      <c r="O1570" s="86">
        <f>SUM(O1571:O1586)</f>
        <v>0</v>
      </c>
      <c r="P1570" s="87" t="s">
        <v>54</v>
      </c>
      <c r="AI1570" s="88" t="s">
        <v>55</v>
      </c>
      <c r="AS1570" s="89">
        <f>SUM(AJ1571:AJ1586)</f>
        <v>0</v>
      </c>
      <c r="AT1570" s="89">
        <f>SUM(AK1571:AK1586)</f>
        <v>0</v>
      </c>
      <c r="AU1570" s="89">
        <f>SUM(AL1571:AL1586)</f>
        <v>0</v>
      </c>
    </row>
    <row r="1571" spans="1:76" s="81" customFormat="1" ht="25.5" x14ac:dyDescent="0.25">
      <c r="A1571" s="72" t="s">
        <v>1718</v>
      </c>
      <c r="B1571" s="72" t="s">
        <v>55</v>
      </c>
      <c r="C1571" s="72" t="s">
        <v>1719</v>
      </c>
      <c r="D1571" s="175" t="s">
        <v>1720</v>
      </c>
      <c r="E1571" s="175"/>
      <c r="F1571" s="72" t="s">
        <v>203</v>
      </c>
      <c r="G1571" s="90">
        <v>1</v>
      </c>
      <c r="H1571" s="91"/>
      <c r="I1571" s="92" t="s">
        <v>63</v>
      </c>
      <c r="J1571" s="90">
        <f t="shared" ref="J1571:J1586" si="28">G1571*AO1571</f>
        <v>0</v>
      </c>
      <c r="K1571" s="90">
        <f t="shared" ref="K1571:K1586" si="29">G1571*AP1571</f>
        <v>0</v>
      </c>
      <c r="L1571" s="90">
        <f t="shared" ref="L1571:L1586" si="30">G1571*H1571</f>
        <v>0</v>
      </c>
      <c r="M1571" s="90">
        <f t="shared" ref="M1571:M1586" si="31">L1571*(1+BW1571/100)</f>
        <v>0</v>
      </c>
      <c r="N1571" s="90">
        <v>0</v>
      </c>
      <c r="O1571" s="90">
        <f t="shared" ref="O1571:O1586" si="32">G1571*N1571</f>
        <v>0</v>
      </c>
      <c r="P1571" s="92" t="s">
        <v>1652</v>
      </c>
      <c r="Z1571" s="93">
        <f t="shared" ref="Z1571:Z1586" si="33">IF(AQ1571="5",BJ1571,0)</f>
        <v>0</v>
      </c>
      <c r="AB1571" s="93">
        <f t="shared" ref="AB1571:AB1586" si="34">IF(AQ1571="1",BH1571,0)</f>
        <v>0</v>
      </c>
      <c r="AC1571" s="93">
        <f t="shared" ref="AC1571:AC1586" si="35">IF(AQ1571="1",BI1571,0)</f>
        <v>0</v>
      </c>
      <c r="AD1571" s="93">
        <f t="shared" ref="AD1571:AD1586" si="36">IF(AQ1571="7",BH1571,0)</f>
        <v>0</v>
      </c>
      <c r="AE1571" s="93">
        <f t="shared" ref="AE1571:AE1586" si="37">IF(AQ1571="7",BI1571,0)</f>
        <v>0</v>
      </c>
      <c r="AF1571" s="93">
        <f t="shared" ref="AF1571:AF1586" si="38">IF(AQ1571="2",BH1571,0)</f>
        <v>0</v>
      </c>
      <c r="AG1571" s="93">
        <f t="shared" ref="AG1571:AG1586" si="39">IF(AQ1571="2",BI1571,0)</f>
        <v>0</v>
      </c>
      <c r="AH1571" s="93">
        <f t="shared" ref="AH1571:AH1586" si="40">IF(AQ1571="0",BJ1571,0)</f>
        <v>0</v>
      </c>
      <c r="AI1571" s="88" t="s">
        <v>55</v>
      </c>
      <c r="AJ1571" s="93">
        <f t="shared" ref="AJ1571:AJ1586" si="41">IF(AN1571=0,L1571,0)</f>
        <v>0</v>
      </c>
      <c r="AK1571" s="93">
        <f t="shared" ref="AK1571:AK1586" si="42">IF(AN1571=12,L1571,0)</f>
        <v>0</v>
      </c>
      <c r="AL1571" s="93">
        <f t="shared" ref="AL1571:AL1586" si="43">IF(AN1571=21,L1571,0)</f>
        <v>0</v>
      </c>
      <c r="AN1571" s="93">
        <v>21</v>
      </c>
      <c r="AO1571" s="93">
        <f t="shared" ref="AO1571:AO1586" si="44">H1571*0</f>
        <v>0</v>
      </c>
      <c r="AP1571" s="93">
        <f t="shared" ref="AP1571:AP1586" si="45">H1571*(1-0)</f>
        <v>0</v>
      </c>
      <c r="AQ1571" s="94" t="s">
        <v>148</v>
      </c>
      <c r="AV1571" s="93">
        <f t="shared" ref="AV1571:AV1586" si="46">AW1571+AX1571</f>
        <v>0</v>
      </c>
      <c r="AW1571" s="93">
        <f t="shared" ref="AW1571:AW1586" si="47">G1571*AO1571</f>
        <v>0</v>
      </c>
      <c r="AX1571" s="93">
        <f t="shared" ref="AX1571:AX1586" si="48">G1571*AP1571</f>
        <v>0</v>
      </c>
      <c r="AY1571" s="94" t="s">
        <v>1721</v>
      </c>
      <c r="AZ1571" s="94" t="s">
        <v>1654</v>
      </c>
      <c r="BA1571" s="88" t="s">
        <v>67</v>
      </c>
      <c r="BC1571" s="93">
        <f t="shared" ref="BC1571:BC1586" si="49">AW1571+AX1571</f>
        <v>0</v>
      </c>
      <c r="BD1571" s="93">
        <f t="shared" ref="BD1571:BD1586" si="50">H1571/(100-BE1571)*100</f>
        <v>0</v>
      </c>
      <c r="BE1571" s="93">
        <v>0</v>
      </c>
      <c r="BF1571" s="93">
        <f t="shared" ref="BF1571:BF1586" si="51">O1571</f>
        <v>0</v>
      </c>
      <c r="BH1571" s="93">
        <f t="shared" ref="BH1571:BH1586" si="52">G1571*AO1571</f>
        <v>0</v>
      </c>
      <c r="BI1571" s="93">
        <f t="shared" ref="BI1571:BI1586" si="53">G1571*AP1571</f>
        <v>0</v>
      </c>
      <c r="BJ1571" s="93">
        <f t="shared" ref="BJ1571:BJ1586" si="54">G1571*H1571</f>
        <v>0</v>
      </c>
      <c r="BK1571" s="93"/>
      <c r="BL1571" s="93"/>
      <c r="BW1571" s="93" t="str">
        <f t="shared" ref="BW1571:BW1586" si="55">I1571</f>
        <v>21</v>
      </c>
      <c r="BX1571" s="2" t="s">
        <v>1720</v>
      </c>
    </row>
    <row r="1572" spans="1:76" s="81" customFormat="1" ht="25.5" x14ac:dyDescent="0.25">
      <c r="A1572" s="72" t="s">
        <v>1722</v>
      </c>
      <c r="B1572" s="72" t="s">
        <v>55</v>
      </c>
      <c r="C1572" s="72" t="s">
        <v>1723</v>
      </c>
      <c r="D1572" s="175" t="s">
        <v>1724</v>
      </c>
      <c r="E1572" s="175"/>
      <c r="F1572" s="72" t="s">
        <v>203</v>
      </c>
      <c r="G1572" s="90">
        <v>4</v>
      </c>
      <c r="H1572" s="91"/>
      <c r="I1572" s="92" t="s">
        <v>63</v>
      </c>
      <c r="J1572" s="90">
        <f t="shared" si="28"/>
        <v>0</v>
      </c>
      <c r="K1572" s="90">
        <f t="shared" si="29"/>
        <v>0</v>
      </c>
      <c r="L1572" s="90">
        <f t="shared" si="30"/>
        <v>0</v>
      </c>
      <c r="M1572" s="90">
        <f t="shared" si="31"/>
        <v>0</v>
      </c>
      <c r="N1572" s="90">
        <v>0</v>
      </c>
      <c r="O1572" s="90">
        <f t="shared" si="32"/>
        <v>0</v>
      </c>
      <c r="P1572" s="92" t="s">
        <v>1652</v>
      </c>
      <c r="Z1572" s="93">
        <f t="shared" si="33"/>
        <v>0</v>
      </c>
      <c r="AB1572" s="93">
        <f t="shared" si="34"/>
        <v>0</v>
      </c>
      <c r="AC1572" s="93">
        <f t="shared" si="35"/>
        <v>0</v>
      </c>
      <c r="AD1572" s="93">
        <f t="shared" si="36"/>
        <v>0</v>
      </c>
      <c r="AE1572" s="93">
        <f t="shared" si="37"/>
        <v>0</v>
      </c>
      <c r="AF1572" s="93">
        <f t="shared" si="38"/>
        <v>0</v>
      </c>
      <c r="AG1572" s="93">
        <f t="shared" si="39"/>
        <v>0</v>
      </c>
      <c r="AH1572" s="93">
        <f t="shared" si="40"/>
        <v>0</v>
      </c>
      <c r="AI1572" s="88" t="s">
        <v>55</v>
      </c>
      <c r="AJ1572" s="93">
        <f t="shared" si="41"/>
        <v>0</v>
      </c>
      <c r="AK1572" s="93">
        <f t="shared" si="42"/>
        <v>0</v>
      </c>
      <c r="AL1572" s="93">
        <f t="shared" si="43"/>
        <v>0</v>
      </c>
      <c r="AN1572" s="93">
        <v>21</v>
      </c>
      <c r="AO1572" s="93">
        <f t="shared" si="44"/>
        <v>0</v>
      </c>
      <c r="AP1572" s="93">
        <f t="shared" si="45"/>
        <v>0</v>
      </c>
      <c r="AQ1572" s="94" t="s">
        <v>148</v>
      </c>
      <c r="AV1572" s="93">
        <f t="shared" si="46"/>
        <v>0</v>
      </c>
      <c r="AW1572" s="93">
        <f t="shared" si="47"/>
        <v>0</v>
      </c>
      <c r="AX1572" s="93">
        <f t="shared" si="48"/>
        <v>0</v>
      </c>
      <c r="AY1572" s="94" t="s">
        <v>1721</v>
      </c>
      <c r="AZ1572" s="94" t="s">
        <v>1654</v>
      </c>
      <c r="BA1572" s="88" t="s">
        <v>67</v>
      </c>
      <c r="BC1572" s="93">
        <f t="shared" si="49"/>
        <v>0</v>
      </c>
      <c r="BD1572" s="93">
        <f t="shared" si="50"/>
        <v>0</v>
      </c>
      <c r="BE1572" s="93">
        <v>0</v>
      </c>
      <c r="BF1572" s="93">
        <f t="shared" si="51"/>
        <v>0</v>
      </c>
      <c r="BH1572" s="93">
        <f t="shared" si="52"/>
        <v>0</v>
      </c>
      <c r="BI1572" s="93">
        <f t="shared" si="53"/>
        <v>0</v>
      </c>
      <c r="BJ1572" s="93">
        <f t="shared" si="54"/>
        <v>0</v>
      </c>
      <c r="BK1572" s="93"/>
      <c r="BL1572" s="93"/>
      <c r="BW1572" s="93" t="str">
        <f t="shared" si="55"/>
        <v>21</v>
      </c>
      <c r="BX1572" s="2" t="s">
        <v>1724</v>
      </c>
    </row>
    <row r="1573" spans="1:76" s="81" customFormat="1" ht="25.5" x14ac:dyDescent="0.25">
      <c r="A1573" s="72" t="s">
        <v>1725</v>
      </c>
      <c r="B1573" s="72" t="s">
        <v>55</v>
      </c>
      <c r="C1573" s="72" t="s">
        <v>1726</v>
      </c>
      <c r="D1573" s="175" t="s">
        <v>1727</v>
      </c>
      <c r="E1573" s="175"/>
      <c r="F1573" s="72" t="s">
        <v>203</v>
      </c>
      <c r="G1573" s="90">
        <v>3</v>
      </c>
      <c r="H1573" s="91"/>
      <c r="I1573" s="92" t="s">
        <v>63</v>
      </c>
      <c r="J1573" s="90">
        <f t="shared" si="28"/>
        <v>0</v>
      </c>
      <c r="K1573" s="90">
        <f t="shared" si="29"/>
        <v>0</v>
      </c>
      <c r="L1573" s="90">
        <f t="shared" si="30"/>
        <v>0</v>
      </c>
      <c r="M1573" s="90">
        <f t="shared" si="31"/>
        <v>0</v>
      </c>
      <c r="N1573" s="90">
        <v>0</v>
      </c>
      <c r="O1573" s="90">
        <f t="shared" si="32"/>
        <v>0</v>
      </c>
      <c r="P1573" s="92" t="s">
        <v>1652</v>
      </c>
      <c r="Z1573" s="93">
        <f t="shared" si="33"/>
        <v>0</v>
      </c>
      <c r="AB1573" s="93">
        <f t="shared" si="34"/>
        <v>0</v>
      </c>
      <c r="AC1573" s="93">
        <f t="shared" si="35"/>
        <v>0</v>
      </c>
      <c r="AD1573" s="93">
        <f t="shared" si="36"/>
        <v>0</v>
      </c>
      <c r="AE1573" s="93">
        <f t="shared" si="37"/>
        <v>0</v>
      </c>
      <c r="AF1573" s="93">
        <f t="shared" si="38"/>
        <v>0</v>
      </c>
      <c r="AG1573" s="93">
        <f t="shared" si="39"/>
        <v>0</v>
      </c>
      <c r="AH1573" s="93">
        <f t="shared" si="40"/>
        <v>0</v>
      </c>
      <c r="AI1573" s="88" t="s">
        <v>55</v>
      </c>
      <c r="AJ1573" s="93">
        <f t="shared" si="41"/>
        <v>0</v>
      </c>
      <c r="AK1573" s="93">
        <f t="shared" si="42"/>
        <v>0</v>
      </c>
      <c r="AL1573" s="93">
        <f t="shared" si="43"/>
        <v>0</v>
      </c>
      <c r="AN1573" s="93">
        <v>21</v>
      </c>
      <c r="AO1573" s="93">
        <f t="shared" si="44"/>
        <v>0</v>
      </c>
      <c r="AP1573" s="93">
        <f t="shared" si="45"/>
        <v>0</v>
      </c>
      <c r="AQ1573" s="94" t="s">
        <v>148</v>
      </c>
      <c r="AV1573" s="93">
        <f t="shared" si="46"/>
        <v>0</v>
      </c>
      <c r="AW1573" s="93">
        <f t="shared" si="47"/>
        <v>0</v>
      </c>
      <c r="AX1573" s="93">
        <f t="shared" si="48"/>
        <v>0</v>
      </c>
      <c r="AY1573" s="94" t="s">
        <v>1721</v>
      </c>
      <c r="AZ1573" s="94" t="s">
        <v>1654</v>
      </c>
      <c r="BA1573" s="88" t="s">
        <v>67</v>
      </c>
      <c r="BC1573" s="93">
        <f t="shared" si="49"/>
        <v>0</v>
      </c>
      <c r="BD1573" s="93">
        <f t="shared" si="50"/>
        <v>0</v>
      </c>
      <c r="BE1573" s="93">
        <v>0</v>
      </c>
      <c r="BF1573" s="93">
        <f t="shared" si="51"/>
        <v>0</v>
      </c>
      <c r="BH1573" s="93">
        <f t="shared" si="52"/>
        <v>0</v>
      </c>
      <c r="BI1573" s="93">
        <f t="shared" si="53"/>
        <v>0</v>
      </c>
      <c r="BJ1573" s="93">
        <f t="shared" si="54"/>
        <v>0</v>
      </c>
      <c r="BK1573" s="93"/>
      <c r="BL1573" s="93"/>
      <c r="BW1573" s="93" t="str">
        <f t="shared" si="55"/>
        <v>21</v>
      </c>
      <c r="BX1573" s="2" t="s">
        <v>1727</v>
      </c>
    </row>
    <row r="1574" spans="1:76" s="81" customFormat="1" ht="25.5" x14ac:dyDescent="0.25">
      <c r="A1574" s="72" t="s">
        <v>1728</v>
      </c>
      <c r="B1574" s="72" t="s">
        <v>55</v>
      </c>
      <c r="C1574" s="72" t="s">
        <v>1729</v>
      </c>
      <c r="D1574" s="175" t="s">
        <v>1691</v>
      </c>
      <c r="E1574" s="175"/>
      <c r="F1574" s="72" t="s">
        <v>203</v>
      </c>
      <c r="G1574" s="90">
        <v>3</v>
      </c>
      <c r="H1574" s="91"/>
      <c r="I1574" s="92" t="s">
        <v>63</v>
      </c>
      <c r="J1574" s="90">
        <f t="shared" si="28"/>
        <v>0</v>
      </c>
      <c r="K1574" s="90">
        <f t="shared" si="29"/>
        <v>0</v>
      </c>
      <c r="L1574" s="90">
        <f t="shared" si="30"/>
        <v>0</v>
      </c>
      <c r="M1574" s="90">
        <f t="shared" si="31"/>
        <v>0</v>
      </c>
      <c r="N1574" s="90">
        <v>0</v>
      </c>
      <c r="O1574" s="90">
        <f t="shared" si="32"/>
        <v>0</v>
      </c>
      <c r="P1574" s="92" t="s">
        <v>1652</v>
      </c>
      <c r="Z1574" s="93">
        <f t="shared" si="33"/>
        <v>0</v>
      </c>
      <c r="AB1574" s="93">
        <f t="shared" si="34"/>
        <v>0</v>
      </c>
      <c r="AC1574" s="93">
        <f t="shared" si="35"/>
        <v>0</v>
      </c>
      <c r="AD1574" s="93">
        <f t="shared" si="36"/>
        <v>0</v>
      </c>
      <c r="AE1574" s="93">
        <f t="shared" si="37"/>
        <v>0</v>
      </c>
      <c r="AF1574" s="93">
        <f t="shared" si="38"/>
        <v>0</v>
      </c>
      <c r="AG1574" s="93">
        <f t="shared" si="39"/>
        <v>0</v>
      </c>
      <c r="AH1574" s="93">
        <f t="shared" si="40"/>
        <v>0</v>
      </c>
      <c r="AI1574" s="88" t="s">
        <v>55</v>
      </c>
      <c r="AJ1574" s="93">
        <f t="shared" si="41"/>
        <v>0</v>
      </c>
      <c r="AK1574" s="93">
        <f t="shared" si="42"/>
        <v>0</v>
      </c>
      <c r="AL1574" s="93">
        <f t="shared" si="43"/>
        <v>0</v>
      </c>
      <c r="AN1574" s="93">
        <v>21</v>
      </c>
      <c r="AO1574" s="93">
        <f t="shared" si="44"/>
        <v>0</v>
      </c>
      <c r="AP1574" s="93">
        <f t="shared" si="45"/>
        <v>0</v>
      </c>
      <c r="AQ1574" s="94" t="s">
        <v>148</v>
      </c>
      <c r="AV1574" s="93">
        <f t="shared" si="46"/>
        <v>0</v>
      </c>
      <c r="AW1574" s="93">
        <f t="shared" si="47"/>
        <v>0</v>
      </c>
      <c r="AX1574" s="93">
        <f t="shared" si="48"/>
        <v>0</v>
      </c>
      <c r="AY1574" s="94" t="s">
        <v>1721</v>
      </c>
      <c r="AZ1574" s="94" t="s">
        <v>1654</v>
      </c>
      <c r="BA1574" s="88" t="s">
        <v>67</v>
      </c>
      <c r="BC1574" s="93">
        <f t="shared" si="49"/>
        <v>0</v>
      </c>
      <c r="BD1574" s="93">
        <f t="shared" si="50"/>
        <v>0</v>
      </c>
      <c r="BE1574" s="93">
        <v>0</v>
      </c>
      <c r="BF1574" s="93">
        <f t="shared" si="51"/>
        <v>0</v>
      </c>
      <c r="BH1574" s="93">
        <f t="shared" si="52"/>
        <v>0</v>
      </c>
      <c r="BI1574" s="93">
        <f t="shared" si="53"/>
        <v>0</v>
      </c>
      <c r="BJ1574" s="93">
        <f t="shared" si="54"/>
        <v>0</v>
      </c>
      <c r="BK1574" s="93"/>
      <c r="BL1574" s="93"/>
      <c r="BW1574" s="93" t="str">
        <f t="shared" si="55"/>
        <v>21</v>
      </c>
      <c r="BX1574" s="2" t="s">
        <v>1691</v>
      </c>
    </row>
    <row r="1575" spans="1:76" s="81" customFormat="1" ht="25.5" x14ac:dyDescent="0.25">
      <c r="A1575" s="72" t="s">
        <v>1730</v>
      </c>
      <c r="B1575" s="72" t="s">
        <v>55</v>
      </c>
      <c r="C1575" s="72" t="s">
        <v>1731</v>
      </c>
      <c r="D1575" s="175" t="s">
        <v>1732</v>
      </c>
      <c r="E1575" s="175"/>
      <c r="F1575" s="72" t="s">
        <v>203</v>
      </c>
      <c r="G1575" s="90">
        <v>1</v>
      </c>
      <c r="H1575" s="91"/>
      <c r="I1575" s="92" t="s">
        <v>63</v>
      </c>
      <c r="J1575" s="90">
        <f t="shared" si="28"/>
        <v>0</v>
      </c>
      <c r="K1575" s="90">
        <f t="shared" si="29"/>
        <v>0</v>
      </c>
      <c r="L1575" s="90">
        <f t="shared" si="30"/>
        <v>0</v>
      </c>
      <c r="M1575" s="90">
        <f t="shared" si="31"/>
        <v>0</v>
      </c>
      <c r="N1575" s="90">
        <v>0</v>
      </c>
      <c r="O1575" s="90">
        <f t="shared" si="32"/>
        <v>0</v>
      </c>
      <c r="P1575" s="92" t="s">
        <v>1652</v>
      </c>
      <c r="Z1575" s="93">
        <f t="shared" si="33"/>
        <v>0</v>
      </c>
      <c r="AB1575" s="93">
        <f t="shared" si="34"/>
        <v>0</v>
      </c>
      <c r="AC1575" s="93">
        <f t="shared" si="35"/>
        <v>0</v>
      </c>
      <c r="AD1575" s="93">
        <f t="shared" si="36"/>
        <v>0</v>
      </c>
      <c r="AE1575" s="93">
        <f t="shared" si="37"/>
        <v>0</v>
      </c>
      <c r="AF1575" s="93">
        <f t="shared" si="38"/>
        <v>0</v>
      </c>
      <c r="AG1575" s="93">
        <f t="shared" si="39"/>
        <v>0</v>
      </c>
      <c r="AH1575" s="93">
        <f t="shared" si="40"/>
        <v>0</v>
      </c>
      <c r="AI1575" s="88" t="s">
        <v>55</v>
      </c>
      <c r="AJ1575" s="93">
        <f t="shared" si="41"/>
        <v>0</v>
      </c>
      <c r="AK1575" s="93">
        <f t="shared" si="42"/>
        <v>0</v>
      </c>
      <c r="AL1575" s="93">
        <f t="shared" si="43"/>
        <v>0</v>
      </c>
      <c r="AN1575" s="93">
        <v>21</v>
      </c>
      <c r="AO1575" s="93">
        <f t="shared" si="44"/>
        <v>0</v>
      </c>
      <c r="AP1575" s="93">
        <f t="shared" si="45"/>
        <v>0</v>
      </c>
      <c r="AQ1575" s="94" t="s">
        <v>148</v>
      </c>
      <c r="AV1575" s="93">
        <f t="shared" si="46"/>
        <v>0</v>
      </c>
      <c r="AW1575" s="93">
        <f t="shared" si="47"/>
        <v>0</v>
      </c>
      <c r="AX1575" s="93">
        <f t="shared" si="48"/>
        <v>0</v>
      </c>
      <c r="AY1575" s="94" t="s">
        <v>1721</v>
      </c>
      <c r="AZ1575" s="94" t="s">
        <v>1654</v>
      </c>
      <c r="BA1575" s="88" t="s">
        <v>67</v>
      </c>
      <c r="BC1575" s="93">
        <f t="shared" si="49"/>
        <v>0</v>
      </c>
      <c r="BD1575" s="93">
        <f t="shared" si="50"/>
        <v>0</v>
      </c>
      <c r="BE1575" s="93">
        <v>0</v>
      </c>
      <c r="BF1575" s="93">
        <f t="shared" si="51"/>
        <v>0</v>
      </c>
      <c r="BH1575" s="93">
        <f t="shared" si="52"/>
        <v>0</v>
      </c>
      <c r="BI1575" s="93">
        <f t="shared" si="53"/>
        <v>0</v>
      </c>
      <c r="BJ1575" s="93">
        <f t="shared" si="54"/>
        <v>0</v>
      </c>
      <c r="BK1575" s="93"/>
      <c r="BL1575" s="93"/>
      <c r="BW1575" s="93" t="str">
        <f t="shared" si="55"/>
        <v>21</v>
      </c>
      <c r="BX1575" s="2" t="s">
        <v>1732</v>
      </c>
    </row>
    <row r="1576" spans="1:76" s="81" customFormat="1" ht="25.5" x14ac:dyDescent="0.25">
      <c r="A1576" s="72" t="s">
        <v>1733</v>
      </c>
      <c r="B1576" s="72" t="s">
        <v>55</v>
      </c>
      <c r="C1576" s="72" t="s">
        <v>1734</v>
      </c>
      <c r="D1576" s="175" t="s">
        <v>1666</v>
      </c>
      <c r="E1576" s="175"/>
      <c r="F1576" s="72" t="s">
        <v>203</v>
      </c>
      <c r="G1576" s="90">
        <v>4</v>
      </c>
      <c r="H1576" s="91"/>
      <c r="I1576" s="92" t="s">
        <v>63</v>
      </c>
      <c r="J1576" s="90">
        <f t="shared" si="28"/>
        <v>0</v>
      </c>
      <c r="K1576" s="90">
        <f t="shared" si="29"/>
        <v>0</v>
      </c>
      <c r="L1576" s="90">
        <f t="shared" si="30"/>
        <v>0</v>
      </c>
      <c r="M1576" s="90">
        <f t="shared" si="31"/>
        <v>0</v>
      </c>
      <c r="N1576" s="90">
        <v>0</v>
      </c>
      <c r="O1576" s="90">
        <f t="shared" si="32"/>
        <v>0</v>
      </c>
      <c r="P1576" s="92" t="s">
        <v>1652</v>
      </c>
      <c r="Z1576" s="93">
        <f t="shared" si="33"/>
        <v>0</v>
      </c>
      <c r="AB1576" s="93">
        <f t="shared" si="34"/>
        <v>0</v>
      </c>
      <c r="AC1576" s="93">
        <f t="shared" si="35"/>
        <v>0</v>
      </c>
      <c r="AD1576" s="93">
        <f t="shared" si="36"/>
        <v>0</v>
      </c>
      <c r="AE1576" s="93">
        <f t="shared" si="37"/>
        <v>0</v>
      </c>
      <c r="AF1576" s="93">
        <f t="shared" si="38"/>
        <v>0</v>
      </c>
      <c r="AG1576" s="93">
        <f t="shared" si="39"/>
        <v>0</v>
      </c>
      <c r="AH1576" s="93">
        <f t="shared" si="40"/>
        <v>0</v>
      </c>
      <c r="AI1576" s="88" t="s">
        <v>55</v>
      </c>
      <c r="AJ1576" s="93">
        <f t="shared" si="41"/>
        <v>0</v>
      </c>
      <c r="AK1576" s="93">
        <f t="shared" si="42"/>
        <v>0</v>
      </c>
      <c r="AL1576" s="93">
        <f t="shared" si="43"/>
        <v>0</v>
      </c>
      <c r="AN1576" s="93">
        <v>21</v>
      </c>
      <c r="AO1576" s="93">
        <f t="shared" si="44"/>
        <v>0</v>
      </c>
      <c r="AP1576" s="93">
        <f t="shared" si="45"/>
        <v>0</v>
      </c>
      <c r="AQ1576" s="94" t="s">
        <v>148</v>
      </c>
      <c r="AV1576" s="93">
        <f t="shared" si="46"/>
        <v>0</v>
      </c>
      <c r="AW1576" s="93">
        <f t="shared" si="47"/>
        <v>0</v>
      </c>
      <c r="AX1576" s="93">
        <f t="shared" si="48"/>
        <v>0</v>
      </c>
      <c r="AY1576" s="94" t="s">
        <v>1721</v>
      </c>
      <c r="AZ1576" s="94" t="s">
        <v>1654</v>
      </c>
      <c r="BA1576" s="88" t="s">
        <v>67</v>
      </c>
      <c r="BC1576" s="93">
        <f t="shared" si="49"/>
        <v>0</v>
      </c>
      <c r="BD1576" s="93">
        <f t="shared" si="50"/>
        <v>0</v>
      </c>
      <c r="BE1576" s="93">
        <v>0</v>
      </c>
      <c r="BF1576" s="93">
        <f t="shared" si="51"/>
        <v>0</v>
      </c>
      <c r="BH1576" s="93">
        <f t="shared" si="52"/>
        <v>0</v>
      </c>
      <c r="BI1576" s="93">
        <f t="shared" si="53"/>
        <v>0</v>
      </c>
      <c r="BJ1576" s="93">
        <f t="shared" si="54"/>
        <v>0</v>
      </c>
      <c r="BK1576" s="93"/>
      <c r="BL1576" s="93"/>
      <c r="BW1576" s="93" t="str">
        <f t="shared" si="55"/>
        <v>21</v>
      </c>
      <c r="BX1576" s="2" t="s">
        <v>1666</v>
      </c>
    </row>
    <row r="1577" spans="1:76" s="81" customFormat="1" ht="25.5" x14ac:dyDescent="0.25">
      <c r="A1577" s="72" t="s">
        <v>1735</v>
      </c>
      <c r="B1577" s="72" t="s">
        <v>55</v>
      </c>
      <c r="C1577" s="72" t="s">
        <v>1736</v>
      </c>
      <c r="D1577" s="175" t="s">
        <v>1737</v>
      </c>
      <c r="E1577" s="175"/>
      <c r="F1577" s="72" t="s">
        <v>203</v>
      </c>
      <c r="G1577" s="90">
        <v>1</v>
      </c>
      <c r="H1577" s="91"/>
      <c r="I1577" s="92" t="s">
        <v>63</v>
      </c>
      <c r="J1577" s="90">
        <f t="shared" si="28"/>
        <v>0</v>
      </c>
      <c r="K1577" s="90">
        <f t="shared" si="29"/>
        <v>0</v>
      </c>
      <c r="L1577" s="90">
        <f t="shared" si="30"/>
        <v>0</v>
      </c>
      <c r="M1577" s="90">
        <f t="shared" si="31"/>
        <v>0</v>
      </c>
      <c r="N1577" s="90">
        <v>0</v>
      </c>
      <c r="O1577" s="90">
        <f t="shared" si="32"/>
        <v>0</v>
      </c>
      <c r="P1577" s="92" t="s">
        <v>1652</v>
      </c>
      <c r="Z1577" s="93">
        <f t="shared" si="33"/>
        <v>0</v>
      </c>
      <c r="AB1577" s="93">
        <f t="shared" si="34"/>
        <v>0</v>
      </c>
      <c r="AC1577" s="93">
        <f t="shared" si="35"/>
        <v>0</v>
      </c>
      <c r="AD1577" s="93">
        <f t="shared" si="36"/>
        <v>0</v>
      </c>
      <c r="AE1577" s="93">
        <f t="shared" si="37"/>
        <v>0</v>
      </c>
      <c r="AF1577" s="93">
        <f t="shared" si="38"/>
        <v>0</v>
      </c>
      <c r="AG1577" s="93">
        <f t="shared" si="39"/>
        <v>0</v>
      </c>
      <c r="AH1577" s="93">
        <f t="shared" si="40"/>
        <v>0</v>
      </c>
      <c r="AI1577" s="88" t="s">
        <v>55</v>
      </c>
      <c r="AJ1577" s="93">
        <f t="shared" si="41"/>
        <v>0</v>
      </c>
      <c r="AK1577" s="93">
        <f t="shared" si="42"/>
        <v>0</v>
      </c>
      <c r="AL1577" s="93">
        <f t="shared" si="43"/>
        <v>0</v>
      </c>
      <c r="AN1577" s="93">
        <v>21</v>
      </c>
      <c r="AO1577" s="93">
        <f t="shared" si="44"/>
        <v>0</v>
      </c>
      <c r="AP1577" s="93">
        <f t="shared" si="45"/>
        <v>0</v>
      </c>
      <c r="AQ1577" s="94" t="s">
        <v>148</v>
      </c>
      <c r="AV1577" s="93">
        <f t="shared" si="46"/>
        <v>0</v>
      </c>
      <c r="AW1577" s="93">
        <f t="shared" si="47"/>
        <v>0</v>
      </c>
      <c r="AX1577" s="93">
        <f t="shared" si="48"/>
        <v>0</v>
      </c>
      <c r="AY1577" s="94" t="s">
        <v>1721</v>
      </c>
      <c r="AZ1577" s="94" t="s">
        <v>1654</v>
      </c>
      <c r="BA1577" s="88" t="s">
        <v>67</v>
      </c>
      <c r="BC1577" s="93">
        <f t="shared" si="49"/>
        <v>0</v>
      </c>
      <c r="BD1577" s="93">
        <f t="shared" si="50"/>
        <v>0</v>
      </c>
      <c r="BE1577" s="93">
        <v>0</v>
      </c>
      <c r="BF1577" s="93">
        <f t="shared" si="51"/>
        <v>0</v>
      </c>
      <c r="BH1577" s="93">
        <f t="shared" si="52"/>
        <v>0</v>
      </c>
      <c r="BI1577" s="93">
        <f t="shared" si="53"/>
        <v>0</v>
      </c>
      <c r="BJ1577" s="93">
        <f t="shared" si="54"/>
        <v>0</v>
      </c>
      <c r="BK1577" s="93"/>
      <c r="BL1577" s="93"/>
      <c r="BW1577" s="93" t="str">
        <f t="shared" si="55"/>
        <v>21</v>
      </c>
      <c r="BX1577" s="2" t="s">
        <v>1737</v>
      </c>
    </row>
    <row r="1578" spans="1:76" s="81" customFormat="1" ht="25.5" x14ac:dyDescent="0.25">
      <c r="A1578" s="72" t="s">
        <v>1738</v>
      </c>
      <c r="B1578" s="72" t="s">
        <v>55</v>
      </c>
      <c r="C1578" s="72" t="s">
        <v>1739</v>
      </c>
      <c r="D1578" s="175" t="s">
        <v>1740</v>
      </c>
      <c r="E1578" s="175"/>
      <c r="F1578" s="72" t="s">
        <v>1676</v>
      </c>
      <c r="G1578" s="90">
        <v>2</v>
      </c>
      <c r="H1578" s="91"/>
      <c r="I1578" s="92" t="s">
        <v>63</v>
      </c>
      <c r="J1578" s="90">
        <f t="shared" si="28"/>
        <v>0</v>
      </c>
      <c r="K1578" s="90">
        <f t="shared" si="29"/>
        <v>0</v>
      </c>
      <c r="L1578" s="90">
        <f t="shared" si="30"/>
        <v>0</v>
      </c>
      <c r="M1578" s="90">
        <f t="shared" si="31"/>
        <v>0</v>
      </c>
      <c r="N1578" s="90">
        <v>0</v>
      </c>
      <c r="O1578" s="90">
        <f t="shared" si="32"/>
        <v>0</v>
      </c>
      <c r="P1578" s="92" t="s">
        <v>1652</v>
      </c>
      <c r="Z1578" s="93">
        <f t="shared" si="33"/>
        <v>0</v>
      </c>
      <c r="AB1578" s="93">
        <f t="shared" si="34"/>
        <v>0</v>
      </c>
      <c r="AC1578" s="93">
        <f t="shared" si="35"/>
        <v>0</v>
      </c>
      <c r="AD1578" s="93">
        <f t="shared" si="36"/>
        <v>0</v>
      </c>
      <c r="AE1578" s="93">
        <f t="shared" si="37"/>
        <v>0</v>
      </c>
      <c r="AF1578" s="93">
        <f t="shared" si="38"/>
        <v>0</v>
      </c>
      <c r="AG1578" s="93">
        <f t="shared" si="39"/>
        <v>0</v>
      </c>
      <c r="AH1578" s="93">
        <f t="shared" si="40"/>
        <v>0</v>
      </c>
      <c r="AI1578" s="88" t="s">
        <v>55</v>
      </c>
      <c r="AJ1578" s="93">
        <f t="shared" si="41"/>
        <v>0</v>
      </c>
      <c r="AK1578" s="93">
        <f t="shared" si="42"/>
        <v>0</v>
      </c>
      <c r="AL1578" s="93">
        <f t="shared" si="43"/>
        <v>0</v>
      </c>
      <c r="AN1578" s="93">
        <v>21</v>
      </c>
      <c r="AO1578" s="93">
        <f t="shared" si="44"/>
        <v>0</v>
      </c>
      <c r="AP1578" s="93">
        <f t="shared" si="45"/>
        <v>0</v>
      </c>
      <c r="AQ1578" s="94" t="s">
        <v>148</v>
      </c>
      <c r="AV1578" s="93">
        <f t="shared" si="46"/>
        <v>0</v>
      </c>
      <c r="AW1578" s="93">
        <f t="shared" si="47"/>
        <v>0</v>
      </c>
      <c r="AX1578" s="93">
        <f t="shared" si="48"/>
        <v>0</v>
      </c>
      <c r="AY1578" s="94" t="s">
        <v>1721</v>
      </c>
      <c r="AZ1578" s="94" t="s">
        <v>1654</v>
      </c>
      <c r="BA1578" s="88" t="s">
        <v>67</v>
      </c>
      <c r="BC1578" s="93">
        <f t="shared" si="49"/>
        <v>0</v>
      </c>
      <c r="BD1578" s="93">
        <f t="shared" si="50"/>
        <v>0</v>
      </c>
      <c r="BE1578" s="93">
        <v>0</v>
      </c>
      <c r="BF1578" s="93">
        <f t="shared" si="51"/>
        <v>0</v>
      </c>
      <c r="BH1578" s="93">
        <f t="shared" si="52"/>
        <v>0</v>
      </c>
      <c r="BI1578" s="93">
        <f t="shared" si="53"/>
        <v>0</v>
      </c>
      <c r="BJ1578" s="93">
        <f t="shared" si="54"/>
        <v>0</v>
      </c>
      <c r="BK1578" s="93"/>
      <c r="BL1578" s="93"/>
      <c r="BW1578" s="93" t="str">
        <f t="shared" si="55"/>
        <v>21</v>
      </c>
      <c r="BX1578" s="2" t="s">
        <v>1740</v>
      </c>
    </row>
    <row r="1579" spans="1:76" s="81" customFormat="1" ht="25.5" x14ac:dyDescent="0.25">
      <c r="A1579" s="72" t="s">
        <v>1741</v>
      </c>
      <c r="B1579" s="72" t="s">
        <v>55</v>
      </c>
      <c r="C1579" s="72" t="s">
        <v>1742</v>
      </c>
      <c r="D1579" s="175" t="s">
        <v>1679</v>
      </c>
      <c r="E1579" s="175"/>
      <c r="F1579" s="72" t="s">
        <v>1676</v>
      </c>
      <c r="G1579" s="90">
        <v>10</v>
      </c>
      <c r="H1579" s="91"/>
      <c r="I1579" s="92" t="s">
        <v>63</v>
      </c>
      <c r="J1579" s="90">
        <f t="shared" si="28"/>
        <v>0</v>
      </c>
      <c r="K1579" s="90">
        <f t="shared" si="29"/>
        <v>0</v>
      </c>
      <c r="L1579" s="90">
        <f t="shared" si="30"/>
        <v>0</v>
      </c>
      <c r="M1579" s="90">
        <f t="shared" si="31"/>
        <v>0</v>
      </c>
      <c r="N1579" s="90">
        <v>0</v>
      </c>
      <c r="O1579" s="90">
        <f t="shared" si="32"/>
        <v>0</v>
      </c>
      <c r="P1579" s="92" t="s">
        <v>1652</v>
      </c>
      <c r="Z1579" s="93">
        <f t="shared" si="33"/>
        <v>0</v>
      </c>
      <c r="AB1579" s="93">
        <f t="shared" si="34"/>
        <v>0</v>
      </c>
      <c r="AC1579" s="93">
        <f t="shared" si="35"/>
        <v>0</v>
      </c>
      <c r="AD1579" s="93">
        <f t="shared" si="36"/>
        <v>0</v>
      </c>
      <c r="AE1579" s="93">
        <f t="shared" si="37"/>
        <v>0</v>
      </c>
      <c r="AF1579" s="93">
        <f t="shared" si="38"/>
        <v>0</v>
      </c>
      <c r="AG1579" s="93">
        <f t="shared" si="39"/>
        <v>0</v>
      </c>
      <c r="AH1579" s="93">
        <f t="shared" si="40"/>
        <v>0</v>
      </c>
      <c r="AI1579" s="88" t="s">
        <v>55</v>
      </c>
      <c r="AJ1579" s="93">
        <f t="shared" si="41"/>
        <v>0</v>
      </c>
      <c r="AK1579" s="93">
        <f t="shared" si="42"/>
        <v>0</v>
      </c>
      <c r="AL1579" s="93">
        <f t="shared" si="43"/>
        <v>0</v>
      </c>
      <c r="AN1579" s="93">
        <v>21</v>
      </c>
      <c r="AO1579" s="93">
        <f t="shared" si="44"/>
        <v>0</v>
      </c>
      <c r="AP1579" s="93">
        <f t="shared" si="45"/>
        <v>0</v>
      </c>
      <c r="AQ1579" s="94" t="s">
        <v>148</v>
      </c>
      <c r="AV1579" s="93">
        <f t="shared" si="46"/>
        <v>0</v>
      </c>
      <c r="AW1579" s="93">
        <f t="shared" si="47"/>
        <v>0</v>
      </c>
      <c r="AX1579" s="93">
        <f t="shared" si="48"/>
        <v>0</v>
      </c>
      <c r="AY1579" s="94" t="s">
        <v>1721</v>
      </c>
      <c r="AZ1579" s="94" t="s">
        <v>1654</v>
      </c>
      <c r="BA1579" s="88" t="s">
        <v>67</v>
      </c>
      <c r="BC1579" s="93">
        <f t="shared" si="49"/>
        <v>0</v>
      </c>
      <c r="BD1579" s="93">
        <f t="shared" si="50"/>
        <v>0</v>
      </c>
      <c r="BE1579" s="93">
        <v>0</v>
      </c>
      <c r="BF1579" s="93">
        <f t="shared" si="51"/>
        <v>0</v>
      </c>
      <c r="BH1579" s="93">
        <f t="shared" si="52"/>
        <v>0</v>
      </c>
      <c r="BI1579" s="93">
        <f t="shared" si="53"/>
        <v>0</v>
      </c>
      <c r="BJ1579" s="93">
        <f t="shared" si="54"/>
        <v>0</v>
      </c>
      <c r="BK1579" s="93"/>
      <c r="BL1579" s="93"/>
      <c r="BW1579" s="93" t="str">
        <f t="shared" si="55"/>
        <v>21</v>
      </c>
      <c r="BX1579" s="2" t="s">
        <v>1679</v>
      </c>
    </row>
    <row r="1580" spans="1:76" s="81" customFormat="1" ht="25.5" x14ac:dyDescent="0.25">
      <c r="A1580" s="72" t="s">
        <v>1743</v>
      </c>
      <c r="B1580" s="72" t="s">
        <v>55</v>
      </c>
      <c r="C1580" s="72" t="s">
        <v>1744</v>
      </c>
      <c r="D1580" s="175" t="s">
        <v>1745</v>
      </c>
      <c r="E1580" s="175"/>
      <c r="F1580" s="72" t="s">
        <v>203</v>
      </c>
      <c r="G1580" s="90">
        <v>2</v>
      </c>
      <c r="H1580" s="91"/>
      <c r="I1580" s="92" t="s">
        <v>63</v>
      </c>
      <c r="J1580" s="90">
        <f t="shared" si="28"/>
        <v>0</v>
      </c>
      <c r="K1580" s="90">
        <f t="shared" si="29"/>
        <v>0</v>
      </c>
      <c r="L1580" s="90">
        <f t="shared" si="30"/>
        <v>0</v>
      </c>
      <c r="M1580" s="90">
        <f t="shared" si="31"/>
        <v>0</v>
      </c>
      <c r="N1580" s="90">
        <v>0</v>
      </c>
      <c r="O1580" s="90">
        <f t="shared" si="32"/>
        <v>0</v>
      </c>
      <c r="P1580" s="92" t="s">
        <v>1652</v>
      </c>
      <c r="Z1580" s="93">
        <f t="shared" si="33"/>
        <v>0</v>
      </c>
      <c r="AB1580" s="93">
        <f t="shared" si="34"/>
        <v>0</v>
      </c>
      <c r="AC1580" s="93">
        <f t="shared" si="35"/>
        <v>0</v>
      </c>
      <c r="AD1580" s="93">
        <f t="shared" si="36"/>
        <v>0</v>
      </c>
      <c r="AE1580" s="93">
        <f t="shared" si="37"/>
        <v>0</v>
      </c>
      <c r="AF1580" s="93">
        <f t="shared" si="38"/>
        <v>0</v>
      </c>
      <c r="AG1580" s="93">
        <f t="shared" si="39"/>
        <v>0</v>
      </c>
      <c r="AH1580" s="93">
        <f t="shared" si="40"/>
        <v>0</v>
      </c>
      <c r="AI1580" s="88" t="s">
        <v>55</v>
      </c>
      <c r="AJ1580" s="93">
        <f t="shared" si="41"/>
        <v>0</v>
      </c>
      <c r="AK1580" s="93">
        <f t="shared" si="42"/>
        <v>0</v>
      </c>
      <c r="AL1580" s="93">
        <f t="shared" si="43"/>
        <v>0</v>
      </c>
      <c r="AN1580" s="93">
        <v>21</v>
      </c>
      <c r="AO1580" s="93">
        <f t="shared" si="44"/>
        <v>0</v>
      </c>
      <c r="AP1580" s="93">
        <f t="shared" si="45"/>
        <v>0</v>
      </c>
      <c r="AQ1580" s="94" t="s">
        <v>148</v>
      </c>
      <c r="AV1580" s="93">
        <f t="shared" si="46"/>
        <v>0</v>
      </c>
      <c r="AW1580" s="93">
        <f t="shared" si="47"/>
        <v>0</v>
      </c>
      <c r="AX1580" s="93">
        <f t="shared" si="48"/>
        <v>0</v>
      </c>
      <c r="AY1580" s="94" t="s">
        <v>1721</v>
      </c>
      <c r="AZ1580" s="94" t="s">
        <v>1654</v>
      </c>
      <c r="BA1580" s="88" t="s">
        <v>67</v>
      </c>
      <c r="BC1580" s="93">
        <f t="shared" si="49"/>
        <v>0</v>
      </c>
      <c r="BD1580" s="93">
        <f t="shared" si="50"/>
        <v>0</v>
      </c>
      <c r="BE1580" s="93">
        <v>0</v>
      </c>
      <c r="BF1580" s="93">
        <f t="shared" si="51"/>
        <v>0</v>
      </c>
      <c r="BH1580" s="93">
        <f t="shared" si="52"/>
        <v>0</v>
      </c>
      <c r="BI1580" s="93">
        <f t="shared" si="53"/>
        <v>0</v>
      </c>
      <c r="BJ1580" s="93">
        <f t="shared" si="54"/>
        <v>0</v>
      </c>
      <c r="BK1580" s="93"/>
      <c r="BL1580" s="93"/>
      <c r="BW1580" s="93" t="str">
        <f t="shared" si="55"/>
        <v>21</v>
      </c>
      <c r="BX1580" s="2" t="s">
        <v>1745</v>
      </c>
    </row>
    <row r="1581" spans="1:76" s="81" customFormat="1" ht="25.5" x14ac:dyDescent="0.25">
      <c r="A1581" s="72" t="s">
        <v>1746</v>
      </c>
      <c r="B1581" s="72" t="s">
        <v>55</v>
      </c>
      <c r="C1581" s="72" t="s">
        <v>1747</v>
      </c>
      <c r="D1581" s="175" t="s">
        <v>1748</v>
      </c>
      <c r="E1581" s="175"/>
      <c r="F1581" s="72" t="s">
        <v>203</v>
      </c>
      <c r="G1581" s="90">
        <v>4</v>
      </c>
      <c r="H1581" s="91"/>
      <c r="I1581" s="92" t="s">
        <v>63</v>
      </c>
      <c r="J1581" s="90">
        <f t="shared" si="28"/>
        <v>0</v>
      </c>
      <c r="K1581" s="90">
        <f t="shared" si="29"/>
        <v>0</v>
      </c>
      <c r="L1581" s="90">
        <f t="shared" si="30"/>
        <v>0</v>
      </c>
      <c r="M1581" s="90">
        <f t="shared" si="31"/>
        <v>0</v>
      </c>
      <c r="N1581" s="90">
        <v>0</v>
      </c>
      <c r="O1581" s="90">
        <f t="shared" si="32"/>
        <v>0</v>
      </c>
      <c r="P1581" s="92" t="s">
        <v>1652</v>
      </c>
      <c r="Z1581" s="93">
        <f t="shared" si="33"/>
        <v>0</v>
      </c>
      <c r="AB1581" s="93">
        <f t="shared" si="34"/>
        <v>0</v>
      </c>
      <c r="AC1581" s="93">
        <f t="shared" si="35"/>
        <v>0</v>
      </c>
      <c r="AD1581" s="93">
        <f t="shared" si="36"/>
        <v>0</v>
      </c>
      <c r="AE1581" s="93">
        <f t="shared" si="37"/>
        <v>0</v>
      </c>
      <c r="AF1581" s="93">
        <f t="shared" si="38"/>
        <v>0</v>
      </c>
      <c r="AG1581" s="93">
        <f t="shared" si="39"/>
        <v>0</v>
      </c>
      <c r="AH1581" s="93">
        <f t="shared" si="40"/>
        <v>0</v>
      </c>
      <c r="AI1581" s="88" t="s">
        <v>55</v>
      </c>
      <c r="AJ1581" s="93">
        <f t="shared" si="41"/>
        <v>0</v>
      </c>
      <c r="AK1581" s="93">
        <f t="shared" si="42"/>
        <v>0</v>
      </c>
      <c r="AL1581" s="93">
        <f t="shared" si="43"/>
        <v>0</v>
      </c>
      <c r="AN1581" s="93">
        <v>21</v>
      </c>
      <c r="AO1581" s="93">
        <f t="shared" si="44"/>
        <v>0</v>
      </c>
      <c r="AP1581" s="93">
        <f t="shared" si="45"/>
        <v>0</v>
      </c>
      <c r="AQ1581" s="94" t="s">
        <v>148</v>
      </c>
      <c r="AV1581" s="93">
        <f t="shared" si="46"/>
        <v>0</v>
      </c>
      <c r="AW1581" s="93">
        <f t="shared" si="47"/>
        <v>0</v>
      </c>
      <c r="AX1581" s="93">
        <f t="shared" si="48"/>
        <v>0</v>
      </c>
      <c r="AY1581" s="94" t="s">
        <v>1721</v>
      </c>
      <c r="AZ1581" s="94" t="s">
        <v>1654</v>
      </c>
      <c r="BA1581" s="88" t="s">
        <v>67</v>
      </c>
      <c r="BC1581" s="93">
        <f t="shared" si="49"/>
        <v>0</v>
      </c>
      <c r="BD1581" s="93">
        <f t="shared" si="50"/>
        <v>0</v>
      </c>
      <c r="BE1581" s="93">
        <v>0</v>
      </c>
      <c r="BF1581" s="93">
        <f t="shared" si="51"/>
        <v>0</v>
      </c>
      <c r="BH1581" s="93">
        <f t="shared" si="52"/>
        <v>0</v>
      </c>
      <c r="BI1581" s="93">
        <f t="shared" si="53"/>
        <v>0</v>
      </c>
      <c r="BJ1581" s="93">
        <f t="shared" si="54"/>
        <v>0</v>
      </c>
      <c r="BK1581" s="93"/>
      <c r="BL1581" s="93"/>
      <c r="BW1581" s="93" t="str">
        <f t="shared" si="55"/>
        <v>21</v>
      </c>
      <c r="BX1581" s="2" t="s">
        <v>1748</v>
      </c>
    </row>
    <row r="1582" spans="1:76" s="81" customFormat="1" ht="25.5" x14ac:dyDescent="0.25">
      <c r="A1582" s="72" t="s">
        <v>1749</v>
      </c>
      <c r="B1582" s="72" t="s">
        <v>55</v>
      </c>
      <c r="C1582" s="72" t="s">
        <v>1750</v>
      </c>
      <c r="D1582" s="175" t="s">
        <v>1697</v>
      </c>
      <c r="E1582" s="175"/>
      <c r="F1582" s="72" t="s">
        <v>1676</v>
      </c>
      <c r="G1582" s="90">
        <v>24</v>
      </c>
      <c r="H1582" s="91"/>
      <c r="I1582" s="92" t="s">
        <v>63</v>
      </c>
      <c r="J1582" s="90">
        <f t="shared" si="28"/>
        <v>0</v>
      </c>
      <c r="K1582" s="90">
        <f t="shared" si="29"/>
        <v>0</v>
      </c>
      <c r="L1582" s="90">
        <f t="shared" si="30"/>
        <v>0</v>
      </c>
      <c r="M1582" s="90">
        <f t="shared" si="31"/>
        <v>0</v>
      </c>
      <c r="N1582" s="90">
        <v>0</v>
      </c>
      <c r="O1582" s="90">
        <f t="shared" si="32"/>
        <v>0</v>
      </c>
      <c r="P1582" s="92" t="s">
        <v>1652</v>
      </c>
      <c r="Z1582" s="93">
        <f t="shared" si="33"/>
        <v>0</v>
      </c>
      <c r="AB1582" s="93">
        <f t="shared" si="34"/>
        <v>0</v>
      </c>
      <c r="AC1582" s="93">
        <f t="shared" si="35"/>
        <v>0</v>
      </c>
      <c r="AD1582" s="93">
        <f t="shared" si="36"/>
        <v>0</v>
      </c>
      <c r="AE1582" s="93">
        <f t="shared" si="37"/>
        <v>0</v>
      </c>
      <c r="AF1582" s="93">
        <f t="shared" si="38"/>
        <v>0</v>
      </c>
      <c r="AG1582" s="93">
        <f t="shared" si="39"/>
        <v>0</v>
      </c>
      <c r="AH1582" s="93">
        <f t="shared" si="40"/>
        <v>0</v>
      </c>
      <c r="AI1582" s="88" t="s">
        <v>55</v>
      </c>
      <c r="AJ1582" s="93">
        <f t="shared" si="41"/>
        <v>0</v>
      </c>
      <c r="AK1582" s="93">
        <f t="shared" si="42"/>
        <v>0</v>
      </c>
      <c r="AL1582" s="93">
        <f t="shared" si="43"/>
        <v>0</v>
      </c>
      <c r="AN1582" s="93">
        <v>21</v>
      </c>
      <c r="AO1582" s="93">
        <f t="shared" si="44"/>
        <v>0</v>
      </c>
      <c r="AP1582" s="93">
        <f t="shared" si="45"/>
        <v>0</v>
      </c>
      <c r="AQ1582" s="94" t="s">
        <v>148</v>
      </c>
      <c r="AV1582" s="93">
        <f t="shared" si="46"/>
        <v>0</v>
      </c>
      <c r="AW1582" s="93">
        <f t="shared" si="47"/>
        <v>0</v>
      </c>
      <c r="AX1582" s="93">
        <f t="shared" si="48"/>
        <v>0</v>
      </c>
      <c r="AY1582" s="94" t="s">
        <v>1721</v>
      </c>
      <c r="AZ1582" s="94" t="s">
        <v>1654</v>
      </c>
      <c r="BA1582" s="88" t="s">
        <v>67</v>
      </c>
      <c r="BC1582" s="93">
        <f t="shared" si="49"/>
        <v>0</v>
      </c>
      <c r="BD1582" s="93">
        <f t="shared" si="50"/>
        <v>0</v>
      </c>
      <c r="BE1582" s="93">
        <v>0</v>
      </c>
      <c r="BF1582" s="93">
        <f t="shared" si="51"/>
        <v>0</v>
      </c>
      <c r="BH1582" s="93">
        <f t="shared" si="52"/>
        <v>0</v>
      </c>
      <c r="BI1582" s="93">
        <f t="shared" si="53"/>
        <v>0</v>
      </c>
      <c r="BJ1582" s="93">
        <f t="shared" si="54"/>
        <v>0</v>
      </c>
      <c r="BK1582" s="93"/>
      <c r="BL1582" s="93"/>
      <c r="BW1582" s="93" t="str">
        <f t="shared" si="55"/>
        <v>21</v>
      </c>
      <c r="BX1582" s="2" t="s">
        <v>1697</v>
      </c>
    </row>
    <row r="1583" spans="1:76" s="81" customFormat="1" ht="25.5" x14ac:dyDescent="0.25">
      <c r="A1583" s="72" t="s">
        <v>1751</v>
      </c>
      <c r="B1583" s="72" t="s">
        <v>55</v>
      </c>
      <c r="C1583" s="72" t="s">
        <v>1752</v>
      </c>
      <c r="D1583" s="175" t="s">
        <v>1697</v>
      </c>
      <c r="E1583" s="175"/>
      <c r="F1583" s="72" t="s">
        <v>1676</v>
      </c>
      <c r="G1583" s="90">
        <v>1</v>
      </c>
      <c r="H1583" s="91"/>
      <c r="I1583" s="92" t="s">
        <v>63</v>
      </c>
      <c r="J1583" s="90">
        <f t="shared" si="28"/>
        <v>0</v>
      </c>
      <c r="K1583" s="90">
        <f t="shared" si="29"/>
        <v>0</v>
      </c>
      <c r="L1583" s="90">
        <f t="shared" si="30"/>
        <v>0</v>
      </c>
      <c r="M1583" s="90">
        <f t="shared" si="31"/>
        <v>0</v>
      </c>
      <c r="N1583" s="90">
        <v>0</v>
      </c>
      <c r="O1583" s="90">
        <f t="shared" si="32"/>
        <v>0</v>
      </c>
      <c r="P1583" s="92" t="s">
        <v>1652</v>
      </c>
      <c r="Z1583" s="93">
        <f t="shared" si="33"/>
        <v>0</v>
      </c>
      <c r="AB1583" s="93">
        <f t="shared" si="34"/>
        <v>0</v>
      </c>
      <c r="AC1583" s="93">
        <f t="shared" si="35"/>
        <v>0</v>
      </c>
      <c r="AD1583" s="93">
        <f t="shared" si="36"/>
        <v>0</v>
      </c>
      <c r="AE1583" s="93">
        <f t="shared" si="37"/>
        <v>0</v>
      </c>
      <c r="AF1583" s="93">
        <f t="shared" si="38"/>
        <v>0</v>
      </c>
      <c r="AG1583" s="93">
        <f t="shared" si="39"/>
        <v>0</v>
      </c>
      <c r="AH1583" s="93">
        <f t="shared" si="40"/>
        <v>0</v>
      </c>
      <c r="AI1583" s="88" t="s">
        <v>55</v>
      </c>
      <c r="AJ1583" s="93">
        <f t="shared" si="41"/>
        <v>0</v>
      </c>
      <c r="AK1583" s="93">
        <f t="shared" si="42"/>
        <v>0</v>
      </c>
      <c r="AL1583" s="93">
        <f t="shared" si="43"/>
        <v>0</v>
      </c>
      <c r="AN1583" s="93">
        <v>21</v>
      </c>
      <c r="AO1583" s="93">
        <f t="shared" si="44"/>
        <v>0</v>
      </c>
      <c r="AP1583" s="93">
        <f t="shared" si="45"/>
        <v>0</v>
      </c>
      <c r="AQ1583" s="94" t="s">
        <v>148</v>
      </c>
      <c r="AV1583" s="93">
        <f t="shared" si="46"/>
        <v>0</v>
      </c>
      <c r="AW1583" s="93">
        <f t="shared" si="47"/>
        <v>0</v>
      </c>
      <c r="AX1583" s="93">
        <f t="shared" si="48"/>
        <v>0</v>
      </c>
      <c r="AY1583" s="94" t="s">
        <v>1721</v>
      </c>
      <c r="AZ1583" s="94" t="s">
        <v>1654</v>
      </c>
      <c r="BA1583" s="88" t="s">
        <v>67</v>
      </c>
      <c r="BC1583" s="93">
        <f t="shared" si="49"/>
        <v>0</v>
      </c>
      <c r="BD1583" s="93">
        <f t="shared" si="50"/>
        <v>0</v>
      </c>
      <c r="BE1583" s="93">
        <v>0</v>
      </c>
      <c r="BF1583" s="93">
        <f t="shared" si="51"/>
        <v>0</v>
      </c>
      <c r="BH1583" s="93">
        <f t="shared" si="52"/>
        <v>0</v>
      </c>
      <c r="BI1583" s="93">
        <f t="shared" si="53"/>
        <v>0</v>
      </c>
      <c r="BJ1583" s="93">
        <f t="shared" si="54"/>
        <v>0</v>
      </c>
      <c r="BK1583" s="93"/>
      <c r="BL1583" s="93"/>
      <c r="BW1583" s="93" t="str">
        <f t="shared" si="55"/>
        <v>21</v>
      </c>
      <c r="BX1583" s="2" t="s">
        <v>1697</v>
      </c>
    </row>
    <row r="1584" spans="1:76" s="81" customFormat="1" ht="25.5" x14ac:dyDescent="0.25">
      <c r="A1584" s="72" t="s">
        <v>1753</v>
      </c>
      <c r="B1584" s="72" t="s">
        <v>55</v>
      </c>
      <c r="C1584" s="72" t="s">
        <v>1754</v>
      </c>
      <c r="D1584" s="175" t="s">
        <v>1700</v>
      </c>
      <c r="E1584" s="175"/>
      <c r="F1584" s="72" t="s">
        <v>1676</v>
      </c>
      <c r="G1584" s="90">
        <v>1</v>
      </c>
      <c r="H1584" s="91"/>
      <c r="I1584" s="92" t="s">
        <v>63</v>
      </c>
      <c r="J1584" s="90">
        <f t="shared" si="28"/>
        <v>0</v>
      </c>
      <c r="K1584" s="90">
        <f t="shared" si="29"/>
        <v>0</v>
      </c>
      <c r="L1584" s="90">
        <f t="shared" si="30"/>
        <v>0</v>
      </c>
      <c r="M1584" s="90">
        <f t="shared" si="31"/>
        <v>0</v>
      </c>
      <c r="N1584" s="90">
        <v>0</v>
      </c>
      <c r="O1584" s="90">
        <f t="shared" si="32"/>
        <v>0</v>
      </c>
      <c r="P1584" s="92" t="s">
        <v>1652</v>
      </c>
      <c r="Z1584" s="93">
        <f t="shared" si="33"/>
        <v>0</v>
      </c>
      <c r="AB1584" s="93">
        <f t="shared" si="34"/>
        <v>0</v>
      </c>
      <c r="AC1584" s="93">
        <f t="shared" si="35"/>
        <v>0</v>
      </c>
      <c r="AD1584" s="93">
        <f t="shared" si="36"/>
        <v>0</v>
      </c>
      <c r="AE1584" s="93">
        <f t="shared" si="37"/>
        <v>0</v>
      </c>
      <c r="AF1584" s="93">
        <f t="shared" si="38"/>
        <v>0</v>
      </c>
      <c r="AG1584" s="93">
        <f t="shared" si="39"/>
        <v>0</v>
      </c>
      <c r="AH1584" s="93">
        <f t="shared" si="40"/>
        <v>0</v>
      </c>
      <c r="AI1584" s="88" t="s">
        <v>55</v>
      </c>
      <c r="AJ1584" s="93">
        <f t="shared" si="41"/>
        <v>0</v>
      </c>
      <c r="AK1584" s="93">
        <f t="shared" si="42"/>
        <v>0</v>
      </c>
      <c r="AL1584" s="93">
        <f t="shared" si="43"/>
        <v>0</v>
      </c>
      <c r="AN1584" s="93">
        <v>21</v>
      </c>
      <c r="AO1584" s="93">
        <f t="shared" si="44"/>
        <v>0</v>
      </c>
      <c r="AP1584" s="93">
        <f t="shared" si="45"/>
        <v>0</v>
      </c>
      <c r="AQ1584" s="94" t="s">
        <v>148</v>
      </c>
      <c r="AV1584" s="93">
        <f t="shared" si="46"/>
        <v>0</v>
      </c>
      <c r="AW1584" s="93">
        <f t="shared" si="47"/>
        <v>0</v>
      </c>
      <c r="AX1584" s="93">
        <f t="shared" si="48"/>
        <v>0</v>
      </c>
      <c r="AY1584" s="94" t="s">
        <v>1721</v>
      </c>
      <c r="AZ1584" s="94" t="s">
        <v>1654</v>
      </c>
      <c r="BA1584" s="88" t="s">
        <v>67</v>
      </c>
      <c r="BC1584" s="93">
        <f t="shared" si="49"/>
        <v>0</v>
      </c>
      <c r="BD1584" s="93">
        <f t="shared" si="50"/>
        <v>0</v>
      </c>
      <c r="BE1584" s="93">
        <v>0</v>
      </c>
      <c r="BF1584" s="93">
        <f t="shared" si="51"/>
        <v>0</v>
      </c>
      <c r="BH1584" s="93">
        <f t="shared" si="52"/>
        <v>0</v>
      </c>
      <c r="BI1584" s="93">
        <f t="shared" si="53"/>
        <v>0</v>
      </c>
      <c r="BJ1584" s="93">
        <f t="shared" si="54"/>
        <v>0</v>
      </c>
      <c r="BK1584" s="93"/>
      <c r="BL1584" s="93"/>
      <c r="BW1584" s="93" t="str">
        <f t="shared" si="55"/>
        <v>21</v>
      </c>
      <c r="BX1584" s="2" t="s">
        <v>1700</v>
      </c>
    </row>
    <row r="1585" spans="1:76" s="81" customFormat="1" ht="25.5" x14ac:dyDescent="0.25">
      <c r="A1585" s="72" t="s">
        <v>1755</v>
      </c>
      <c r="B1585" s="72" t="s">
        <v>55</v>
      </c>
      <c r="C1585" s="72" t="s">
        <v>1756</v>
      </c>
      <c r="D1585" s="175" t="s">
        <v>1757</v>
      </c>
      <c r="E1585" s="175"/>
      <c r="F1585" s="72" t="s">
        <v>203</v>
      </c>
      <c r="G1585" s="90">
        <v>11</v>
      </c>
      <c r="H1585" s="91"/>
      <c r="I1585" s="92" t="s">
        <v>63</v>
      </c>
      <c r="J1585" s="90">
        <f t="shared" si="28"/>
        <v>0</v>
      </c>
      <c r="K1585" s="90">
        <f t="shared" si="29"/>
        <v>0</v>
      </c>
      <c r="L1585" s="90">
        <f t="shared" si="30"/>
        <v>0</v>
      </c>
      <c r="M1585" s="90">
        <f t="shared" si="31"/>
        <v>0</v>
      </c>
      <c r="N1585" s="90">
        <v>0</v>
      </c>
      <c r="O1585" s="90">
        <f t="shared" si="32"/>
        <v>0</v>
      </c>
      <c r="P1585" s="92" t="s">
        <v>1652</v>
      </c>
      <c r="Z1585" s="93">
        <f t="shared" si="33"/>
        <v>0</v>
      </c>
      <c r="AB1585" s="93">
        <f t="shared" si="34"/>
        <v>0</v>
      </c>
      <c r="AC1585" s="93">
        <f t="shared" si="35"/>
        <v>0</v>
      </c>
      <c r="AD1585" s="93">
        <f t="shared" si="36"/>
        <v>0</v>
      </c>
      <c r="AE1585" s="93">
        <f t="shared" si="37"/>
        <v>0</v>
      </c>
      <c r="AF1585" s="93">
        <f t="shared" si="38"/>
        <v>0</v>
      </c>
      <c r="AG1585" s="93">
        <f t="shared" si="39"/>
        <v>0</v>
      </c>
      <c r="AH1585" s="93">
        <f t="shared" si="40"/>
        <v>0</v>
      </c>
      <c r="AI1585" s="88" t="s">
        <v>55</v>
      </c>
      <c r="AJ1585" s="93">
        <f t="shared" si="41"/>
        <v>0</v>
      </c>
      <c r="AK1585" s="93">
        <f t="shared" si="42"/>
        <v>0</v>
      </c>
      <c r="AL1585" s="93">
        <f t="shared" si="43"/>
        <v>0</v>
      </c>
      <c r="AN1585" s="93">
        <v>21</v>
      </c>
      <c r="AO1585" s="93">
        <f t="shared" si="44"/>
        <v>0</v>
      </c>
      <c r="AP1585" s="93">
        <f t="shared" si="45"/>
        <v>0</v>
      </c>
      <c r="AQ1585" s="94" t="s">
        <v>148</v>
      </c>
      <c r="AV1585" s="93">
        <f t="shared" si="46"/>
        <v>0</v>
      </c>
      <c r="AW1585" s="93">
        <f t="shared" si="47"/>
        <v>0</v>
      </c>
      <c r="AX1585" s="93">
        <f t="shared" si="48"/>
        <v>0</v>
      </c>
      <c r="AY1585" s="94" t="s">
        <v>1721</v>
      </c>
      <c r="AZ1585" s="94" t="s">
        <v>1654</v>
      </c>
      <c r="BA1585" s="88" t="s">
        <v>67</v>
      </c>
      <c r="BC1585" s="93">
        <f t="shared" si="49"/>
        <v>0</v>
      </c>
      <c r="BD1585" s="93">
        <f t="shared" si="50"/>
        <v>0</v>
      </c>
      <c r="BE1585" s="93">
        <v>0</v>
      </c>
      <c r="BF1585" s="93">
        <f t="shared" si="51"/>
        <v>0</v>
      </c>
      <c r="BH1585" s="93">
        <f t="shared" si="52"/>
        <v>0</v>
      </c>
      <c r="BI1585" s="93">
        <f t="shared" si="53"/>
        <v>0</v>
      </c>
      <c r="BJ1585" s="93">
        <f t="shared" si="54"/>
        <v>0</v>
      </c>
      <c r="BK1585" s="93"/>
      <c r="BL1585" s="93"/>
      <c r="BW1585" s="93" t="str">
        <f t="shared" si="55"/>
        <v>21</v>
      </c>
      <c r="BX1585" s="2" t="s">
        <v>1757</v>
      </c>
    </row>
    <row r="1586" spans="1:76" s="81" customFormat="1" ht="25.5" x14ac:dyDescent="0.25">
      <c r="A1586" s="72" t="s">
        <v>1758</v>
      </c>
      <c r="B1586" s="72" t="s">
        <v>55</v>
      </c>
      <c r="C1586" s="72" t="s">
        <v>1759</v>
      </c>
      <c r="D1586" s="175" t="s">
        <v>1715</v>
      </c>
      <c r="E1586" s="175"/>
      <c r="F1586" s="72" t="s">
        <v>1334</v>
      </c>
      <c r="G1586" s="90">
        <v>1</v>
      </c>
      <c r="H1586" s="91"/>
      <c r="I1586" s="92" t="s">
        <v>63</v>
      </c>
      <c r="J1586" s="90">
        <f t="shared" si="28"/>
        <v>0</v>
      </c>
      <c r="K1586" s="90">
        <f t="shared" si="29"/>
        <v>0</v>
      </c>
      <c r="L1586" s="90">
        <f t="shared" si="30"/>
        <v>0</v>
      </c>
      <c r="M1586" s="90">
        <f t="shared" si="31"/>
        <v>0</v>
      </c>
      <c r="N1586" s="90">
        <v>0</v>
      </c>
      <c r="O1586" s="90">
        <f t="shared" si="32"/>
        <v>0</v>
      </c>
      <c r="P1586" s="92" t="s">
        <v>1652</v>
      </c>
      <c r="Z1586" s="93">
        <f t="shared" si="33"/>
        <v>0</v>
      </c>
      <c r="AB1586" s="93">
        <f t="shared" si="34"/>
        <v>0</v>
      </c>
      <c r="AC1586" s="93">
        <f t="shared" si="35"/>
        <v>0</v>
      </c>
      <c r="AD1586" s="93">
        <f t="shared" si="36"/>
        <v>0</v>
      </c>
      <c r="AE1586" s="93">
        <f t="shared" si="37"/>
        <v>0</v>
      </c>
      <c r="AF1586" s="93">
        <f t="shared" si="38"/>
        <v>0</v>
      </c>
      <c r="AG1586" s="93">
        <f t="shared" si="39"/>
        <v>0</v>
      </c>
      <c r="AH1586" s="93">
        <f t="shared" si="40"/>
        <v>0</v>
      </c>
      <c r="AI1586" s="88" t="s">
        <v>55</v>
      </c>
      <c r="AJ1586" s="93">
        <f t="shared" si="41"/>
        <v>0</v>
      </c>
      <c r="AK1586" s="93">
        <f t="shared" si="42"/>
        <v>0</v>
      </c>
      <c r="AL1586" s="93">
        <f t="shared" si="43"/>
        <v>0</v>
      </c>
      <c r="AN1586" s="93">
        <v>21</v>
      </c>
      <c r="AO1586" s="93">
        <f t="shared" si="44"/>
        <v>0</v>
      </c>
      <c r="AP1586" s="93">
        <f t="shared" si="45"/>
        <v>0</v>
      </c>
      <c r="AQ1586" s="94" t="s">
        <v>148</v>
      </c>
      <c r="AV1586" s="93">
        <f t="shared" si="46"/>
        <v>0</v>
      </c>
      <c r="AW1586" s="93">
        <f t="shared" si="47"/>
        <v>0</v>
      </c>
      <c r="AX1586" s="93">
        <f t="shared" si="48"/>
        <v>0</v>
      </c>
      <c r="AY1586" s="94" t="s">
        <v>1721</v>
      </c>
      <c r="AZ1586" s="94" t="s">
        <v>1654</v>
      </c>
      <c r="BA1586" s="88" t="s">
        <v>67</v>
      </c>
      <c r="BC1586" s="93">
        <f t="shared" si="49"/>
        <v>0</v>
      </c>
      <c r="BD1586" s="93">
        <f t="shared" si="50"/>
        <v>0</v>
      </c>
      <c r="BE1586" s="93">
        <v>0</v>
      </c>
      <c r="BF1586" s="93">
        <f t="shared" si="51"/>
        <v>0</v>
      </c>
      <c r="BH1586" s="93">
        <f t="shared" si="52"/>
        <v>0</v>
      </c>
      <c r="BI1586" s="93">
        <f t="shared" si="53"/>
        <v>0</v>
      </c>
      <c r="BJ1586" s="93">
        <f t="shared" si="54"/>
        <v>0</v>
      </c>
      <c r="BK1586" s="93"/>
      <c r="BL1586" s="93"/>
      <c r="BW1586" s="93" t="str">
        <f t="shared" si="55"/>
        <v>21</v>
      </c>
      <c r="BX1586" s="2" t="s">
        <v>1715</v>
      </c>
    </row>
    <row r="1587" spans="1:76" s="81" customFormat="1" x14ac:dyDescent="0.25">
      <c r="A1587" s="85" t="s">
        <v>54</v>
      </c>
      <c r="B1587" s="74" t="s">
        <v>55</v>
      </c>
      <c r="C1587" s="74" t="s">
        <v>1760</v>
      </c>
      <c r="D1587" s="176" t="s">
        <v>1761</v>
      </c>
      <c r="E1587" s="176"/>
      <c r="F1587" s="85" t="s">
        <v>4</v>
      </c>
      <c r="G1587" s="85" t="s">
        <v>4</v>
      </c>
      <c r="H1587" s="98"/>
      <c r="I1587" s="85" t="s">
        <v>4</v>
      </c>
      <c r="J1587" s="86">
        <f>SUM(J1588:J1598)</f>
        <v>0</v>
      </c>
      <c r="K1587" s="86">
        <f>SUM(K1588:K1598)</f>
        <v>0</v>
      </c>
      <c r="L1587" s="86">
        <f>SUM(L1588:L1598)</f>
        <v>0</v>
      </c>
      <c r="M1587" s="86">
        <f>SUM(M1588:M1598)</f>
        <v>0</v>
      </c>
      <c r="N1587" s="87" t="s">
        <v>54</v>
      </c>
      <c r="O1587" s="86">
        <f>SUM(O1588:O1598)</f>
        <v>0</v>
      </c>
      <c r="P1587" s="87" t="s">
        <v>54</v>
      </c>
      <c r="AI1587" s="88" t="s">
        <v>55</v>
      </c>
      <c r="AS1587" s="89">
        <f>SUM(AJ1588:AJ1598)</f>
        <v>0</v>
      </c>
      <c r="AT1587" s="89">
        <f>SUM(AK1588:AK1598)</f>
        <v>0</v>
      </c>
      <c r="AU1587" s="89">
        <f>SUM(AL1588:AL1598)</f>
        <v>0</v>
      </c>
    </row>
    <row r="1588" spans="1:76" s="81" customFormat="1" ht="25.5" x14ac:dyDescent="0.25">
      <c r="A1588" s="72" t="s">
        <v>1762</v>
      </c>
      <c r="B1588" s="72" t="s">
        <v>55</v>
      </c>
      <c r="C1588" s="72" t="s">
        <v>1763</v>
      </c>
      <c r="D1588" s="175" t="s">
        <v>1764</v>
      </c>
      <c r="E1588" s="175"/>
      <c r="F1588" s="72" t="s">
        <v>203</v>
      </c>
      <c r="G1588" s="90">
        <v>1</v>
      </c>
      <c r="H1588" s="91"/>
      <c r="I1588" s="92" t="s">
        <v>63</v>
      </c>
      <c r="J1588" s="90">
        <f t="shared" ref="J1588:J1598" si="56">G1588*AO1588</f>
        <v>0</v>
      </c>
      <c r="K1588" s="90">
        <f t="shared" ref="K1588:K1598" si="57">G1588*AP1588</f>
        <v>0</v>
      </c>
      <c r="L1588" s="90">
        <f t="shared" ref="L1588:L1598" si="58">G1588*H1588</f>
        <v>0</v>
      </c>
      <c r="M1588" s="90">
        <f t="shared" ref="M1588:M1598" si="59">L1588*(1+BW1588/100)</f>
        <v>0</v>
      </c>
      <c r="N1588" s="90">
        <v>0</v>
      </c>
      <c r="O1588" s="90">
        <f t="shared" ref="O1588:O1598" si="60">G1588*N1588</f>
        <v>0</v>
      </c>
      <c r="P1588" s="92" t="s">
        <v>1652</v>
      </c>
      <c r="Z1588" s="93">
        <f t="shared" ref="Z1588:Z1598" si="61">IF(AQ1588="5",BJ1588,0)</f>
        <v>0</v>
      </c>
      <c r="AB1588" s="93">
        <f t="shared" ref="AB1588:AB1598" si="62">IF(AQ1588="1",BH1588,0)</f>
        <v>0</v>
      </c>
      <c r="AC1588" s="93">
        <f t="shared" ref="AC1588:AC1598" si="63">IF(AQ1588="1",BI1588,0)</f>
        <v>0</v>
      </c>
      <c r="AD1588" s="93">
        <f t="shared" ref="AD1588:AD1598" si="64">IF(AQ1588="7",BH1588,0)</f>
        <v>0</v>
      </c>
      <c r="AE1588" s="93">
        <f t="shared" ref="AE1588:AE1598" si="65">IF(AQ1588="7",BI1588,0)</f>
        <v>0</v>
      </c>
      <c r="AF1588" s="93">
        <f t="shared" ref="AF1588:AF1598" si="66">IF(AQ1588="2",BH1588,0)</f>
        <v>0</v>
      </c>
      <c r="AG1588" s="93">
        <f t="shared" ref="AG1588:AG1598" si="67">IF(AQ1588="2",BI1588,0)</f>
        <v>0</v>
      </c>
      <c r="AH1588" s="93">
        <f t="shared" ref="AH1588:AH1598" si="68">IF(AQ1588="0",BJ1588,0)</f>
        <v>0</v>
      </c>
      <c r="AI1588" s="88" t="s">
        <v>55</v>
      </c>
      <c r="AJ1588" s="93">
        <f t="shared" ref="AJ1588:AJ1598" si="69">IF(AN1588=0,L1588,0)</f>
        <v>0</v>
      </c>
      <c r="AK1588" s="93">
        <f t="shared" ref="AK1588:AK1598" si="70">IF(AN1588=12,L1588,0)</f>
        <v>0</v>
      </c>
      <c r="AL1588" s="93">
        <f t="shared" ref="AL1588:AL1598" si="71">IF(AN1588=21,L1588,0)</f>
        <v>0</v>
      </c>
      <c r="AN1588" s="93">
        <v>21</v>
      </c>
      <c r="AO1588" s="93">
        <f t="shared" ref="AO1588:AO1598" si="72">H1588*0</f>
        <v>0</v>
      </c>
      <c r="AP1588" s="93">
        <f t="shared" ref="AP1588:AP1598" si="73">H1588*(1-0)</f>
        <v>0</v>
      </c>
      <c r="AQ1588" s="94" t="s">
        <v>148</v>
      </c>
      <c r="AV1588" s="93">
        <f t="shared" ref="AV1588:AV1598" si="74">AW1588+AX1588</f>
        <v>0</v>
      </c>
      <c r="AW1588" s="93">
        <f t="shared" ref="AW1588:AW1598" si="75">G1588*AO1588</f>
        <v>0</v>
      </c>
      <c r="AX1588" s="93">
        <f t="shared" ref="AX1588:AX1598" si="76">G1588*AP1588</f>
        <v>0</v>
      </c>
      <c r="AY1588" s="94" t="s">
        <v>1765</v>
      </c>
      <c r="AZ1588" s="94" t="s">
        <v>1654</v>
      </c>
      <c r="BA1588" s="88" t="s">
        <v>67</v>
      </c>
      <c r="BC1588" s="93">
        <f t="shared" ref="BC1588:BC1598" si="77">AW1588+AX1588</f>
        <v>0</v>
      </c>
      <c r="BD1588" s="93">
        <f t="shared" ref="BD1588:BD1598" si="78">H1588/(100-BE1588)*100</f>
        <v>0</v>
      </c>
      <c r="BE1588" s="93">
        <v>0</v>
      </c>
      <c r="BF1588" s="93">
        <f t="shared" ref="BF1588:BF1598" si="79">O1588</f>
        <v>0</v>
      </c>
      <c r="BH1588" s="93">
        <f t="shared" ref="BH1588:BH1598" si="80">G1588*AO1588</f>
        <v>0</v>
      </c>
      <c r="BI1588" s="93">
        <f t="shared" ref="BI1588:BI1598" si="81">G1588*AP1588</f>
        <v>0</v>
      </c>
      <c r="BJ1588" s="93">
        <f t="shared" ref="BJ1588:BJ1598" si="82">G1588*H1588</f>
        <v>0</v>
      </c>
      <c r="BK1588" s="93"/>
      <c r="BL1588" s="93"/>
      <c r="BW1588" s="93" t="str">
        <f t="shared" ref="BW1588:BW1598" si="83">I1588</f>
        <v>21</v>
      </c>
      <c r="BX1588" s="2" t="s">
        <v>1764</v>
      </c>
    </row>
    <row r="1589" spans="1:76" s="81" customFormat="1" ht="25.5" x14ac:dyDescent="0.25">
      <c r="A1589" s="72" t="s">
        <v>1766</v>
      </c>
      <c r="B1589" s="72" t="s">
        <v>55</v>
      </c>
      <c r="C1589" s="72" t="s">
        <v>1767</v>
      </c>
      <c r="D1589" s="175" t="s">
        <v>1732</v>
      </c>
      <c r="E1589" s="175"/>
      <c r="F1589" s="72" t="s">
        <v>203</v>
      </c>
      <c r="G1589" s="90">
        <v>4</v>
      </c>
      <c r="H1589" s="91"/>
      <c r="I1589" s="92" t="s">
        <v>63</v>
      </c>
      <c r="J1589" s="90">
        <f t="shared" si="56"/>
        <v>0</v>
      </c>
      <c r="K1589" s="90">
        <f t="shared" si="57"/>
        <v>0</v>
      </c>
      <c r="L1589" s="90">
        <f t="shared" si="58"/>
        <v>0</v>
      </c>
      <c r="M1589" s="90">
        <f t="shared" si="59"/>
        <v>0</v>
      </c>
      <c r="N1589" s="90">
        <v>0</v>
      </c>
      <c r="O1589" s="90">
        <f t="shared" si="60"/>
        <v>0</v>
      </c>
      <c r="P1589" s="92" t="s">
        <v>1652</v>
      </c>
      <c r="Z1589" s="93">
        <f t="shared" si="61"/>
        <v>0</v>
      </c>
      <c r="AB1589" s="93">
        <f t="shared" si="62"/>
        <v>0</v>
      </c>
      <c r="AC1589" s="93">
        <f t="shared" si="63"/>
        <v>0</v>
      </c>
      <c r="AD1589" s="93">
        <f t="shared" si="64"/>
        <v>0</v>
      </c>
      <c r="AE1589" s="93">
        <f t="shared" si="65"/>
        <v>0</v>
      </c>
      <c r="AF1589" s="93">
        <f t="shared" si="66"/>
        <v>0</v>
      </c>
      <c r="AG1589" s="93">
        <f t="shared" si="67"/>
        <v>0</v>
      </c>
      <c r="AH1589" s="93">
        <f t="shared" si="68"/>
        <v>0</v>
      </c>
      <c r="AI1589" s="88" t="s">
        <v>55</v>
      </c>
      <c r="AJ1589" s="93">
        <f t="shared" si="69"/>
        <v>0</v>
      </c>
      <c r="AK1589" s="93">
        <f t="shared" si="70"/>
        <v>0</v>
      </c>
      <c r="AL1589" s="93">
        <f t="shared" si="71"/>
        <v>0</v>
      </c>
      <c r="AN1589" s="93">
        <v>21</v>
      </c>
      <c r="AO1589" s="93">
        <f t="shared" si="72"/>
        <v>0</v>
      </c>
      <c r="AP1589" s="93">
        <f t="shared" si="73"/>
        <v>0</v>
      </c>
      <c r="AQ1589" s="94" t="s">
        <v>148</v>
      </c>
      <c r="AV1589" s="93">
        <f t="shared" si="74"/>
        <v>0</v>
      </c>
      <c r="AW1589" s="93">
        <f t="shared" si="75"/>
        <v>0</v>
      </c>
      <c r="AX1589" s="93">
        <f t="shared" si="76"/>
        <v>0</v>
      </c>
      <c r="AY1589" s="94" t="s">
        <v>1765</v>
      </c>
      <c r="AZ1589" s="94" t="s">
        <v>1654</v>
      </c>
      <c r="BA1589" s="88" t="s">
        <v>67</v>
      </c>
      <c r="BC1589" s="93">
        <f t="shared" si="77"/>
        <v>0</v>
      </c>
      <c r="BD1589" s="93">
        <f t="shared" si="78"/>
        <v>0</v>
      </c>
      <c r="BE1589" s="93">
        <v>0</v>
      </c>
      <c r="BF1589" s="93">
        <f t="shared" si="79"/>
        <v>0</v>
      </c>
      <c r="BH1589" s="93">
        <f t="shared" si="80"/>
        <v>0</v>
      </c>
      <c r="BI1589" s="93">
        <f t="shared" si="81"/>
        <v>0</v>
      </c>
      <c r="BJ1589" s="93">
        <f t="shared" si="82"/>
        <v>0</v>
      </c>
      <c r="BK1589" s="93"/>
      <c r="BL1589" s="93"/>
      <c r="BW1589" s="93" t="str">
        <f t="shared" si="83"/>
        <v>21</v>
      </c>
      <c r="BX1589" s="2" t="s">
        <v>1732</v>
      </c>
    </row>
    <row r="1590" spans="1:76" s="81" customFormat="1" ht="25.5" x14ac:dyDescent="0.25">
      <c r="A1590" s="72" t="s">
        <v>1768</v>
      </c>
      <c r="B1590" s="72" t="s">
        <v>55</v>
      </c>
      <c r="C1590" s="72" t="s">
        <v>1769</v>
      </c>
      <c r="D1590" s="175" t="s">
        <v>1770</v>
      </c>
      <c r="E1590" s="175"/>
      <c r="F1590" s="72" t="s">
        <v>203</v>
      </c>
      <c r="G1590" s="90">
        <v>1</v>
      </c>
      <c r="H1590" s="91"/>
      <c r="I1590" s="92" t="s">
        <v>63</v>
      </c>
      <c r="J1590" s="90">
        <f t="shared" si="56"/>
        <v>0</v>
      </c>
      <c r="K1590" s="90">
        <f t="shared" si="57"/>
        <v>0</v>
      </c>
      <c r="L1590" s="90">
        <f t="shared" si="58"/>
        <v>0</v>
      </c>
      <c r="M1590" s="90">
        <f t="shared" si="59"/>
        <v>0</v>
      </c>
      <c r="N1590" s="90">
        <v>0</v>
      </c>
      <c r="O1590" s="90">
        <f t="shared" si="60"/>
        <v>0</v>
      </c>
      <c r="P1590" s="92" t="s">
        <v>1652</v>
      </c>
      <c r="Z1590" s="93">
        <f t="shared" si="61"/>
        <v>0</v>
      </c>
      <c r="AB1590" s="93">
        <f t="shared" si="62"/>
        <v>0</v>
      </c>
      <c r="AC1590" s="93">
        <f t="shared" si="63"/>
        <v>0</v>
      </c>
      <c r="AD1590" s="93">
        <f t="shared" si="64"/>
        <v>0</v>
      </c>
      <c r="AE1590" s="93">
        <f t="shared" si="65"/>
        <v>0</v>
      </c>
      <c r="AF1590" s="93">
        <f t="shared" si="66"/>
        <v>0</v>
      </c>
      <c r="AG1590" s="93">
        <f t="shared" si="67"/>
        <v>0</v>
      </c>
      <c r="AH1590" s="93">
        <f t="shared" si="68"/>
        <v>0</v>
      </c>
      <c r="AI1590" s="88" t="s">
        <v>55</v>
      </c>
      <c r="AJ1590" s="93">
        <f t="shared" si="69"/>
        <v>0</v>
      </c>
      <c r="AK1590" s="93">
        <f t="shared" si="70"/>
        <v>0</v>
      </c>
      <c r="AL1590" s="93">
        <f t="shared" si="71"/>
        <v>0</v>
      </c>
      <c r="AN1590" s="93">
        <v>21</v>
      </c>
      <c r="AO1590" s="93">
        <f t="shared" si="72"/>
        <v>0</v>
      </c>
      <c r="AP1590" s="93">
        <f t="shared" si="73"/>
        <v>0</v>
      </c>
      <c r="AQ1590" s="94" t="s">
        <v>148</v>
      </c>
      <c r="AV1590" s="93">
        <f t="shared" si="74"/>
        <v>0</v>
      </c>
      <c r="AW1590" s="93">
        <f t="shared" si="75"/>
        <v>0</v>
      </c>
      <c r="AX1590" s="93">
        <f t="shared" si="76"/>
        <v>0</v>
      </c>
      <c r="AY1590" s="94" t="s">
        <v>1765</v>
      </c>
      <c r="AZ1590" s="94" t="s">
        <v>1654</v>
      </c>
      <c r="BA1590" s="88" t="s">
        <v>67</v>
      </c>
      <c r="BC1590" s="93">
        <f t="shared" si="77"/>
        <v>0</v>
      </c>
      <c r="BD1590" s="93">
        <f t="shared" si="78"/>
        <v>0</v>
      </c>
      <c r="BE1590" s="93">
        <v>0</v>
      </c>
      <c r="BF1590" s="93">
        <f t="shared" si="79"/>
        <v>0</v>
      </c>
      <c r="BH1590" s="93">
        <f t="shared" si="80"/>
        <v>0</v>
      </c>
      <c r="BI1590" s="93">
        <f t="shared" si="81"/>
        <v>0</v>
      </c>
      <c r="BJ1590" s="93">
        <f t="shared" si="82"/>
        <v>0</v>
      </c>
      <c r="BK1590" s="93"/>
      <c r="BL1590" s="93"/>
      <c r="BW1590" s="93" t="str">
        <f t="shared" si="83"/>
        <v>21</v>
      </c>
      <c r="BX1590" s="2" t="s">
        <v>1770</v>
      </c>
    </row>
    <row r="1591" spans="1:76" s="81" customFormat="1" ht="25.5" x14ac:dyDescent="0.25">
      <c r="A1591" s="72" t="s">
        <v>1771</v>
      </c>
      <c r="B1591" s="72" t="s">
        <v>55</v>
      </c>
      <c r="C1591" s="72" t="s">
        <v>1772</v>
      </c>
      <c r="D1591" s="175" t="s">
        <v>1773</v>
      </c>
      <c r="E1591" s="175"/>
      <c r="F1591" s="72" t="s">
        <v>203</v>
      </c>
      <c r="G1591" s="90">
        <v>1</v>
      </c>
      <c r="H1591" s="91"/>
      <c r="I1591" s="92" t="s">
        <v>63</v>
      </c>
      <c r="J1591" s="90">
        <f t="shared" si="56"/>
        <v>0</v>
      </c>
      <c r="K1591" s="90">
        <f t="shared" si="57"/>
        <v>0</v>
      </c>
      <c r="L1591" s="90">
        <f t="shared" si="58"/>
        <v>0</v>
      </c>
      <c r="M1591" s="90">
        <f t="shared" si="59"/>
        <v>0</v>
      </c>
      <c r="N1591" s="90">
        <v>0</v>
      </c>
      <c r="O1591" s="90">
        <f t="shared" si="60"/>
        <v>0</v>
      </c>
      <c r="P1591" s="92" t="s">
        <v>1652</v>
      </c>
      <c r="Z1591" s="93">
        <f t="shared" si="61"/>
        <v>0</v>
      </c>
      <c r="AB1591" s="93">
        <f t="shared" si="62"/>
        <v>0</v>
      </c>
      <c r="AC1591" s="93">
        <f t="shared" si="63"/>
        <v>0</v>
      </c>
      <c r="AD1591" s="93">
        <f t="shared" si="64"/>
        <v>0</v>
      </c>
      <c r="AE1591" s="93">
        <f t="shared" si="65"/>
        <v>0</v>
      </c>
      <c r="AF1591" s="93">
        <f t="shared" si="66"/>
        <v>0</v>
      </c>
      <c r="AG1591" s="93">
        <f t="shared" si="67"/>
        <v>0</v>
      </c>
      <c r="AH1591" s="93">
        <f t="shared" si="68"/>
        <v>0</v>
      </c>
      <c r="AI1591" s="88" t="s">
        <v>55</v>
      </c>
      <c r="AJ1591" s="93">
        <f t="shared" si="69"/>
        <v>0</v>
      </c>
      <c r="AK1591" s="93">
        <f t="shared" si="70"/>
        <v>0</v>
      </c>
      <c r="AL1591" s="93">
        <f t="shared" si="71"/>
        <v>0</v>
      </c>
      <c r="AN1591" s="93">
        <v>21</v>
      </c>
      <c r="AO1591" s="93">
        <f t="shared" si="72"/>
        <v>0</v>
      </c>
      <c r="AP1591" s="93">
        <f t="shared" si="73"/>
        <v>0</v>
      </c>
      <c r="AQ1591" s="94" t="s">
        <v>148</v>
      </c>
      <c r="AV1591" s="93">
        <f t="shared" si="74"/>
        <v>0</v>
      </c>
      <c r="AW1591" s="93">
        <f t="shared" si="75"/>
        <v>0</v>
      </c>
      <c r="AX1591" s="93">
        <f t="shared" si="76"/>
        <v>0</v>
      </c>
      <c r="AY1591" s="94" t="s">
        <v>1765</v>
      </c>
      <c r="AZ1591" s="94" t="s">
        <v>1654</v>
      </c>
      <c r="BA1591" s="88" t="s">
        <v>67</v>
      </c>
      <c r="BC1591" s="93">
        <f t="shared" si="77"/>
        <v>0</v>
      </c>
      <c r="BD1591" s="93">
        <f t="shared" si="78"/>
        <v>0</v>
      </c>
      <c r="BE1591" s="93">
        <v>0</v>
      </c>
      <c r="BF1591" s="93">
        <f t="shared" si="79"/>
        <v>0</v>
      </c>
      <c r="BH1591" s="93">
        <f t="shared" si="80"/>
        <v>0</v>
      </c>
      <c r="BI1591" s="93">
        <f t="shared" si="81"/>
        <v>0</v>
      </c>
      <c r="BJ1591" s="93">
        <f t="shared" si="82"/>
        <v>0</v>
      </c>
      <c r="BK1591" s="93"/>
      <c r="BL1591" s="93"/>
      <c r="BW1591" s="93" t="str">
        <f t="shared" si="83"/>
        <v>21</v>
      </c>
      <c r="BX1591" s="2" t="s">
        <v>1773</v>
      </c>
    </row>
    <row r="1592" spans="1:76" s="81" customFormat="1" ht="25.5" x14ac:dyDescent="0.25">
      <c r="A1592" s="72" t="s">
        <v>1774</v>
      </c>
      <c r="B1592" s="72" t="s">
        <v>55</v>
      </c>
      <c r="C1592" s="72" t="s">
        <v>1775</v>
      </c>
      <c r="D1592" s="175" t="s">
        <v>1776</v>
      </c>
      <c r="E1592" s="175"/>
      <c r="F1592" s="72" t="s">
        <v>203</v>
      </c>
      <c r="G1592" s="90">
        <v>5</v>
      </c>
      <c r="H1592" s="91"/>
      <c r="I1592" s="92" t="s">
        <v>63</v>
      </c>
      <c r="J1592" s="90">
        <f t="shared" si="56"/>
        <v>0</v>
      </c>
      <c r="K1592" s="90">
        <f t="shared" si="57"/>
        <v>0</v>
      </c>
      <c r="L1592" s="90">
        <f t="shared" si="58"/>
        <v>0</v>
      </c>
      <c r="M1592" s="90">
        <f t="shared" si="59"/>
        <v>0</v>
      </c>
      <c r="N1592" s="90">
        <v>0</v>
      </c>
      <c r="O1592" s="90">
        <f t="shared" si="60"/>
        <v>0</v>
      </c>
      <c r="P1592" s="92" t="s">
        <v>1652</v>
      </c>
      <c r="Z1592" s="93">
        <f t="shared" si="61"/>
        <v>0</v>
      </c>
      <c r="AB1592" s="93">
        <f t="shared" si="62"/>
        <v>0</v>
      </c>
      <c r="AC1592" s="93">
        <f t="shared" si="63"/>
        <v>0</v>
      </c>
      <c r="AD1592" s="93">
        <f t="shared" si="64"/>
        <v>0</v>
      </c>
      <c r="AE1592" s="93">
        <f t="shared" si="65"/>
        <v>0</v>
      </c>
      <c r="AF1592" s="93">
        <f t="shared" si="66"/>
        <v>0</v>
      </c>
      <c r="AG1592" s="93">
        <f t="shared" si="67"/>
        <v>0</v>
      </c>
      <c r="AH1592" s="93">
        <f t="shared" si="68"/>
        <v>0</v>
      </c>
      <c r="AI1592" s="88" t="s">
        <v>55</v>
      </c>
      <c r="AJ1592" s="93">
        <f t="shared" si="69"/>
        <v>0</v>
      </c>
      <c r="AK1592" s="93">
        <f t="shared" si="70"/>
        <v>0</v>
      </c>
      <c r="AL1592" s="93">
        <f t="shared" si="71"/>
        <v>0</v>
      </c>
      <c r="AN1592" s="93">
        <v>21</v>
      </c>
      <c r="AO1592" s="93">
        <f t="shared" si="72"/>
        <v>0</v>
      </c>
      <c r="AP1592" s="93">
        <f t="shared" si="73"/>
        <v>0</v>
      </c>
      <c r="AQ1592" s="94" t="s">
        <v>148</v>
      </c>
      <c r="AV1592" s="93">
        <f t="shared" si="74"/>
        <v>0</v>
      </c>
      <c r="AW1592" s="93">
        <f t="shared" si="75"/>
        <v>0</v>
      </c>
      <c r="AX1592" s="93">
        <f t="shared" si="76"/>
        <v>0</v>
      </c>
      <c r="AY1592" s="94" t="s">
        <v>1765</v>
      </c>
      <c r="AZ1592" s="94" t="s">
        <v>1654</v>
      </c>
      <c r="BA1592" s="88" t="s">
        <v>67</v>
      </c>
      <c r="BC1592" s="93">
        <f t="shared" si="77"/>
        <v>0</v>
      </c>
      <c r="BD1592" s="93">
        <f t="shared" si="78"/>
        <v>0</v>
      </c>
      <c r="BE1592" s="93">
        <v>0</v>
      </c>
      <c r="BF1592" s="93">
        <f t="shared" si="79"/>
        <v>0</v>
      </c>
      <c r="BH1592" s="93">
        <f t="shared" si="80"/>
        <v>0</v>
      </c>
      <c r="BI1592" s="93">
        <f t="shared" si="81"/>
        <v>0</v>
      </c>
      <c r="BJ1592" s="93">
        <f t="shared" si="82"/>
        <v>0</v>
      </c>
      <c r="BK1592" s="93"/>
      <c r="BL1592" s="93"/>
      <c r="BW1592" s="93" t="str">
        <f t="shared" si="83"/>
        <v>21</v>
      </c>
      <c r="BX1592" s="2" t="s">
        <v>1776</v>
      </c>
    </row>
    <row r="1593" spans="1:76" s="81" customFormat="1" ht="25.5" x14ac:dyDescent="0.25">
      <c r="A1593" s="72" t="s">
        <v>1777</v>
      </c>
      <c r="B1593" s="72" t="s">
        <v>55</v>
      </c>
      <c r="C1593" s="72" t="s">
        <v>1778</v>
      </c>
      <c r="D1593" s="175" t="s">
        <v>1740</v>
      </c>
      <c r="E1593" s="175"/>
      <c r="F1593" s="72" t="s">
        <v>1676</v>
      </c>
      <c r="G1593" s="90">
        <v>8</v>
      </c>
      <c r="H1593" s="91"/>
      <c r="I1593" s="92" t="s">
        <v>63</v>
      </c>
      <c r="J1593" s="90">
        <f t="shared" si="56"/>
        <v>0</v>
      </c>
      <c r="K1593" s="90">
        <f t="shared" si="57"/>
        <v>0</v>
      </c>
      <c r="L1593" s="90">
        <f t="shared" si="58"/>
        <v>0</v>
      </c>
      <c r="M1593" s="90">
        <f t="shared" si="59"/>
        <v>0</v>
      </c>
      <c r="N1593" s="90">
        <v>0</v>
      </c>
      <c r="O1593" s="90">
        <f t="shared" si="60"/>
        <v>0</v>
      </c>
      <c r="P1593" s="92" t="s">
        <v>1652</v>
      </c>
      <c r="Z1593" s="93">
        <f t="shared" si="61"/>
        <v>0</v>
      </c>
      <c r="AB1593" s="93">
        <f t="shared" si="62"/>
        <v>0</v>
      </c>
      <c r="AC1593" s="93">
        <f t="shared" si="63"/>
        <v>0</v>
      </c>
      <c r="AD1593" s="93">
        <f t="shared" si="64"/>
        <v>0</v>
      </c>
      <c r="AE1593" s="93">
        <f t="shared" si="65"/>
        <v>0</v>
      </c>
      <c r="AF1593" s="93">
        <f t="shared" si="66"/>
        <v>0</v>
      </c>
      <c r="AG1593" s="93">
        <f t="shared" si="67"/>
        <v>0</v>
      </c>
      <c r="AH1593" s="93">
        <f t="shared" si="68"/>
        <v>0</v>
      </c>
      <c r="AI1593" s="88" t="s">
        <v>55</v>
      </c>
      <c r="AJ1593" s="93">
        <f t="shared" si="69"/>
        <v>0</v>
      </c>
      <c r="AK1593" s="93">
        <f t="shared" si="70"/>
        <v>0</v>
      </c>
      <c r="AL1593" s="93">
        <f t="shared" si="71"/>
        <v>0</v>
      </c>
      <c r="AN1593" s="93">
        <v>21</v>
      </c>
      <c r="AO1593" s="93">
        <f t="shared" si="72"/>
        <v>0</v>
      </c>
      <c r="AP1593" s="93">
        <f t="shared" si="73"/>
        <v>0</v>
      </c>
      <c r="AQ1593" s="94" t="s">
        <v>148</v>
      </c>
      <c r="AV1593" s="93">
        <f t="shared" si="74"/>
        <v>0</v>
      </c>
      <c r="AW1593" s="93">
        <f t="shared" si="75"/>
        <v>0</v>
      </c>
      <c r="AX1593" s="93">
        <f t="shared" si="76"/>
        <v>0</v>
      </c>
      <c r="AY1593" s="94" t="s">
        <v>1765</v>
      </c>
      <c r="AZ1593" s="94" t="s">
        <v>1654</v>
      </c>
      <c r="BA1593" s="88" t="s">
        <v>67</v>
      </c>
      <c r="BC1593" s="93">
        <f t="shared" si="77"/>
        <v>0</v>
      </c>
      <c r="BD1593" s="93">
        <f t="shared" si="78"/>
        <v>0</v>
      </c>
      <c r="BE1593" s="93">
        <v>0</v>
      </c>
      <c r="BF1593" s="93">
        <f t="shared" si="79"/>
        <v>0</v>
      </c>
      <c r="BH1593" s="93">
        <f t="shared" si="80"/>
        <v>0</v>
      </c>
      <c r="BI1593" s="93">
        <f t="shared" si="81"/>
        <v>0</v>
      </c>
      <c r="BJ1593" s="93">
        <f t="shared" si="82"/>
        <v>0</v>
      </c>
      <c r="BK1593" s="93"/>
      <c r="BL1593" s="93"/>
      <c r="BW1593" s="93" t="str">
        <f t="shared" si="83"/>
        <v>21</v>
      </c>
      <c r="BX1593" s="2" t="s">
        <v>1740</v>
      </c>
    </row>
    <row r="1594" spans="1:76" s="81" customFormat="1" ht="25.5" x14ac:dyDescent="0.25">
      <c r="A1594" s="72" t="s">
        <v>1779</v>
      </c>
      <c r="B1594" s="72" t="s">
        <v>55</v>
      </c>
      <c r="C1594" s="72" t="s">
        <v>1780</v>
      </c>
      <c r="D1594" s="175" t="s">
        <v>1694</v>
      </c>
      <c r="E1594" s="175"/>
      <c r="F1594" s="72" t="s">
        <v>1676</v>
      </c>
      <c r="G1594" s="90">
        <v>12</v>
      </c>
      <c r="H1594" s="91"/>
      <c r="I1594" s="92" t="s">
        <v>63</v>
      </c>
      <c r="J1594" s="90">
        <f t="shared" si="56"/>
        <v>0</v>
      </c>
      <c r="K1594" s="90">
        <f t="shared" si="57"/>
        <v>0</v>
      </c>
      <c r="L1594" s="90">
        <f t="shared" si="58"/>
        <v>0</v>
      </c>
      <c r="M1594" s="90">
        <f t="shared" si="59"/>
        <v>0</v>
      </c>
      <c r="N1594" s="90">
        <v>0</v>
      </c>
      <c r="O1594" s="90">
        <f t="shared" si="60"/>
        <v>0</v>
      </c>
      <c r="P1594" s="92" t="s">
        <v>1652</v>
      </c>
      <c r="Z1594" s="93">
        <f t="shared" si="61"/>
        <v>0</v>
      </c>
      <c r="AB1594" s="93">
        <f t="shared" si="62"/>
        <v>0</v>
      </c>
      <c r="AC1594" s="93">
        <f t="shared" si="63"/>
        <v>0</v>
      </c>
      <c r="AD1594" s="93">
        <f t="shared" si="64"/>
        <v>0</v>
      </c>
      <c r="AE1594" s="93">
        <f t="shared" si="65"/>
        <v>0</v>
      </c>
      <c r="AF1594" s="93">
        <f t="shared" si="66"/>
        <v>0</v>
      </c>
      <c r="AG1594" s="93">
        <f t="shared" si="67"/>
        <v>0</v>
      </c>
      <c r="AH1594" s="93">
        <f t="shared" si="68"/>
        <v>0</v>
      </c>
      <c r="AI1594" s="88" t="s">
        <v>55</v>
      </c>
      <c r="AJ1594" s="93">
        <f t="shared" si="69"/>
        <v>0</v>
      </c>
      <c r="AK1594" s="93">
        <f t="shared" si="70"/>
        <v>0</v>
      </c>
      <c r="AL1594" s="93">
        <f t="shared" si="71"/>
        <v>0</v>
      </c>
      <c r="AN1594" s="93">
        <v>21</v>
      </c>
      <c r="AO1594" s="93">
        <f t="shared" si="72"/>
        <v>0</v>
      </c>
      <c r="AP1594" s="93">
        <f t="shared" si="73"/>
        <v>0</v>
      </c>
      <c r="AQ1594" s="94" t="s">
        <v>148</v>
      </c>
      <c r="AV1594" s="93">
        <f t="shared" si="74"/>
        <v>0</v>
      </c>
      <c r="AW1594" s="93">
        <f t="shared" si="75"/>
        <v>0</v>
      </c>
      <c r="AX1594" s="93">
        <f t="shared" si="76"/>
        <v>0</v>
      </c>
      <c r="AY1594" s="94" t="s">
        <v>1765</v>
      </c>
      <c r="AZ1594" s="94" t="s">
        <v>1654</v>
      </c>
      <c r="BA1594" s="88" t="s">
        <v>67</v>
      </c>
      <c r="BC1594" s="93">
        <f t="shared" si="77"/>
        <v>0</v>
      </c>
      <c r="BD1594" s="93">
        <f t="shared" si="78"/>
        <v>0</v>
      </c>
      <c r="BE1594" s="93">
        <v>0</v>
      </c>
      <c r="BF1594" s="93">
        <f t="shared" si="79"/>
        <v>0</v>
      </c>
      <c r="BH1594" s="93">
        <f t="shared" si="80"/>
        <v>0</v>
      </c>
      <c r="BI1594" s="93">
        <f t="shared" si="81"/>
        <v>0</v>
      </c>
      <c r="BJ1594" s="93">
        <f t="shared" si="82"/>
        <v>0</v>
      </c>
      <c r="BK1594" s="93"/>
      <c r="BL1594" s="93"/>
      <c r="BW1594" s="93" t="str">
        <f t="shared" si="83"/>
        <v>21</v>
      </c>
      <c r="BX1594" s="2" t="s">
        <v>1694</v>
      </c>
    </row>
    <row r="1595" spans="1:76" s="81" customFormat="1" ht="25.5" x14ac:dyDescent="0.25">
      <c r="A1595" s="72" t="s">
        <v>1781</v>
      </c>
      <c r="B1595" s="72" t="s">
        <v>55</v>
      </c>
      <c r="C1595" s="72" t="s">
        <v>1782</v>
      </c>
      <c r="D1595" s="175" t="s">
        <v>1783</v>
      </c>
      <c r="E1595" s="175"/>
      <c r="F1595" s="72" t="s">
        <v>1676</v>
      </c>
      <c r="G1595" s="90">
        <v>6</v>
      </c>
      <c r="H1595" s="91"/>
      <c r="I1595" s="92" t="s">
        <v>63</v>
      </c>
      <c r="J1595" s="90">
        <f t="shared" si="56"/>
        <v>0</v>
      </c>
      <c r="K1595" s="90">
        <f t="shared" si="57"/>
        <v>0</v>
      </c>
      <c r="L1595" s="90">
        <f t="shared" si="58"/>
        <v>0</v>
      </c>
      <c r="M1595" s="90">
        <f t="shared" si="59"/>
        <v>0</v>
      </c>
      <c r="N1595" s="90">
        <v>0</v>
      </c>
      <c r="O1595" s="90">
        <f t="shared" si="60"/>
        <v>0</v>
      </c>
      <c r="P1595" s="92" t="s">
        <v>1652</v>
      </c>
      <c r="Z1595" s="93">
        <f t="shared" si="61"/>
        <v>0</v>
      </c>
      <c r="AB1595" s="93">
        <f t="shared" si="62"/>
        <v>0</v>
      </c>
      <c r="AC1595" s="93">
        <f t="shared" si="63"/>
        <v>0</v>
      </c>
      <c r="AD1595" s="93">
        <f t="shared" si="64"/>
        <v>0</v>
      </c>
      <c r="AE1595" s="93">
        <f t="shared" si="65"/>
        <v>0</v>
      </c>
      <c r="AF1595" s="93">
        <f t="shared" si="66"/>
        <v>0</v>
      </c>
      <c r="AG1595" s="93">
        <f t="shared" si="67"/>
        <v>0</v>
      </c>
      <c r="AH1595" s="93">
        <f t="shared" si="68"/>
        <v>0</v>
      </c>
      <c r="AI1595" s="88" t="s">
        <v>55</v>
      </c>
      <c r="AJ1595" s="93">
        <f t="shared" si="69"/>
        <v>0</v>
      </c>
      <c r="AK1595" s="93">
        <f t="shared" si="70"/>
        <v>0</v>
      </c>
      <c r="AL1595" s="93">
        <f t="shared" si="71"/>
        <v>0</v>
      </c>
      <c r="AN1595" s="93">
        <v>21</v>
      </c>
      <c r="AO1595" s="93">
        <f t="shared" si="72"/>
        <v>0</v>
      </c>
      <c r="AP1595" s="93">
        <f t="shared" si="73"/>
        <v>0</v>
      </c>
      <c r="AQ1595" s="94" t="s">
        <v>148</v>
      </c>
      <c r="AV1595" s="93">
        <f t="shared" si="74"/>
        <v>0</v>
      </c>
      <c r="AW1595" s="93">
        <f t="shared" si="75"/>
        <v>0</v>
      </c>
      <c r="AX1595" s="93">
        <f t="shared" si="76"/>
        <v>0</v>
      </c>
      <c r="AY1595" s="94" t="s">
        <v>1765</v>
      </c>
      <c r="AZ1595" s="94" t="s">
        <v>1654</v>
      </c>
      <c r="BA1595" s="88" t="s">
        <v>67</v>
      </c>
      <c r="BC1595" s="93">
        <f t="shared" si="77"/>
        <v>0</v>
      </c>
      <c r="BD1595" s="93">
        <f t="shared" si="78"/>
        <v>0</v>
      </c>
      <c r="BE1595" s="93">
        <v>0</v>
      </c>
      <c r="BF1595" s="93">
        <f t="shared" si="79"/>
        <v>0</v>
      </c>
      <c r="BH1595" s="93">
        <f t="shared" si="80"/>
        <v>0</v>
      </c>
      <c r="BI1595" s="93">
        <f t="shared" si="81"/>
        <v>0</v>
      </c>
      <c r="BJ1595" s="93">
        <f t="shared" si="82"/>
        <v>0</v>
      </c>
      <c r="BK1595" s="93"/>
      <c r="BL1595" s="93"/>
      <c r="BW1595" s="93" t="str">
        <f t="shared" si="83"/>
        <v>21</v>
      </c>
      <c r="BX1595" s="2" t="s">
        <v>1783</v>
      </c>
    </row>
    <row r="1596" spans="1:76" s="81" customFormat="1" ht="25.5" x14ac:dyDescent="0.25">
      <c r="A1596" s="72" t="s">
        <v>1784</v>
      </c>
      <c r="B1596" s="72" t="s">
        <v>55</v>
      </c>
      <c r="C1596" s="72" t="s">
        <v>1785</v>
      </c>
      <c r="D1596" s="175" t="s">
        <v>1786</v>
      </c>
      <c r="E1596" s="175"/>
      <c r="F1596" s="72" t="s">
        <v>1676</v>
      </c>
      <c r="G1596" s="90">
        <v>10</v>
      </c>
      <c r="H1596" s="91"/>
      <c r="I1596" s="92" t="s">
        <v>63</v>
      </c>
      <c r="J1596" s="90">
        <f t="shared" si="56"/>
        <v>0</v>
      </c>
      <c r="K1596" s="90">
        <f t="shared" si="57"/>
        <v>0</v>
      </c>
      <c r="L1596" s="90">
        <f t="shared" si="58"/>
        <v>0</v>
      </c>
      <c r="M1596" s="90">
        <f t="shared" si="59"/>
        <v>0</v>
      </c>
      <c r="N1596" s="90">
        <v>0</v>
      </c>
      <c r="O1596" s="90">
        <f t="shared" si="60"/>
        <v>0</v>
      </c>
      <c r="P1596" s="92" t="s">
        <v>1652</v>
      </c>
      <c r="Z1596" s="93">
        <f t="shared" si="61"/>
        <v>0</v>
      </c>
      <c r="AB1596" s="93">
        <f t="shared" si="62"/>
        <v>0</v>
      </c>
      <c r="AC1596" s="93">
        <f t="shared" si="63"/>
        <v>0</v>
      </c>
      <c r="AD1596" s="93">
        <f t="shared" si="64"/>
        <v>0</v>
      </c>
      <c r="AE1596" s="93">
        <f t="shared" si="65"/>
        <v>0</v>
      </c>
      <c r="AF1596" s="93">
        <f t="shared" si="66"/>
        <v>0</v>
      </c>
      <c r="AG1596" s="93">
        <f t="shared" si="67"/>
        <v>0</v>
      </c>
      <c r="AH1596" s="93">
        <f t="shared" si="68"/>
        <v>0</v>
      </c>
      <c r="AI1596" s="88" t="s">
        <v>55</v>
      </c>
      <c r="AJ1596" s="93">
        <f t="shared" si="69"/>
        <v>0</v>
      </c>
      <c r="AK1596" s="93">
        <f t="shared" si="70"/>
        <v>0</v>
      </c>
      <c r="AL1596" s="93">
        <f t="shared" si="71"/>
        <v>0</v>
      </c>
      <c r="AN1596" s="93">
        <v>21</v>
      </c>
      <c r="AO1596" s="93">
        <f t="shared" si="72"/>
        <v>0</v>
      </c>
      <c r="AP1596" s="93">
        <f t="shared" si="73"/>
        <v>0</v>
      </c>
      <c r="AQ1596" s="94" t="s">
        <v>148</v>
      </c>
      <c r="AV1596" s="93">
        <f t="shared" si="74"/>
        <v>0</v>
      </c>
      <c r="AW1596" s="93">
        <f t="shared" si="75"/>
        <v>0</v>
      </c>
      <c r="AX1596" s="93">
        <f t="shared" si="76"/>
        <v>0</v>
      </c>
      <c r="AY1596" s="94" t="s">
        <v>1765</v>
      </c>
      <c r="AZ1596" s="94" t="s">
        <v>1654</v>
      </c>
      <c r="BA1596" s="88" t="s">
        <v>67</v>
      </c>
      <c r="BC1596" s="93">
        <f t="shared" si="77"/>
        <v>0</v>
      </c>
      <c r="BD1596" s="93">
        <f t="shared" si="78"/>
        <v>0</v>
      </c>
      <c r="BE1596" s="93">
        <v>0</v>
      </c>
      <c r="BF1596" s="93">
        <f t="shared" si="79"/>
        <v>0</v>
      </c>
      <c r="BH1596" s="93">
        <f t="shared" si="80"/>
        <v>0</v>
      </c>
      <c r="BI1596" s="93">
        <f t="shared" si="81"/>
        <v>0</v>
      </c>
      <c r="BJ1596" s="93">
        <f t="shared" si="82"/>
        <v>0</v>
      </c>
      <c r="BK1596" s="93"/>
      <c r="BL1596" s="93"/>
      <c r="BW1596" s="93" t="str">
        <f t="shared" si="83"/>
        <v>21</v>
      </c>
      <c r="BX1596" s="2" t="s">
        <v>1786</v>
      </c>
    </row>
    <row r="1597" spans="1:76" s="81" customFormat="1" ht="25.5" x14ac:dyDescent="0.25">
      <c r="A1597" s="72" t="s">
        <v>1787</v>
      </c>
      <c r="B1597" s="72" t="s">
        <v>55</v>
      </c>
      <c r="C1597" s="72" t="s">
        <v>1788</v>
      </c>
      <c r="D1597" s="175" t="s">
        <v>1789</v>
      </c>
      <c r="E1597" s="175"/>
      <c r="F1597" s="72" t="s">
        <v>203</v>
      </c>
      <c r="G1597" s="90">
        <v>9</v>
      </c>
      <c r="H1597" s="91"/>
      <c r="I1597" s="92" t="s">
        <v>63</v>
      </c>
      <c r="J1597" s="90">
        <f t="shared" si="56"/>
        <v>0</v>
      </c>
      <c r="K1597" s="90">
        <f t="shared" si="57"/>
        <v>0</v>
      </c>
      <c r="L1597" s="90">
        <f t="shared" si="58"/>
        <v>0</v>
      </c>
      <c r="M1597" s="90">
        <f t="shared" si="59"/>
        <v>0</v>
      </c>
      <c r="N1597" s="90">
        <v>0</v>
      </c>
      <c r="O1597" s="90">
        <f t="shared" si="60"/>
        <v>0</v>
      </c>
      <c r="P1597" s="92" t="s">
        <v>1652</v>
      </c>
      <c r="Z1597" s="93">
        <f t="shared" si="61"/>
        <v>0</v>
      </c>
      <c r="AB1597" s="93">
        <f t="shared" si="62"/>
        <v>0</v>
      </c>
      <c r="AC1597" s="93">
        <f t="shared" si="63"/>
        <v>0</v>
      </c>
      <c r="AD1597" s="93">
        <f t="shared" si="64"/>
        <v>0</v>
      </c>
      <c r="AE1597" s="93">
        <f t="shared" si="65"/>
        <v>0</v>
      </c>
      <c r="AF1597" s="93">
        <f t="shared" si="66"/>
        <v>0</v>
      </c>
      <c r="AG1597" s="93">
        <f t="shared" si="67"/>
        <v>0</v>
      </c>
      <c r="AH1597" s="93">
        <f t="shared" si="68"/>
        <v>0</v>
      </c>
      <c r="AI1597" s="88" t="s">
        <v>55</v>
      </c>
      <c r="AJ1597" s="93">
        <f t="shared" si="69"/>
        <v>0</v>
      </c>
      <c r="AK1597" s="93">
        <f t="shared" si="70"/>
        <v>0</v>
      </c>
      <c r="AL1597" s="93">
        <f t="shared" si="71"/>
        <v>0</v>
      </c>
      <c r="AN1597" s="93">
        <v>21</v>
      </c>
      <c r="AO1597" s="93">
        <f t="shared" si="72"/>
        <v>0</v>
      </c>
      <c r="AP1597" s="93">
        <f t="shared" si="73"/>
        <v>0</v>
      </c>
      <c r="AQ1597" s="94" t="s">
        <v>148</v>
      </c>
      <c r="AV1597" s="93">
        <f t="shared" si="74"/>
        <v>0</v>
      </c>
      <c r="AW1597" s="93">
        <f t="shared" si="75"/>
        <v>0</v>
      </c>
      <c r="AX1597" s="93">
        <f t="shared" si="76"/>
        <v>0</v>
      </c>
      <c r="AY1597" s="94" t="s">
        <v>1765</v>
      </c>
      <c r="AZ1597" s="94" t="s">
        <v>1654</v>
      </c>
      <c r="BA1597" s="88" t="s">
        <v>67</v>
      </c>
      <c r="BC1597" s="93">
        <f t="shared" si="77"/>
        <v>0</v>
      </c>
      <c r="BD1597" s="93">
        <f t="shared" si="78"/>
        <v>0</v>
      </c>
      <c r="BE1597" s="93">
        <v>0</v>
      </c>
      <c r="BF1597" s="93">
        <f t="shared" si="79"/>
        <v>0</v>
      </c>
      <c r="BH1597" s="93">
        <f t="shared" si="80"/>
        <v>0</v>
      </c>
      <c r="BI1597" s="93">
        <f t="shared" si="81"/>
        <v>0</v>
      </c>
      <c r="BJ1597" s="93">
        <f t="shared" si="82"/>
        <v>0</v>
      </c>
      <c r="BK1597" s="93"/>
      <c r="BL1597" s="93"/>
      <c r="BW1597" s="93" t="str">
        <f t="shared" si="83"/>
        <v>21</v>
      </c>
      <c r="BX1597" s="2" t="s">
        <v>1789</v>
      </c>
    </row>
    <row r="1598" spans="1:76" s="81" customFormat="1" ht="25.5" x14ac:dyDescent="0.25">
      <c r="A1598" s="72" t="s">
        <v>1790</v>
      </c>
      <c r="B1598" s="72" t="s">
        <v>55</v>
      </c>
      <c r="C1598" s="72" t="s">
        <v>1791</v>
      </c>
      <c r="D1598" s="175" t="s">
        <v>1715</v>
      </c>
      <c r="E1598" s="175"/>
      <c r="F1598" s="72" t="s">
        <v>1334</v>
      </c>
      <c r="G1598" s="90">
        <v>1</v>
      </c>
      <c r="H1598" s="91"/>
      <c r="I1598" s="92" t="s">
        <v>63</v>
      </c>
      <c r="J1598" s="90">
        <f t="shared" si="56"/>
        <v>0</v>
      </c>
      <c r="K1598" s="90">
        <f t="shared" si="57"/>
        <v>0</v>
      </c>
      <c r="L1598" s="90">
        <f t="shared" si="58"/>
        <v>0</v>
      </c>
      <c r="M1598" s="90">
        <f t="shared" si="59"/>
        <v>0</v>
      </c>
      <c r="N1598" s="90">
        <v>0</v>
      </c>
      <c r="O1598" s="90">
        <f t="shared" si="60"/>
        <v>0</v>
      </c>
      <c r="P1598" s="92" t="s">
        <v>1652</v>
      </c>
      <c r="Z1598" s="93">
        <f t="shared" si="61"/>
        <v>0</v>
      </c>
      <c r="AB1598" s="93">
        <f t="shared" si="62"/>
        <v>0</v>
      </c>
      <c r="AC1598" s="93">
        <f t="shared" si="63"/>
        <v>0</v>
      </c>
      <c r="AD1598" s="93">
        <f t="shared" si="64"/>
        <v>0</v>
      </c>
      <c r="AE1598" s="93">
        <f t="shared" si="65"/>
        <v>0</v>
      </c>
      <c r="AF1598" s="93">
        <f t="shared" si="66"/>
        <v>0</v>
      </c>
      <c r="AG1598" s="93">
        <f t="shared" si="67"/>
        <v>0</v>
      </c>
      <c r="AH1598" s="93">
        <f t="shared" si="68"/>
        <v>0</v>
      </c>
      <c r="AI1598" s="88" t="s">
        <v>55</v>
      </c>
      <c r="AJ1598" s="93">
        <f t="shared" si="69"/>
        <v>0</v>
      </c>
      <c r="AK1598" s="93">
        <f t="shared" si="70"/>
        <v>0</v>
      </c>
      <c r="AL1598" s="93">
        <f t="shared" si="71"/>
        <v>0</v>
      </c>
      <c r="AN1598" s="93">
        <v>21</v>
      </c>
      <c r="AO1598" s="93">
        <f t="shared" si="72"/>
        <v>0</v>
      </c>
      <c r="AP1598" s="93">
        <f t="shared" si="73"/>
        <v>0</v>
      </c>
      <c r="AQ1598" s="94" t="s">
        <v>148</v>
      </c>
      <c r="AV1598" s="93">
        <f t="shared" si="74"/>
        <v>0</v>
      </c>
      <c r="AW1598" s="93">
        <f t="shared" si="75"/>
        <v>0</v>
      </c>
      <c r="AX1598" s="93">
        <f t="shared" si="76"/>
        <v>0</v>
      </c>
      <c r="AY1598" s="94" t="s">
        <v>1765</v>
      </c>
      <c r="AZ1598" s="94" t="s">
        <v>1654</v>
      </c>
      <c r="BA1598" s="88" t="s">
        <v>67</v>
      </c>
      <c r="BC1598" s="93">
        <f t="shared" si="77"/>
        <v>0</v>
      </c>
      <c r="BD1598" s="93">
        <f t="shared" si="78"/>
        <v>0</v>
      </c>
      <c r="BE1598" s="93">
        <v>0</v>
      </c>
      <c r="BF1598" s="93">
        <f t="shared" si="79"/>
        <v>0</v>
      </c>
      <c r="BH1598" s="93">
        <f t="shared" si="80"/>
        <v>0</v>
      </c>
      <c r="BI1598" s="93">
        <f t="shared" si="81"/>
        <v>0</v>
      </c>
      <c r="BJ1598" s="93">
        <f t="shared" si="82"/>
        <v>0</v>
      </c>
      <c r="BK1598" s="93"/>
      <c r="BL1598" s="93"/>
      <c r="BW1598" s="93" t="str">
        <f t="shared" si="83"/>
        <v>21</v>
      </c>
      <c r="BX1598" s="2" t="s">
        <v>1715</v>
      </c>
    </row>
    <row r="1599" spans="1:76" s="81" customFormat="1" x14ac:dyDescent="0.25">
      <c r="A1599" s="85" t="s">
        <v>54</v>
      </c>
      <c r="B1599" s="74" t="s">
        <v>55</v>
      </c>
      <c r="C1599" s="74" t="s">
        <v>1792</v>
      </c>
      <c r="D1599" s="176" t="s">
        <v>1793</v>
      </c>
      <c r="E1599" s="176"/>
      <c r="F1599" s="85" t="s">
        <v>4</v>
      </c>
      <c r="G1599" s="85" t="s">
        <v>4</v>
      </c>
      <c r="H1599" s="98"/>
      <c r="I1599" s="85" t="s">
        <v>4</v>
      </c>
      <c r="J1599" s="86">
        <f>SUM(J1600:J1606)</f>
        <v>0</v>
      </c>
      <c r="K1599" s="86">
        <f>SUM(K1600:K1606)</f>
        <v>0</v>
      </c>
      <c r="L1599" s="86">
        <f>SUM(L1600:L1606)</f>
        <v>0</v>
      </c>
      <c r="M1599" s="86">
        <f>SUM(M1600:M1606)</f>
        <v>0</v>
      </c>
      <c r="N1599" s="87" t="s">
        <v>54</v>
      </c>
      <c r="O1599" s="86">
        <f>SUM(O1600:O1606)</f>
        <v>0</v>
      </c>
      <c r="P1599" s="87" t="s">
        <v>54</v>
      </c>
      <c r="AI1599" s="88" t="s">
        <v>55</v>
      </c>
      <c r="AS1599" s="89">
        <f>SUM(AJ1600:AJ1606)</f>
        <v>0</v>
      </c>
      <c r="AT1599" s="89">
        <f>SUM(AK1600:AK1606)</f>
        <v>0</v>
      </c>
      <c r="AU1599" s="89">
        <f>SUM(AL1600:AL1606)</f>
        <v>0</v>
      </c>
    </row>
    <row r="1600" spans="1:76" s="81" customFormat="1" ht="25.5" x14ac:dyDescent="0.25">
      <c r="A1600" s="72" t="s">
        <v>1794</v>
      </c>
      <c r="B1600" s="72" t="s">
        <v>55</v>
      </c>
      <c r="C1600" s="72" t="s">
        <v>1795</v>
      </c>
      <c r="D1600" s="175" t="s">
        <v>1796</v>
      </c>
      <c r="E1600" s="175"/>
      <c r="F1600" s="72" t="s">
        <v>203</v>
      </c>
      <c r="G1600" s="90">
        <v>2</v>
      </c>
      <c r="H1600" s="91"/>
      <c r="I1600" s="92" t="s">
        <v>63</v>
      </c>
      <c r="J1600" s="90">
        <f t="shared" ref="J1600:J1606" si="84">G1600*AO1600</f>
        <v>0</v>
      </c>
      <c r="K1600" s="90">
        <f t="shared" ref="K1600:K1606" si="85">G1600*AP1600</f>
        <v>0</v>
      </c>
      <c r="L1600" s="90">
        <f t="shared" ref="L1600:L1606" si="86">G1600*H1600</f>
        <v>0</v>
      </c>
      <c r="M1600" s="90">
        <f t="shared" ref="M1600:M1606" si="87">L1600*(1+BW1600/100)</f>
        <v>0</v>
      </c>
      <c r="N1600" s="90">
        <v>0</v>
      </c>
      <c r="O1600" s="90">
        <f t="shared" ref="O1600:O1606" si="88">G1600*N1600</f>
        <v>0</v>
      </c>
      <c r="P1600" s="92" t="s">
        <v>1652</v>
      </c>
      <c r="Z1600" s="93">
        <f t="shared" ref="Z1600:Z1606" si="89">IF(AQ1600="5",BJ1600,0)</f>
        <v>0</v>
      </c>
      <c r="AB1600" s="93">
        <f t="shared" ref="AB1600:AB1606" si="90">IF(AQ1600="1",BH1600,0)</f>
        <v>0</v>
      </c>
      <c r="AC1600" s="93">
        <f t="shared" ref="AC1600:AC1606" si="91">IF(AQ1600="1",BI1600,0)</f>
        <v>0</v>
      </c>
      <c r="AD1600" s="93">
        <f t="shared" ref="AD1600:AD1606" si="92">IF(AQ1600="7",BH1600,0)</f>
        <v>0</v>
      </c>
      <c r="AE1600" s="93">
        <f t="shared" ref="AE1600:AE1606" si="93">IF(AQ1600="7",BI1600,0)</f>
        <v>0</v>
      </c>
      <c r="AF1600" s="93">
        <f t="shared" ref="AF1600:AF1606" si="94">IF(AQ1600="2",BH1600,0)</f>
        <v>0</v>
      </c>
      <c r="AG1600" s="93">
        <f t="shared" ref="AG1600:AG1606" si="95">IF(AQ1600="2",BI1600,0)</f>
        <v>0</v>
      </c>
      <c r="AH1600" s="93">
        <f t="shared" ref="AH1600:AH1606" si="96">IF(AQ1600="0",BJ1600,0)</f>
        <v>0</v>
      </c>
      <c r="AI1600" s="88" t="s">
        <v>55</v>
      </c>
      <c r="AJ1600" s="93">
        <f t="shared" ref="AJ1600:AJ1606" si="97">IF(AN1600=0,L1600,0)</f>
        <v>0</v>
      </c>
      <c r="AK1600" s="93">
        <f t="shared" ref="AK1600:AK1606" si="98">IF(AN1600=12,L1600,0)</f>
        <v>0</v>
      </c>
      <c r="AL1600" s="93">
        <f t="shared" ref="AL1600:AL1606" si="99">IF(AN1600=21,L1600,0)</f>
        <v>0</v>
      </c>
      <c r="AN1600" s="93">
        <v>21</v>
      </c>
      <c r="AO1600" s="93">
        <f t="shared" ref="AO1600:AO1606" si="100">H1600*0</f>
        <v>0</v>
      </c>
      <c r="AP1600" s="93">
        <f t="shared" ref="AP1600:AP1606" si="101">H1600*(1-0)</f>
        <v>0</v>
      </c>
      <c r="AQ1600" s="94" t="s">
        <v>148</v>
      </c>
      <c r="AV1600" s="93">
        <f t="shared" ref="AV1600:AV1606" si="102">AW1600+AX1600</f>
        <v>0</v>
      </c>
      <c r="AW1600" s="93">
        <f t="shared" ref="AW1600:AW1606" si="103">G1600*AO1600</f>
        <v>0</v>
      </c>
      <c r="AX1600" s="93">
        <f t="shared" ref="AX1600:AX1606" si="104">G1600*AP1600</f>
        <v>0</v>
      </c>
      <c r="AY1600" s="94" t="s">
        <v>1797</v>
      </c>
      <c r="AZ1600" s="94" t="s">
        <v>1654</v>
      </c>
      <c r="BA1600" s="88" t="s">
        <v>67</v>
      </c>
      <c r="BC1600" s="93">
        <f t="shared" ref="BC1600:BC1606" si="105">AW1600+AX1600</f>
        <v>0</v>
      </c>
      <c r="BD1600" s="93">
        <f t="shared" ref="BD1600:BD1606" si="106">H1600/(100-BE1600)*100</f>
        <v>0</v>
      </c>
      <c r="BE1600" s="93">
        <v>0</v>
      </c>
      <c r="BF1600" s="93">
        <f t="shared" ref="BF1600:BF1606" si="107">O1600</f>
        <v>0</v>
      </c>
      <c r="BH1600" s="93">
        <f t="shared" ref="BH1600:BH1606" si="108">G1600*AO1600</f>
        <v>0</v>
      </c>
      <c r="BI1600" s="93">
        <f t="shared" ref="BI1600:BI1606" si="109">G1600*AP1600</f>
        <v>0</v>
      </c>
      <c r="BJ1600" s="93">
        <f t="shared" ref="BJ1600:BJ1606" si="110">G1600*H1600</f>
        <v>0</v>
      </c>
      <c r="BK1600" s="93"/>
      <c r="BL1600" s="93"/>
      <c r="BW1600" s="93" t="str">
        <f t="shared" ref="BW1600:BW1606" si="111">I1600</f>
        <v>21</v>
      </c>
      <c r="BX1600" s="2" t="s">
        <v>1796</v>
      </c>
    </row>
    <row r="1601" spans="1:76" s="81" customFormat="1" ht="25.5" x14ac:dyDescent="0.25">
      <c r="A1601" s="72" t="s">
        <v>1798</v>
      </c>
      <c r="B1601" s="72" t="s">
        <v>55</v>
      </c>
      <c r="C1601" s="72" t="s">
        <v>1799</v>
      </c>
      <c r="D1601" s="175" t="s">
        <v>1800</v>
      </c>
      <c r="E1601" s="175"/>
      <c r="F1601" s="72" t="s">
        <v>203</v>
      </c>
      <c r="G1601" s="90">
        <v>1</v>
      </c>
      <c r="H1601" s="91"/>
      <c r="I1601" s="92" t="s">
        <v>63</v>
      </c>
      <c r="J1601" s="90">
        <f t="shared" si="84"/>
        <v>0</v>
      </c>
      <c r="K1601" s="90">
        <f t="shared" si="85"/>
        <v>0</v>
      </c>
      <c r="L1601" s="90">
        <f t="shared" si="86"/>
        <v>0</v>
      </c>
      <c r="M1601" s="90">
        <f t="shared" si="87"/>
        <v>0</v>
      </c>
      <c r="N1601" s="90">
        <v>0</v>
      </c>
      <c r="O1601" s="90">
        <f t="shared" si="88"/>
        <v>0</v>
      </c>
      <c r="P1601" s="92" t="s">
        <v>1652</v>
      </c>
      <c r="Z1601" s="93">
        <f t="shared" si="89"/>
        <v>0</v>
      </c>
      <c r="AB1601" s="93">
        <f t="shared" si="90"/>
        <v>0</v>
      </c>
      <c r="AC1601" s="93">
        <f t="shared" si="91"/>
        <v>0</v>
      </c>
      <c r="AD1601" s="93">
        <f t="shared" si="92"/>
        <v>0</v>
      </c>
      <c r="AE1601" s="93">
        <f t="shared" si="93"/>
        <v>0</v>
      </c>
      <c r="AF1601" s="93">
        <f t="shared" si="94"/>
        <v>0</v>
      </c>
      <c r="AG1601" s="93">
        <f t="shared" si="95"/>
        <v>0</v>
      </c>
      <c r="AH1601" s="93">
        <f t="shared" si="96"/>
        <v>0</v>
      </c>
      <c r="AI1601" s="88" t="s">
        <v>55</v>
      </c>
      <c r="AJ1601" s="93">
        <f t="shared" si="97"/>
        <v>0</v>
      </c>
      <c r="AK1601" s="93">
        <f t="shared" si="98"/>
        <v>0</v>
      </c>
      <c r="AL1601" s="93">
        <f t="shared" si="99"/>
        <v>0</v>
      </c>
      <c r="AN1601" s="93">
        <v>21</v>
      </c>
      <c r="AO1601" s="93">
        <f t="shared" si="100"/>
        <v>0</v>
      </c>
      <c r="AP1601" s="93">
        <f t="shared" si="101"/>
        <v>0</v>
      </c>
      <c r="AQ1601" s="94" t="s">
        <v>148</v>
      </c>
      <c r="AV1601" s="93">
        <f t="shared" si="102"/>
        <v>0</v>
      </c>
      <c r="AW1601" s="93">
        <f t="shared" si="103"/>
        <v>0</v>
      </c>
      <c r="AX1601" s="93">
        <f t="shared" si="104"/>
        <v>0</v>
      </c>
      <c r="AY1601" s="94" t="s">
        <v>1797</v>
      </c>
      <c r="AZ1601" s="94" t="s">
        <v>1654</v>
      </c>
      <c r="BA1601" s="88" t="s">
        <v>67</v>
      </c>
      <c r="BC1601" s="93">
        <f t="shared" si="105"/>
        <v>0</v>
      </c>
      <c r="BD1601" s="93">
        <f t="shared" si="106"/>
        <v>0</v>
      </c>
      <c r="BE1601" s="93">
        <v>0</v>
      </c>
      <c r="BF1601" s="93">
        <f t="shared" si="107"/>
        <v>0</v>
      </c>
      <c r="BH1601" s="93">
        <f t="shared" si="108"/>
        <v>0</v>
      </c>
      <c r="BI1601" s="93">
        <f t="shared" si="109"/>
        <v>0</v>
      </c>
      <c r="BJ1601" s="93">
        <f t="shared" si="110"/>
        <v>0</v>
      </c>
      <c r="BK1601" s="93"/>
      <c r="BL1601" s="93"/>
      <c r="BW1601" s="93" t="str">
        <f t="shared" si="111"/>
        <v>21</v>
      </c>
      <c r="BX1601" s="2" t="s">
        <v>1800</v>
      </c>
    </row>
    <row r="1602" spans="1:76" s="81" customFormat="1" ht="25.5" x14ac:dyDescent="0.25">
      <c r="A1602" s="72" t="s">
        <v>1801</v>
      </c>
      <c r="B1602" s="72" t="s">
        <v>55</v>
      </c>
      <c r="C1602" s="72" t="s">
        <v>1802</v>
      </c>
      <c r="D1602" s="175" t="s">
        <v>1803</v>
      </c>
      <c r="E1602" s="175"/>
      <c r="F1602" s="72" t="s">
        <v>203</v>
      </c>
      <c r="G1602" s="90">
        <v>1</v>
      </c>
      <c r="H1602" s="91"/>
      <c r="I1602" s="92" t="s">
        <v>63</v>
      </c>
      <c r="J1602" s="90">
        <f t="shared" si="84"/>
        <v>0</v>
      </c>
      <c r="K1602" s="90">
        <f t="shared" si="85"/>
        <v>0</v>
      </c>
      <c r="L1602" s="90">
        <f t="shared" si="86"/>
        <v>0</v>
      </c>
      <c r="M1602" s="90">
        <f t="shared" si="87"/>
        <v>0</v>
      </c>
      <c r="N1602" s="90">
        <v>0</v>
      </c>
      <c r="O1602" s="90">
        <f t="shared" si="88"/>
        <v>0</v>
      </c>
      <c r="P1602" s="92" t="s">
        <v>1652</v>
      </c>
      <c r="Z1602" s="93">
        <f t="shared" si="89"/>
        <v>0</v>
      </c>
      <c r="AB1602" s="93">
        <f t="shared" si="90"/>
        <v>0</v>
      </c>
      <c r="AC1602" s="93">
        <f t="shared" si="91"/>
        <v>0</v>
      </c>
      <c r="AD1602" s="93">
        <f t="shared" si="92"/>
        <v>0</v>
      </c>
      <c r="AE1602" s="93">
        <f t="shared" si="93"/>
        <v>0</v>
      </c>
      <c r="AF1602" s="93">
        <f t="shared" si="94"/>
        <v>0</v>
      </c>
      <c r="AG1602" s="93">
        <f t="shared" si="95"/>
        <v>0</v>
      </c>
      <c r="AH1602" s="93">
        <f t="shared" si="96"/>
        <v>0</v>
      </c>
      <c r="AI1602" s="88" t="s">
        <v>55</v>
      </c>
      <c r="AJ1602" s="93">
        <f t="shared" si="97"/>
        <v>0</v>
      </c>
      <c r="AK1602" s="93">
        <f t="shared" si="98"/>
        <v>0</v>
      </c>
      <c r="AL1602" s="93">
        <f t="shared" si="99"/>
        <v>0</v>
      </c>
      <c r="AN1602" s="93">
        <v>21</v>
      </c>
      <c r="AO1602" s="93">
        <f t="shared" si="100"/>
        <v>0</v>
      </c>
      <c r="AP1602" s="93">
        <f t="shared" si="101"/>
        <v>0</v>
      </c>
      <c r="AQ1602" s="94" t="s">
        <v>148</v>
      </c>
      <c r="AV1602" s="93">
        <f t="shared" si="102"/>
        <v>0</v>
      </c>
      <c r="AW1602" s="93">
        <f t="shared" si="103"/>
        <v>0</v>
      </c>
      <c r="AX1602" s="93">
        <f t="shared" si="104"/>
        <v>0</v>
      </c>
      <c r="AY1602" s="94" t="s">
        <v>1797</v>
      </c>
      <c r="AZ1602" s="94" t="s">
        <v>1654</v>
      </c>
      <c r="BA1602" s="88" t="s">
        <v>67</v>
      </c>
      <c r="BC1602" s="93">
        <f t="shared" si="105"/>
        <v>0</v>
      </c>
      <c r="BD1602" s="93">
        <f t="shared" si="106"/>
        <v>0</v>
      </c>
      <c r="BE1602" s="93">
        <v>0</v>
      </c>
      <c r="BF1602" s="93">
        <f t="shared" si="107"/>
        <v>0</v>
      </c>
      <c r="BH1602" s="93">
        <f t="shared" si="108"/>
        <v>0</v>
      </c>
      <c r="BI1602" s="93">
        <f t="shared" si="109"/>
        <v>0</v>
      </c>
      <c r="BJ1602" s="93">
        <f t="shared" si="110"/>
        <v>0</v>
      </c>
      <c r="BK1602" s="93"/>
      <c r="BL1602" s="93"/>
      <c r="BW1602" s="93" t="str">
        <f t="shared" si="111"/>
        <v>21</v>
      </c>
      <c r="BX1602" s="2" t="s">
        <v>1803</v>
      </c>
    </row>
    <row r="1603" spans="1:76" s="81" customFormat="1" ht="25.5" x14ac:dyDescent="0.25">
      <c r="A1603" s="72" t="s">
        <v>1804</v>
      </c>
      <c r="B1603" s="72" t="s">
        <v>55</v>
      </c>
      <c r="C1603" s="72" t="s">
        <v>1805</v>
      </c>
      <c r="D1603" s="175" t="s">
        <v>1806</v>
      </c>
      <c r="E1603" s="175"/>
      <c r="F1603" s="72" t="s">
        <v>203</v>
      </c>
      <c r="G1603" s="90">
        <v>4</v>
      </c>
      <c r="H1603" s="91"/>
      <c r="I1603" s="92" t="s">
        <v>63</v>
      </c>
      <c r="J1603" s="90">
        <f t="shared" si="84"/>
        <v>0</v>
      </c>
      <c r="K1603" s="90">
        <f t="shared" si="85"/>
        <v>0</v>
      </c>
      <c r="L1603" s="90">
        <f t="shared" si="86"/>
        <v>0</v>
      </c>
      <c r="M1603" s="90">
        <f t="shared" si="87"/>
        <v>0</v>
      </c>
      <c r="N1603" s="90">
        <v>0</v>
      </c>
      <c r="O1603" s="90">
        <f t="shared" si="88"/>
        <v>0</v>
      </c>
      <c r="P1603" s="92" t="s">
        <v>1652</v>
      </c>
      <c r="Z1603" s="93">
        <f t="shared" si="89"/>
        <v>0</v>
      </c>
      <c r="AB1603" s="93">
        <f t="shared" si="90"/>
        <v>0</v>
      </c>
      <c r="AC1603" s="93">
        <f t="shared" si="91"/>
        <v>0</v>
      </c>
      <c r="AD1603" s="93">
        <f t="shared" si="92"/>
        <v>0</v>
      </c>
      <c r="AE1603" s="93">
        <f t="shared" si="93"/>
        <v>0</v>
      </c>
      <c r="AF1603" s="93">
        <f t="shared" si="94"/>
        <v>0</v>
      </c>
      <c r="AG1603" s="93">
        <f t="shared" si="95"/>
        <v>0</v>
      </c>
      <c r="AH1603" s="93">
        <f t="shared" si="96"/>
        <v>0</v>
      </c>
      <c r="AI1603" s="88" t="s">
        <v>55</v>
      </c>
      <c r="AJ1603" s="93">
        <f t="shared" si="97"/>
        <v>0</v>
      </c>
      <c r="AK1603" s="93">
        <f t="shared" si="98"/>
        <v>0</v>
      </c>
      <c r="AL1603" s="93">
        <f t="shared" si="99"/>
        <v>0</v>
      </c>
      <c r="AN1603" s="93">
        <v>21</v>
      </c>
      <c r="AO1603" s="93">
        <f t="shared" si="100"/>
        <v>0</v>
      </c>
      <c r="AP1603" s="93">
        <f t="shared" si="101"/>
        <v>0</v>
      </c>
      <c r="AQ1603" s="94" t="s">
        <v>148</v>
      </c>
      <c r="AV1603" s="93">
        <f t="shared" si="102"/>
        <v>0</v>
      </c>
      <c r="AW1603" s="93">
        <f t="shared" si="103"/>
        <v>0</v>
      </c>
      <c r="AX1603" s="93">
        <f t="shared" si="104"/>
        <v>0</v>
      </c>
      <c r="AY1603" s="94" t="s">
        <v>1797</v>
      </c>
      <c r="AZ1603" s="94" t="s">
        <v>1654</v>
      </c>
      <c r="BA1603" s="88" t="s">
        <v>67</v>
      </c>
      <c r="BC1603" s="93">
        <f t="shared" si="105"/>
        <v>0</v>
      </c>
      <c r="BD1603" s="93">
        <f t="shared" si="106"/>
        <v>0</v>
      </c>
      <c r="BE1603" s="93">
        <v>0</v>
      </c>
      <c r="BF1603" s="93">
        <f t="shared" si="107"/>
        <v>0</v>
      </c>
      <c r="BH1603" s="93">
        <f t="shared" si="108"/>
        <v>0</v>
      </c>
      <c r="BI1603" s="93">
        <f t="shared" si="109"/>
        <v>0</v>
      </c>
      <c r="BJ1603" s="93">
        <f t="shared" si="110"/>
        <v>0</v>
      </c>
      <c r="BK1603" s="93"/>
      <c r="BL1603" s="93"/>
      <c r="BW1603" s="93" t="str">
        <f t="shared" si="111"/>
        <v>21</v>
      </c>
      <c r="BX1603" s="2" t="s">
        <v>1806</v>
      </c>
    </row>
    <row r="1604" spans="1:76" s="81" customFormat="1" ht="25.5" x14ac:dyDescent="0.25">
      <c r="A1604" s="72" t="s">
        <v>1807</v>
      </c>
      <c r="B1604" s="72" t="s">
        <v>55</v>
      </c>
      <c r="C1604" s="72" t="s">
        <v>1808</v>
      </c>
      <c r="D1604" s="175" t="s">
        <v>1809</v>
      </c>
      <c r="E1604" s="175"/>
      <c r="F1604" s="72" t="s">
        <v>192</v>
      </c>
      <c r="G1604" s="90">
        <v>30</v>
      </c>
      <c r="H1604" s="91"/>
      <c r="I1604" s="92" t="s">
        <v>63</v>
      </c>
      <c r="J1604" s="90">
        <f t="shared" si="84"/>
        <v>0</v>
      </c>
      <c r="K1604" s="90">
        <f t="shared" si="85"/>
        <v>0</v>
      </c>
      <c r="L1604" s="90">
        <f t="shared" si="86"/>
        <v>0</v>
      </c>
      <c r="M1604" s="90">
        <f t="shared" si="87"/>
        <v>0</v>
      </c>
      <c r="N1604" s="90">
        <v>0</v>
      </c>
      <c r="O1604" s="90">
        <f t="shared" si="88"/>
        <v>0</v>
      </c>
      <c r="P1604" s="92" t="s">
        <v>1652</v>
      </c>
      <c r="Z1604" s="93">
        <f t="shared" si="89"/>
        <v>0</v>
      </c>
      <c r="AB1604" s="93">
        <f t="shared" si="90"/>
        <v>0</v>
      </c>
      <c r="AC1604" s="93">
        <f t="shared" si="91"/>
        <v>0</v>
      </c>
      <c r="AD1604" s="93">
        <f t="shared" si="92"/>
        <v>0</v>
      </c>
      <c r="AE1604" s="93">
        <f t="shared" si="93"/>
        <v>0</v>
      </c>
      <c r="AF1604" s="93">
        <f t="shared" si="94"/>
        <v>0</v>
      </c>
      <c r="AG1604" s="93">
        <f t="shared" si="95"/>
        <v>0</v>
      </c>
      <c r="AH1604" s="93">
        <f t="shared" si="96"/>
        <v>0</v>
      </c>
      <c r="AI1604" s="88" t="s">
        <v>55</v>
      </c>
      <c r="AJ1604" s="93">
        <f t="shared" si="97"/>
        <v>0</v>
      </c>
      <c r="AK1604" s="93">
        <f t="shared" si="98"/>
        <v>0</v>
      </c>
      <c r="AL1604" s="93">
        <f t="shared" si="99"/>
        <v>0</v>
      </c>
      <c r="AN1604" s="93">
        <v>21</v>
      </c>
      <c r="AO1604" s="93">
        <f t="shared" si="100"/>
        <v>0</v>
      </c>
      <c r="AP1604" s="93">
        <f t="shared" si="101"/>
        <v>0</v>
      </c>
      <c r="AQ1604" s="94" t="s">
        <v>148</v>
      </c>
      <c r="AV1604" s="93">
        <f t="shared" si="102"/>
        <v>0</v>
      </c>
      <c r="AW1604" s="93">
        <f t="shared" si="103"/>
        <v>0</v>
      </c>
      <c r="AX1604" s="93">
        <f t="shared" si="104"/>
        <v>0</v>
      </c>
      <c r="AY1604" s="94" t="s">
        <v>1797</v>
      </c>
      <c r="AZ1604" s="94" t="s">
        <v>1654</v>
      </c>
      <c r="BA1604" s="88" t="s">
        <v>67</v>
      </c>
      <c r="BC1604" s="93">
        <f t="shared" si="105"/>
        <v>0</v>
      </c>
      <c r="BD1604" s="93">
        <f t="shared" si="106"/>
        <v>0</v>
      </c>
      <c r="BE1604" s="93">
        <v>0</v>
      </c>
      <c r="BF1604" s="93">
        <f t="shared" si="107"/>
        <v>0</v>
      </c>
      <c r="BH1604" s="93">
        <f t="shared" si="108"/>
        <v>0</v>
      </c>
      <c r="BI1604" s="93">
        <f t="shared" si="109"/>
        <v>0</v>
      </c>
      <c r="BJ1604" s="93">
        <f t="shared" si="110"/>
        <v>0</v>
      </c>
      <c r="BK1604" s="93"/>
      <c r="BL1604" s="93"/>
      <c r="BW1604" s="93" t="str">
        <f t="shared" si="111"/>
        <v>21</v>
      </c>
      <c r="BX1604" s="2" t="s">
        <v>1809</v>
      </c>
    </row>
    <row r="1605" spans="1:76" s="81" customFormat="1" ht="25.5" x14ac:dyDescent="0.25">
      <c r="A1605" s="72" t="s">
        <v>1810</v>
      </c>
      <c r="B1605" s="72" t="s">
        <v>55</v>
      </c>
      <c r="C1605" s="72" t="s">
        <v>1811</v>
      </c>
      <c r="D1605" s="175" t="s">
        <v>1812</v>
      </c>
      <c r="E1605" s="175"/>
      <c r="F1605" s="72" t="s">
        <v>1676</v>
      </c>
      <c r="G1605" s="90">
        <v>17</v>
      </c>
      <c r="H1605" s="91"/>
      <c r="I1605" s="92" t="s">
        <v>63</v>
      </c>
      <c r="J1605" s="90">
        <f t="shared" si="84"/>
        <v>0</v>
      </c>
      <c r="K1605" s="90">
        <f t="shared" si="85"/>
        <v>0</v>
      </c>
      <c r="L1605" s="90">
        <f t="shared" si="86"/>
        <v>0</v>
      </c>
      <c r="M1605" s="90">
        <f t="shared" si="87"/>
        <v>0</v>
      </c>
      <c r="N1605" s="90">
        <v>0</v>
      </c>
      <c r="O1605" s="90">
        <f t="shared" si="88"/>
        <v>0</v>
      </c>
      <c r="P1605" s="92" t="s">
        <v>1652</v>
      </c>
      <c r="Z1605" s="93">
        <f t="shared" si="89"/>
        <v>0</v>
      </c>
      <c r="AB1605" s="93">
        <f t="shared" si="90"/>
        <v>0</v>
      </c>
      <c r="AC1605" s="93">
        <f t="shared" si="91"/>
        <v>0</v>
      </c>
      <c r="AD1605" s="93">
        <f t="shared" si="92"/>
        <v>0</v>
      </c>
      <c r="AE1605" s="93">
        <f t="shared" si="93"/>
        <v>0</v>
      </c>
      <c r="AF1605" s="93">
        <f t="shared" si="94"/>
        <v>0</v>
      </c>
      <c r="AG1605" s="93">
        <f t="shared" si="95"/>
        <v>0</v>
      </c>
      <c r="AH1605" s="93">
        <f t="shared" si="96"/>
        <v>0</v>
      </c>
      <c r="AI1605" s="88" t="s">
        <v>55</v>
      </c>
      <c r="AJ1605" s="93">
        <f t="shared" si="97"/>
        <v>0</v>
      </c>
      <c r="AK1605" s="93">
        <f t="shared" si="98"/>
        <v>0</v>
      </c>
      <c r="AL1605" s="93">
        <f t="shared" si="99"/>
        <v>0</v>
      </c>
      <c r="AN1605" s="93">
        <v>21</v>
      </c>
      <c r="AO1605" s="93">
        <f t="shared" si="100"/>
        <v>0</v>
      </c>
      <c r="AP1605" s="93">
        <f t="shared" si="101"/>
        <v>0</v>
      </c>
      <c r="AQ1605" s="94" t="s">
        <v>148</v>
      </c>
      <c r="AV1605" s="93">
        <f t="shared" si="102"/>
        <v>0</v>
      </c>
      <c r="AW1605" s="93">
        <f t="shared" si="103"/>
        <v>0</v>
      </c>
      <c r="AX1605" s="93">
        <f t="shared" si="104"/>
        <v>0</v>
      </c>
      <c r="AY1605" s="94" t="s">
        <v>1797</v>
      </c>
      <c r="AZ1605" s="94" t="s">
        <v>1654</v>
      </c>
      <c r="BA1605" s="88" t="s">
        <v>67</v>
      </c>
      <c r="BC1605" s="93">
        <f t="shared" si="105"/>
        <v>0</v>
      </c>
      <c r="BD1605" s="93">
        <f t="shared" si="106"/>
        <v>0</v>
      </c>
      <c r="BE1605" s="93">
        <v>0</v>
      </c>
      <c r="BF1605" s="93">
        <f t="shared" si="107"/>
        <v>0</v>
      </c>
      <c r="BH1605" s="93">
        <f t="shared" si="108"/>
        <v>0</v>
      </c>
      <c r="BI1605" s="93">
        <f t="shared" si="109"/>
        <v>0</v>
      </c>
      <c r="BJ1605" s="93">
        <f t="shared" si="110"/>
        <v>0</v>
      </c>
      <c r="BK1605" s="93"/>
      <c r="BL1605" s="93"/>
      <c r="BW1605" s="93" t="str">
        <f t="shared" si="111"/>
        <v>21</v>
      </c>
      <c r="BX1605" s="2" t="s">
        <v>1812</v>
      </c>
    </row>
    <row r="1606" spans="1:76" s="81" customFormat="1" ht="25.5" x14ac:dyDescent="0.25">
      <c r="A1606" s="72" t="s">
        <v>1813</v>
      </c>
      <c r="B1606" s="72" t="s">
        <v>55</v>
      </c>
      <c r="C1606" s="72" t="s">
        <v>1814</v>
      </c>
      <c r="D1606" s="175" t="s">
        <v>1715</v>
      </c>
      <c r="E1606" s="175"/>
      <c r="F1606" s="72" t="s">
        <v>1334</v>
      </c>
      <c r="G1606" s="90">
        <v>1</v>
      </c>
      <c r="H1606" s="91"/>
      <c r="I1606" s="92" t="s">
        <v>63</v>
      </c>
      <c r="J1606" s="90">
        <f t="shared" si="84"/>
        <v>0</v>
      </c>
      <c r="K1606" s="90">
        <f t="shared" si="85"/>
        <v>0</v>
      </c>
      <c r="L1606" s="90">
        <f t="shared" si="86"/>
        <v>0</v>
      </c>
      <c r="M1606" s="90">
        <f t="shared" si="87"/>
        <v>0</v>
      </c>
      <c r="N1606" s="90">
        <v>0</v>
      </c>
      <c r="O1606" s="90">
        <f t="shared" si="88"/>
        <v>0</v>
      </c>
      <c r="P1606" s="92" t="s">
        <v>1652</v>
      </c>
      <c r="Z1606" s="93">
        <f t="shared" si="89"/>
        <v>0</v>
      </c>
      <c r="AB1606" s="93">
        <f t="shared" si="90"/>
        <v>0</v>
      </c>
      <c r="AC1606" s="93">
        <f t="shared" si="91"/>
        <v>0</v>
      </c>
      <c r="AD1606" s="93">
        <f t="shared" si="92"/>
        <v>0</v>
      </c>
      <c r="AE1606" s="93">
        <f t="shared" si="93"/>
        <v>0</v>
      </c>
      <c r="AF1606" s="93">
        <f t="shared" si="94"/>
        <v>0</v>
      </c>
      <c r="AG1606" s="93">
        <f t="shared" si="95"/>
        <v>0</v>
      </c>
      <c r="AH1606" s="93">
        <f t="shared" si="96"/>
        <v>0</v>
      </c>
      <c r="AI1606" s="88" t="s">
        <v>55</v>
      </c>
      <c r="AJ1606" s="93">
        <f t="shared" si="97"/>
        <v>0</v>
      </c>
      <c r="AK1606" s="93">
        <f t="shared" si="98"/>
        <v>0</v>
      </c>
      <c r="AL1606" s="93">
        <f t="shared" si="99"/>
        <v>0</v>
      </c>
      <c r="AN1606" s="93">
        <v>21</v>
      </c>
      <c r="AO1606" s="93">
        <f t="shared" si="100"/>
        <v>0</v>
      </c>
      <c r="AP1606" s="93">
        <f t="shared" si="101"/>
        <v>0</v>
      </c>
      <c r="AQ1606" s="94" t="s">
        <v>148</v>
      </c>
      <c r="AV1606" s="93">
        <f t="shared" si="102"/>
        <v>0</v>
      </c>
      <c r="AW1606" s="93">
        <f t="shared" si="103"/>
        <v>0</v>
      </c>
      <c r="AX1606" s="93">
        <f t="shared" si="104"/>
        <v>0</v>
      </c>
      <c r="AY1606" s="94" t="s">
        <v>1797</v>
      </c>
      <c r="AZ1606" s="94" t="s">
        <v>1654</v>
      </c>
      <c r="BA1606" s="88" t="s">
        <v>67</v>
      </c>
      <c r="BC1606" s="93">
        <f t="shared" si="105"/>
        <v>0</v>
      </c>
      <c r="BD1606" s="93">
        <f t="shared" si="106"/>
        <v>0</v>
      </c>
      <c r="BE1606" s="93">
        <v>0</v>
      </c>
      <c r="BF1606" s="93">
        <f t="shared" si="107"/>
        <v>0</v>
      </c>
      <c r="BH1606" s="93">
        <f t="shared" si="108"/>
        <v>0</v>
      </c>
      <c r="BI1606" s="93">
        <f t="shared" si="109"/>
        <v>0</v>
      </c>
      <c r="BJ1606" s="93">
        <f t="shared" si="110"/>
        <v>0</v>
      </c>
      <c r="BK1606" s="93"/>
      <c r="BL1606" s="93"/>
      <c r="BW1606" s="93" t="str">
        <f t="shared" si="111"/>
        <v>21</v>
      </c>
      <c r="BX1606" s="2" t="s">
        <v>1715</v>
      </c>
    </row>
    <row r="1607" spans="1:76" s="81" customFormat="1" x14ac:dyDescent="0.25">
      <c r="A1607" s="85" t="s">
        <v>54</v>
      </c>
      <c r="B1607" s="74" t="s">
        <v>55</v>
      </c>
      <c r="C1607" s="74" t="s">
        <v>1815</v>
      </c>
      <c r="D1607" s="176" t="s">
        <v>1816</v>
      </c>
      <c r="E1607" s="176"/>
      <c r="F1607" s="85" t="s">
        <v>4</v>
      </c>
      <c r="G1607" s="85" t="s">
        <v>4</v>
      </c>
      <c r="H1607" s="98"/>
      <c r="I1607" s="85" t="s">
        <v>4</v>
      </c>
      <c r="J1607" s="86">
        <f>SUM(J1608:J1615)</f>
        <v>0</v>
      </c>
      <c r="K1607" s="86">
        <f>SUM(K1608:K1615)</f>
        <v>0</v>
      </c>
      <c r="L1607" s="86">
        <f>SUM(L1608:L1615)</f>
        <v>0</v>
      </c>
      <c r="M1607" s="86">
        <f>SUM(M1608:M1615)</f>
        <v>0</v>
      </c>
      <c r="N1607" s="87" t="s">
        <v>54</v>
      </c>
      <c r="O1607" s="86">
        <f>SUM(O1608:O1615)</f>
        <v>0</v>
      </c>
      <c r="P1607" s="87" t="s">
        <v>54</v>
      </c>
      <c r="AI1607" s="88" t="s">
        <v>55</v>
      </c>
      <c r="AS1607" s="89">
        <f>SUM(AJ1608:AJ1615)</f>
        <v>0</v>
      </c>
      <c r="AT1607" s="89">
        <f>SUM(AK1608:AK1615)</f>
        <v>0</v>
      </c>
      <c r="AU1607" s="89">
        <f>SUM(AL1608:AL1615)</f>
        <v>0</v>
      </c>
    </row>
    <row r="1608" spans="1:76" s="81" customFormat="1" ht="25.5" x14ac:dyDescent="0.25">
      <c r="A1608" s="72" t="s">
        <v>1817</v>
      </c>
      <c r="B1608" s="72" t="s">
        <v>55</v>
      </c>
      <c r="C1608" s="72" t="s">
        <v>1818</v>
      </c>
      <c r="D1608" s="175" t="s">
        <v>1819</v>
      </c>
      <c r="E1608" s="175"/>
      <c r="F1608" s="72" t="s">
        <v>203</v>
      </c>
      <c r="G1608" s="90">
        <v>1</v>
      </c>
      <c r="H1608" s="91"/>
      <c r="I1608" s="92" t="s">
        <v>63</v>
      </c>
      <c r="J1608" s="90">
        <f t="shared" ref="J1608:J1615" si="112">G1608*AO1608</f>
        <v>0</v>
      </c>
      <c r="K1608" s="90">
        <f t="shared" ref="K1608:K1615" si="113">G1608*AP1608</f>
        <v>0</v>
      </c>
      <c r="L1608" s="90">
        <f t="shared" ref="L1608:L1615" si="114">G1608*H1608</f>
        <v>0</v>
      </c>
      <c r="M1608" s="90">
        <f t="shared" ref="M1608:M1615" si="115">L1608*(1+BW1608/100)</f>
        <v>0</v>
      </c>
      <c r="N1608" s="90">
        <v>0</v>
      </c>
      <c r="O1608" s="90">
        <f t="shared" ref="O1608:O1615" si="116">G1608*N1608</f>
        <v>0</v>
      </c>
      <c r="P1608" s="92" t="s">
        <v>1652</v>
      </c>
      <c r="Z1608" s="93">
        <f t="shared" ref="Z1608:Z1615" si="117">IF(AQ1608="5",BJ1608,0)</f>
        <v>0</v>
      </c>
      <c r="AB1608" s="93">
        <f t="shared" ref="AB1608:AB1615" si="118">IF(AQ1608="1",BH1608,0)</f>
        <v>0</v>
      </c>
      <c r="AC1608" s="93">
        <f t="shared" ref="AC1608:AC1615" si="119">IF(AQ1608="1",BI1608,0)</f>
        <v>0</v>
      </c>
      <c r="AD1608" s="93">
        <f t="shared" ref="AD1608:AD1615" si="120">IF(AQ1608="7",BH1608,0)</f>
        <v>0</v>
      </c>
      <c r="AE1608" s="93">
        <f t="shared" ref="AE1608:AE1615" si="121">IF(AQ1608="7",BI1608,0)</f>
        <v>0</v>
      </c>
      <c r="AF1608" s="93">
        <f t="shared" ref="AF1608:AF1615" si="122">IF(AQ1608="2",BH1608,0)</f>
        <v>0</v>
      </c>
      <c r="AG1608" s="93">
        <f t="shared" ref="AG1608:AG1615" si="123">IF(AQ1608="2",BI1608,0)</f>
        <v>0</v>
      </c>
      <c r="AH1608" s="93">
        <f t="shared" ref="AH1608:AH1615" si="124">IF(AQ1608="0",BJ1608,0)</f>
        <v>0</v>
      </c>
      <c r="AI1608" s="88" t="s">
        <v>55</v>
      </c>
      <c r="AJ1608" s="93">
        <f t="shared" ref="AJ1608:AJ1615" si="125">IF(AN1608=0,L1608,0)</f>
        <v>0</v>
      </c>
      <c r="AK1608" s="93">
        <f t="shared" ref="AK1608:AK1615" si="126">IF(AN1608=12,L1608,0)</f>
        <v>0</v>
      </c>
      <c r="AL1608" s="93">
        <f t="shared" ref="AL1608:AL1615" si="127">IF(AN1608=21,L1608,0)</f>
        <v>0</v>
      </c>
      <c r="AN1608" s="93">
        <v>21</v>
      </c>
      <c r="AO1608" s="93">
        <f t="shared" ref="AO1608:AO1615" si="128">H1608*0</f>
        <v>0</v>
      </c>
      <c r="AP1608" s="93">
        <f t="shared" ref="AP1608:AP1615" si="129">H1608*(1-0)</f>
        <v>0</v>
      </c>
      <c r="AQ1608" s="94" t="s">
        <v>148</v>
      </c>
      <c r="AV1608" s="93">
        <f t="shared" ref="AV1608:AV1615" si="130">AW1608+AX1608</f>
        <v>0</v>
      </c>
      <c r="AW1608" s="93">
        <f t="shared" ref="AW1608:AW1615" si="131">G1608*AO1608</f>
        <v>0</v>
      </c>
      <c r="AX1608" s="93">
        <f t="shared" ref="AX1608:AX1615" si="132">G1608*AP1608</f>
        <v>0</v>
      </c>
      <c r="AY1608" s="94" t="s">
        <v>1820</v>
      </c>
      <c r="AZ1608" s="94" t="s">
        <v>1654</v>
      </c>
      <c r="BA1608" s="88" t="s">
        <v>67</v>
      </c>
      <c r="BC1608" s="93">
        <f t="shared" ref="BC1608:BC1615" si="133">AW1608+AX1608</f>
        <v>0</v>
      </c>
      <c r="BD1608" s="93">
        <f t="shared" ref="BD1608:BD1615" si="134">H1608/(100-BE1608)*100</f>
        <v>0</v>
      </c>
      <c r="BE1608" s="93">
        <v>0</v>
      </c>
      <c r="BF1608" s="93">
        <f t="shared" ref="BF1608:BF1615" si="135">O1608</f>
        <v>0</v>
      </c>
      <c r="BH1608" s="93">
        <f t="shared" ref="BH1608:BH1615" si="136">G1608*AO1608</f>
        <v>0</v>
      </c>
      <c r="BI1608" s="93">
        <f t="shared" ref="BI1608:BI1615" si="137">G1608*AP1608</f>
        <v>0</v>
      </c>
      <c r="BJ1608" s="93">
        <f t="shared" ref="BJ1608:BJ1615" si="138">G1608*H1608</f>
        <v>0</v>
      </c>
      <c r="BK1608" s="93"/>
      <c r="BL1608" s="93"/>
      <c r="BW1608" s="93" t="str">
        <f t="shared" ref="BW1608:BW1615" si="139">I1608</f>
        <v>21</v>
      </c>
      <c r="BX1608" s="2" t="s">
        <v>1819</v>
      </c>
    </row>
    <row r="1609" spans="1:76" s="81" customFormat="1" ht="25.5" x14ac:dyDescent="0.25">
      <c r="A1609" s="72" t="s">
        <v>1821</v>
      </c>
      <c r="B1609" s="72" t="s">
        <v>55</v>
      </c>
      <c r="C1609" s="72" t="s">
        <v>1822</v>
      </c>
      <c r="D1609" s="175" t="s">
        <v>1823</v>
      </c>
      <c r="E1609" s="175"/>
      <c r="F1609" s="72" t="s">
        <v>203</v>
      </c>
      <c r="G1609" s="90">
        <v>1</v>
      </c>
      <c r="H1609" s="91"/>
      <c r="I1609" s="92" t="s">
        <v>63</v>
      </c>
      <c r="J1609" s="90">
        <f t="shared" si="112"/>
        <v>0</v>
      </c>
      <c r="K1609" s="90">
        <f t="shared" si="113"/>
        <v>0</v>
      </c>
      <c r="L1609" s="90">
        <f t="shared" si="114"/>
        <v>0</v>
      </c>
      <c r="M1609" s="90">
        <f t="shared" si="115"/>
        <v>0</v>
      </c>
      <c r="N1609" s="90">
        <v>0</v>
      </c>
      <c r="O1609" s="90">
        <f t="shared" si="116"/>
        <v>0</v>
      </c>
      <c r="P1609" s="92" t="s">
        <v>1652</v>
      </c>
      <c r="Z1609" s="93">
        <f t="shared" si="117"/>
        <v>0</v>
      </c>
      <c r="AB1609" s="93">
        <f t="shared" si="118"/>
        <v>0</v>
      </c>
      <c r="AC1609" s="93">
        <f t="shared" si="119"/>
        <v>0</v>
      </c>
      <c r="AD1609" s="93">
        <f t="shared" si="120"/>
        <v>0</v>
      </c>
      <c r="AE1609" s="93">
        <f t="shared" si="121"/>
        <v>0</v>
      </c>
      <c r="AF1609" s="93">
        <f t="shared" si="122"/>
        <v>0</v>
      </c>
      <c r="AG1609" s="93">
        <f t="shared" si="123"/>
        <v>0</v>
      </c>
      <c r="AH1609" s="93">
        <f t="shared" si="124"/>
        <v>0</v>
      </c>
      <c r="AI1609" s="88" t="s">
        <v>55</v>
      </c>
      <c r="AJ1609" s="93">
        <f t="shared" si="125"/>
        <v>0</v>
      </c>
      <c r="AK1609" s="93">
        <f t="shared" si="126"/>
        <v>0</v>
      </c>
      <c r="AL1609" s="93">
        <f t="shared" si="127"/>
        <v>0</v>
      </c>
      <c r="AN1609" s="93">
        <v>21</v>
      </c>
      <c r="AO1609" s="93">
        <f t="shared" si="128"/>
        <v>0</v>
      </c>
      <c r="AP1609" s="93">
        <f t="shared" si="129"/>
        <v>0</v>
      </c>
      <c r="AQ1609" s="94" t="s">
        <v>148</v>
      </c>
      <c r="AV1609" s="93">
        <f t="shared" si="130"/>
        <v>0</v>
      </c>
      <c r="AW1609" s="93">
        <f t="shared" si="131"/>
        <v>0</v>
      </c>
      <c r="AX1609" s="93">
        <f t="shared" si="132"/>
        <v>0</v>
      </c>
      <c r="AY1609" s="94" t="s">
        <v>1820</v>
      </c>
      <c r="AZ1609" s="94" t="s">
        <v>1654</v>
      </c>
      <c r="BA1609" s="88" t="s">
        <v>67</v>
      </c>
      <c r="BC1609" s="93">
        <f t="shared" si="133"/>
        <v>0</v>
      </c>
      <c r="BD1609" s="93">
        <f t="shared" si="134"/>
        <v>0</v>
      </c>
      <c r="BE1609" s="93">
        <v>0</v>
      </c>
      <c r="BF1609" s="93">
        <f t="shared" si="135"/>
        <v>0</v>
      </c>
      <c r="BH1609" s="93">
        <f t="shared" si="136"/>
        <v>0</v>
      </c>
      <c r="BI1609" s="93">
        <f t="shared" si="137"/>
        <v>0</v>
      </c>
      <c r="BJ1609" s="93">
        <f t="shared" si="138"/>
        <v>0</v>
      </c>
      <c r="BK1609" s="93"/>
      <c r="BL1609" s="93"/>
      <c r="BW1609" s="93" t="str">
        <f t="shared" si="139"/>
        <v>21</v>
      </c>
      <c r="BX1609" s="2" t="s">
        <v>1823</v>
      </c>
    </row>
    <row r="1610" spans="1:76" s="81" customFormat="1" ht="25.5" x14ac:dyDescent="0.25">
      <c r="A1610" s="72" t="s">
        <v>1824</v>
      </c>
      <c r="B1610" s="72" t="s">
        <v>55</v>
      </c>
      <c r="C1610" s="72" t="s">
        <v>1825</v>
      </c>
      <c r="D1610" s="175" t="s">
        <v>1826</v>
      </c>
      <c r="E1610" s="175"/>
      <c r="F1610" s="72" t="s">
        <v>1676</v>
      </c>
      <c r="G1610" s="90">
        <v>2</v>
      </c>
      <c r="H1610" s="91"/>
      <c r="I1610" s="92" t="s">
        <v>63</v>
      </c>
      <c r="J1610" s="90">
        <f t="shared" si="112"/>
        <v>0</v>
      </c>
      <c r="K1610" s="90">
        <f t="shared" si="113"/>
        <v>0</v>
      </c>
      <c r="L1610" s="90">
        <f t="shared" si="114"/>
        <v>0</v>
      </c>
      <c r="M1610" s="90">
        <f t="shared" si="115"/>
        <v>0</v>
      </c>
      <c r="N1610" s="90">
        <v>0</v>
      </c>
      <c r="O1610" s="90">
        <f t="shared" si="116"/>
        <v>0</v>
      </c>
      <c r="P1610" s="92" t="s">
        <v>1652</v>
      </c>
      <c r="Z1610" s="93">
        <f t="shared" si="117"/>
        <v>0</v>
      </c>
      <c r="AB1610" s="93">
        <f t="shared" si="118"/>
        <v>0</v>
      </c>
      <c r="AC1610" s="93">
        <f t="shared" si="119"/>
        <v>0</v>
      </c>
      <c r="AD1610" s="93">
        <f t="shared" si="120"/>
        <v>0</v>
      </c>
      <c r="AE1610" s="93">
        <f t="shared" si="121"/>
        <v>0</v>
      </c>
      <c r="AF1610" s="93">
        <f t="shared" si="122"/>
        <v>0</v>
      </c>
      <c r="AG1610" s="93">
        <f t="shared" si="123"/>
        <v>0</v>
      </c>
      <c r="AH1610" s="93">
        <f t="shared" si="124"/>
        <v>0</v>
      </c>
      <c r="AI1610" s="88" t="s">
        <v>55</v>
      </c>
      <c r="AJ1610" s="93">
        <f t="shared" si="125"/>
        <v>0</v>
      </c>
      <c r="AK1610" s="93">
        <f t="shared" si="126"/>
        <v>0</v>
      </c>
      <c r="AL1610" s="93">
        <f t="shared" si="127"/>
        <v>0</v>
      </c>
      <c r="AN1610" s="93">
        <v>21</v>
      </c>
      <c r="AO1610" s="93">
        <f t="shared" si="128"/>
        <v>0</v>
      </c>
      <c r="AP1610" s="93">
        <f t="shared" si="129"/>
        <v>0</v>
      </c>
      <c r="AQ1610" s="94" t="s">
        <v>148</v>
      </c>
      <c r="AV1610" s="93">
        <f t="shared" si="130"/>
        <v>0</v>
      </c>
      <c r="AW1610" s="93">
        <f t="shared" si="131"/>
        <v>0</v>
      </c>
      <c r="AX1610" s="93">
        <f t="shared" si="132"/>
        <v>0</v>
      </c>
      <c r="AY1610" s="94" t="s">
        <v>1820</v>
      </c>
      <c r="AZ1610" s="94" t="s">
        <v>1654</v>
      </c>
      <c r="BA1610" s="88" t="s">
        <v>67</v>
      </c>
      <c r="BC1610" s="93">
        <f t="shared" si="133"/>
        <v>0</v>
      </c>
      <c r="BD1610" s="93">
        <f t="shared" si="134"/>
        <v>0</v>
      </c>
      <c r="BE1610" s="93">
        <v>0</v>
      </c>
      <c r="BF1610" s="93">
        <f t="shared" si="135"/>
        <v>0</v>
      </c>
      <c r="BH1610" s="93">
        <f t="shared" si="136"/>
        <v>0</v>
      </c>
      <c r="BI1610" s="93">
        <f t="shared" si="137"/>
        <v>0</v>
      </c>
      <c r="BJ1610" s="93">
        <f t="shared" si="138"/>
        <v>0</v>
      </c>
      <c r="BK1610" s="93"/>
      <c r="BL1610" s="93"/>
      <c r="BW1610" s="93" t="str">
        <f t="shared" si="139"/>
        <v>21</v>
      </c>
      <c r="BX1610" s="2" t="s">
        <v>1826</v>
      </c>
    </row>
    <row r="1611" spans="1:76" s="81" customFormat="1" ht="25.5" x14ac:dyDescent="0.25">
      <c r="A1611" s="72" t="s">
        <v>1827</v>
      </c>
      <c r="B1611" s="72" t="s">
        <v>55</v>
      </c>
      <c r="C1611" s="72" t="s">
        <v>1828</v>
      </c>
      <c r="D1611" s="175" t="s">
        <v>1783</v>
      </c>
      <c r="E1611" s="175"/>
      <c r="F1611" s="72" t="s">
        <v>1676</v>
      </c>
      <c r="G1611" s="90">
        <v>2</v>
      </c>
      <c r="H1611" s="91"/>
      <c r="I1611" s="92" t="s">
        <v>63</v>
      </c>
      <c r="J1611" s="90">
        <f t="shared" si="112"/>
        <v>0</v>
      </c>
      <c r="K1611" s="90">
        <f t="shared" si="113"/>
        <v>0</v>
      </c>
      <c r="L1611" s="90">
        <f t="shared" si="114"/>
        <v>0</v>
      </c>
      <c r="M1611" s="90">
        <f t="shared" si="115"/>
        <v>0</v>
      </c>
      <c r="N1611" s="90">
        <v>0</v>
      </c>
      <c r="O1611" s="90">
        <f t="shared" si="116"/>
        <v>0</v>
      </c>
      <c r="P1611" s="92" t="s">
        <v>1652</v>
      </c>
      <c r="Z1611" s="93">
        <f t="shared" si="117"/>
        <v>0</v>
      </c>
      <c r="AB1611" s="93">
        <f t="shared" si="118"/>
        <v>0</v>
      </c>
      <c r="AC1611" s="93">
        <f t="shared" si="119"/>
        <v>0</v>
      </c>
      <c r="AD1611" s="93">
        <f t="shared" si="120"/>
        <v>0</v>
      </c>
      <c r="AE1611" s="93">
        <f t="shared" si="121"/>
        <v>0</v>
      </c>
      <c r="AF1611" s="93">
        <f t="shared" si="122"/>
        <v>0</v>
      </c>
      <c r="AG1611" s="93">
        <f t="shared" si="123"/>
        <v>0</v>
      </c>
      <c r="AH1611" s="93">
        <f t="shared" si="124"/>
        <v>0</v>
      </c>
      <c r="AI1611" s="88" t="s">
        <v>55</v>
      </c>
      <c r="AJ1611" s="93">
        <f t="shared" si="125"/>
        <v>0</v>
      </c>
      <c r="AK1611" s="93">
        <f t="shared" si="126"/>
        <v>0</v>
      </c>
      <c r="AL1611" s="93">
        <f t="shared" si="127"/>
        <v>0</v>
      </c>
      <c r="AN1611" s="93">
        <v>21</v>
      </c>
      <c r="AO1611" s="93">
        <f t="shared" si="128"/>
        <v>0</v>
      </c>
      <c r="AP1611" s="93">
        <f t="shared" si="129"/>
        <v>0</v>
      </c>
      <c r="AQ1611" s="94" t="s">
        <v>148</v>
      </c>
      <c r="AV1611" s="93">
        <f t="shared" si="130"/>
        <v>0</v>
      </c>
      <c r="AW1611" s="93">
        <f t="shared" si="131"/>
        <v>0</v>
      </c>
      <c r="AX1611" s="93">
        <f t="shared" si="132"/>
        <v>0</v>
      </c>
      <c r="AY1611" s="94" t="s">
        <v>1820</v>
      </c>
      <c r="AZ1611" s="94" t="s">
        <v>1654</v>
      </c>
      <c r="BA1611" s="88" t="s">
        <v>67</v>
      </c>
      <c r="BC1611" s="93">
        <f t="shared" si="133"/>
        <v>0</v>
      </c>
      <c r="BD1611" s="93">
        <f t="shared" si="134"/>
        <v>0</v>
      </c>
      <c r="BE1611" s="93">
        <v>0</v>
      </c>
      <c r="BF1611" s="93">
        <f t="shared" si="135"/>
        <v>0</v>
      </c>
      <c r="BH1611" s="93">
        <f t="shared" si="136"/>
        <v>0</v>
      </c>
      <c r="BI1611" s="93">
        <f t="shared" si="137"/>
        <v>0</v>
      </c>
      <c r="BJ1611" s="93">
        <f t="shared" si="138"/>
        <v>0</v>
      </c>
      <c r="BK1611" s="93"/>
      <c r="BL1611" s="93"/>
      <c r="BW1611" s="93" t="str">
        <f t="shared" si="139"/>
        <v>21</v>
      </c>
      <c r="BX1611" s="2" t="s">
        <v>1783</v>
      </c>
    </row>
    <row r="1612" spans="1:76" s="81" customFormat="1" ht="25.5" x14ac:dyDescent="0.25">
      <c r="A1612" s="72" t="s">
        <v>1829</v>
      </c>
      <c r="B1612" s="72" t="s">
        <v>55</v>
      </c>
      <c r="C1612" s="72" t="s">
        <v>1830</v>
      </c>
      <c r="D1612" s="175" t="s">
        <v>1697</v>
      </c>
      <c r="E1612" s="175"/>
      <c r="F1612" s="72" t="s">
        <v>1676</v>
      </c>
      <c r="G1612" s="90">
        <v>1</v>
      </c>
      <c r="H1612" s="91"/>
      <c r="I1612" s="92" t="s">
        <v>63</v>
      </c>
      <c r="J1612" s="90">
        <f t="shared" si="112"/>
        <v>0</v>
      </c>
      <c r="K1612" s="90">
        <f t="shared" si="113"/>
        <v>0</v>
      </c>
      <c r="L1612" s="90">
        <f t="shared" si="114"/>
        <v>0</v>
      </c>
      <c r="M1612" s="90">
        <f t="shared" si="115"/>
        <v>0</v>
      </c>
      <c r="N1612" s="90">
        <v>0</v>
      </c>
      <c r="O1612" s="90">
        <f t="shared" si="116"/>
        <v>0</v>
      </c>
      <c r="P1612" s="92" t="s">
        <v>1652</v>
      </c>
      <c r="Z1612" s="93">
        <f t="shared" si="117"/>
        <v>0</v>
      </c>
      <c r="AB1612" s="93">
        <f t="shared" si="118"/>
        <v>0</v>
      </c>
      <c r="AC1612" s="93">
        <f t="shared" si="119"/>
        <v>0</v>
      </c>
      <c r="AD1612" s="93">
        <f t="shared" si="120"/>
        <v>0</v>
      </c>
      <c r="AE1612" s="93">
        <f t="shared" si="121"/>
        <v>0</v>
      </c>
      <c r="AF1612" s="93">
        <f t="shared" si="122"/>
        <v>0</v>
      </c>
      <c r="AG1612" s="93">
        <f t="shared" si="123"/>
        <v>0</v>
      </c>
      <c r="AH1612" s="93">
        <f t="shared" si="124"/>
        <v>0</v>
      </c>
      <c r="AI1612" s="88" t="s">
        <v>55</v>
      </c>
      <c r="AJ1612" s="93">
        <f t="shared" si="125"/>
        <v>0</v>
      </c>
      <c r="AK1612" s="93">
        <f t="shared" si="126"/>
        <v>0</v>
      </c>
      <c r="AL1612" s="93">
        <f t="shared" si="127"/>
        <v>0</v>
      </c>
      <c r="AN1612" s="93">
        <v>21</v>
      </c>
      <c r="AO1612" s="93">
        <f t="shared" si="128"/>
        <v>0</v>
      </c>
      <c r="AP1612" s="93">
        <f t="shared" si="129"/>
        <v>0</v>
      </c>
      <c r="AQ1612" s="94" t="s">
        <v>148</v>
      </c>
      <c r="AV1612" s="93">
        <f t="shared" si="130"/>
        <v>0</v>
      </c>
      <c r="AW1612" s="93">
        <f t="shared" si="131"/>
        <v>0</v>
      </c>
      <c r="AX1612" s="93">
        <f t="shared" si="132"/>
        <v>0</v>
      </c>
      <c r="AY1612" s="94" t="s">
        <v>1820</v>
      </c>
      <c r="AZ1612" s="94" t="s">
        <v>1654</v>
      </c>
      <c r="BA1612" s="88" t="s">
        <v>67</v>
      </c>
      <c r="BC1612" s="93">
        <f t="shared" si="133"/>
        <v>0</v>
      </c>
      <c r="BD1612" s="93">
        <f t="shared" si="134"/>
        <v>0</v>
      </c>
      <c r="BE1612" s="93">
        <v>0</v>
      </c>
      <c r="BF1612" s="93">
        <f t="shared" si="135"/>
        <v>0</v>
      </c>
      <c r="BH1612" s="93">
        <f t="shared" si="136"/>
        <v>0</v>
      </c>
      <c r="BI1612" s="93">
        <f t="shared" si="137"/>
        <v>0</v>
      </c>
      <c r="BJ1612" s="93">
        <f t="shared" si="138"/>
        <v>0</v>
      </c>
      <c r="BK1612" s="93"/>
      <c r="BL1612" s="93"/>
      <c r="BW1612" s="93" t="str">
        <f t="shared" si="139"/>
        <v>21</v>
      </c>
      <c r="BX1612" s="2" t="s">
        <v>1697</v>
      </c>
    </row>
    <row r="1613" spans="1:76" s="81" customFormat="1" ht="25.5" x14ac:dyDescent="0.25">
      <c r="A1613" s="72" t="s">
        <v>1831</v>
      </c>
      <c r="B1613" s="72" t="s">
        <v>55</v>
      </c>
      <c r="C1613" s="72" t="s">
        <v>1832</v>
      </c>
      <c r="D1613" s="175" t="s">
        <v>1833</v>
      </c>
      <c r="E1613" s="175"/>
      <c r="F1613" s="72" t="s">
        <v>192</v>
      </c>
      <c r="G1613" s="90">
        <v>2</v>
      </c>
      <c r="H1613" s="91"/>
      <c r="I1613" s="92" t="s">
        <v>63</v>
      </c>
      <c r="J1613" s="90">
        <f t="shared" si="112"/>
        <v>0</v>
      </c>
      <c r="K1613" s="90">
        <f t="shared" si="113"/>
        <v>0</v>
      </c>
      <c r="L1613" s="90">
        <f t="shared" si="114"/>
        <v>0</v>
      </c>
      <c r="M1613" s="90">
        <f t="shared" si="115"/>
        <v>0</v>
      </c>
      <c r="N1613" s="90">
        <v>0</v>
      </c>
      <c r="O1613" s="90">
        <f t="shared" si="116"/>
        <v>0</v>
      </c>
      <c r="P1613" s="92" t="s">
        <v>1652</v>
      </c>
      <c r="Z1613" s="93">
        <f t="shared" si="117"/>
        <v>0</v>
      </c>
      <c r="AB1613" s="93">
        <f t="shared" si="118"/>
        <v>0</v>
      </c>
      <c r="AC1613" s="93">
        <f t="shared" si="119"/>
        <v>0</v>
      </c>
      <c r="AD1613" s="93">
        <f t="shared" si="120"/>
        <v>0</v>
      </c>
      <c r="AE1613" s="93">
        <f t="shared" si="121"/>
        <v>0</v>
      </c>
      <c r="AF1613" s="93">
        <f t="shared" si="122"/>
        <v>0</v>
      </c>
      <c r="AG1613" s="93">
        <f t="shared" si="123"/>
        <v>0</v>
      </c>
      <c r="AH1613" s="93">
        <f t="shared" si="124"/>
        <v>0</v>
      </c>
      <c r="AI1613" s="88" t="s">
        <v>55</v>
      </c>
      <c r="AJ1613" s="93">
        <f t="shared" si="125"/>
        <v>0</v>
      </c>
      <c r="AK1613" s="93">
        <f t="shared" si="126"/>
        <v>0</v>
      </c>
      <c r="AL1613" s="93">
        <f t="shared" si="127"/>
        <v>0</v>
      </c>
      <c r="AN1613" s="93">
        <v>21</v>
      </c>
      <c r="AO1613" s="93">
        <f t="shared" si="128"/>
        <v>0</v>
      </c>
      <c r="AP1613" s="93">
        <f t="shared" si="129"/>
        <v>0</v>
      </c>
      <c r="AQ1613" s="94" t="s">
        <v>148</v>
      </c>
      <c r="AV1613" s="93">
        <f t="shared" si="130"/>
        <v>0</v>
      </c>
      <c r="AW1613" s="93">
        <f t="shared" si="131"/>
        <v>0</v>
      </c>
      <c r="AX1613" s="93">
        <f t="shared" si="132"/>
        <v>0</v>
      </c>
      <c r="AY1613" s="94" t="s">
        <v>1820</v>
      </c>
      <c r="AZ1613" s="94" t="s">
        <v>1654</v>
      </c>
      <c r="BA1613" s="88" t="s">
        <v>67</v>
      </c>
      <c r="BC1613" s="93">
        <f t="shared" si="133"/>
        <v>0</v>
      </c>
      <c r="BD1613" s="93">
        <f t="shared" si="134"/>
        <v>0</v>
      </c>
      <c r="BE1613" s="93">
        <v>0</v>
      </c>
      <c r="BF1613" s="93">
        <f t="shared" si="135"/>
        <v>0</v>
      </c>
      <c r="BH1613" s="93">
        <f t="shared" si="136"/>
        <v>0</v>
      </c>
      <c r="BI1613" s="93">
        <f t="shared" si="137"/>
        <v>0</v>
      </c>
      <c r="BJ1613" s="93">
        <f t="shared" si="138"/>
        <v>0</v>
      </c>
      <c r="BK1613" s="93"/>
      <c r="BL1613" s="93"/>
      <c r="BW1613" s="93" t="str">
        <f t="shared" si="139"/>
        <v>21</v>
      </c>
      <c r="BX1613" s="2" t="s">
        <v>1833</v>
      </c>
    </row>
    <row r="1614" spans="1:76" s="81" customFormat="1" ht="25.5" x14ac:dyDescent="0.25">
      <c r="A1614" s="72" t="s">
        <v>1834</v>
      </c>
      <c r="B1614" s="72" t="s">
        <v>55</v>
      </c>
      <c r="C1614" s="72" t="s">
        <v>1835</v>
      </c>
      <c r="D1614" s="175" t="s">
        <v>1836</v>
      </c>
      <c r="E1614" s="175"/>
      <c r="F1614" s="72" t="s">
        <v>203</v>
      </c>
      <c r="G1614" s="90">
        <v>1</v>
      </c>
      <c r="H1614" s="91"/>
      <c r="I1614" s="92" t="s">
        <v>63</v>
      </c>
      <c r="J1614" s="90">
        <f t="shared" si="112"/>
        <v>0</v>
      </c>
      <c r="K1614" s="90">
        <f t="shared" si="113"/>
        <v>0</v>
      </c>
      <c r="L1614" s="90">
        <f t="shared" si="114"/>
        <v>0</v>
      </c>
      <c r="M1614" s="90">
        <f t="shared" si="115"/>
        <v>0</v>
      </c>
      <c r="N1614" s="90">
        <v>0</v>
      </c>
      <c r="O1614" s="90">
        <f t="shared" si="116"/>
        <v>0</v>
      </c>
      <c r="P1614" s="92" t="s">
        <v>1652</v>
      </c>
      <c r="Z1614" s="93">
        <f t="shared" si="117"/>
        <v>0</v>
      </c>
      <c r="AB1614" s="93">
        <f t="shared" si="118"/>
        <v>0</v>
      </c>
      <c r="AC1614" s="93">
        <f t="shared" si="119"/>
        <v>0</v>
      </c>
      <c r="AD1614" s="93">
        <f t="shared" si="120"/>
        <v>0</v>
      </c>
      <c r="AE1614" s="93">
        <f t="shared" si="121"/>
        <v>0</v>
      </c>
      <c r="AF1614" s="93">
        <f t="shared" si="122"/>
        <v>0</v>
      </c>
      <c r="AG1614" s="93">
        <f t="shared" si="123"/>
        <v>0</v>
      </c>
      <c r="AH1614" s="93">
        <f t="shared" si="124"/>
        <v>0</v>
      </c>
      <c r="AI1614" s="88" t="s">
        <v>55</v>
      </c>
      <c r="AJ1614" s="93">
        <f t="shared" si="125"/>
        <v>0</v>
      </c>
      <c r="AK1614" s="93">
        <f t="shared" si="126"/>
        <v>0</v>
      </c>
      <c r="AL1614" s="93">
        <f t="shared" si="127"/>
        <v>0</v>
      </c>
      <c r="AN1614" s="93">
        <v>21</v>
      </c>
      <c r="AO1614" s="93">
        <f t="shared" si="128"/>
        <v>0</v>
      </c>
      <c r="AP1614" s="93">
        <f t="shared" si="129"/>
        <v>0</v>
      </c>
      <c r="AQ1614" s="94" t="s">
        <v>148</v>
      </c>
      <c r="AV1614" s="93">
        <f t="shared" si="130"/>
        <v>0</v>
      </c>
      <c r="AW1614" s="93">
        <f t="shared" si="131"/>
        <v>0</v>
      </c>
      <c r="AX1614" s="93">
        <f t="shared" si="132"/>
        <v>0</v>
      </c>
      <c r="AY1614" s="94" t="s">
        <v>1820</v>
      </c>
      <c r="AZ1614" s="94" t="s">
        <v>1654</v>
      </c>
      <c r="BA1614" s="88" t="s">
        <v>67</v>
      </c>
      <c r="BC1614" s="93">
        <f t="shared" si="133"/>
        <v>0</v>
      </c>
      <c r="BD1614" s="93">
        <f t="shared" si="134"/>
        <v>0</v>
      </c>
      <c r="BE1614" s="93">
        <v>0</v>
      </c>
      <c r="BF1614" s="93">
        <f t="shared" si="135"/>
        <v>0</v>
      </c>
      <c r="BH1614" s="93">
        <f t="shared" si="136"/>
        <v>0</v>
      </c>
      <c r="BI1614" s="93">
        <f t="shared" si="137"/>
        <v>0</v>
      </c>
      <c r="BJ1614" s="93">
        <f t="shared" si="138"/>
        <v>0</v>
      </c>
      <c r="BK1614" s="93"/>
      <c r="BL1614" s="93"/>
      <c r="BW1614" s="93" t="str">
        <f t="shared" si="139"/>
        <v>21</v>
      </c>
      <c r="BX1614" s="2" t="s">
        <v>1836</v>
      </c>
    </row>
    <row r="1615" spans="1:76" s="81" customFormat="1" ht="25.5" x14ac:dyDescent="0.25">
      <c r="A1615" s="72" t="s">
        <v>1837</v>
      </c>
      <c r="B1615" s="72" t="s">
        <v>55</v>
      </c>
      <c r="C1615" s="72" t="s">
        <v>1838</v>
      </c>
      <c r="D1615" s="175" t="s">
        <v>1715</v>
      </c>
      <c r="E1615" s="175"/>
      <c r="F1615" s="72" t="s">
        <v>1334</v>
      </c>
      <c r="G1615" s="90">
        <v>1</v>
      </c>
      <c r="H1615" s="91"/>
      <c r="I1615" s="92" t="s">
        <v>63</v>
      </c>
      <c r="J1615" s="90">
        <f t="shared" si="112"/>
        <v>0</v>
      </c>
      <c r="K1615" s="90">
        <f t="shared" si="113"/>
        <v>0</v>
      </c>
      <c r="L1615" s="90">
        <f t="shared" si="114"/>
        <v>0</v>
      </c>
      <c r="M1615" s="90">
        <f t="shared" si="115"/>
        <v>0</v>
      </c>
      <c r="N1615" s="90">
        <v>0</v>
      </c>
      <c r="O1615" s="90">
        <f t="shared" si="116"/>
        <v>0</v>
      </c>
      <c r="P1615" s="92" t="s">
        <v>1652</v>
      </c>
      <c r="Z1615" s="93">
        <f t="shared" si="117"/>
        <v>0</v>
      </c>
      <c r="AB1615" s="93">
        <f t="shared" si="118"/>
        <v>0</v>
      </c>
      <c r="AC1615" s="93">
        <f t="shared" si="119"/>
        <v>0</v>
      </c>
      <c r="AD1615" s="93">
        <f t="shared" si="120"/>
        <v>0</v>
      </c>
      <c r="AE1615" s="93">
        <f t="shared" si="121"/>
        <v>0</v>
      </c>
      <c r="AF1615" s="93">
        <f t="shared" si="122"/>
        <v>0</v>
      </c>
      <c r="AG1615" s="93">
        <f t="shared" si="123"/>
        <v>0</v>
      </c>
      <c r="AH1615" s="93">
        <f t="shared" si="124"/>
        <v>0</v>
      </c>
      <c r="AI1615" s="88" t="s">
        <v>55</v>
      </c>
      <c r="AJ1615" s="93">
        <f t="shared" si="125"/>
        <v>0</v>
      </c>
      <c r="AK1615" s="93">
        <f t="shared" si="126"/>
        <v>0</v>
      </c>
      <c r="AL1615" s="93">
        <f t="shared" si="127"/>
        <v>0</v>
      </c>
      <c r="AN1615" s="93">
        <v>21</v>
      </c>
      <c r="AO1615" s="93">
        <f t="shared" si="128"/>
        <v>0</v>
      </c>
      <c r="AP1615" s="93">
        <f t="shared" si="129"/>
        <v>0</v>
      </c>
      <c r="AQ1615" s="94" t="s">
        <v>148</v>
      </c>
      <c r="AV1615" s="93">
        <f t="shared" si="130"/>
        <v>0</v>
      </c>
      <c r="AW1615" s="93">
        <f t="shared" si="131"/>
        <v>0</v>
      </c>
      <c r="AX1615" s="93">
        <f t="shared" si="132"/>
        <v>0</v>
      </c>
      <c r="AY1615" s="94" t="s">
        <v>1820</v>
      </c>
      <c r="AZ1615" s="94" t="s">
        <v>1654</v>
      </c>
      <c r="BA1615" s="88" t="s">
        <v>67</v>
      </c>
      <c r="BC1615" s="93">
        <f t="shared" si="133"/>
        <v>0</v>
      </c>
      <c r="BD1615" s="93">
        <f t="shared" si="134"/>
        <v>0</v>
      </c>
      <c r="BE1615" s="93">
        <v>0</v>
      </c>
      <c r="BF1615" s="93">
        <f t="shared" si="135"/>
        <v>0</v>
      </c>
      <c r="BH1615" s="93">
        <f t="shared" si="136"/>
        <v>0</v>
      </c>
      <c r="BI1615" s="93">
        <f t="shared" si="137"/>
        <v>0</v>
      </c>
      <c r="BJ1615" s="93">
        <f t="shared" si="138"/>
        <v>0</v>
      </c>
      <c r="BK1615" s="93"/>
      <c r="BL1615" s="93"/>
      <c r="BW1615" s="93" t="str">
        <f t="shared" si="139"/>
        <v>21</v>
      </c>
      <c r="BX1615" s="2" t="s">
        <v>1715</v>
      </c>
    </row>
    <row r="1616" spans="1:76" s="81" customFormat="1" x14ac:dyDescent="0.25">
      <c r="A1616" s="85" t="s">
        <v>54</v>
      </c>
      <c r="B1616" s="74" t="s">
        <v>55</v>
      </c>
      <c r="C1616" s="74" t="s">
        <v>1839</v>
      </c>
      <c r="D1616" s="176" t="s">
        <v>1840</v>
      </c>
      <c r="E1616" s="176"/>
      <c r="F1616" s="85" t="s">
        <v>4</v>
      </c>
      <c r="G1616" s="85" t="s">
        <v>4</v>
      </c>
      <c r="H1616" s="98"/>
      <c r="I1616" s="85" t="s">
        <v>4</v>
      </c>
      <c r="J1616" s="86">
        <f>SUM(J1617:J1629)</f>
        <v>0</v>
      </c>
      <c r="K1616" s="86">
        <f>SUM(K1617:K1629)</f>
        <v>0</v>
      </c>
      <c r="L1616" s="86">
        <f>SUM(L1617:L1629)</f>
        <v>0</v>
      </c>
      <c r="M1616" s="86">
        <f>SUM(M1617:M1629)</f>
        <v>0</v>
      </c>
      <c r="N1616" s="87" t="s">
        <v>54</v>
      </c>
      <c r="O1616" s="86">
        <f>SUM(O1617:O1629)</f>
        <v>0</v>
      </c>
      <c r="P1616" s="87" t="s">
        <v>54</v>
      </c>
      <c r="AI1616" s="88" t="s">
        <v>55</v>
      </c>
      <c r="AS1616" s="89">
        <f>SUM(AJ1617:AJ1629)</f>
        <v>0</v>
      </c>
      <c r="AT1616" s="89">
        <f>SUM(AK1617:AK1629)</f>
        <v>0</v>
      </c>
      <c r="AU1616" s="89">
        <f>SUM(AL1617:AL1629)</f>
        <v>0</v>
      </c>
    </row>
    <row r="1617" spans="1:76" s="81" customFormat="1" ht="25.5" x14ac:dyDescent="0.25">
      <c r="A1617" s="72" t="s">
        <v>1841</v>
      </c>
      <c r="B1617" s="72" t="s">
        <v>55</v>
      </c>
      <c r="C1617" s="72" t="s">
        <v>1842</v>
      </c>
      <c r="D1617" s="175" t="s">
        <v>1843</v>
      </c>
      <c r="E1617" s="175"/>
      <c r="F1617" s="72" t="s">
        <v>203</v>
      </c>
      <c r="G1617" s="90">
        <v>6</v>
      </c>
      <c r="H1617" s="91"/>
      <c r="I1617" s="92" t="s">
        <v>63</v>
      </c>
      <c r="J1617" s="90">
        <f t="shared" ref="J1617:J1629" si="140">G1617*AO1617</f>
        <v>0</v>
      </c>
      <c r="K1617" s="90">
        <f t="shared" ref="K1617:K1629" si="141">G1617*AP1617</f>
        <v>0</v>
      </c>
      <c r="L1617" s="90">
        <f t="shared" ref="L1617:L1629" si="142">G1617*H1617</f>
        <v>0</v>
      </c>
      <c r="M1617" s="90">
        <f t="shared" ref="M1617:M1629" si="143">L1617*(1+BW1617/100)</f>
        <v>0</v>
      </c>
      <c r="N1617" s="90">
        <v>0</v>
      </c>
      <c r="O1617" s="90">
        <f t="shared" ref="O1617:O1629" si="144">G1617*N1617</f>
        <v>0</v>
      </c>
      <c r="P1617" s="92" t="s">
        <v>1652</v>
      </c>
      <c r="Z1617" s="93">
        <f t="shared" ref="Z1617:Z1629" si="145">IF(AQ1617="5",BJ1617,0)</f>
        <v>0</v>
      </c>
      <c r="AB1617" s="93">
        <f t="shared" ref="AB1617:AB1629" si="146">IF(AQ1617="1",BH1617,0)</f>
        <v>0</v>
      </c>
      <c r="AC1617" s="93">
        <f t="shared" ref="AC1617:AC1629" si="147">IF(AQ1617="1",BI1617,0)</f>
        <v>0</v>
      </c>
      <c r="AD1617" s="93">
        <f t="shared" ref="AD1617:AD1629" si="148">IF(AQ1617="7",BH1617,0)</f>
        <v>0</v>
      </c>
      <c r="AE1617" s="93">
        <f t="shared" ref="AE1617:AE1629" si="149">IF(AQ1617="7",BI1617,0)</f>
        <v>0</v>
      </c>
      <c r="AF1617" s="93">
        <f t="shared" ref="AF1617:AF1629" si="150">IF(AQ1617="2",BH1617,0)</f>
        <v>0</v>
      </c>
      <c r="AG1617" s="93">
        <f t="shared" ref="AG1617:AG1629" si="151">IF(AQ1617="2",BI1617,0)</f>
        <v>0</v>
      </c>
      <c r="AH1617" s="93">
        <f t="shared" ref="AH1617:AH1629" si="152">IF(AQ1617="0",BJ1617,0)</f>
        <v>0</v>
      </c>
      <c r="AI1617" s="88" t="s">
        <v>55</v>
      </c>
      <c r="AJ1617" s="93">
        <f t="shared" ref="AJ1617:AJ1629" si="153">IF(AN1617=0,L1617,0)</f>
        <v>0</v>
      </c>
      <c r="AK1617" s="93">
        <f t="shared" ref="AK1617:AK1629" si="154">IF(AN1617=12,L1617,0)</f>
        <v>0</v>
      </c>
      <c r="AL1617" s="93">
        <f t="shared" ref="AL1617:AL1629" si="155">IF(AN1617=21,L1617,0)</f>
        <v>0</v>
      </c>
      <c r="AN1617" s="93">
        <v>21</v>
      </c>
      <c r="AO1617" s="93">
        <f t="shared" ref="AO1617:AO1629" si="156">H1617*0</f>
        <v>0</v>
      </c>
      <c r="AP1617" s="93">
        <f t="shared" ref="AP1617:AP1629" si="157">H1617*(1-0)</f>
        <v>0</v>
      </c>
      <c r="AQ1617" s="94" t="s">
        <v>148</v>
      </c>
      <c r="AV1617" s="93">
        <f t="shared" ref="AV1617:AV1629" si="158">AW1617+AX1617</f>
        <v>0</v>
      </c>
      <c r="AW1617" s="93">
        <f t="shared" ref="AW1617:AW1629" si="159">G1617*AO1617</f>
        <v>0</v>
      </c>
      <c r="AX1617" s="93">
        <f t="shared" ref="AX1617:AX1629" si="160">G1617*AP1617</f>
        <v>0</v>
      </c>
      <c r="AY1617" s="94" t="s">
        <v>1844</v>
      </c>
      <c r="AZ1617" s="94" t="s">
        <v>1654</v>
      </c>
      <c r="BA1617" s="88" t="s">
        <v>67</v>
      </c>
      <c r="BC1617" s="93">
        <f t="shared" ref="BC1617:BC1629" si="161">AW1617+AX1617</f>
        <v>0</v>
      </c>
      <c r="BD1617" s="93">
        <f t="shared" ref="BD1617:BD1629" si="162">H1617/(100-BE1617)*100</f>
        <v>0</v>
      </c>
      <c r="BE1617" s="93">
        <v>0</v>
      </c>
      <c r="BF1617" s="93">
        <f t="shared" ref="BF1617:BF1629" si="163">O1617</f>
        <v>0</v>
      </c>
      <c r="BH1617" s="93">
        <f t="shared" ref="BH1617:BH1629" si="164">G1617*AO1617</f>
        <v>0</v>
      </c>
      <c r="BI1617" s="93">
        <f t="shared" ref="BI1617:BI1629" si="165">G1617*AP1617</f>
        <v>0</v>
      </c>
      <c r="BJ1617" s="93">
        <f t="shared" ref="BJ1617:BJ1629" si="166">G1617*H1617</f>
        <v>0</v>
      </c>
      <c r="BK1617" s="93"/>
      <c r="BL1617" s="93"/>
      <c r="BW1617" s="93" t="str">
        <f t="shared" ref="BW1617:BW1629" si="167">I1617</f>
        <v>21</v>
      </c>
      <c r="BX1617" s="2" t="s">
        <v>1843</v>
      </c>
    </row>
    <row r="1618" spans="1:76" s="81" customFormat="1" ht="25.5" x14ac:dyDescent="0.25">
      <c r="A1618" s="72" t="s">
        <v>1845</v>
      </c>
      <c r="B1618" s="72" t="s">
        <v>55</v>
      </c>
      <c r="C1618" s="72" t="s">
        <v>1846</v>
      </c>
      <c r="D1618" s="175" t="s">
        <v>1660</v>
      </c>
      <c r="E1618" s="175"/>
      <c r="F1618" s="72" t="s">
        <v>203</v>
      </c>
      <c r="G1618" s="90">
        <v>1</v>
      </c>
      <c r="H1618" s="91"/>
      <c r="I1618" s="92" t="s">
        <v>63</v>
      </c>
      <c r="J1618" s="90">
        <f t="shared" si="140"/>
        <v>0</v>
      </c>
      <c r="K1618" s="90">
        <f t="shared" si="141"/>
        <v>0</v>
      </c>
      <c r="L1618" s="90">
        <f t="shared" si="142"/>
        <v>0</v>
      </c>
      <c r="M1618" s="90">
        <f t="shared" si="143"/>
        <v>0</v>
      </c>
      <c r="N1618" s="90">
        <v>0</v>
      </c>
      <c r="O1618" s="90">
        <f t="shared" si="144"/>
        <v>0</v>
      </c>
      <c r="P1618" s="92" t="s">
        <v>1652</v>
      </c>
      <c r="Z1618" s="93">
        <f t="shared" si="145"/>
        <v>0</v>
      </c>
      <c r="AB1618" s="93">
        <f t="shared" si="146"/>
        <v>0</v>
      </c>
      <c r="AC1618" s="93">
        <f t="shared" si="147"/>
        <v>0</v>
      </c>
      <c r="AD1618" s="93">
        <f t="shared" si="148"/>
        <v>0</v>
      </c>
      <c r="AE1618" s="93">
        <f t="shared" si="149"/>
        <v>0</v>
      </c>
      <c r="AF1618" s="93">
        <f t="shared" si="150"/>
        <v>0</v>
      </c>
      <c r="AG1618" s="93">
        <f t="shared" si="151"/>
        <v>0</v>
      </c>
      <c r="AH1618" s="93">
        <f t="shared" si="152"/>
        <v>0</v>
      </c>
      <c r="AI1618" s="88" t="s">
        <v>55</v>
      </c>
      <c r="AJ1618" s="93">
        <f t="shared" si="153"/>
        <v>0</v>
      </c>
      <c r="AK1618" s="93">
        <f t="shared" si="154"/>
        <v>0</v>
      </c>
      <c r="AL1618" s="93">
        <f t="shared" si="155"/>
        <v>0</v>
      </c>
      <c r="AN1618" s="93">
        <v>21</v>
      </c>
      <c r="AO1618" s="93">
        <f t="shared" si="156"/>
        <v>0</v>
      </c>
      <c r="AP1618" s="93">
        <f t="shared" si="157"/>
        <v>0</v>
      </c>
      <c r="AQ1618" s="94" t="s">
        <v>148</v>
      </c>
      <c r="AV1618" s="93">
        <f t="shared" si="158"/>
        <v>0</v>
      </c>
      <c r="AW1618" s="93">
        <f t="shared" si="159"/>
        <v>0</v>
      </c>
      <c r="AX1618" s="93">
        <f t="shared" si="160"/>
        <v>0</v>
      </c>
      <c r="AY1618" s="94" t="s">
        <v>1844</v>
      </c>
      <c r="AZ1618" s="94" t="s">
        <v>1654</v>
      </c>
      <c r="BA1618" s="88" t="s">
        <v>67</v>
      </c>
      <c r="BC1618" s="93">
        <f t="shared" si="161"/>
        <v>0</v>
      </c>
      <c r="BD1618" s="93">
        <f t="shared" si="162"/>
        <v>0</v>
      </c>
      <c r="BE1618" s="93">
        <v>0</v>
      </c>
      <c r="BF1618" s="93">
        <f t="shared" si="163"/>
        <v>0</v>
      </c>
      <c r="BH1618" s="93">
        <f t="shared" si="164"/>
        <v>0</v>
      </c>
      <c r="BI1618" s="93">
        <f t="shared" si="165"/>
        <v>0</v>
      </c>
      <c r="BJ1618" s="93">
        <f t="shared" si="166"/>
        <v>0</v>
      </c>
      <c r="BK1618" s="93"/>
      <c r="BL1618" s="93"/>
      <c r="BW1618" s="93" t="str">
        <f t="shared" si="167"/>
        <v>21</v>
      </c>
      <c r="BX1618" s="2" t="s">
        <v>1660</v>
      </c>
    </row>
    <row r="1619" spans="1:76" s="81" customFormat="1" ht="25.5" x14ac:dyDescent="0.25">
      <c r="A1619" s="72" t="s">
        <v>1847</v>
      </c>
      <c r="B1619" s="72" t="s">
        <v>55</v>
      </c>
      <c r="C1619" s="72" t="s">
        <v>1848</v>
      </c>
      <c r="D1619" s="175" t="s">
        <v>1849</v>
      </c>
      <c r="E1619" s="175"/>
      <c r="F1619" s="72" t="s">
        <v>203</v>
      </c>
      <c r="G1619" s="90">
        <v>5</v>
      </c>
      <c r="H1619" s="91"/>
      <c r="I1619" s="92" t="s">
        <v>63</v>
      </c>
      <c r="J1619" s="90">
        <f t="shared" si="140"/>
        <v>0</v>
      </c>
      <c r="K1619" s="90">
        <f t="shared" si="141"/>
        <v>0</v>
      </c>
      <c r="L1619" s="90">
        <f t="shared" si="142"/>
        <v>0</v>
      </c>
      <c r="M1619" s="90">
        <f t="shared" si="143"/>
        <v>0</v>
      </c>
      <c r="N1619" s="90">
        <v>0</v>
      </c>
      <c r="O1619" s="90">
        <f t="shared" si="144"/>
        <v>0</v>
      </c>
      <c r="P1619" s="92" t="s">
        <v>1652</v>
      </c>
      <c r="Z1619" s="93">
        <f t="shared" si="145"/>
        <v>0</v>
      </c>
      <c r="AB1619" s="93">
        <f t="shared" si="146"/>
        <v>0</v>
      </c>
      <c r="AC1619" s="93">
        <f t="shared" si="147"/>
        <v>0</v>
      </c>
      <c r="AD1619" s="93">
        <f t="shared" si="148"/>
        <v>0</v>
      </c>
      <c r="AE1619" s="93">
        <f t="shared" si="149"/>
        <v>0</v>
      </c>
      <c r="AF1619" s="93">
        <f t="shared" si="150"/>
        <v>0</v>
      </c>
      <c r="AG1619" s="93">
        <f t="shared" si="151"/>
        <v>0</v>
      </c>
      <c r="AH1619" s="93">
        <f t="shared" si="152"/>
        <v>0</v>
      </c>
      <c r="AI1619" s="88" t="s">
        <v>55</v>
      </c>
      <c r="AJ1619" s="93">
        <f t="shared" si="153"/>
        <v>0</v>
      </c>
      <c r="AK1619" s="93">
        <f t="shared" si="154"/>
        <v>0</v>
      </c>
      <c r="AL1619" s="93">
        <f t="shared" si="155"/>
        <v>0</v>
      </c>
      <c r="AN1619" s="93">
        <v>21</v>
      </c>
      <c r="AO1619" s="93">
        <f t="shared" si="156"/>
        <v>0</v>
      </c>
      <c r="AP1619" s="93">
        <f t="shared" si="157"/>
        <v>0</v>
      </c>
      <c r="AQ1619" s="94" t="s">
        <v>148</v>
      </c>
      <c r="AV1619" s="93">
        <f t="shared" si="158"/>
        <v>0</v>
      </c>
      <c r="AW1619" s="93">
        <f t="shared" si="159"/>
        <v>0</v>
      </c>
      <c r="AX1619" s="93">
        <f t="shared" si="160"/>
        <v>0</v>
      </c>
      <c r="AY1619" s="94" t="s">
        <v>1844</v>
      </c>
      <c r="AZ1619" s="94" t="s">
        <v>1654</v>
      </c>
      <c r="BA1619" s="88" t="s">
        <v>67</v>
      </c>
      <c r="BC1619" s="93">
        <f t="shared" si="161"/>
        <v>0</v>
      </c>
      <c r="BD1619" s="93">
        <f t="shared" si="162"/>
        <v>0</v>
      </c>
      <c r="BE1619" s="93">
        <v>0</v>
      </c>
      <c r="BF1619" s="93">
        <f t="shared" si="163"/>
        <v>0</v>
      </c>
      <c r="BH1619" s="93">
        <f t="shared" si="164"/>
        <v>0</v>
      </c>
      <c r="BI1619" s="93">
        <f t="shared" si="165"/>
        <v>0</v>
      </c>
      <c r="BJ1619" s="93">
        <f t="shared" si="166"/>
        <v>0</v>
      </c>
      <c r="BK1619" s="93"/>
      <c r="BL1619" s="93"/>
      <c r="BW1619" s="93" t="str">
        <f t="shared" si="167"/>
        <v>21</v>
      </c>
      <c r="BX1619" s="2" t="s">
        <v>1849</v>
      </c>
    </row>
    <row r="1620" spans="1:76" s="81" customFormat="1" ht="25.5" x14ac:dyDescent="0.25">
      <c r="A1620" s="72" t="s">
        <v>1850</v>
      </c>
      <c r="B1620" s="72" t="s">
        <v>55</v>
      </c>
      <c r="C1620" s="72" t="s">
        <v>1851</v>
      </c>
      <c r="D1620" s="175" t="s">
        <v>1666</v>
      </c>
      <c r="E1620" s="175"/>
      <c r="F1620" s="72" t="s">
        <v>203</v>
      </c>
      <c r="G1620" s="90">
        <v>6</v>
      </c>
      <c r="H1620" s="91"/>
      <c r="I1620" s="92" t="s">
        <v>63</v>
      </c>
      <c r="J1620" s="90">
        <f t="shared" si="140"/>
        <v>0</v>
      </c>
      <c r="K1620" s="90">
        <f t="shared" si="141"/>
        <v>0</v>
      </c>
      <c r="L1620" s="90">
        <f t="shared" si="142"/>
        <v>0</v>
      </c>
      <c r="M1620" s="90">
        <f t="shared" si="143"/>
        <v>0</v>
      </c>
      <c r="N1620" s="90">
        <v>0</v>
      </c>
      <c r="O1620" s="90">
        <f t="shared" si="144"/>
        <v>0</v>
      </c>
      <c r="P1620" s="92" t="s">
        <v>1652</v>
      </c>
      <c r="Z1620" s="93">
        <f t="shared" si="145"/>
        <v>0</v>
      </c>
      <c r="AB1620" s="93">
        <f t="shared" si="146"/>
        <v>0</v>
      </c>
      <c r="AC1620" s="93">
        <f t="shared" si="147"/>
        <v>0</v>
      </c>
      <c r="AD1620" s="93">
        <f t="shared" si="148"/>
        <v>0</v>
      </c>
      <c r="AE1620" s="93">
        <f t="shared" si="149"/>
        <v>0</v>
      </c>
      <c r="AF1620" s="93">
        <f t="shared" si="150"/>
        <v>0</v>
      </c>
      <c r="AG1620" s="93">
        <f t="shared" si="151"/>
        <v>0</v>
      </c>
      <c r="AH1620" s="93">
        <f t="shared" si="152"/>
        <v>0</v>
      </c>
      <c r="AI1620" s="88" t="s">
        <v>55</v>
      </c>
      <c r="AJ1620" s="93">
        <f t="shared" si="153"/>
        <v>0</v>
      </c>
      <c r="AK1620" s="93">
        <f t="shared" si="154"/>
        <v>0</v>
      </c>
      <c r="AL1620" s="93">
        <f t="shared" si="155"/>
        <v>0</v>
      </c>
      <c r="AN1620" s="93">
        <v>21</v>
      </c>
      <c r="AO1620" s="93">
        <f t="shared" si="156"/>
        <v>0</v>
      </c>
      <c r="AP1620" s="93">
        <f t="shared" si="157"/>
        <v>0</v>
      </c>
      <c r="AQ1620" s="94" t="s">
        <v>148</v>
      </c>
      <c r="AV1620" s="93">
        <f t="shared" si="158"/>
        <v>0</v>
      </c>
      <c r="AW1620" s="93">
        <f t="shared" si="159"/>
        <v>0</v>
      </c>
      <c r="AX1620" s="93">
        <f t="shared" si="160"/>
        <v>0</v>
      </c>
      <c r="AY1620" s="94" t="s">
        <v>1844</v>
      </c>
      <c r="AZ1620" s="94" t="s">
        <v>1654</v>
      </c>
      <c r="BA1620" s="88" t="s">
        <v>67</v>
      </c>
      <c r="BC1620" s="93">
        <f t="shared" si="161"/>
        <v>0</v>
      </c>
      <c r="BD1620" s="93">
        <f t="shared" si="162"/>
        <v>0</v>
      </c>
      <c r="BE1620" s="93">
        <v>0</v>
      </c>
      <c r="BF1620" s="93">
        <f t="shared" si="163"/>
        <v>0</v>
      </c>
      <c r="BH1620" s="93">
        <f t="shared" si="164"/>
        <v>0</v>
      </c>
      <c r="BI1620" s="93">
        <f t="shared" si="165"/>
        <v>0</v>
      </c>
      <c r="BJ1620" s="93">
        <f t="shared" si="166"/>
        <v>0</v>
      </c>
      <c r="BK1620" s="93"/>
      <c r="BL1620" s="93"/>
      <c r="BW1620" s="93" t="str">
        <f t="shared" si="167"/>
        <v>21</v>
      </c>
      <c r="BX1620" s="2" t="s">
        <v>1666</v>
      </c>
    </row>
    <row r="1621" spans="1:76" s="81" customFormat="1" ht="25.5" x14ac:dyDescent="0.25">
      <c r="A1621" s="72" t="s">
        <v>1852</v>
      </c>
      <c r="B1621" s="72" t="s">
        <v>55</v>
      </c>
      <c r="C1621" s="72" t="s">
        <v>1853</v>
      </c>
      <c r="D1621" s="175" t="s">
        <v>1854</v>
      </c>
      <c r="E1621" s="175"/>
      <c r="F1621" s="72" t="s">
        <v>203</v>
      </c>
      <c r="G1621" s="90">
        <v>1</v>
      </c>
      <c r="H1621" s="91"/>
      <c r="I1621" s="92" t="s">
        <v>63</v>
      </c>
      <c r="J1621" s="90">
        <f t="shared" si="140"/>
        <v>0</v>
      </c>
      <c r="K1621" s="90">
        <f t="shared" si="141"/>
        <v>0</v>
      </c>
      <c r="L1621" s="90">
        <f t="shared" si="142"/>
        <v>0</v>
      </c>
      <c r="M1621" s="90">
        <f t="shared" si="143"/>
        <v>0</v>
      </c>
      <c r="N1621" s="90">
        <v>0</v>
      </c>
      <c r="O1621" s="90">
        <f t="shared" si="144"/>
        <v>0</v>
      </c>
      <c r="P1621" s="92" t="s">
        <v>1652</v>
      </c>
      <c r="Z1621" s="93">
        <f t="shared" si="145"/>
        <v>0</v>
      </c>
      <c r="AB1621" s="93">
        <f t="shared" si="146"/>
        <v>0</v>
      </c>
      <c r="AC1621" s="93">
        <f t="shared" si="147"/>
        <v>0</v>
      </c>
      <c r="AD1621" s="93">
        <f t="shared" si="148"/>
        <v>0</v>
      </c>
      <c r="AE1621" s="93">
        <f t="shared" si="149"/>
        <v>0</v>
      </c>
      <c r="AF1621" s="93">
        <f t="shared" si="150"/>
        <v>0</v>
      </c>
      <c r="AG1621" s="93">
        <f t="shared" si="151"/>
        <v>0</v>
      </c>
      <c r="AH1621" s="93">
        <f t="shared" si="152"/>
        <v>0</v>
      </c>
      <c r="AI1621" s="88" t="s">
        <v>55</v>
      </c>
      <c r="AJ1621" s="93">
        <f t="shared" si="153"/>
        <v>0</v>
      </c>
      <c r="AK1621" s="93">
        <f t="shared" si="154"/>
        <v>0</v>
      </c>
      <c r="AL1621" s="93">
        <f t="shared" si="155"/>
        <v>0</v>
      </c>
      <c r="AN1621" s="93">
        <v>21</v>
      </c>
      <c r="AO1621" s="93">
        <f t="shared" si="156"/>
        <v>0</v>
      </c>
      <c r="AP1621" s="93">
        <f t="shared" si="157"/>
        <v>0</v>
      </c>
      <c r="AQ1621" s="94" t="s">
        <v>148</v>
      </c>
      <c r="AV1621" s="93">
        <f t="shared" si="158"/>
        <v>0</v>
      </c>
      <c r="AW1621" s="93">
        <f t="shared" si="159"/>
        <v>0</v>
      </c>
      <c r="AX1621" s="93">
        <f t="shared" si="160"/>
        <v>0</v>
      </c>
      <c r="AY1621" s="94" t="s">
        <v>1844</v>
      </c>
      <c r="AZ1621" s="94" t="s">
        <v>1654</v>
      </c>
      <c r="BA1621" s="88" t="s">
        <v>67</v>
      </c>
      <c r="BC1621" s="93">
        <f t="shared" si="161"/>
        <v>0</v>
      </c>
      <c r="BD1621" s="93">
        <f t="shared" si="162"/>
        <v>0</v>
      </c>
      <c r="BE1621" s="93">
        <v>0</v>
      </c>
      <c r="BF1621" s="93">
        <f t="shared" si="163"/>
        <v>0</v>
      </c>
      <c r="BH1621" s="93">
        <f t="shared" si="164"/>
        <v>0</v>
      </c>
      <c r="BI1621" s="93">
        <f t="shared" si="165"/>
        <v>0</v>
      </c>
      <c r="BJ1621" s="93">
        <f t="shared" si="166"/>
        <v>0</v>
      </c>
      <c r="BK1621" s="93"/>
      <c r="BL1621" s="93"/>
      <c r="BW1621" s="93" t="str">
        <f t="shared" si="167"/>
        <v>21</v>
      </c>
      <c r="BX1621" s="2" t="s">
        <v>1854</v>
      </c>
    </row>
    <row r="1622" spans="1:76" s="81" customFormat="1" ht="25.5" x14ac:dyDescent="0.25">
      <c r="A1622" s="72" t="s">
        <v>1855</v>
      </c>
      <c r="B1622" s="72" t="s">
        <v>55</v>
      </c>
      <c r="C1622" s="72" t="s">
        <v>1856</v>
      </c>
      <c r="D1622" s="175" t="s">
        <v>1857</v>
      </c>
      <c r="E1622" s="175"/>
      <c r="F1622" s="72" t="s">
        <v>203</v>
      </c>
      <c r="G1622" s="90">
        <v>3</v>
      </c>
      <c r="H1622" s="91"/>
      <c r="I1622" s="92" t="s">
        <v>63</v>
      </c>
      <c r="J1622" s="90">
        <f t="shared" si="140"/>
        <v>0</v>
      </c>
      <c r="K1622" s="90">
        <f t="shared" si="141"/>
        <v>0</v>
      </c>
      <c r="L1622" s="90">
        <f t="shared" si="142"/>
        <v>0</v>
      </c>
      <c r="M1622" s="90">
        <f t="shared" si="143"/>
        <v>0</v>
      </c>
      <c r="N1622" s="90">
        <v>0</v>
      </c>
      <c r="O1622" s="90">
        <f t="shared" si="144"/>
        <v>0</v>
      </c>
      <c r="P1622" s="92" t="s">
        <v>1652</v>
      </c>
      <c r="Z1622" s="93">
        <f t="shared" si="145"/>
        <v>0</v>
      </c>
      <c r="AB1622" s="93">
        <f t="shared" si="146"/>
        <v>0</v>
      </c>
      <c r="AC1622" s="93">
        <f t="shared" si="147"/>
        <v>0</v>
      </c>
      <c r="AD1622" s="93">
        <f t="shared" si="148"/>
        <v>0</v>
      </c>
      <c r="AE1622" s="93">
        <f t="shared" si="149"/>
        <v>0</v>
      </c>
      <c r="AF1622" s="93">
        <f t="shared" si="150"/>
        <v>0</v>
      </c>
      <c r="AG1622" s="93">
        <f t="shared" si="151"/>
        <v>0</v>
      </c>
      <c r="AH1622" s="93">
        <f t="shared" si="152"/>
        <v>0</v>
      </c>
      <c r="AI1622" s="88" t="s">
        <v>55</v>
      </c>
      <c r="AJ1622" s="93">
        <f t="shared" si="153"/>
        <v>0</v>
      </c>
      <c r="AK1622" s="93">
        <f t="shared" si="154"/>
        <v>0</v>
      </c>
      <c r="AL1622" s="93">
        <f t="shared" si="155"/>
        <v>0</v>
      </c>
      <c r="AN1622" s="93">
        <v>21</v>
      </c>
      <c r="AO1622" s="93">
        <f t="shared" si="156"/>
        <v>0</v>
      </c>
      <c r="AP1622" s="93">
        <f t="shared" si="157"/>
        <v>0</v>
      </c>
      <c r="AQ1622" s="94" t="s">
        <v>148</v>
      </c>
      <c r="AV1622" s="93">
        <f t="shared" si="158"/>
        <v>0</v>
      </c>
      <c r="AW1622" s="93">
        <f t="shared" si="159"/>
        <v>0</v>
      </c>
      <c r="AX1622" s="93">
        <f t="shared" si="160"/>
        <v>0</v>
      </c>
      <c r="AY1622" s="94" t="s">
        <v>1844</v>
      </c>
      <c r="AZ1622" s="94" t="s">
        <v>1654</v>
      </c>
      <c r="BA1622" s="88" t="s">
        <v>67</v>
      </c>
      <c r="BC1622" s="93">
        <f t="shared" si="161"/>
        <v>0</v>
      </c>
      <c r="BD1622" s="93">
        <f t="shared" si="162"/>
        <v>0</v>
      </c>
      <c r="BE1622" s="93">
        <v>0</v>
      </c>
      <c r="BF1622" s="93">
        <f t="shared" si="163"/>
        <v>0</v>
      </c>
      <c r="BH1622" s="93">
        <f t="shared" si="164"/>
        <v>0</v>
      </c>
      <c r="BI1622" s="93">
        <f t="shared" si="165"/>
        <v>0</v>
      </c>
      <c r="BJ1622" s="93">
        <f t="shared" si="166"/>
        <v>0</v>
      </c>
      <c r="BK1622" s="93"/>
      <c r="BL1622" s="93"/>
      <c r="BW1622" s="93" t="str">
        <f t="shared" si="167"/>
        <v>21</v>
      </c>
      <c r="BX1622" s="2" t="s">
        <v>1857</v>
      </c>
    </row>
    <row r="1623" spans="1:76" s="81" customFormat="1" ht="25.5" x14ac:dyDescent="0.25">
      <c r="A1623" s="72" t="s">
        <v>1858</v>
      </c>
      <c r="B1623" s="72" t="s">
        <v>55</v>
      </c>
      <c r="C1623" s="72" t="s">
        <v>1859</v>
      </c>
      <c r="D1623" s="175" t="s">
        <v>1860</v>
      </c>
      <c r="E1623" s="175"/>
      <c r="F1623" s="72" t="s">
        <v>1676</v>
      </c>
      <c r="G1623" s="90">
        <v>12</v>
      </c>
      <c r="H1623" s="91"/>
      <c r="I1623" s="92" t="s">
        <v>63</v>
      </c>
      <c r="J1623" s="90">
        <f t="shared" si="140"/>
        <v>0</v>
      </c>
      <c r="K1623" s="90">
        <f t="shared" si="141"/>
        <v>0</v>
      </c>
      <c r="L1623" s="90">
        <f t="shared" si="142"/>
        <v>0</v>
      </c>
      <c r="M1623" s="90">
        <f t="shared" si="143"/>
        <v>0</v>
      </c>
      <c r="N1623" s="90">
        <v>0</v>
      </c>
      <c r="O1623" s="90">
        <f t="shared" si="144"/>
        <v>0</v>
      </c>
      <c r="P1623" s="92" t="s">
        <v>1652</v>
      </c>
      <c r="Z1623" s="93">
        <f t="shared" si="145"/>
        <v>0</v>
      </c>
      <c r="AB1623" s="93">
        <f t="shared" si="146"/>
        <v>0</v>
      </c>
      <c r="AC1623" s="93">
        <f t="shared" si="147"/>
        <v>0</v>
      </c>
      <c r="AD1623" s="93">
        <f t="shared" si="148"/>
        <v>0</v>
      </c>
      <c r="AE1623" s="93">
        <f t="shared" si="149"/>
        <v>0</v>
      </c>
      <c r="AF1623" s="93">
        <f t="shared" si="150"/>
        <v>0</v>
      </c>
      <c r="AG1623" s="93">
        <f t="shared" si="151"/>
        <v>0</v>
      </c>
      <c r="AH1623" s="93">
        <f t="shared" si="152"/>
        <v>0</v>
      </c>
      <c r="AI1623" s="88" t="s">
        <v>55</v>
      </c>
      <c r="AJ1623" s="93">
        <f t="shared" si="153"/>
        <v>0</v>
      </c>
      <c r="AK1623" s="93">
        <f t="shared" si="154"/>
        <v>0</v>
      </c>
      <c r="AL1623" s="93">
        <f t="shared" si="155"/>
        <v>0</v>
      </c>
      <c r="AN1623" s="93">
        <v>21</v>
      </c>
      <c r="AO1623" s="93">
        <f t="shared" si="156"/>
        <v>0</v>
      </c>
      <c r="AP1623" s="93">
        <f t="shared" si="157"/>
        <v>0</v>
      </c>
      <c r="AQ1623" s="94" t="s">
        <v>148</v>
      </c>
      <c r="AV1623" s="93">
        <f t="shared" si="158"/>
        <v>0</v>
      </c>
      <c r="AW1623" s="93">
        <f t="shared" si="159"/>
        <v>0</v>
      </c>
      <c r="AX1623" s="93">
        <f t="shared" si="160"/>
        <v>0</v>
      </c>
      <c r="AY1623" s="94" t="s">
        <v>1844</v>
      </c>
      <c r="AZ1623" s="94" t="s">
        <v>1654</v>
      </c>
      <c r="BA1623" s="88" t="s">
        <v>67</v>
      </c>
      <c r="BC1623" s="93">
        <f t="shared" si="161"/>
        <v>0</v>
      </c>
      <c r="BD1623" s="93">
        <f t="shared" si="162"/>
        <v>0</v>
      </c>
      <c r="BE1623" s="93">
        <v>0</v>
      </c>
      <c r="BF1623" s="93">
        <f t="shared" si="163"/>
        <v>0</v>
      </c>
      <c r="BH1623" s="93">
        <f t="shared" si="164"/>
        <v>0</v>
      </c>
      <c r="BI1623" s="93">
        <f t="shared" si="165"/>
        <v>0</v>
      </c>
      <c r="BJ1623" s="93">
        <f t="shared" si="166"/>
        <v>0</v>
      </c>
      <c r="BK1623" s="93"/>
      <c r="BL1623" s="93"/>
      <c r="BW1623" s="93" t="str">
        <f t="shared" si="167"/>
        <v>21</v>
      </c>
      <c r="BX1623" s="2" t="s">
        <v>1860</v>
      </c>
    </row>
    <row r="1624" spans="1:76" s="81" customFormat="1" ht="25.5" x14ac:dyDescent="0.25">
      <c r="A1624" s="72" t="s">
        <v>1861</v>
      </c>
      <c r="B1624" s="72" t="s">
        <v>55</v>
      </c>
      <c r="C1624" s="72" t="s">
        <v>1862</v>
      </c>
      <c r="D1624" s="175" t="s">
        <v>1783</v>
      </c>
      <c r="E1624" s="175"/>
      <c r="F1624" s="72" t="s">
        <v>1676</v>
      </c>
      <c r="G1624" s="90">
        <v>6</v>
      </c>
      <c r="H1624" s="91"/>
      <c r="I1624" s="92" t="s">
        <v>63</v>
      </c>
      <c r="J1624" s="90">
        <f t="shared" si="140"/>
        <v>0</v>
      </c>
      <c r="K1624" s="90">
        <f t="shared" si="141"/>
        <v>0</v>
      </c>
      <c r="L1624" s="90">
        <f t="shared" si="142"/>
        <v>0</v>
      </c>
      <c r="M1624" s="90">
        <f t="shared" si="143"/>
        <v>0</v>
      </c>
      <c r="N1624" s="90">
        <v>0</v>
      </c>
      <c r="O1624" s="90">
        <f t="shared" si="144"/>
        <v>0</v>
      </c>
      <c r="P1624" s="92" t="s">
        <v>1652</v>
      </c>
      <c r="Z1624" s="93">
        <f t="shared" si="145"/>
        <v>0</v>
      </c>
      <c r="AB1624" s="93">
        <f t="shared" si="146"/>
        <v>0</v>
      </c>
      <c r="AC1624" s="93">
        <f t="shared" si="147"/>
        <v>0</v>
      </c>
      <c r="AD1624" s="93">
        <f t="shared" si="148"/>
        <v>0</v>
      </c>
      <c r="AE1624" s="93">
        <f t="shared" si="149"/>
        <v>0</v>
      </c>
      <c r="AF1624" s="93">
        <f t="shared" si="150"/>
        <v>0</v>
      </c>
      <c r="AG1624" s="93">
        <f t="shared" si="151"/>
        <v>0</v>
      </c>
      <c r="AH1624" s="93">
        <f t="shared" si="152"/>
        <v>0</v>
      </c>
      <c r="AI1624" s="88" t="s">
        <v>55</v>
      </c>
      <c r="AJ1624" s="93">
        <f t="shared" si="153"/>
        <v>0</v>
      </c>
      <c r="AK1624" s="93">
        <f t="shared" si="154"/>
        <v>0</v>
      </c>
      <c r="AL1624" s="93">
        <f t="shared" si="155"/>
        <v>0</v>
      </c>
      <c r="AN1624" s="93">
        <v>21</v>
      </c>
      <c r="AO1624" s="93">
        <f t="shared" si="156"/>
        <v>0</v>
      </c>
      <c r="AP1624" s="93">
        <f t="shared" si="157"/>
        <v>0</v>
      </c>
      <c r="AQ1624" s="94" t="s">
        <v>148</v>
      </c>
      <c r="AV1624" s="93">
        <f t="shared" si="158"/>
        <v>0</v>
      </c>
      <c r="AW1624" s="93">
        <f t="shared" si="159"/>
        <v>0</v>
      </c>
      <c r="AX1624" s="93">
        <f t="shared" si="160"/>
        <v>0</v>
      </c>
      <c r="AY1624" s="94" t="s">
        <v>1844</v>
      </c>
      <c r="AZ1624" s="94" t="s">
        <v>1654</v>
      </c>
      <c r="BA1624" s="88" t="s">
        <v>67</v>
      </c>
      <c r="BC1624" s="93">
        <f t="shared" si="161"/>
        <v>0</v>
      </c>
      <c r="BD1624" s="93">
        <f t="shared" si="162"/>
        <v>0</v>
      </c>
      <c r="BE1624" s="93">
        <v>0</v>
      </c>
      <c r="BF1624" s="93">
        <f t="shared" si="163"/>
        <v>0</v>
      </c>
      <c r="BH1624" s="93">
        <f t="shared" si="164"/>
        <v>0</v>
      </c>
      <c r="BI1624" s="93">
        <f t="shared" si="165"/>
        <v>0</v>
      </c>
      <c r="BJ1624" s="93">
        <f t="shared" si="166"/>
        <v>0</v>
      </c>
      <c r="BK1624" s="93"/>
      <c r="BL1624" s="93"/>
      <c r="BW1624" s="93" t="str">
        <f t="shared" si="167"/>
        <v>21</v>
      </c>
      <c r="BX1624" s="2" t="s">
        <v>1783</v>
      </c>
    </row>
    <row r="1625" spans="1:76" s="81" customFormat="1" ht="25.5" x14ac:dyDescent="0.25">
      <c r="A1625" s="72" t="s">
        <v>1863</v>
      </c>
      <c r="B1625" s="72" t="s">
        <v>55</v>
      </c>
      <c r="C1625" s="72" t="s">
        <v>1864</v>
      </c>
      <c r="D1625" s="175" t="s">
        <v>1697</v>
      </c>
      <c r="E1625" s="175"/>
      <c r="F1625" s="72" t="s">
        <v>1676</v>
      </c>
      <c r="G1625" s="90">
        <v>9</v>
      </c>
      <c r="H1625" s="91"/>
      <c r="I1625" s="92" t="s">
        <v>63</v>
      </c>
      <c r="J1625" s="90">
        <f t="shared" si="140"/>
        <v>0</v>
      </c>
      <c r="K1625" s="90">
        <f t="shared" si="141"/>
        <v>0</v>
      </c>
      <c r="L1625" s="90">
        <f t="shared" si="142"/>
        <v>0</v>
      </c>
      <c r="M1625" s="90">
        <f t="shared" si="143"/>
        <v>0</v>
      </c>
      <c r="N1625" s="90">
        <v>0</v>
      </c>
      <c r="O1625" s="90">
        <f t="shared" si="144"/>
        <v>0</v>
      </c>
      <c r="P1625" s="92" t="s">
        <v>1652</v>
      </c>
      <c r="Z1625" s="93">
        <f t="shared" si="145"/>
        <v>0</v>
      </c>
      <c r="AB1625" s="93">
        <f t="shared" si="146"/>
        <v>0</v>
      </c>
      <c r="AC1625" s="93">
        <f t="shared" si="147"/>
        <v>0</v>
      </c>
      <c r="AD1625" s="93">
        <f t="shared" si="148"/>
        <v>0</v>
      </c>
      <c r="AE1625" s="93">
        <f t="shared" si="149"/>
        <v>0</v>
      </c>
      <c r="AF1625" s="93">
        <f t="shared" si="150"/>
        <v>0</v>
      </c>
      <c r="AG1625" s="93">
        <f t="shared" si="151"/>
        <v>0</v>
      </c>
      <c r="AH1625" s="93">
        <f t="shared" si="152"/>
        <v>0</v>
      </c>
      <c r="AI1625" s="88" t="s">
        <v>55</v>
      </c>
      <c r="AJ1625" s="93">
        <f t="shared" si="153"/>
        <v>0</v>
      </c>
      <c r="AK1625" s="93">
        <f t="shared" si="154"/>
        <v>0</v>
      </c>
      <c r="AL1625" s="93">
        <f t="shared" si="155"/>
        <v>0</v>
      </c>
      <c r="AN1625" s="93">
        <v>21</v>
      </c>
      <c r="AO1625" s="93">
        <f t="shared" si="156"/>
        <v>0</v>
      </c>
      <c r="AP1625" s="93">
        <f t="shared" si="157"/>
        <v>0</v>
      </c>
      <c r="AQ1625" s="94" t="s">
        <v>148</v>
      </c>
      <c r="AV1625" s="93">
        <f t="shared" si="158"/>
        <v>0</v>
      </c>
      <c r="AW1625" s="93">
        <f t="shared" si="159"/>
        <v>0</v>
      </c>
      <c r="AX1625" s="93">
        <f t="shared" si="160"/>
        <v>0</v>
      </c>
      <c r="AY1625" s="94" t="s">
        <v>1844</v>
      </c>
      <c r="AZ1625" s="94" t="s">
        <v>1654</v>
      </c>
      <c r="BA1625" s="88" t="s">
        <v>67</v>
      </c>
      <c r="BC1625" s="93">
        <f t="shared" si="161"/>
        <v>0</v>
      </c>
      <c r="BD1625" s="93">
        <f t="shared" si="162"/>
        <v>0</v>
      </c>
      <c r="BE1625" s="93">
        <v>0</v>
      </c>
      <c r="BF1625" s="93">
        <f t="shared" si="163"/>
        <v>0</v>
      </c>
      <c r="BH1625" s="93">
        <f t="shared" si="164"/>
        <v>0</v>
      </c>
      <c r="BI1625" s="93">
        <f t="shared" si="165"/>
        <v>0</v>
      </c>
      <c r="BJ1625" s="93">
        <f t="shared" si="166"/>
        <v>0</v>
      </c>
      <c r="BK1625" s="93"/>
      <c r="BL1625" s="93"/>
      <c r="BW1625" s="93" t="str">
        <f t="shared" si="167"/>
        <v>21</v>
      </c>
      <c r="BX1625" s="2" t="s">
        <v>1697</v>
      </c>
    </row>
    <row r="1626" spans="1:76" s="81" customFormat="1" ht="25.5" x14ac:dyDescent="0.25">
      <c r="A1626" s="72" t="s">
        <v>1865</v>
      </c>
      <c r="B1626" s="72" t="s">
        <v>55</v>
      </c>
      <c r="C1626" s="72" t="s">
        <v>1866</v>
      </c>
      <c r="D1626" s="175" t="s">
        <v>1700</v>
      </c>
      <c r="E1626" s="175"/>
      <c r="F1626" s="72" t="s">
        <v>1676</v>
      </c>
      <c r="G1626" s="90">
        <v>1</v>
      </c>
      <c r="H1626" s="91"/>
      <c r="I1626" s="92" t="s">
        <v>63</v>
      </c>
      <c r="J1626" s="90">
        <f t="shared" si="140"/>
        <v>0</v>
      </c>
      <c r="K1626" s="90">
        <f t="shared" si="141"/>
        <v>0</v>
      </c>
      <c r="L1626" s="90">
        <f t="shared" si="142"/>
        <v>0</v>
      </c>
      <c r="M1626" s="90">
        <f t="shared" si="143"/>
        <v>0</v>
      </c>
      <c r="N1626" s="90">
        <v>0</v>
      </c>
      <c r="O1626" s="90">
        <f t="shared" si="144"/>
        <v>0</v>
      </c>
      <c r="P1626" s="92" t="s">
        <v>1652</v>
      </c>
      <c r="Z1626" s="93">
        <f t="shared" si="145"/>
        <v>0</v>
      </c>
      <c r="AB1626" s="93">
        <f t="shared" si="146"/>
        <v>0</v>
      </c>
      <c r="AC1626" s="93">
        <f t="shared" si="147"/>
        <v>0</v>
      </c>
      <c r="AD1626" s="93">
        <f t="shared" si="148"/>
        <v>0</v>
      </c>
      <c r="AE1626" s="93">
        <f t="shared" si="149"/>
        <v>0</v>
      </c>
      <c r="AF1626" s="93">
        <f t="shared" si="150"/>
        <v>0</v>
      </c>
      <c r="AG1626" s="93">
        <f t="shared" si="151"/>
        <v>0</v>
      </c>
      <c r="AH1626" s="93">
        <f t="shared" si="152"/>
        <v>0</v>
      </c>
      <c r="AI1626" s="88" t="s">
        <v>55</v>
      </c>
      <c r="AJ1626" s="93">
        <f t="shared" si="153"/>
        <v>0</v>
      </c>
      <c r="AK1626" s="93">
        <f t="shared" si="154"/>
        <v>0</v>
      </c>
      <c r="AL1626" s="93">
        <f t="shared" si="155"/>
        <v>0</v>
      </c>
      <c r="AN1626" s="93">
        <v>21</v>
      </c>
      <c r="AO1626" s="93">
        <f t="shared" si="156"/>
        <v>0</v>
      </c>
      <c r="AP1626" s="93">
        <f t="shared" si="157"/>
        <v>0</v>
      </c>
      <c r="AQ1626" s="94" t="s">
        <v>148</v>
      </c>
      <c r="AV1626" s="93">
        <f t="shared" si="158"/>
        <v>0</v>
      </c>
      <c r="AW1626" s="93">
        <f t="shared" si="159"/>
        <v>0</v>
      </c>
      <c r="AX1626" s="93">
        <f t="shared" si="160"/>
        <v>0</v>
      </c>
      <c r="AY1626" s="94" t="s">
        <v>1844</v>
      </c>
      <c r="AZ1626" s="94" t="s">
        <v>1654</v>
      </c>
      <c r="BA1626" s="88" t="s">
        <v>67</v>
      </c>
      <c r="BC1626" s="93">
        <f t="shared" si="161"/>
        <v>0</v>
      </c>
      <c r="BD1626" s="93">
        <f t="shared" si="162"/>
        <v>0</v>
      </c>
      <c r="BE1626" s="93">
        <v>0</v>
      </c>
      <c r="BF1626" s="93">
        <f t="shared" si="163"/>
        <v>0</v>
      </c>
      <c r="BH1626" s="93">
        <f t="shared" si="164"/>
        <v>0</v>
      </c>
      <c r="BI1626" s="93">
        <f t="shared" si="165"/>
        <v>0</v>
      </c>
      <c r="BJ1626" s="93">
        <f t="shared" si="166"/>
        <v>0</v>
      </c>
      <c r="BK1626" s="93"/>
      <c r="BL1626" s="93"/>
      <c r="BW1626" s="93" t="str">
        <f t="shared" si="167"/>
        <v>21</v>
      </c>
      <c r="BX1626" s="2" t="s">
        <v>1700</v>
      </c>
    </row>
    <row r="1627" spans="1:76" s="81" customFormat="1" ht="25.5" x14ac:dyDescent="0.25">
      <c r="A1627" s="72" t="s">
        <v>1867</v>
      </c>
      <c r="B1627" s="72" t="s">
        <v>55</v>
      </c>
      <c r="C1627" s="72" t="s">
        <v>1868</v>
      </c>
      <c r="D1627" s="175" t="s">
        <v>1869</v>
      </c>
      <c r="E1627" s="175"/>
      <c r="F1627" s="72" t="s">
        <v>192</v>
      </c>
      <c r="G1627" s="90">
        <v>12</v>
      </c>
      <c r="H1627" s="91"/>
      <c r="I1627" s="92" t="s">
        <v>63</v>
      </c>
      <c r="J1627" s="90">
        <f t="shared" si="140"/>
        <v>0</v>
      </c>
      <c r="K1627" s="90">
        <f t="shared" si="141"/>
        <v>0</v>
      </c>
      <c r="L1627" s="90">
        <f t="shared" si="142"/>
        <v>0</v>
      </c>
      <c r="M1627" s="90">
        <f t="shared" si="143"/>
        <v>0</v>
      </c>
      <c r="N1627" s="90">
        <v>0</v>
      </c>
      <c r="O1627" s="90">
        <f t="shared" si="144"/>
        <v>0</v>
      </c>
      <c r="P1627" s="92" t="s">
        <v>1652</v>
      </c>
      <c r="Z1627" s="93">
        <f t="shared" si="145"/>
        <v>0</v>
      </c>
      <c r="AB1627" s="93">
        <f t="shared" si="146"/>
        <v>0</v>
      </c>
      <c r="AC1627" s="93">
        <f t="shared" si="147"/>
        <v>0</v>
      </c>
      <c r="AD1627" s="93">
        <f t="shared" si="148"/>
        <v>0</v>
      </c>
      <c r="AE1627" s="93">
        <f t="shared" si="149"/>
        <v>0</v>
      </c>
      <c r="AF1627" s="93">
        <f t="shared" si="150"/>
        <v>0</v>
      </c>
      <c r="AG1627" s="93">
        <f t="shared" si="151"/>
        <v>0</v>
      </c>
      <c r="AH1627" s="93">
        <f t="shared" si="152"/>
        <v>0</v>
      </c>
      <c r="AI1627" s="88" t="s">
        <v>55</v>
      </c>
      <c r="AJ1627" s="93">
        <f t="shared" si="153"/>
        <v>0</v>
      </c>
      <c r="AK1627" s="93">
        <f t="shared" si="154"/>
        <v>0</v>
      </c>
      <c r="AL1627" s="93">
        <f t="shared" si="155"/>
        <v>0</v>
      </c>
      <c r="AN1627" s="93">
        <v>21</v>
      </c>
      <c r="AO1627" s="93">
        <f t="shared" si="156"/>
        <v>0</v>
      </c>
      <c r="AP1627" s="93">
        <f t="shared" si="157"/>
        <v>0</v>
      </c>
      <c r="AQ1627" s="94" t="s">
        <v>148</v>
      </c>
      <c r="AV1627" s="93">
        <f t="shared" si="158"/>
        <v>0</v>
      </c>
      <c r="AW1627" s="93">
        <f t="shared" si="159"/>
        <v>0</v>
      </c>
      <c r="AX1627" s="93">
        <f t="shared" si="160"/>
        <v>0</v>
      </c>
      <c r="AY1627" s="94" t="s">
        <v>1844</v>
      </c>
      <c r="AZ1627" s="94" t="s">
        <v>1654</v>
      </c>
      <c r="BA1627" s="88" t="s">
        <v>67</v>
      </c>
      <c r="BC1627" s="93">
        <f t="shared" si="161"/>
        <v>0</v>
      </c>
      <c r="BD1627" s="93">
        <f t="shared" si="162"/>
        <v>0</v>
      </c>
      <c r="BE1627" s="93">
        <v>0</v>
      </c>
      <c r="BF1627" s="93">
        <f t="shared" si="163"/>
        <v>0</v>
      </c>
      <c r="BH1627" s="93">
        <f t="shared" si="164"/>
        <v>0</v>
      </c>
      <c r="BI1627" s="93">
        <f t="shared" si="165"/>
        <v>0</v>
      </c>
      <c r="BJ1627" s="93">
        <f t="shared" si="166"/>
        <v>0</v>
      </c>
      <c r="BK1627" s="93"/>
      <c r="BL1627" s="93"/>
      <c r="BW1627" s="93" t="str">
        <f t="shared" si="167"/>
        <v>21</v>
      </c>
      <c r="BX1627" s="2" t="s">
        <v>1869</v>
      </c>
    </row>
    <row r="1628" spans="1:76" s="81" customFormat="1" ht="25.5" x14ac:dyDescent="0.25">
      <c r="A1628" s="72" t="s">
        <v>1870</v>
      </c>
      <c r="B1628" s="72" t="s">
        <v>55</v>
      </c>
      <c r="C1628" s="72" t="s">
        <v>1871</v>
      </c>
      <c r="D1628" s="175" t="s">
        <v>1757</v>
      </c>
      <c r="E1628" s="175"/>
      <c r="F1628" s="72" t="s">
        <v>203</v>
      </c>
      <c r="G1628" s="90">
        <v>4</v>
      </c>
      <c r="H1628" s="91"/>
      <c r="I1628" s="92" t="s">
        <v>63</v>
      </c>
      <c r="J1628" s="90">
        <f t="shared" si="140"/>
        <v>0</v>
      </c>
      <c r="K1628" s="90">
        <f t="shared" si="141"/>
        <v>0</v>
      </c>
      <c r="L1628" s="90">
        <f t="shared" si="142"/>
        <v>0</v>
      </c>
      <c r="M1628" s="90">
        <f t="shared" si="143"/>
        <v>0</v>
      </c>
      <c r="N1628" s="90">
        <v>0</v>
      </c>
      <c r="O1628" s="90">
        <f t="shared" si="144"/>
        <v>0</v>
      </c>
      <c r="P1628" s="92" t="s">
        <v>1652</v>
      </c>
      <c r="Z1628" s="93">
        <f t="shared" si="145"/>
        <v>0</v>
      </c>
      <c r="AB1628" s="93">
        <f t="shared" si="146"/>
        <v>0</v>
      </c>
      <c r="AC1628" s="93">
        <f t="shared" si="147"/>
        <v>0</v>
      </c>
      <c r="AD1628" s="93">
        <f t="shared" si="148"/>
        <v>0</v>
      </c>
      <c r="AE1628" s="93">
        <f t="shared" si="149"/>
        <v>0</v>
      </c>
      <c r="AF1628" s="93">
        <f t="shared" si="150"/>
        <v>0</v>
      </c>
      <c r="AG1628" s="93">
        <f t="shared" si="151"/>
        <v>0</v>
      </c>
      <c r="AH1628" s="93">
        <f t="shared" si="152"/>
        <v>0</v>
      </c>
      <c r="AI1628" s="88" t="s">
        <v>55</v>
      </c>
      <c r="AJ1628" s="93">
        <f t="shared" si="153"/>
        <v>0</v>
      </c>
      <c r="AK1628" s="93">
        <f t="shared" si="154"/>
        <v>0</v>
      </c>
      <c r="AL1628" s="93">
        <f t="shared" si="155"/>
        <v>0</v>
      </c>
      <c r="AN1628" s="93">
        <v>21</v>
      </c>
      <c r="AO1628" s="93">
        <f t="shared" si="156"/>
        <v>0</v>
      </c>
      <c r="AP1628" s="93">
        <f t="shared" si="157"/>
        <v>0</v>
      </c>
      <c r="AQ1628" s="94" t="s">
        <v>148</v>
      </c>
      <c r="AV1628" s="93">
        <f t="shared" si="158"/>
        <v>0</v>
      </c>
      <c r="AW1628" s="93">
        <f t="shared" si="159"/>
        <v>0</v>
      </c>
      <c r="AX1628" s="93">
        <f t="shared" si="160"/>
        <v>0</v>
      </c>
      <c r="AY1628" s="94" t="s">
        <v>1844</v>
      </c>
      <c r="AZ1628" s="94" t="s">
        <v>1654</v>
      </c>
      <c r="BA1628" s="88" t="s">
        <v>67</v>
      </c>
      <c r="BC1628" s="93">
        <f t="shared" si="161"/>
        <v>0</v>
      </c>
      <c r="BD1628" s="93">
        <f t="shared" si="162"/>
        <v>0</v>
      </c>
      <c r="BE1628" s="93">
        <v>0</v>
      </c>
      <c r="BF1628" s="93">
        <f t="shared" si="163"/>
        <v>0</v>
      </c>
      <c r="BH1628" s="93">
        <f t="shared" si="164"/>
        <v>0</v>
      </c>
      <c r="BI1628" s="93">
        <f t="shared" si="165"/>
        <v>0</v>
      </c>
      <c r="BJ1628" s="93">
        <f t="shared" si="166"/>
        <v>0</v>
      </c>
      <c r="BK1628" s="93"/>
      <c r="BL1628" s="93"/>
      <c r="BW1628" s="93" t="str">
        <f t="shared" si="167"/>
        <v>21</v>
      </c>
      <c r="BX1628" s="2" t="s">
        <v>1757</v>
      </c>
    </row>
    <row r="1629" spans="1:76" s="81" customFormat="1" ht="25.5" x14ac:dyDescent="0.25">
      <c r="A1629" s="72" t="s">
        <v>1872</v>
      </c>
      <c r="B1629" s="72" t="s">
        <v>55</v>
      </c>
      <c r="C1629" s="72" t="s">
        <v>1873</v>
      </c>
      <c r="D1629" s="175" t="s">
        <v>1715</v>
      </c>
      <c r="E1629" s="175"/>
      <c r="F1629" s="72" t="s">
        <v>1334</v>
      </c>
      <c r="G1629" s="90">
        <v>1</v>
      </c>
      <c r="H1629" s="91"/>
      <c r="I1629" s="92" t="s">
        <v>63</v>
      </c>
      <c r="J1629" s="90">
        <f t="shared" si="140"/>
        <v>0</v>
      </c>
      <c r="K1629" s="90">
        <f t="shared" si="141"/>
        <v>0</v>
      </c>
      <c r="L1629" s="90">
        <f t="shared" si="142"/>
        <v>0</v>
      </c>
      <c r="M1629" s="90">
        <f t="shared" si="143"/>
        <v>0</v>
      </c>
      <c r="N1629" s="90">
        <v>0</v>
      </c>
      <c r="O1629" s="90">
        <f t="shared" si="144"/>
        <v>0</v>
      </c>
      <c r="P1629" s="92" t="s">
        <v>1652</v>
      </c>
      <c r="Z1629" s="93">
        <f t="shared" si="145"/>
        <v>0</v>
      </c>
      <c r="AB1629" s="93">
        <f t="shared" si="146"/>
        <v>0</v>
      </c>
      <c r="AC1629" s="93">
        <f t="shared" si="147"/>
        <v>0</v>
      </c>
      <c r="AD1629" s="93">
        <f t="shared" si="148"/>
        <v>0</v>
      </c>
      <c r="AE1629" s="93">
        <f t="shared" si="149"/>
        <v>0</v>
      </c>
      <c r="AF1629" s="93">
        <f t="shared" si="150"/>
        <v>0</v>
      </c>
      <c r="AG1629" s="93">
        <f t="shared" si="151"/>
        <v>0</v>
      </c>
      <c r="AH1629" s="93">
        <f t="shared" si="152"/>
        <v>0</v>
      </c>
      <c r="AI1629" s="88" t="s">
        <v>55</v>
      </c>
      <c r="AJ1629" s="93">
        <f t="shared" si="153"/>
        <v>0</v>
      </c>
      <c r="AK1629" s="93">
        <f t="shared" si="154"/>
        <v>0</v>
      </c>
      <c r="AL1629" s="93">
        <f t="shared" si="155"/>
        <v>0</v>
      </c>
      <c r="AN1629" s="93">
        <v>21</v>
      </c>
      <c r="AO1629" s="93">
        <f t="shared" si="156"/>
        <v>0</v>
      </c>
      <c r="AP1629" s="93">
        <f t="shared" si="157"/>
        <v>0</v>
      </c>
      <c r="AQ1629" s="94" t="s">
        <v>148</v>
      </c>
      <c r="AV1629" s="93">
        <f t="shared" si="158"/>
        <v>0</v>
      </c>
      <c r="AW1629" s="93">
        <f t="shared" si="159"/>
        <v>0</v>
      </c>
      <c r="AX1629" s="93">
        <f t="shared" si="160"/>
        <v>0</v>
      </c>
      <c r="AY1629" s="94" t="s">
        <v>1844</v>
      </c>
      <c r="AZ1629" s="94" t="s">
        <v>1654</v>
      </c>
      <c r="BA1629" s="88" t="s">
        <v>67</v>
      </c>
      <c r="BC1629" s="93">
        <f t="shared" si="161"/>
        <v>0</v>
      </c>
      <c r="BD1629" s="93">
        <f t="shared" si="162"/>
        <v>0</v>
      </c>
      <c r="BE1629" s="93">
        <v>0</v>
      </c>
      <c r="BF1629" s="93">
        <f t="shared" si="163"/>
        <v>0</v>
      </c>
      <c r="BH1629" s="93">
        <f t="shared" si="164"/>
        <v>0</v>
      </c>
      <c r="BI1629" s="93">
        <f t="shared" si="165"/>
        <v>0</v>
      </c>
      <c r="BJ1629" s="93">
        <f t="shared" si="166"/>
        <v>0</v>
      </c>
      <c r="BK1629" s="93"/>
      <c r="BL1629" s="93"/>
      <c r="BW1629" s="93" t="str">
        <f t="shared" si="167"/>
        <v>21</v>
      </c>
      <c r="BX1629" s="2" t="s">
        <v>1715</v>
      </c>
    </row>
    <row r="1630" spans="1:76" s="81" customFormat="1" x14ac:dyDescent="0.25">
      <c r="A1630" s="85" t="s">
        <v>54</v>
      </c>
      <c r="B1630" s="74" t="s">
        <v>55</v>
      </c>
      <c r="C1630" s="74" t="s">
        <v>1874</v>
      </c>
      <c r="D1630" s="176" t="s">
        <v>1875</v>
      </c>
      <c r="E1630" s="176"/>
      <c r="F1630" s="85" t="s">
        <v>4</v>
      </c>
      <c r="G1630" s="85" t="s">
        <v>4</v>
      </c>
      <c r="H1630" s="98"/>
      <c r="I1630" s="85" t="s">
        <v>4</v>
      </c>
      <c r="J1630" s="86">
        <f>SUM(J1631:J1636)</f>
        <v>0</v>
      </c>
      <c r="K1630" s="86">
        <f>SUM(K1631:K1636)</f>
        <v>0</v>
      </c>
      <c r="L1630" s="86">
        <f>SUM(L1631:L1636)</f>
        <v>0</v>
      </c>
      <c r="M1630" s="86">
        <f>SUM(M1631:M1636)</f>
        <v>0</v>
      </c>
      <c r="N1630" s="87" t="s">
        <v>54</v>
      </c>
      <c r="O1630" s="86">
        <f>SUM(O1631:O1636)</f>
        <v>0</v>
      </c>
      <c r="P1630" s="87" t="s">
        <v>54</v>
      </c>
      <c r="AI1630" s="88" t="s">
        <v>55</v>
      </c>
      <c r="AS1630" s="89">
        <f>SUM(AJ1631:AJ1636)</f>
        <v>0</v>
      </c>
      <c r="AT1630" s="89">
        <f>SUM(AK1631:AK1636)</f>
        <v>0</v>
      </c>
      <c r="AU1630" s="89">
        <f>SUM(AL1631:AL1636)</f>
        <v>0</v>
      </c>
    </row>
    <row r="1631" spans="1:76" s="81" customFormat="1" ht="25.5" x14ac:dyDescent="0.25">
      <c r="A1631" s="72" t="s">
        <v>1876</v>
      </c>
      <c r="B1631" s="72" t="s">
        <v>55</v>
      </c>
      <c r="C1631" s="72" t="s">
        <v>1877</v>
      </c>
      <c r="D1631" s="175" t="s">
        <v>1878</v>
      </c>
      <c r="E1631" s="175"/>
      <c r="F1631" s="72" t="s">
        <v>203</v>
      </c>
      <c r="G1631" s="90">
        <v>2</v>
      </c>
      <c r="H1631" s="91"/>
      <c r="I1631" s="92" t="s">
        <v>63</v>
      </c>
      <c r="J1631" s="90">
        <f t="shared" ref="J1631:J1636" si="168">G1631*AO1631</f>
        <v>0</v>
      </c>
      <c r="K1631" s="90">
        <f t="shared" ref="K1631:K1636" si="169">G1631*AP1631</f>
        <v>0</v>
      </c>
      <c r="L1631" s="90">
        <f t="shared" ref="L1631:L1636" si="170">G1631*H1631</f>
        <v>0</v>
      </c>
      <c r="M1631" s="90">
        <f t="shared" ref="M1631:M1636" si="171">L1631*(1+BW1631/100)</f>
        <v>0</v>
      </c>
      <c r="N1631" s="90">
        <v>0</v>
      </c>
      <c r="O1631" s="90">
        <f t="shared" ref="O1631:O1636" si="172">G1631*N1631</f>
        <v>0</v>
      </c>
      <c r="P1631" s="92" t="s">
        <v>1652</v>
      </c>
      <c r="Z1631" s="93">
        <f t="shared" ref="Z1631:Z1636" si="173">IF(AQ1631="5",BJ1631,0)</f>
        <v>0</v>
      </c>
      <c r="AB1631" s="93">
        <f t="shared" ref="AB1631:AB1636" si="174">IF(AQ1631="1",BH1631,0)</f>
        <v>0</v>
      </c>
      <c r="AC1631" s="93">
        <f t="shared" ref="AC1631:AC1636" si="175">IF(AQ1631="1",BI1631,0)</f>
        <v>0</v>
      </c>
      <c r="AD1631" s="93">
        <f t="shared" ref="AD1631:AD1636" si="176">IF(AQ1631="7",BH1631,0)</f>
        <v>0</v>
      </c>
      <c r="AE1631" s="93">
        <f t="shared" ref="AE1631:AE1636" si="177">IF(AQ1631="7",BI1631,0)</f>
        <v>0</v>
      </c>
      <c r="AF1631" s="93">
        <f t="shared" ref="AF1631:AF1636" si="178">IF(AQ1631="2",BH1631,0)</f>
        <v>0</v>
      </c>
      <c r="AG1631" s="93">
        <f t="shared" ref="AG1631:AG1636" si="179">IF(AQ1631="2",BI1631,0)</f>
        <v>0</v>
      </c>
      <c r="AH1631" s="93">
        <f t="shared" ref="AH1631:AH1636" si="180">IF(AQ1631="0",BJ1631,0)</f>
        <v>0</v>
      </c>
      <c r="AI1631" s="88" t="s">
        <v>55</v>
      </c>
      <c r="AJ1631" s="93">
        <f t="shared" ref="AJ1631:AJ1636" si="181">IF(AN1631=0,L1631,0)</f>
        <v>0</v>
      </c>
      <c r="AK1631" s="93">
        <f t="shared" ref="AK1631:AK1636" si="182">IF(AN1631=12,L1631,0)</f>
        <v>0</v>
      </c>
      <c r="AL1631" s="93">
        <f t="shared" ref="AL1631:AL1636" si="183">IF(AN1631=21,L1631,0)</f>
        <v>0</v>
      </c>
      <c r="AN1631" s="93">
        <v>21</v>
      </c>
      <c r="AO1631" s="93">
        <f t="shared" ref="AO1631:AO1636" si="184">H1631*0</f>
        <v>0</v>
      </c>
      <c r="AP1631" s="93">
        <f t="shared" ref="AP1631:AP1636" si="185">H1631*(1-0)</f>
        <v>0</v>
      </c>
      <c r="AQ1631" s="94" t="s">
        <v>148</v>
      </c>
      <c r="AV1631" s="93">
        <f t="shared" ref="AV1631:AV1636" si="186">AW1631+AX1631</f>
        <v>0</v>
      </c>
      <c r="AW1631" s="93">
        <f t="shared" ref="AW1631:AW1636" si="187">G1631*AO1631</f>
        <v>0</v>
      </c>
      <c r="AX1631" s="93">
        <f t="shared" ref="AX1631:AX1636" si="188">G1631*AP1631</f>
        <v>0</v>
      </c>
      <c r="AY1631" s="94" t="s">
        <v>1879</v>
      </c>
      <c r="AZ1631" s="94" t="s">
        <v>1654</v>
      </c>
      <c r="BA1631" s="88" t="s">
        <v>67</v>
      </c>
      <c r="BC1631" s="93">
        <f t="shared" ref="BC1631:BC1636" si="189">AW1631+AX1631</f>
        <v>0</v>
      </c>
      <c r="BD1631" s="93">
        <f t="shared" ref="BD1631:BD1636" si="190">H1631/(100-BE1631)*100</f>
        <v>0</v>
      </c>
      <c r="BE1631" s="93">
        <v>0</v>
      </c>
      <c r="BF1631" s="93">
        <f t="shared" ref="BF1631:BF1636" si="191">O1631</f>
        <v>0</v>
      </c>
      <c r="BH1631" s="93">
        <f t="shared" ref="BH1631:BH1636" si="192">G1631*AO1631</f>
        <v>0</v>
      </c>
      <c r="BI1631" s="93">
        <f t="shared" ref="BI1631:BI1636" si="193">G1631*AP1631</f>
        <v>0</v>
      </c>
      <c r="BJ1631" s="93">
        <f t="shared" ref="BJ1631:BJ1636" si="194">G1631*H1631</f>
        <v>0</v>
      </c>
      <c r="BK1631" s="93"/>
      <c r="BL1631" s="93"/>
      <c r="BW1631" s="93" t="str">
        <f t="shared" ref="BW1631:BW1636" si="195">I1631</f>
        <v>21</v>
      </c>
      <c r="BX1631" s="2" t="s">
        <v>1878</v>
      </c>
    </row>
    <row r="1632" spans="1:76" s="81" customFormat="1" ht="25.5" x14ac:dyDescent="0.25">
      <c r="A1632" s="72" t="s">
        <v>1880</v>
      </c>
      <c r="B1632" s="72" t="s">
        <v>55</v>
      </c>
      <c r="C1632" s="72" t="s">
        <v>1881</v>
      </c>
      <c r="D1632" s="175" t="s">
        <v>1882</v>
      </c>
      <c r="E1632" s="175"/>
      <c r="F1632" s="72" t="s">
        <v>203</v>
      </c>
      <c r="G1632" s="90">
        <v>3</v>
      </c>
      <c r="H1632" s="91"/>
      <c r="I1632" s="92" t="s">
        <v>63</v>
      </c>
      <c r="J1632" s="90">
        <f t="shared" si="168"/>
        <v>0</v>
      </c>
      <c r="K1632" s="90">
        <f t="shared" si="169"/>
        <v>0</v>
      </c>
      <c r="L1632" s="90">
        <f t="shared" si="170"/>
        <v>0</v>
      </c>
      <c r="M1632" s="90">
        <f t="shared" si="171"/>
        <v>0</v>
      </c>
      <c r="N1632" s="90">
        <v>0</v>
      </c>
      <c r="O1632" s="90">
        <f t="shared" si="172"/>
        <v>0</v>
      </c>
      <c r="P1632" s="92" t="s">
        <v>1652</v>
      </c>
      <c r="Z1632" s="93">
        <f t="shared" si="173"/>
        <v>0</v>
      </c>
      <c r="AB1632" s="93">
        <f t="shared" si="174"/>
        <v>0</v>
      </c>
      <c r="AC1632" s="93">
        <f t="shared" si="175"/>
        <v>0</v>
      </c>
      <c r="AD1632" s="93">
        <f t="shared" si="176"/>
        <v>0</v>
      </c>
      <c r="AE1632" s="93">
        <f t="shared" si="177"/>
        <v>0</v>
      </c>
      <c r="AF1632" s="93">
        <f t="shared" si="178"/>
        <v>0</v>
      </c>
      <c r="AG1632" s="93">
        <f t="shared" si="179"/>
        <v>0</v>
      </c>
      <c r="AH1632" s="93">
        <f t="shared" si="180"/>
        <v>0</v>
      </c>
      <c r="AI1632" s="88" t="s">
        <v>55</v>
      </c>
      <c r="AJ1632" s="93">
        <f t="shared" si="181"/>
        <v>0</v>
      </c>
      <c r="AK1632" s="93">
        <f t="shared" si="182"/>
        <v>0</v>
      </c>
      <c r="AL1632" s="93">
        <f t="shared" si="183"/>
        <v>0</v>
      </c>
      <c r="AN1632" s="93">
        <v>21</v>
      </c>
      <c r="AO1632" s="93">
        <f t="shared" si="184"/>
        <v>0</v>
      </c>
      <c r="AP1632" s="93">
        <f t="shared" si="185"/>
        <v>0</v>
      </c>
      <c r="AQ1632" s="94" t="s">
        <v>148</v>
      </c>
      <c r="AV1632" s="93">
        <f t="shared" si="186"/>
        <v>0</v>
      </c>
      <c r="AW1632" s="93">
        <f t="shared" si="187"/>
        <v>0</v>
      </c>
      <c r="AX1632" s="93">
        <f t="shared" si="188"/>
        <v>0</v>
      </c>
      <c r="AY1632" s="94" t="s">
        <v>1879</v>
      </c>
      <c r="AZ1632" s="94" t="s">
        <v>1654</v>
      </c>
      <c r="BA1632" s="88" t="s">
        <v>67</v>
      </c>
      <c r="BC1632" s="93">
        <f t="shared" si="189"/>
        <v>0</v>
      </c>
      <c r="BD1632" s="93">
        <f t="shared" si="190"/>
        <v>0</v>
      </c>
      <c r="BE1632" s="93">
        <v>0</v>
      </c>
      <c r="BF1632" s="93">
        <f t="shared" si="191"/>
        <v>0</v>
      </c>
      <c r="BH1632" s="93">
        <f t="shared" si="192"/>
        <v>0</v>
      </c>
      <c r="BI1632" s="93">
        <f t="shared" si="193"/>
        <v>0</v>
      </c>
      <c r="BJ1632" s="93">
        <f t="shared" si="194"/>
        <v>0</v>
      </c>
      <c r="BK1632" s="93"/>
      <c r="BL1632" s="93"/>
      <c r="BW1632" s="93" t="str">
        <f t="shared" si="195"/>
        <v>21</v>
      </c>
      <c r="BX1632" s="2" t="s">
        <v>1882</v>
      </c>
    </row>
    <row r="1633" spans="1:76" s="81" customFormat="1" ht="25.5" x14ac:dyDescent="0.25">
      <c r="A1633" s="72" t="s">
        <v>1883</v>
      </c>
      <c r="B1633" s="72" t="s">
        <v>55</v>
      </c>
      <c r="C1633" s="72" t="s">
        <v>1884</v>
      </c>
      <c r="D1633" s="175" t="s">
        <v>1885</v>
      </c>
      <c r="E1633" s="175"/>
      <c r="F1633" s="72" t="s">
        <v>203</v>
      </c>
      <c r="G1633" s="90">
        <v>8</v>
      </c>
      <c r="H1633" s="91"/>
      <c r="I1633" s="92" t="s">
        <v>63</v>
      </c>
      <c r="J1633" s="90">
        <f t="shared" si="168"/>
        <v>0</v>
      </c>
      <c r="K1633" s="90">
        <f t="shared" si="169"/>
        <v>0</v>
      </c>
      <c r="L1633" s="90">
        <f t="shared" si="170"/>
        <v>0</v>
      </c>
      <c r="M1633" s="90">
        <f t="shared" si="171"/>
        <v>0</v>
      </c>
      <c r="N1633" s="90">
        <v>0</v>
      </c>
      <c r="O1633" s="90">
        <f t="shared" si="172"/>
        <v>0</v>
      </c>
      <c r="P1633" s="92" t="s">
        <v>1652</v>
      </c>
      <c r="Z1633" s="93">
        <f t="shared" si="173"/>
        <v>0</v>
      </c>
      <c r="AB1633" s="93">
        <f t="shared" si="174"/>
        <v>0</v>
      </c>
      <c r="AC1633" s="93">
        <f t="shared" si="175"/>
        <v>0</v>
      </c>
      <c r="AD1633" s="93">
        <f t="shared" si="176"/>
        <v>0</v>
      </c>
      <c r="AE1633" s="93">
        <f t="shared" si="177"/>
        <v>0</v>
      </c>
      <c r="AF1633" s="93">
        <f t="shared" si="178"/>
        <v>0</v>
      </c>
      <c r="AG1633" s="93">
        <f t="shared" si="179"/>
        <v>0</v>
      </c>
      <c r="AH1633" s="93">
        <f t="shared" si="180"/>
        <v>0</v>
      </c>
      <c r="AI1633" s="88" t="s">
        <v>55</v>
      </c>
      <c r="AJ1633" s="93">
        <f t="shared" si="181"/>
        <v>0</v>
      </c>
      <c r="AK1633" s="93">
        <f t="shared" si="182"/>
        <v>0</v>
      </c>
      <c r="AL1633" s="93">
        <f t="shared" si="183"/>
        <v>0</v>
      </c>
      <c r="AN1633" s="93">
        <v>21</v>
      </c>
      <c r="AO1633" s="93">
        <f t="shared" si="184"/>
        <v>0</v>
      </c>
      <c r="AP1633" s="93">
        <f t="shared" si="185"/>
        <v>0</v>
      </c>
      <c r="AQ1633" s="94" t="s">
        <v>148</v>
      </c>
      <c r="AV1633" s="93">
        <f t="shared" si="186"/>
        <v>0</v>
      </c>
      <c r="AW1633" s="93">
        <f t="shared" si="187"/>
        <v>0</v>
      </c>
      <c r="AX1633" s="93">
        <f t="shared" si="188"/>
        <v>0</v>
      </c>
      <c r="AY1633" s="94" t="s">
        <v>1879</v>
      </c>
      <c r="AZ1633" s="94" t="s">
        <v>1654</v>
      </c>
      <c r="BA1633" s="88" t="s">
        <v>67</v>
      </c>
      <c r="BC1633" s="93">
        <f t="shared" si="189"/>
        <v>0</v>
      </c>
      <c r="BD1633" s="93">
        <f t="shared" si="190"/>
        <v>0</v>
      </c>
      <c r="BE1633" s="93">
        <v>0</v>
      </c>
      <c r="BF1633" s="93">
        <f t="shared" si="191"/>
        <v>0</v>
      </c>
      <c r="BH1633" s="93">
        <f t="shared" si="192"/>
        <v>0</v>
      </c>
      <c r="BI1633" s="93">
        <f t="shared" si="193"/>
        <v>0</v>
      </c>
      <c r="BJ1633" s="93">
        <f t="shared" si="194"/>
        <v>0</v>
      </c>
      <c r="BK1633" s="93"/>
      <c r="BL1633" s="93"/>
      <c r="BW1633" s="93" t="str">
        <f t="shared" si="195"/>
        <v>21</v>
      </c>
      <c r="BX1633" s="2" t="s">
        <v>1885</v>
      </c>
    </row>
    <row r="1634" spans="1:76" s="81" customFormat="1" ht="25.5" x14ac:dyDescent="0.25">
      <c r="A1634" s="72" t="s">
        <v>1886</v>
      </c>
      <c r="B1634" s="72" t="s">
        <v>55</v>
      </c>
      <c r="C1634" s="72" t="s">
        <v>1887</v>
      </c>
      <c r="D1634" s="175" t="s">
        <v>1783</v>
      </c>
      <c r="E1634" s="175"/>
      <c r="F1634" s="72" t="s">
        <v>1676</v>
      </c>
      <c r="G1634" s="90">
        <v>27</v>
      </c>
      <c r="H1634" s="91"/>
      <c r="I1634" s="92" t="s">
        <v>63</v>
      </c>
      <c r="J1634" s="90">
        <f t="shared" si="168"/>
        <v>0</v>
      </c>
      <c r="K1634" s="90">
        <f t="shared" si="169"/>
        <v>0</v>
      </c>
      <c r="L1634" s="90">
        <f t="shared" si="170"/>
        <v>0</v>
      </c>
      <c r="M1634" s="90">
        <f t="shared" si="171"/>
        <v>0</v>
      </c>
      <c r="N1634" s="90">
        <v>0</v>
      </c>
      <c r="O1634" s="90">
        <f t="shared" si="172"/>
        <v>0</v>
      </c>
      <c r="P1634" s="92" t="s">
        <v>1652</v>
      </c>
      <c r="Z1634" s="93">
        <f t="shared" si="173"/>
        <v>0</v>
      </c>
      <c r="AB1634" s="93">
        <f t="shared" si="174"/>
        <v>0</v>
      </c>
      <c r="AC1634" s="93">
        <f t="shared" si="175"/>
        <v>0</v>
      </c>
      <c r="AD1634" s="93">
        <f t="shared" si="176"/>
        <v>0</v>
      </c>
      <c r="AE1634" s="93">
        <f t="shared" si="177"/>
        <v>0</v>
      </c>
      <c r="AF1634" s="93">
        <f t="shared" si="178"/>
        <v>0</v>
      </c>
      <c r="AG1634" s="93">
        <f t="shared" si="179"/>
        <v>0</v>
      </c>
      <c r="AH1634" s="93">
        <f t="shared" si="180"/>
        <v>0</v>
      </c>
      <c r="AI1634" s="88" t="s">
        <v>55</v>
      </c>
      <c r="AJ1634" s="93">
        <f t="shared" si="181"/>
        <v>0</v>
      </c>
      <c r="AK1634" s="93">
        <f t="shared" si="182"/>
        <v>0</v>
      </c>
      <c r="AL1634" s="93">
        <f t="shared" si="183"/>
        <v>0</v>
      </c>
      <c r="AN1634" s="93">
        <v>21</v>
      </c>
      <c r="AO1634" s="93">
        <f t="shared" si="184"/>
        <v>0</v>
      </c>
      <c r="AP1634" s="93">
        <f t="shared" si="185"/>
        <v>0</v>
      </c>
      <c r="AQ1634" s="94" t="s">
        <v>148</v>
      </c>
      <c r="AV1634" s="93">
        <f t="shared" si="186"/>
        <v>0</v>
      </c>
      <c r="AW1634" s="93">
        <f t="shared" si="187"/>
        <v>0</v>
      </c>
      <c r="AX1634" s="93">
        <f t="shared" si="188"/>
        <v>0</v>
      </c>
      <c r="AY1634" s="94" t="s">
        <v>1879</v>
      </c>
      <c r="AZ1634" s="94" t="s">
        <v>1654</v>
      </c>
      <c r="BA1634" s="88" t="s">
        <v>67</v>
      </c>
      <c r="BC1634" s="93">
        <f t="shared" si="189"/>
        <v>0</v>
      </c>
      <c r="BD1634" s="93">
        <f t="shared" si="190"/>
        <v>0</v>
      </c>
      <c r="BE1634" s="93">
        <v>0</v>
      </c>
      <c r="BF1634" s="93">
        <f t="shared" si="191"/>
        <v>0</v>
      </c>
      <c r="BH1634" s="93">
        <f t="shared" si="192"/>
        <v>0</v>
      </c>
      <c r="BI1634" s="93">
        <f t="shared" si="193"/>
        <v>0</v>
      </c>
      <c r="BJ1634" s="93">
        <f t="shared" si="194"/>
        <v>0</v>
      </c>
      <c r="BK1634" s="93"/>
      <c r="BL1634" s="93"/>
      <c r="BW1634" s="93" t="str">
        <f t="shared" si="195"/>
        <v>21</v>
      </c>
      <c r="BX1634" s="2" t="s">
        <v>1783</v>
      </c>
    </row>
    <row r="1635" spans="1:76" s="81" customFormat="1" ht="25.5" x14ac:dyDescent="0.25">
      <c r="A1635" s="72" t="s">
        <v>1888</v>
      </c>
      <c r="B1635" s="72" t="s">
        <v>55</v>
      </c>
      <c r="C1635" s="72" t="s">
        <v>1889</v>
      </c>
      <c r="D1635" s="175" t="s">
        <v>1890</v>
      </c>
      <c r="E1635" s="175"/>
      <c r="F1635" s="72" t="s">
        <v>203</v>
      </c>
      <c r="G1635" s="90">
        <v>3</v>
      </c>
      <c r="H1635" s="91"/>
      <c r="I1635" s="92" t="s">
        <v>63</v>
      </c>
      <c r="J1635" s="90">
        <f t="shared" si="168"/>
        <v>0</v>
      </c>
      <c r="K1635" s="90">
        <f t="shared" si="169"/>
        <v>0</v>
      </c>
      <c r="L1635" s="90">
        <f t="shared" si="170"/>
        <v>0</v>
      </c>
      <c r="M1635" s="90">
        <f t="shared" si="171"/>
        <v>0</v>
      </c>
      <c r="N1635" s="90">
        <v>0</v>
      </c>
      <c r="O1635" s="90">
        <f t="shared" si="172"/>
        <v>0</v>
      </c>
      <c r="P1635" s="92" t="s">
        <v>1652</v>
      </c>
      <c r="Z1635" s="93">
        <f t="shared" si="173"/>
        <v>0</v>
      </c>
      <c r="AB1635" s="93">
        <f t="shared" si="174"/>
        <v>0</v>
      </c>
      <c r="AC1635" s="93">
        <f t="shared" si="175"/>
        <v>0</v>
      </c>
      <c r="AD1635" s="93">
        <f t="shared" si="176"/>
        <v>0</v>
      </c>
      <c r="AE1635" s="93">
        <f t="shared" si="177"/>
        <v>0</v>
      </c>
      <c r="AF1635" s="93">
        <f t="shared" si="178"/>
        <v>0</v>
      </c>
      <c r="AG1635" s="93">
        <f t="shared" si="179"/>
        <v>0</v>
      </c>
      <c r="AH1635" s="93">
        <f t="shared" si="180"/>
        <v>0</v>
      </c>
      <c r="AI1635" s="88" t="s">
        <v>55</v>
      </c>
      <c r="AJ1635" s="93">
        <f t="shared" si="181"/>
        <v>0</v>
      </c>
      <c r="AK1635" s="93">
        <f t="shared" si="182"/>
        <v>0</v>
      </c>
      <c r="AL1635" s="93">
        <f t="shared" si="183"/>
        <v>0</v>
      </c>
      <c r="AN1635" s="93">
        <v>21</v>
      </c>
      <c r="AO1635" s="93">
        <f t="shared" si="184"/>
        <v>0</v>
      </c>
      <c r="AP1635" s="93">
        <f t="shared" si="185"/>
        <v>0</v>
      </c>
      <c r="AQ1635" s="94" t="s">
        <v>148</v>
      </c>
      <c r="AV1635" s="93">
        <f t="shared" si="186"/>
        <v>0</v>
      </c>
      <c r="AW1635" s="93">
        <f t="shared" si="187"/>
        <v>0</v>
      </c>
      <c r="AX1635" s="93">
        <f t="shared" si="188"/>
        <v>0</v>
      </c>
      <c r="AY1635" s="94" t="s">
        <v>1879</v>
      </c>
      <c r="AZ1635" s="94" t="s">
        <v>1654</v>
      </c>
      <c r="BA1635" s="88" t="s">
        <v>67</v>
      </c>
      <c r="BC1635" s="93">
        <f t="shared" si="189"/>
        <v>0</v>
      </c>
      <c r="BD1635" s="93">
        <f t="shared" si="190"/>
        <v>0</v>
      </c>
      <c r="BE1635" s="93">
        <v>0</v>
      </c>
      <c r="BF1635" s="93">
        <f t="shared" si="191"/>
        <v>0</v>
      </c>
      <c r="BH1635" s="93">
        <f t="shared" si="192"/>
        <v>0</v>
      </c>
      <c r="BI1635" s="93">
        <f t="shared" si="193"/>
        <v>0</v>
      </c>
      <c r="BJ1635" s="93">
        <f t="shared" si="194"/>
        <v>0</v>
      </c>
      <c r="BK1635" s="93"/>
      <c r="BL1635" s="93"/>
      <c r="BW1635" s="93" t="str">
        <f t="shared" si="195"/>
        <v>21</v>
      </c>
      <c r="BX1635" s="2" t="s">
        <v>1890</v>
      </c>
    </row>
    <row r="1636" spans="1:76" s="81" customFormat="1" ht="25.5" x14ac:dyDescent="0.25">
      <c r="A1636" s="72" t="s">
        <v>1891</v>
      </c>
      <c r="B1636" s="72" t="s">
        <v>55</v>
      </c>
      <c r="C1636" s="72" t="s">
        <v>1892</v>
      </c>
      <c r="D1636" s="175" t="s">
        <v>1715</v>
      </c>
      <c r="E1636" s="175"/>
      <c r="F1636" s="72" t="s">
        <v>1334</v>
      </c>
      <c r="G1636" s="90">
        <v>1</v>
      </c>
      <c r="H1636" s="91"/>
      <c r="I1636" s="92" t="s">
        <v>63</v>
      </c>
      <c r="J1636" s="90">
        <f t="shared" si="168"/>
        <v>0</v>
      </c>
      <c r="K1636" s="90">
        <f t="shared" si="169"/>
        <v>0</v>
      </c>
      <c r="L1636" s="90">
        <f t="shared" si="170"/>
        <v>0</v>
      </c>
      <c r="M1636" s="90">
        <f t="shared" si="171"/>
        <v>0</v>
      </c>
      <c r="N1636" s="90">
        <v>0</v>
      </c>
      <c r="O1636" s="90">
        <f t="shared" si="172"/>
        <v>0</v>
      </c>
      <c r="P1636" s="92" t="s">
        <v>1652</v>
      </c>
      <c r="Z1636" s="93">
        <f t="shared" si="173"/>
        <v>0</v>
      </c>
      <c r="AB1636" s="93">
        <f t="shared" si="174"/>
        <v>0</v>
      </c>
      <c r="AC1636" s="93">
        <f t="shared" si="175"/>
        <v>0</v>
      </c>
      <c r="AD1636" s="93">
        <f t="shared" si="176"/>
        <v>0</v>
      </c>
      <c r="AE1636" s="93">
        <f t="shared" si="177"/>
        <v>0</v>
      </c>
      <c r="AF1636" s="93">
        <f t="shared" si="178"/>
        <v>0</v>
      </c>
      <c r="AG1636" s="93">
        <f t="shared" si="179"/>
        <v>0</v>
      </c>
      <c r="AH1636" s="93">
        <f t="shared" si="180"/>
        <v>0</v>
      </c>
      <c r="AI1636" s="88" t="s">
        <v>55</v>
      </c>
      <c r="AJ1636" s="93">
        <f t="shared" si="181"/>
        <v>0</v>
      </c>
      <c r="AK1636" s="93">
        <f t="shared" si="182"/>
        <v>0</v>
      </c>
      <c r="AL1636" s="93">
        <f t="shared" si="183"/>
        <v>0</v>
      </c>
      <c r="AN1636" s="93">
        <v>21</v>
      </c>
      <c r="AO1636" s="93">
        <f t="shared" si="184"/>
        <v>0</v>
      </c>
      <c r="AP1636" s="93">
        <f t="shared" si="185"/>
        <v>0</v>
      </c>
      <c r="AQ1636" s="94" t="s">
        <v>148</v>
      </c>
      <c r="AV1636" s="93">
        <f t="shared" si="186"/>
        <v>0</v>
      </c>
      <c r="AW1636" s="93">
        <f t="shared" si="187"/>
        <v>0</v>
      </c>
      <c r="AX1636" s="93">
        <f t="shared" si="188"/>
        <v>0</v>
      </c>
      <c r="AY1636" s="94" t="s">
        <v>1879</v>
      </c>
      <c r="AZ1636" s="94" t="s">
        <v>1654</v>
      </c>
      <c r="BA1636" s="88" t="s">
        <v>67</v>
      </c>
      <c r="BC1636" s="93">
        <f t="shared" si="189"/>
        <v>0</v>
      </c>
      <c r="BD1636" s="93">
        <f t="shared" si="190"/>
        <v>0</v>
      </c>
      <c r="BE1636" s="93">
        <v>0</v>
      </c>
      <c r="BF1636" s="93">
        <f t="shared" si="191"/>
        <v>0</v>
      </c>
      <c r="BH1636" s="93">
        <f t="shared" si="192"/>
        <v>0</v>
      </c>
      <c r="BI1636" s="93">
        <f t="shared" si="193"/>
        <v>0</v>
      </c>
      <c r="BJ1636" s="93">
        <f t="shared" si="194"/>
        <v>0</v>
      </c>
      <c r="BK1636" s="93"/>
      <c r="BL1636" s="93"/>
      <c r="BW1636" s="93" t="str">
        <f t="shared" si="195"/>
        <v>21</v>
      </c>
      <c r="BX1636" s="2" t="s">
        <v>1715</v>
      </c>
    </row>
    <row r="1637" spans="1:76" s="81" customFormat="1" x14ac:dyDescent="0.25">
      <c r="A1637" s="85" t="s">
        <v>54</v>
      </c>
      <c r="B1637" s="74" t="s">
        <v>55</v>
      </c>
      <c r="C1637" s="74" t="s">
        <v>1893</v>
      </c>
      <c r="D1637" s="176" t="s">
        <v>1894</v>
      </c>
      <c r="E1637" s="176"/>
      <c r="F1637" s="85" t="s">
        <v>4</v>
      </c>
      <c r="G1637" s="85" t="s">
        <v>4</v>
      </c>
      <c r="H1637" s="98"/>
      <c r="I1637" s="85" t="s">
        <v>4</v>
      </c>
      <c r="J1637" s="86">
        <f>SUM(J1638:J1644)</f>
        <v>0</v>
      </c>
      <c r="K1637" s="86">
        <f>SUM(K1638:K1644)</f>
        <v>0</v>
      </c>
      <c r="L1637" s="86">
        <f>SUM(L1638:L1644)</f>
        <v>0</v>
      </c>
      <c r="M1637" s="86">
        <f>SUM(M1638:M1644)</f>
        <v>0</v>
      </c>
      <c r="N1637" s="87" t="s">
        <v>54</v>
      </c>
      <c r="O1637" s="86">
        <f>SUM(O1638:O1644)</f>
        <v>0</v>
      </c>
      <c r="P1637" s="87" t="s">
        <v>54</v>
      </c>
      <c r="AI1637" s="88" t="s">
        <v>55</v>
      </c>
      <c r="AS1637" s="89">
        <f>SUM(AJ1638:AJ1644)</f>
        <v>0</v>
      </c>
      <c r="AT1637" s="89">
        <f>SUM(AK1638:AK1644)</f>
        <v>0</v>
      </c>
      <c r="AU1637" s="89">
        <f>SUM(AL1638:AL1644)</f>
        <v>0</v>
      </c>
    </row>
    <row r="1638" spans="1:76" s="81" customFormat="1" ht="25.5" x14ac:dyDescent="0.25">
      <c r="A1638" s="72" t="s">
        <v>1895</v>
      </c>
      <c r="B1638" s="72" t="s">
        <v>55</v>
      </c>
      <c r="C1638" s="72" t="s">
        <v>1896</v>
      </c>
      <c r="D1638" s="175" t="s">
        <v>1897</v>
      </c>
      <c r="E1638" s="175"/>
      <c r="F1638" s="72" t="s">
        <v>203</v>
      </c>
      <c r="G1638" s="90">
        <v>1</v>
      </c>
      <c r="H1638" s="91"/>
      <c r="I1638" s="92" t="s">
        <v>63</v>
      </c>
      <c r="J1638" s="90">
        <f t="shared" ref="J1638:J1644" si="196">G1638*AO1638</f>
        <v>0</v>
      </c>
      <c r="K1638" s="90">
        <f t="shared" ref="K1638:K1644" si="197">G1638*AP1638</f>
        <v>0</v>
      </c>
      <c r="L1638" s="90">
        <f t="shared" ref="L1638:L1644" si="198">G1638*H1638</f>
        <v>0</v>
      </c>
      <c r="M1638" s="90">
        <f t="shared" ref="M1638:M1644" si="199">L1638*(1+BW1638/100)</f>
        <v>0</v>
      </c>
      <c r="N1638" s="90">
        <v>0</v>
      </c>
      <c r="O1638" s="90">
        <f t="shared" ref="O1638:O1644" si="200">G1638*N1638</f>
        <v>0</v>
      </c>
      <c r="P1638" s="92" t="s">
        <v>1652</v>
      </c>
      <c r="Z1638" s="93">
        <f t="shared" ref="Z1638:Z1644" si="201">IF(AQ1638="5",BJ1638,0)</f>
        <v>0</v>
      </c>
      <c r="AB1638" s="93">
        <f t="shared" ref="AB1638:AB1644" si="202">IF(AQ1638="1",BH1638,0)</f>
        <v>0</v>
      </c>
      <c r="AC1638" s="93">
        <f t="shared" ref="AC1638:AC1644" si="203">IF(AQ1638="1",BI1638,0)</f>
        <v>0</v>
      </c>
      <c r="AD1638" s="93">
        <f t="shared" ref="AD1638:AD1644" si="204">IF(AQ1638="7",BH1638,0)</f>
        <v>0</v>
      </c>
      <c r="AE1638" s="93">
        <f t="shared" ref="AE1638:AE1644" si="205">IF(AQ1638="7",BI1638,0)</f>
        <v>0</v>
      </c>
      <c r="AF1638" s="93">
        <f t="shared" ref="AF1638:AF1644" si="206">IF(AQ1638="2",BH1638,0)</f>
        <v>0</v>
      </c>
      <c r="AG1638" s="93">
        <f t="shared" ref="AG1638:AG1644" si="207">IF(AQ1638="2",BI1638,0)</f>
        <v>0</v>
      </c>
      <c r="AH1638" s="93">
        <f t="shared" ref="AH1638:AH1644" si="208">IF(AQ1638="0",BJ1638,0)</f>
        <v>0</v>
      </c>
      <c r="AI1638" s="88" t="s">
        <v>55</v>
      </c>
      <c r="AJ1638" s="93">
        <f t="shared" ref="AJ1638:AJ1644" si="209">IF(AN1638=0,L1638,0)</f>
        <v>0</v>
      </c>
      <c r="AK1638" s="93">
        <f t="shared" ref="AK1638:AK1644" si="210">IF(AN1638=12,L1638,0)</f>
        <v>0</v>
      </c>
      <c r="AL1638" s="93">
        <f t="shared" ref="AL1638:AL1644" si="211">IF(AN1638=21,L1638,0)</f>
        <v>0</v>
      </c>
      <c r="AN1638" s="93">
        <v>21</v>
      </c>
      <c r="AO1638" s="93">
        <f t="shared" ref="AO1638:AO1644" si="212">H1638*0</f>
        <v>0</v>
      </c>
      <c r="AP1638" s="93">
        <f t="shared" ref="AP1638:AP1644" si="213">H1638*(1-0)</f>
        <v>0</v>
      </c>
      <c r="AQ1638" s="94" t="s">
        <v>148</v>
      </c>
      <c r="AV1638" s="93">
        <f t="shared" ref="AV1638:AV1644" si="214">AW1638+AX1638</f>
        <v>0</v>
      </c>
      <c r="AW1638" s="93">
        <f t="shared" ref="AW1638:AW1644" si="215">G1638*AO1638</f>
        <v>0</v>
      </c>
      <c r="AX1638" s="93">
        <f t="shared" ref="AX1638:AX1644" si="216">G1638*AP1638</f>
        <v>0</v>
      </c>
      <c r="AY1638" s="94" t="s">
        <v>1898</v>
      </c>
      <c r="AZ1638" s="94" t="s">
        <v>1654</v>
      </c>
      <c r="BA1638" s="88" t="s">
        <v>67</v>
      </c>
      <c r="BC1638" s="93">
        <f t="shared" ref="BC1638:BC1644" si="217">AW1638+AX1638</f>
        <v>0</v>
      </c>
      <c r="BD1638" s="93">
        <f t="shared" ref="BD1638:BD1644" si="218">H1638/(100-BE1638)*100</f>
        <v>0</v>
      </c>
      <c r="BE1638" s="93">
        <v>0</v>
      </c>
      <c r="BF1638" s="93">
        <f t="shared" ref="BF1638:BF1644" si="219">O1638</f>
        <v>0</v>
      </c>
      <c r="BH1638" s="93">
        <f t="shared" ref="BH1638:BH1644" si="220">G1638*AO1638</f>
        <v>0</v>
      </c>
      <c r="BI1638" s="93">
        <f t="shared" ref="BI1638:BI1644" si="221">G1638*AP1638</f>
        <v>0</v>
      </c>
      <c r="BJ1638" s="93">
        <f t="shared" ref="BJ1638:BJ1644" si="222">G1638*H1638</f>
        <v>0</v>
      </c>
      <c r="BK1638" s="93"/>
      <c r="BL1638" s="93"/>
      <c r="BW1638" s="93" t="str">
        <f t="shared" ref="BW1638:BW1644" si="223">I1638</f>
        <v>21</v>
      </c>
      <c r="BX1638" s="2" t="s">
        <v>1897</v>
      </c>
    </row>
    <row r="1639" spans="1:76" s="81" customFormat="1" ht="25.5" x14ac:dyDescent="0.25">
      <c r="A1639" s="72" t="s">
        <v>1899</v>
      </c>
      <c r="B1639" s="72" t="s">
        <v>55</v>
      </c>
      <c r="C1639" s="72" t="s">
        <v>1900</v>
      </c>
      <c r="D1639" s="175" t="s">
        <v>1901</v>
      </c>
      <c r="E1639" s="175"/>
      <c r="F1639" s="72" t="s">
        <v>203</v>
      </c>
      <c r="G1639" s="90">
        <v>1</v>
      </c>
      <c r="H1639" s="91"/>
      <c r="I1639" s="92" t="s">
        <v>63</v>
      </c>
      <c r="J1639" s="90">
        <f t="shared" si="196"/>
        <v>0</v>
      </c>
      <c r="K1639" s="90">
        <f t="shared" si="197"/>
        <v>0</v>
      </c>
      <c r="L1639" s="90">
        <f t="shared" si="198"/>
        <v>0</v>
      </c>
      <c r="M1639" s="90">
        <f t="shared" si="199"/>
        <v>0</v>
      </c>
      <c r="N1639" s="90">
        <v>0</v>
      </c>
      <c r="O1639" s="90">
        <f t="shared" si="200"/>
        <v>0</v>
      </c>
      <c r="P1639" s="92" t="s">
        <v>1652</v>
      </c>
      <c r="Z1639" s="93">
        <f t="shared" si="201"/>
        <v>0</v>
      </c>
      <c r="AB1639" s="93">
        <f t="shared" si="202"/>
        <v>0</v>
      </c>
      <c r="AC1639" s="93">
        <f t="shared" si="203"/>
        <v>0</v>
      </c>
      <c r="AD1639" s="93">
        <f t="shared" si="204"/>
        <v>0</v>
      </c>
      <c r="AE1639" s="93">
        <f t="shared" si="205"/>
        <v>0</v>
      </c>
      <c r="AF1639" s="93">
        <f t="shared" si="206"/>
        <v>0</v>
      </c>
      <c r="AG1639" s="93">
        <f t="shared" si="207"/>
        <v>0</v>
      </c>
      <c r="AH1639" s="93">
        <f t="shared" si="208"/>
        <v>0</v>
      </c>
      <c r="AI1639" s="88" t="s">
        <v>55</v>
      </c>
      <c r="AJ1639" s="93">
        <f t="shared" si="209"/>
        <v>0</v>
      </c>
      <c r="AK1639" s="93">
        <f t="shared" si="210"/>
        <v>0</v>
      </c>
      <c r="AL1639" s="93">
        <f t="shared" si="211"/>
        <v>0</v>
      </c>
      <c r="AN1639" s="93">
        <v>21</v>
      </c>
      <c r="AO1639" s="93">
        <f t="shared" si="212"/>
        <v>0</v>
      </c>
      <c r="AP1639" s="93">
        <f t="shared" si="213"/>
        <v>0</v>
      </c>
      <c r="AQ1639" s="94" t="s">
        <v>148</v>
      </c>
      <c r="AV1639" s="93">
        <f t="shared" si="214"/>
        <v>0</v>
      </c>
      <c r="AW1639" s="93">
        <f t="shared" si="215"/>
        <v>0</v>
      </c>
      <c r="AX1639" s="93">
        <f t="shared" si="216"/>
        <v>0</v>
      </c>
      <c r="AY1639" s="94" t="s">
        <v>1898</v>
      </c>
      <c r="AZ1639" s="94" t="s">
        <v>1654</v>
      </c>
      <c r="BA1639" s="88" t="s">
        <v>67</v>
      </c>
      <c r="BC1639" s="93">
        <f t="shared" si="217"/>
        <v>0</v>
      </c>
      <c r="BD1639" s="93">
        <f t="shared" si="218"/>
        <v>0</v>
      </c>
      <c r="BE1639" s="93">
        <v>0</v>
      </c>
      <c r="BF1639" s="93">
        <f t="shared" si="219"/>
        <v>0</v>
      </c>
      <c r="BH1639" s="93">
        <f t="shared" si="220"/>
        <v>0</v>
      </c>
      <c r="BI1639" s="93">
        <f t="shared" si="221"/>
        <v>0</v>
      </c>
      <c r="BJ1639" s="93">
        <f t="shared" si="222"/>
        <v>0</v>
      </c>
      <c r="BK1639" s="93"/>
      <c r="BL1639" s="93"/>
      <c r="BW1639" s="93" t="str">
        <f t="shared" si="223"/>
        <v>21</v>
      </c>
      <c r="BX1639" s="2" t="s">
        <v>1901</v>
      </c>
    </row>
    <row r="1640" spans="1:76" s="81" customFormat="1" ht="25.5" x14ac:dyDescent="0.25">
      <c r="A1640" s="72" t="s">
        <v>1902</v>
      </c>
      <c r="B1640" s="72" t="s">
        <v>55</v>
      </c>
      <c r="C1640" s="72" t="s">
        <v>1903</v>
      </c>
      <c r="D1640" s="175" t="s">
        <v>1885</v>
      </c>
      <c r="E1640" s="175"/>
      <c r="F1640" s="72" t="s">
        <v>203</v>
      </c>
      <c r="G1640" s="90">
        <v>7</v>
      </c>
      <c r="H1640" s="91"/>
      <c r="I1640" s="92" t="s">
        <v>63</v>
      </c>
      <c r="J1640" s="90">
        <f t="shared" si="196"/>
        <v>0</v>
      </c>
      <c r="K1640" s="90">
        <f t="shared" si="197"/>
        <v>0</v>
      </c>
      <c r="L1640" s="90">
        <f t="shared" si="198"/>
        <v>0</v>
      </c>
      <c r="M1640" s="90">
        <f t="shared" si="199"/>
        <v>0</v>
      </c>
      <c r="N1640" s="90">
        <v>0</v>
      </c>
      <c r="O1640" s="90">
        <f t="shared" si="200"/>
        <v>0</v>
      </c>
      <c r="P1640" s="92" t="s">
        <v>1652</v>
      </c>
      <c r="Z1640" s="93">
        <f t="shared" si="201"/>
        <v>0</v>
      </c>
      <c r="AB1640" s="93">
        <f t="shared" si="202"/>
        <v>0</v>
      </c>
      <c r="AC1640" s="93">
        <f t="shared" si="203"/>
        <v>0</v>
      </c>
      <c r="AD1640" s="93">
        <f t="shared" si="204"/>
        <v>0</v>
      </c>
      <c r="AE1640" s="93">
        <f t="shared" si="205"/>
        <v>0</v>
      </c>
      <c r="AF1640" s="93">
        <f t="shared" si="206"/>
        <v>0</v>
      </c>
      <c r="AG1640" s="93">
        <f t="shared" si="207"/>
        <v>0</v>
      </c>
      <c r="AH1640" s="93">
        <f t="shared" si="208"/>
        <v>0</v>
      </c>
      <c r="AI1640" s="88" t="s">
        <v>55</v>
      </c>
      <c r="AJ1640" s="93">
        <f t="shared" si="209"/>
        <v>0</v>
      </c>
      <c r="AK1640" s="93">
        <f t="shared" si="210"/>
        <v>0</v>
      </c>
      <c r="AL1640" s="93">
        <f t="shared" si="211"/>
        <v>0</v>
      </c>
      <c r="AN1640" s="93">
        <v>21</v>
      </c>
      <c r="AO1640" s="93">
        <f t="shared" si="212"/>
        <v>0</v>
      </c>
      <c r="AP1640" s="93">
        <f t="shared" si="213"/>
        <v>0</v>
      </c>
      <c r="AQ1640" s="94" t="s">
        <v>148</v>
      </c>
      <c r="AV1640" s="93">
        <f t="shared" si="214"/>
        <v>0</v>
      </c>
      <c r="AW1640" s="93">
        <f t="shared" si="215"/>
        <v>0</v>
      </c>
      <c r="AX1640" s="93">
        <f t="shared" si="216"/>
        <v>0</v>
      </c>
      <c r="AY1640" s="94" t="s">
        <v>1898</v>
      </c>
      <c r="AZ1640" s="94" t="s">
        <v>1654</v>
      </c>
      <c r="BA1640" s="88" t="s">
        <v>67</v>
      </c>
      <c r="BC1640" s="93">
        <f t="shared" si="217"/>
        <v>0</v>
      </c>
      <c r="BD1640" s="93">
        <f t="shared" si="218"/>
        <v>0</v>
      </c>
      <c r="BE1640" s="93">
        <v>0</v>
      </c>
      <c r="BF1640" s="93">
        <f t="shared" si="219"/>
        <v>0</v>
      </c>
      <c r="BH1640" s="93">
        <f t="shared" si="220"/>
        <v>0</v>
      </c>
      <c r="BI1640" s="93">
        <f t="shared" si="221"/>
        <v>0</v>
      </c>
      <c r="BJ1640" s="93">
        <f t="shared" si="222"/>
        <v>0</v>
      </c>
      <c r="BK1640" s="93"/>
      <c r="BL1640" s="93"/>
      <c r="BW1640" s="93" t="str">
        <f t="shared" si="223"/>
        <v>21</v>
      </c>
      <c r="BX1640" s="2" t="s">
        <v>1885</v>
      </c>
    </row>
    <row r="1641" spans="1:76" s="81" customFormat="1" ht="25.5" x14ac:dyDescent="0.25">
      <c r="A1641" s="72" t="s">
        <v>1904</v>
      </c>
      <c r="B1641" s="72" t="s">
        <v>55</v>
      </c>
      <c r="C1641" s="72" t="s">
        <v>1905</v>
      </c>
      <c r="D1641" s="175" t="s">
        <v>1906</v>
      </c>
      <c r="E1641" s="175"/>
      <c r="F1641" s="72" t="s">
        <v>203</v>
      </c>
      <c r="G1641" s="90">
        <v>1</v>
      </c>
      <c r="H1641" s="91"/>
      <c r="I1641" s="92" t="s">
        <v>63</v>
      </c>
      <c r="J1641" s="90">
        <f t="shared" si="196"/>
        <v>0</v>
      </c>
      <c r="K1641" s="90">
        <f t="shared" si="197"/>
        <v>0</v>
      </c>
      <c r="L1641" s="90">
        <f t="shared" si="198"/>
        <v>0</v>
      </c>
      <c r="M1641" s="90">
        <f t="shared" si="199"/>
        <v>0</v>
      </c>
      <c r="N1641" s="90">
        <v>0</v>
      </c>
      <c r="O1641" s="90">
        <f t="shared" si="200"/>
        <v>0</v>
      </c>
      <c r="P1641" s="92" t="s">
        <v>1652</v>
      </c>
      <c r="Z1641" s="93">
        <f t="shared" si="201"/>
        <v>0</v>
      </c>
      <c r="AB1641" s="93">
        <f t="shared" si="202"/>
        <v>0</v>
      </c>
      <c r="AC1641" s="93">
        <f t="shared" si="203"/>
        <v>0</v>
      </c>
      <c r="AD1641" s="93">
        <f t="shared" si="204"/>
        <v>0</v>
      </c>
      <c r="AE1641" s="93">
        <f t="shared" si="205"/>
        <v>0</v>
      </c>
      <c r="AF1641" s="93">
        <f t="shared" si="206"/>
        <v>0</v>
      </c>
      <c r="AG1641" s="93">
        <f t="shared" si="207"/>
        <v>0</v>
      </c>
      <c r="AH1641" s="93">
        <f t="shared" si="208"/>
        <v>0</v>
      </c>
      <c r="AI1641" s="88" t="s">
        <v>55</v>
      </c>
      <c r="AJ1641" s="93">
        <f t="shared" si="209"/>
        <v>0</v>
      </c>
      <c r="AK1641" s="93">
        <f t="shared" si="210"/>
        <v>0</v>
      </c>
      <c r="AL1641" s="93">
        <f t="shared" si="211"/>
        <v>0</v>
      </c>
      <c r="AN1641" s="93">
        <v>21</v>
      </c>
      <c r="AO1641" s="93">
        <f t="shared" si="212"/>
        <v>0</v>
      </c>
      <c r="AP1641" s="93">
        <f t="shared" si="213"/>
        <v>0</v>
      </c>
      <c r="AQ1641" s="94" t="s">
        <v>148</v>
      </c>
      <c r="AV1641" s="93">
        <f t="shared" si="214"/>
        <v>0</v>
      </c>
      <c r="AW1641" s="93">
        <f t="shared" si="215"/>
        <v>0</v>
      </c>
      <c r="AX1641" s="93">
        <f t="shared" si="216"/>
        <v>0</v>
      </c>
      <c r="AY1641" s="94" t="s">
        <v>1898</v>
      </c>
      <c r="AZ1641" s="94" t="s">
        <v>1654</v>
      </c>
      <c r="BA1641" s="88" t="s">
        <v>67</v>
      </c>
      <c r="BC1641" s="93">
        <f t="shared" si="217"/>
        <v>0</v>
      </c>
      <c r="BD1641" s="93">
        <f t="shared" si="218"/>
        <v>0</v>
      </c>
      <c r="BE1641" s="93">
        <v>0</v>
      </c>
      <c r="BF1641" s="93">
        <f t="shared" si="219"/>
        <v>0</v>
      </c>
      <c r="BH1641" s="93">
        <f t="shared" si="220"/>
        <v>0</v>
      </c>
      <c r="BI1641" s="93">
        <f t="shared" si="221"/>
        <v>0</v>
      </c>
      <c r="BJ1641" s="93">
        <f t="shared" si="222"/>
        <v>0</v>
      </c>
      <c r="BK1641" s="93"/>
      <c r="BL1641" s="93"/>
      <c r="BW1641" s="93" t="str">
        <f t="shared" si="223"/>
        <v>21</v>
      </c>
      <c r="BX1641" s="2" t="s">
        <v>1906</v>
      </c>
    </row>
    <row r="1642" spans="1:76" s="81" customFormat="1" ht="25.5" x14ac:dyDescent="0.25">
      <c r="A1642" s="72" t="s">
        <v>1907</v>
      </c>
      <c r="B1642" s="72" t="s">
        <v>55</v>
      </c>
      <c r="C1642" s="72" t="s">
        <v>1908</v>
      </c>
      <c r="D1642" s="175" t="s">
        <v>1909</v>
      </c>
      <c r="E1642" s="175"/>
      <c r="F1642" s="72" t="s">
        <v>203</v>
      </c>
      <c r="G1642" s="90">
        <v>1</v>
      </c>
      <c r="H1642" s="91"/>
      <c r="I1642" s="92" t="s">
        <v>63</v>
      </c>
      <c r="J1642" s="90">
        <f t="shared" si="196"/>
        <v>0</v>
      </c>
      <c r="K1642" s="90">
        <f t="shared" si="197"/>
        <v>0</v>
      </c>
      <c r="L1642" s="90">
        <f t="shared" si="198"/>
        <v>0</v>
      </c>
      <c r="M1642" s="90">
        <f t="shared" si="199"/>
        <v>0</v>
      </c>
      <c r="N1642" s="90">
        <v>0</v>
      </c>
      <c r="O1642" s="90">
        <f t="shared" si="200"/>
        <v>0</v>
      </c>
      <c r="P1642" s="92" t="s">
        <v>1652</v>
      </c>
      <c r="Z1642" s="93">
        <f t="shared" si="201"/>
        <v>0</v>
      </c>
      <c r="AB1642" s="93">
        <f t="shared" si="202"/>
        <v>0</v>
      </c>
      <c r="AC1642" s="93">
        <f t="shared" si="203"/>
        <v>0</v>
      </c>
      <c r="AD1642" s="93">
        <f t="shared" si="204"/>
        <v>0</v>
      </c>
      <c r="AE1642" s="93">
        <f t="shared" si="205"/>
        <v>0</v>
      </c>
      <c r="AF1642" s="93">
        <f t="shared" si="206"/>
        <v>0</v>
      </c>
      <c r="AG1642" s="93">
        <f t="shared" si="207"/>
        <v>0</v>
      </c>
      <c r="AH1642" s="93">
        <f t="shared" si="208"/>
        <v>0</v>
      </c>
      <c r="AI1642" s="88" t="s">
        <v>55</v>
      </c>
      <c r="AJ1642" s="93">
        <f t="shared" si="209"/>
        <v>0</v>
      </c>
      <c r="AK1642" s="93">
        <f t="shared" si="210"/>
        <v>0</v>
      </c>
      <c r="AL1642" s="93">
        <f t="shared" si="211"/>
        <v>0</v>
      </c>
      <c r="AN1642" s="93">
        <v>21</v>
      </c>
      <c r="AO1642" s="93">
        <f t="shared" si="212"/>
        <v>0</v>
      </c>
      <c r="AP1642" s="93">
        <f t="shared" si="213"/>
        <v>0</v>
      </c>
      <c r="AQ1642" s="94" t="s">
        <v>148</v>
      </c>
      <c r="AV1642" s="93">
        <f t="shared" si="214"/>
        <v>0</v>
      </c>
      <c r="AW1642" s="93">
        <f t="shared" si="215"/>
        <v>0</v>
      </c>
      <c r="AX1642" s="93">
        <f t="shared" si="216"/>
        <v>0</v>
      </c>
      <c r="AY1642" s="94" t="s">
        <v>1898</v>
      </c>
      <c r="AZ1642" s="94" t="s">
        <v>1654</v>
      </c>
      <c r="BA1642" s="88" t="s">
        <v>67</v>
      </c>
      <c r="BC1642" s="93">
        <f t="shared" si="217"/>
        <v>0</v>
      </c>
      <c r="BD1642" s="93">
        <f t="shared" si="218"/>
        <v>0</v>
      </c>
      <c r="BE1642" s="93">
        <v>0</v>
      </c>
      <c r="BF1642" s="93">
        <f t="shared" si="219"/>
        <v>0</v>
      </c>
      <c r="BH1642" s="93">
        <f t="shared" si="220"/>
        <v>0</v>
      </c>
      <c r="BI1642" s="93">
        <f t="shared" si="221"/>
        <v>0</v>
      </c>
      <c r="BJ1642" s="93">
        <f t="shared" si="222"/>
        <v>0</v>
      </c>
      <c r="BK1642" s="93"/>
      <c r="BL1642" s="93"/>
      <c r="BW1642" s="93" t="str">
        <f t="shared" si="223"/>
        <v>21</v>
      </c>
      <c r="BX1642" s="2" t="s">
        <v>1909</v>
      </c>
    </row>
    <row r="1643" spans="1:76" s="81" customFormat="1" ht="25.5" x14ac:dyDescent="0.25">
      <c r="A1643" s="72" t="s">
        <v>1910</v>
      </c>
      <c r="B1643" s="72" t="s">
        <v>55</v>
      </c>
      <c r="C1643" s="72" t="s">
        <v>1911</v>
      </c>
      <c r="D1643" s="175" t="s">
        <v>1694</v>
      </c>
      <c r="E1643" s="175"/>
      <c r="F1643" s="72" t="s">
        <v>1676</v>
      </c>
      <c r="G1643" s="90">
        <v>30</v>
      </c>
      <c r="H1643" s="91"/>
      <c r="I1643" s="92" t="s">
        <v>63</v>
      </c>
      <c r="J1643" s="90">
        <f t="shared" si="196"/>
        <v>0</v>
      </c>
      <c r="K1643" s="90">
        <f t="shared" si="197"/>
        <v>0</v>
      </c>
      <c r="L1643" s="90">
        <f t="shared" si="198"/>
        <v>0</v>
      </c>
      <c r="M1643" s="90">
        <f t="shared" si="199"/>
        <v>0</v>
      </c>
      <c r="N1643" s="90">
        <v>0</v>
      </c>
      <c r="O1643" s="90">
        <f t="shared" si="200"/>
        <v>0</v>
      </c>
      <c r="P1643" s="92" t="s">
        <v>1652</v>
      </c>
      <c r="Z1643" s="93">
        <f t="shared" si="201"/>
        <v>0</v>
      </c>
      <c r="AB1643" s="93">
        <f t="shared" si="202"/>
        <v>0</v>
      </c>
      <c r="AC1643" s="93">
        <f t="shared" si="203"/>
        <v>0</v>
      </c>
      <c r="AD1643" s="93">
        <f t="shared" si="204"/>
        <v>0</v>
      </c>
      <c r="AE1643" s="93">
        <f t="shared" si="205"/>
        <v>0</v>
      </c>
      <c r="AF1643" s="93">
        <f t="shared" si="206"/>
        <v>0</v>
      </c>
      <c r="AG1643" s="93">
        <f t="shared" si="207"/>
        <v>0</v>
      </c>
      <c r="AH1643" s="93">
        <f t="shared" si="208"/>
        <v>0</v>
      </c>
      <c r="AI1643" s="88" t="s">
        <v>55</v>
      </c>
      <c r="AJ1643" s="93">
        <f t="shared" si="209"/>
        <v>0</v>
      </c>
      <c r="AK1643" s="93">
        <f t="shared" si="210"/>
        <v>0</v>
      </c>
      <c r="AL1643" s="93">
        <f t="shared" si="211"/>
        <v>0</v>
      </c>
      <c r="AN1643" s="93">
        <v>21</v>
      </c>
      <c r="AO1643" s="93">
        <f t="shared" si="212"/>
        <v>0</v>
      </c>
      <c r="AP1643" s="93">
        <f t="shared" si="213"/>
        <v>0</v>
      </c>
      <c r="AQ1643" s="94" t="s">
        <v>148</v>
      </c>
      <c r="AV1643" s="93">
        <f t="shared" si="214"/>
        <v>0</v>
      </c>
      <c r="AW1643" s="93">
        <f t="shared" si="215"/>
        <v>0</v>
      </c>
      <c r="AX1643" s="93">
        <f t="shared" si="216"/>
        <v>0</v>
      </c>
      <c r="AY1643" s="94" t="s">
        <v>1898</v>
      </c>
      <c r="AZ1643" s="94" t="s">
        <v>1654</v>
      </c>
      <c r="BA1643" s="88" t="s">
        <v>67</v>
      </c>
      <c r="BC1643" s="93">
        <f t="shared" si="217"/>
        <v>0</v>
      </c>
      <c r="BD1643" s="93">
        <f t="shared" si="218"/>
        <v>0</v>
      </c>
      <c r="BE1643" s="93">
        <v>0</v>
      </c>
      <c r="BF1643" s="93">
        <f t="shared" si="219"/>
        <v>0</v>
      </c>
      <c r="BH1643" s="93">
        <f t="shared" si="220"/>
        <v>0</v>
      </c>
      <c r="BI1643" s="93">
        <f t="shared" si="221"/>
        <v>0</v>
      </c>
      <c r="BJ1643" s="93">
        <f t="shared" si="222"/>
        <v>0</v>
      </c>
      <c r="BK1643" s="93"/>
      <c r="BL1643" s="93"/>
      <c r="BW1643" s="93" t="str">
        <f t="shared" si="223"/>
        <v>21</v>
      </c>
      <c r="BX1643" s="2" t="s">
        <v>1694</v>
      </c>
    </row>
    <row r="1644" spans="1:76" s="81" customFormat="1" ht="25.5" x14ac:dyDescent="0.25">
      <c r="A1644" s="72" t="s">
        <v>1912</v>
      </c>
      <c r="B1644" s="72" t="s">
        <v>55</v>
      </c>
      <c r="C1644" s="72" t="s">
        <v>1913</v>
      </c>
      <c r="D1644" s="175" t="s">
        <v>1715</v>
      </c>
      <c r="E1644" s="175"/>
      <c r="F1644" s="72" t="s">
        <v>1334</v>
      </c>
      <c r="G1644" s="90">
        <v>1</v>
      </c>
      <c r="H1644" s="91"/>
      <c r="I1644" s="92" t="s">
        <v>63</v>
      </c>
      <c r="J1644" s="90">
        <f t="shared" si="196"/>
        <v>0</v>
      </c>
      <c r="K1644" s="90">
        <f t="shared" si="197"/>
        <v>0</v>
      </c>
      <c r="L1644" s="90">
        <f t="shared" si="198"/>
        <v>0</v>
      </c>
      <c r="M1644" s="90">
        <f t="shared" si="199"/>
        <v>0</v>
      </c>
      <c r="N1644" s="90">
        <v>0</v>
      </c>
      <c r="O1644" s="90">
        <f t="shared" si="200"/>
        <v>0</v>
      </c>
      <c r="P1644" s="92" t="s">
        <v>1652</v>
      </c>
      <c r="Z1644" s="93">
        <f t="shared" si="201"/>
        <v>0</v>
      </c>
      <c r="AB1644" s="93">
        <f t="shared" si="202"/>
        <v>0</v>
      </c>
      <c r="AC1644" s="93">
        <f t="shared" si="203"/>
        <v>0</v>
      </c>
      <c r="AD1644" s="93">
        <f t="shared" si="204"/>
        <v>0</v>
      </c>
      <c r="AE1644" s="93">
        <f t="shared" si="205"/>
        <v>0</v>
      </c>
      <c r="AF1644" s="93">
        <f t="shared" si="206"/>
        <v>0</v>
      </c>
      <c r="AG1644" s="93">
        <f t="shared" si="207"/>
        <v>0</v>
      </c>
      <c r="AH1644" s="93">
        <f t="shared" si="208"/>
        <v>0</v>
      </c>
      <c r="AI1644" s="88" t="s">
        <v>55</v>
      </c>
      <c r="AJ1644" s="93">
        <f t="shared" si="209"/>
        <v>0</v>
      </c>
      <c r="AK1644" s="93">
        <f t="shared" si="210"/>
        <v>0</v>
      </c>
      <c r="AL1644" s="93">
        <f t="shared" si="211"/>
        <v>0</v>
      </c>
      <c r="AN1644" s="93">
        <v>21</v>
      </c>
      <c r="AO1644" s="93">
        <f t="shared" si="212"/>
        <v>0</v>
      </c>
      <c r="AP1644" s="93">
        <f t="shared" si="213"/>
        <v>0</v>
      </c>
      <c r="AQ1644" s="94" t="s">
        <v>148</v>
      </c>
      <c r="AV1644" s="93">
        <f t="shared" si="214"/>
        <v>0</v>
      </c>
      <c r="AW1644" s="93">
        <f t="shared" si="215"/>
        <v>0</v>
      </c>
      <c r="AX1644" s="93">
        <f t="shared" si="216"/>
        <v>0</v>
      </c>
      <c r="AY1644" s="94" t="s">
        <v>1898</v>
      </c>
      <c r="AZ1644" s="94" t="s">
        <v>1654</v>
      </c>
      <c r="BA1644" s="88" t="s">
        <v>67</v>
      </c>
      <c r="BC1644" s="93">
        <f t="shared" si="217"/>
        <v>0</v>
      </c>
      <c r="BD1644" s="93">
        <f t="shared" si="218"/>
        <v>0</v>
      </c>
      <c r="BE1644" s="93">
        <v>0</v>
      </c>
      <c r="BF1644" s="93">
        <f t="shared" si="219"/>
        <v>0</v>
      </c>
      <c r="BH1644" s="93">
        <f t="shared" si="220"/>
        <v>0</v>
      </c>
      <c r="BI1644" s="93">
        <f t="shared" si="221"/>
        <v>0</v>
      </c>
      <c r="BJ1644" s="93">
        <f t="shared" si="222"/>
        <v>0</v>
      </c>
      <c r="BK1644" s="93"/>
      <c r="BL1644" s="93"/>
      <c r="BW1644" s="93" t="str">
        <f t="shared" si="223"/>
        <v>21</v>
      </c>
      <c r="BX1644" s="2" t="s">
        <v>1715</v>
      </c>
    </row>
    <row r="1645" spans="1:76" s="81" customFormat="1" x14ac:dyDescent="0.25">
      <c r="A1645" s="85" t="s">
        <v>54</v>
      </c>
      <c r="B1645" s="74" t="s">
        <v>55</v>
      </c>
      <c r="C1645" s="74" t="s">
        <v>1914</v>
      </c>
      <c r="D1645" s="176" t="s">
        <v>1915</v>
      </c>
      <c r="E1645" s="176"/>
      <c r="F1645" s="85" t="s">
        <v>4</v>
      </c>
      <c r="G1645" s="85" t="s">
        <v>4</v>
      </c>
      <c r="H1645" s="98"/>
      <c r="I1645" s="85" t="s">
        <v>4</v>
      </c>
      <c r="J1645" s="86">
        <f>SUM(J1646:J1668)</f>
        <v>0</v>
      </c>
      <c r="K1645" s="86">
        <f>SUM(K1646:K1668)</f>
        <v>0</v>
      </c>
      <c r="L1645" s="86">
        <f>SUM(L1646:L1668)</f>
        <v>0</v>
      </c>
      <c r="M1645" s="86">
        <f>SUM(M1646:M1668)</f>
        <v>0</v>
      </c>
      <c r="N1645" s="87" t="s">
        <v>54</v>
      </c>
      <c r="O1645" s="86">
        <f>SUM(O1646:O1668)</f>
        <v>0.10897999999999999</v>
      </c>
      <c r="P1645" s="87" t="s">
        <v>54</v>
      </c>
      <c r="AI1645" s="88" t="s">
        <v>55</v>
      </c>
      <c r="AS1645" s="89">
        <f>SUM(AJ1646:AJ1668)</f>
        <v>0</v>
      </c>
      <c r="AT1645" s="89">
        <f>SUM(AK1646:AK1668)</f>
        <v>0</v>
      </c>
      <c r="AU1645" s="89">
        <f>SUM(AL1646:AL1668)</f>
        <v>0</v>
      </c>
    </row>
    <row r="1646" spans="1:76" s="81" customFormat="1" ht="25.5" x14ac:dyDescent="0.25">
      <c r="A1646" s="72" t="s">
        <v>1916</v>
      </c>
      <c r="B1646" s="72" t="s">
        <v>55</v>
      </c>
      <c r="C1646" s="72" t="s">
        <v>1917</v>
      </c>
      <c r="D1646" s="175" t="s">
        <v>1918</v>
      </c>
      <c r="E1646" s="175"/>
      <c r="F1646" s="72" t="s">
        <v>1334</v>
      </c>
      <c r="G1646" s="90">
        <v>2</v>
      </c>
      <c r="H1646" s="91"/>
      <c r="I1646" s="92" t="s">
        <v>63</v>
      </c>
      <c r="J1646" s="90">
        <f t="shared" ref="J1646:J1664" si="224">G1646*AO1646</f>
        <v>0</v>
      </c>
      <c r="K1646" s="90">
        <f t="shared" ref="K1646:K1664" si="225">G1646*AP1646</f>
        <v>0</v>
      </c>
      <c r="L1646" s="90">
        <f t="shared" ref="L1646:L1664" si="226">G1646*H1646</f>
        <v>0</v>
      </c>
      <c r="M1646" s="90">
        <f t="shared" ref="M1646:M1664" si="227">L1646*(1+BW1646/100)</f>
        <v>0</v>
      </c>
      <c r="N1646" s="90">
        <v>5.2999999999999998E-4</v>
      </c>
      <c r="O1646" s="90">
        <f t="shared" ref="O1646:O1664" si="228">G1646*N1646</f>
        <v>1.06E-3</v>
      </c>
      <c r="P1646" s="92" t="s">
        <v>64</v>
      </c>
      <c r="Z1646" s="93">
        <f t="shared" ref="Z1646:Z1664" si="229">IF(AQ1646="5",BJ1646,0)</f>
        <v>0</v>
      </c>
      <c r="AB1646" s="93">
        <f t="shared" ref="AB1646:AB1664" si="230">IF(AQ1646="1",BH1646,0)</f>
        <v>0</v>
      </c>
      <c r="AC1646" s="93">
        <f t="shared" ref="AC1646:AC1664" si="231">IF(AQ1646="1",BI1646,0)</f>
        <v>0</v>
      </c>
      <c r="AD1646" s="93">
        <f t="shared" ref="AD1646:AD1664" si="232">IF(AQ1646="7",BH1646,0)</f>
        <v>0</v>
      </c>
      <c r="AE1646" s="93">
        <f t="shared" ref="AE1646:AE1664" si="233">IF(AQ1646="7",BI1646,0)</f>
        <v>0</v>
      </c>
      <c r="AF1646" s="93">
        <f t="shared" ref="AF1646:AF1664" si="234">IF(AQ1646="2",BH1646,0)</f>
        <v>0</v>
      </c>
      <c r="AG1646" s="93">
        <f t="shared" ref="AG1646:AG1664" si="235">IF(AQ1646="2",BI1646,0)</f>
        <v>0</v>
      </c>
      <c r="AH1646" s="93">
        <f t="shared" ref="AH1646:AH1664" si="236">IF(AQ1646="0",BJ1646,0)</f>
        <v>0</v>
      </c>
      <c r="AI1646" s="88" t="s">
        <v>55</v>
      </c>
      <c r="AJ1646" s="93">
        <f t="shared" ref="AJ1646:AJ1664" si="237">IF(AN1646=0,L1646,0)</f>
        <v>0</v>
      </c>
      <c r="AK1646" s="93">
        <f t="shared" ref="AK1646:AK1664" si="238">IF(AN1646=12,L1646,0)</f>
        <v>0</v>
      </c>
      <c r="AL1646" s="93">
        <f t="shared" ref="AL1646:AL1664" si="239">IF(AN1646=21,L1646,0)</f>
        <v>0</v>
      </c>
      <c r="AN1646" s="93">
        <v>21</v>
      </c>
      <c r="AO1646" s="93">
        <f>H1646*0.536677632</f>
        <v>0</v>
      </c>
      <c r="AP1646" s="93">
        <f>H1646*(1-0.536677632)</f>
        <v>0</v>
      </c>
      <c r="AQ1646" s="94" t="s">
        <v>148</v>
      </c>
      <c r="AV1646" s="93">
        <f t="shared" ref="AV1646:AV1664" si="240">AW1646+AX1646</f>
        <v>0</v>
      </c>
      <c r="AW1646" s="93">
        <f t="shared" ref="AW1646:AW1664" si="241">G1646*AO1646</f>
        <v>0</v>
      </c>
      <c r="AX1646" s="93">
        <f t="shared" ref="AX1646:AX1664" si="242">G1646*AP1646</f>
        <v>0</v>
      </c>
      <c r="AY1646" s="94" t="s">
        <v>1919</v>
      </c>
      <c r="AZ1646" s="94" t="s">
        <v>1920</v>
      </c>
      <c r="BA1646" s="88" t="s">
        <v>67</v>
      </c>
      <c r="BC1646" s="93">
        <f t="shared" ref="BC1646:BC1664" si="243">AW1646+AX1646</f>
        <v>0</v>
      </c>
      <c r="BD1646" s="93">
        <f t="shared" ref="BD1646:BD1664" si="244">H1646/(100-BE1646)*100</f>
        <v>0</v>
      </c>
      <c r="BE1646" s="93">
        <v>0</v>
      </c>
      <c r="BF1646" s="93">
        <f t="shared" ref="BF1646:BF1664" si="245">O1646</f>
        <v>1.06E-3</v>
      </c>
      <c r="BH1646" s="93">
        <f t="shared" ref="BH1646:BH1664" si="246">G1646*AO1646</f>
        <v>0</v>
      </c>
      <c r="BI1646" s="93">
        <f t="shared" ref="BI1646:BI1664" si="247">G1646*AP1646</f>
        <v>0</v>
      </c>
      <c r="BJ1646" s="93">
        <f t="shared" ref="BJ1646:BJ1664" si="248">G1646*H1646</f>
        <v>0</v>
      </c>
      <c r="BK1646" s="93"/>
      <c r="BL1646" s="93">
        <v>732</v>
      </c>
      <c r="BW1646" s="93" t="str">
        <f t="shared" ref="BW1646:BW1664" si="249">I1646</f>
        <v>21</v>
      </c>
      <c r="BX1646" s="2" t="s">
        <v>1918</v>
      </c>
    </row>
    <row r="1647" spans="1:76" s="81" customFormat="1" ht="25.5" x14ac:dyDescent="0.25">
      <c r="A1647" s="72" t="s">
        <v>1921</v>
      </c>
      <c r="B1647" s="72" t="s">
        <v>55</v>
      </c>
      <c r="C1647" s="72" t="s">
        <v>1922</v>
      </c>
      <c r="D1647" s="175" t="s">
        <v>1923</v>
      </c>
      <c r="E1647" s="175"/>
      <c r="F1647" s="72" t="s">
        <v>203</v>
      </c>
      <c r="G1647" s="90">
        <v>2</v>
      </c>
      <c r="H1647" s="91"/>
      <c r="I1647" s="92" t="s">
        <v>63</v>
      </c>
      <c r="J1647" s="90">
        <f t="shared" si="224"/>
        <v>0</v>
      </c>
      <c r="K1647" s="90">
        <f t="shared" si="225"/>
        <v>0</v>
      </c>
      <c r="L1647" s="90">
        <f t="shared" si="226"/>
        <v>0</v>
      </c>
      <c r="M1647" s="90">
        <f t="shared" si="227"/>
        <v>0</v>
      </c>
      <c r="N1647" s="90">
        <v>4.7999999999999996E-3</v>
      </c>
      <c r="O1647" s="90">
        <f t="shared" si="228"/>
        <v>9.5999999999999992E-3</v>
      </c>
      <c r="P1647" s="92" t="s">
        <v>64</v>
      </c>
      <c r="Z1647" s="93">
        <f t="shared" si="229"/>
        <v>0</v>
      </c>
      <c r="AB1647" s="93">
        <f t="shared" si="230"/>
        <v>0</v>
      </c>
      <c r="AC1647" s="93">
        <f t="shared" si="231"/>
        <v>0</v>
      </c>
      <c r="AD1647" s="93">
        <f t="shared" si="232"/>
        <v>0</v>
      </c>
      <c r="AE1647" s="93">
        <f t="shared" si="233"/>
        <v>0</v>
      </c>
      <c r="AF1647" s="93">
        <f t="shared" si="234"/>
        <v>0</v>
      </c>
      <c r="AG1647" s="93">
        <f t="shared" si="235"/>
        <v>0</v>
      </c>
      <c r="AH1647" s="93">
        <f t="shared" si="236"/>
        <v>0</v>
      </c>
      <c r="AI1647" s="88" t="s">
        <v>55</v>
      </c>
      <c r="AJ1647" s="93">
        <f t="shared" si="237"/>
        <v>0</v>
      </c>
      <c r="AK1647" s="93">
        <f t="shared" si="238"/>
        <v>0</v>
      </c>
      <c r="AL1647" s="93">
        <f t="shared" si="239"/>
        <v>0</v>
      </c>
      <c r="AN1647" s="93">
        <v>21</v>
      </c>
      <c r="AO1647" s="93">
        <f>H1647*1</f>
        <v>0</v>
      </c>
      <c r="AP1647" s="93">
        <f>H1647*(1-1)</f>
        <v>0</v>
      </c>
      <c r="AQ1647" s="94" t="s">
        <v>148</v>
      </c>
      <c r="AV1647" s="93">
        <f t="shared" si="240"/>
        <v>0</v>
      </c>
      <c r="AW1647" s="93">
        <f t="shared" si="241"/>
        <v>0</v>
      </c>
      <c r="AX1647" s="93">
        <f t="shared" si="242"/>
        <v>0</v>
      </c>
      <c r="AY1647" s="94" t="s">
        <v>1919</v>
      </c>
      <c r="AZ1647" s="94" t="s">
        <v>1920</v>
      </c>
      <c r="BA1647" s="88" t="s">
        <v>67</v>
      </c>
      <c r="BC1647" s="93">
        <f t="shared" si="243"/>
        <v>0</v>
      </c>
      <c r="BD1647" s="93">
        <f t="shared" si="244"/>
        <v>0</v>
      </c>
      <c r="BE1647" s="93">
        <v>0</v>
      </c>
      <c r="BF1647" s="93">
        <f t="shared" si="245"/>
        <v>9.5999999999999992E-3</v>
      </c>
      <c r="BH1647" s="93">
        <f t="shared" si="246"/>
        <v>0</v>
      </c>
      <c r="BI1647" s="93">
        <f t="shared" si="247"/>
        <v>0</v>
      </c>
      <c r="BJ1647" s="93">
        <f t="shared" si="248"/>
        <v>0</v>
      </c>
      <c r="BK1647" s="93"/>
      <c r="BL1647" s="93">
        <v>732</v>
      </c>
      <c r="BW1647" s="93" t="str">
        <f t="shared" si="249"/>
        <v>21</v>
      </c>
      <c r="BX1647" s="2" t="s">
        <v>1923</v>
      </c>
    </row>
    <row r="1648" spans="1:76" s="81" customFormat="1" ht="25.5" x14ac:dyDescent="0.25">
      <c r="A1648" s="72" t="s">
        <v>1924</v>
      </c>
      <c r="B1648" s="72" t="s">
        <v>55</v>
      </c>
      <c r="C1648" s="72" t="s">
        <v>1925</v>
      </c>
      <c r="D1648" s="175" t="s">
        <v>1926</v>
      </c>
      <c r="E1648" s="175"/>
      <c r="F1648" s="72" t="s">
        <v>1334</v>
      </c>
      <c r="G1648" s="90">
        <v>1</v>
      </c>
      <c r="H1648" s="91"/>
      <c r="I1648" s="92" t="s">
        <v>63</v>
      </c>
      <c r="J1648" s="90">
        <f t="shared" si="224"/>
        <v>0</v>
      </c>
      <c r="K1648" s="90">
        <f t="shared" si="225"/>
        <v>0</v>
      </c>
      <c r="L1648" s="90">
        <f t="shared" si="226"/>
        <v>0</v>
      </c>
      <c r="M1648" s="90">
        <f t="shared" si="227"/>
        <v>0</v>
      </c>
      <c r="N1648" s="90">
        <v>4.7600000000000003E-3</v>
      </c>
      <c r="O1648" s="90">
        <f t="shared" si="228"/>
        <v>4.7600000000000003E-3</v>
      </c>
      <c r="P1648" s="92" t="s">
        <v>64</v>
      </c>
      <c r="Z1648" s="93">
        <f t="shared" si="229"/>
        <v>0</v>
      </c>
      <c r="AB1648" s="93">
        <f t="shared" si="230"/>
        <v>0</v>
      </c>
      <c r="AC1648" s="93">
        <f t="shared" si="231"/>
        <v>0</v>
      </c>
      <c r="AD1648" s="93">
        <f t="shared" si="232"/>
        <v>0</v>
      </c>
      <c r="AE1648" s="93">
        <f t="shared" si="233"/>
        <v>0</v>
      </c>
      <c r="AF1648" s="93">
        <f t="shared" si="234"/>
        <v>0</v>
      </c>
      <c r="AG1648" s="93">
        <f t="shared" si="235"/>
        <v>0</v>
      </c>
      <c r="AH1648" s="93">
        <f t="shared" si="236"/>
        <v>0</v>
      </c>
      <c r="AI1648" s="88" t="s">
        <v>55</v>
      </c>
      <c r="AJ1648" s="93">
        <f t="shared" si="237"/>
        <v>0</v>
      </c>
      <c r="AK1648" s="93">
        <f t="shared" si="238"/>
        <v>0</v>
      </c>
      <c r="AL1648" s="93">
        <f t="shared" si="239"/>
        <v>0</v>
      </c>
      <c r="AN1648" s="93">
        <v>21</v>
      </c>
      <c r="AO1648" s="93">
        <f>H1648*0.329936102</f>
        <v>0</v>
      </c>
      <c r="AP1648" s="93">
        <f>H1648*(1-0.329936102)</f>
        <v>0</v>
      </c>
      <c r="AQ1648" s="94" t="s">
        <v>148</v>
      </c>
      <c r="AV1648" s="93">
        <f t="shared" si="240"/>
        <v>0</v>
      </c>
      <c r="AW1648" s="93">
        <f t="shared" si="241"/>
        <v>0</v>
      </c>
      <c r="AX1648" s="93">
        <f t="shared" si="242"/>
        <v>0</v>
      </c>
      <c r="AY1648" s="94" t="s">
        <v>1919</v>
      </c>
      <c r="AZ1648" s="94" t="s">
        <v>1920</v>
      </c>
      <c r="BA1648" s="88" t="s">
        <v>67</v>
      </c>
      <c r="BC1648" s="93">
        <f t="shared" si="243"/>
        <v>0</v>
      </c>
      <c r="BD1648" s="93">
        <f t="shared" si="244"/>
        <v>0</v>
      </c>
      <c r="BE1648" s="93">
        <v>0</v>
      </c>
      <c r="BF1648" s="93">
        <f t="shared" si="245"/>
        <v>4.7600000000000003E-3</v>
      </c>
      <c r="BH1648" s="93">
        <f t="shared" si="246"/>
        <v>0</v>
      </c>
      <c r="BI1648" s="93">
        <f t="shared" si="247"/>
        <v>0</v>
      </c>
      <c r="BJ1648" s="93">
        <f t="shared" si="248"/>
        <v>0</v>
      </c>
      <c r="BK1648" s="93"/>
      <c r="BL1648" s="93">
        <v>732</v>
      </c>
      <c r="BW1648" s="93" t="str">
        <f t="shared" si="249"/>
        <v>21</v>
      </c>
      <c r="BX1648" s="2" t="s">
        <v>1926</v>
      </c>
    </row>
    <row r="1649" spans="1:76" s="81" customFormat="1" ht="25.5" x14ac:dyDescent="0.25">
      <c r="A1649" s="72" t="s">
        <v>1927</v>
      </c>
      <c r="B1649" s="72" t="s">
        <v>55</v>
      </c>
      <c r="C1649" s="72" t="s">
        <v>1928</v>
      </c>
      <c r="D1649" s="175" t="s">
        <v>1929</v>
      </c>
      <c r="E1649" s="175"/>
      <c r="F1649" s="72" t="s">
        <v>203</v>
      </c>
      <c r="G1649" s="90">
        <v>1</v>
      </c>
      <c r="H1649" s="91"/>
      <c r="I1649" s="92" t="s">
        <v>63</v>
      </c>
      <c r="J1649" s="90">
        <f t="shared" si="224"/>
        <v>0</v>
      </c>
      <c r="K1649" s="90">
        <f t="shared" si="225"/>
        <v>0</v>
      </c>
      <c r="L1649" s="90">
        <f t="shared" si="226"/>
        <v>0</v>
      </c>
      <c r="M1649" s="90">
        <f t="shared" si="227"/>
        <v>0</v>
      </c>
      <c r="N1649" s="90">
        <v>1.46E-2</v>
      </c>
      <c r="O1649" s="90">
        <f t="shared" si="228"/>
        <v>1.46E-2</v>
      </c>
      <c r="P1649" s="92" t="s">
        <v>64</v>
      </c>
      <c r="Z1649" s="93">
        <f t="shared" si="229"/>
        <v>0</v>
      </c>
      <c r="AB1649" s="93">
        <f t="shared" si="230"/>
        <v>0</v>
      </c>
      <c r="AC1649" s="93">
        <f t="shared" si="231"/>
        <v>0</v>
      </c>
      <c r="AD1649" s="93">
        <f t="shared" si="232"/>
        <v>0</v>
      </c>
      <c r="AE1649" s="93">
        <f t="shared" si="233"/>
        <v>0</v>
      </c>
      <c r="AF1649" s="93">
        <f t="shared" si="234"/>
        <v>0</v>
      </c>
      <c r="AG1649" s="93">
        <f t="shared" si="235"/>
        <v>0</v>
      </c>
      <c r="AH1649" s="93">
        <f t="shared" si="236"/>
        <v>0</v>
      </c>
      <c r="AI1649" s="88" t="s">
        <v>55</v>
      </c>
      <c r="AJ1649" s="93">
        <f t="shared" si="237"/>
        <v>0</v>
      </c>
      <c r="AK1649" s="93">
        <f t="shared" si="238"/>
        <v>0</v>
      </c>
      <c r="AL1649" s="93">
        <f t="shared" si="239"/>
        <v>0</v>
      </c>
      <c r="AN1649" s="93">
        <v>21</v>
      </c>
      <c r="AO1649" s="93">
        <f>H1649*1</f>
        <v>0</v>
      </c>
      <c r="AP1649" s="93">
        <f>H1649*(1-1)</f>
        <v>0</v>
      </c>
      <c r="AQ1649" s="94" t="s">
        <v>148</v>
      </c>
      <c r="AV1649" s="93">
        <f t="shared" si="240"/>
        <v>0</v>
      </c>
      <c r="AW1649" s="93">
        <f t="shared" si="241"/>
        <v>0</v>
      </c>
      <c r="AX1649" s="93">
        <f t="shared" si="242"/>
        <v>0</v>
      </c>
      <c r="AY1649" s="94" t="s">
        <v>1919</v>
      </c>
      <c r="AZ1649" s="94" t="s">
        <v>1920</v>
      </c>
      <c r="BA1649" s="88" t="s">
        <v>67</v>
      </c>
      <c r="BC1649" s="93">
        <f t="shared" si="243"/>
        <v>0</v>
      </c>
      <c r="BD1649" s="93">
        <f t="shared" si="244"/>
        <v>0</v>
      </c>
      <c r="BE1649" s="93">
        <v>0</v>
      </c>
      <c r="BF1649" s="93">
        <f t="shared" si="245"/>
        <v>1.46E-2</v>
      </c>
      <c r="BH1649" s="93">
        <f t="shared" si="246"/>
        <v>0</v>
      </c>
      <c r="BI1649" s="93">
        <f t="shared" si="247"/>
        <v>0</v>
      </c>
      <c r="BJ1649" s="93">
        <f t="shared" si="248"/>
        <v>0</v>
      </c>
      <c r="BK1649" s="93"/>
      <c r="BL1649" s="93">
        <v>732</v>
      </c>
      <c r="BW1649" s="93" t="str">
        <f t="shared" si="249"/>
        <v>21</v>
      </c>
      <c r="BX1649" s="2" t="s">
        <v>1929</v>
      </c>
    </row>
    <row r="1650" spans="1:76" s="81" customFormat="1" ht="25.5" x14ac:dyDescent="0.25">
      <c r="A1650" s="72" t="s">
        <v>1930</v>
      </c>
      <c r="B1650" s="72" t="s">
        <v>55</v>
      </c>
      <c r="C1650" s="72" t="s">
        <v>1931</v>
      </c>
      <c r="D1650" s="175" t="s">
        <v>1932</v>
      </c>
      <c r="E1650" s="175"/>
      <c r="F1650" s="72" t="s">
        <v>203</v>
      </c>
      <c r="G1650" s="90">
        <v>1</v>
      </c>
      <c r="H1650" s="91"/>
      <c r="I1650" s="92" t="s">
        <v>63</v>
      </c>
      <c r="J1650" s="90">
        <f t="shared" si="224"/>
        <v>0</v>
      </c>
      <c r="K1650" s="90">
        <f t="shared" si="225"/>
        <v>0</v>
      </c>
      <c r="L1650" s="90">
        <f t="shared" si="226"/>
        <v>0</v>
      </c>
      <c r="M1650" s="90">
        <f t="shared" si="227"/>
        <v>0</v>
      </c>
      <c r="N1650" s="90">
        <v>6.5329999999999999E-2</v>
      </c>
      <c r="O1650" s="90">
        <f t="shared" si="228"/>
        <v>6.5329999999999999E-2</v>
      </c>
      <c r="P1650" s="92" t="s">
        <v>64</v>
      </c>
      <c r="Z1650" s="93">
        <f t="shared" si="229"/>
        <v>0</v>
      </c>
      <c r="AB1650" s="93">
        <f t="shared" si="230"/>
        <v>0</v>
      </c>
      <c r="AC1650" s="93">
        <f t="shared" si="231"/>
        <v>0</v>
      </c>
      <c r="AD1650" s="93">
        <f t="shared" si="232"/>
        <v>0</v>
      </c>
      <c r="AE1650" s="93">
        <f t="shared" si="233"/>
        <v>0</v>
      </c>
      <c r="AF1650" s="93">
        <f t="shared" si="234"/>
        <v>0</v>
      </c>
      <c r="AG1650" s="93">
        <f t="shared" si="235"/>
        <v>0</v>
      </c>
      <c r="AH1650" s="93">
        <f t="shared" si="236"/>
        <v>0</v>
      </c>
      <c r="AI1650" s="88" t="s">
        <v>55</v>
      </c>
      <c r="AJ1650" s="93">
        <f t="shared" si="237"/>
        <v>0</v>
      </c>
      <c r="AK1650" s="93">
        <f t="shared" si="238"/>
        <v>0</v>
      </c>
      <c r="AL1650" s="93">
        <f t="shared" si="239"/>
        <v>0</v>
      </c>
      <c r="AN1650" s="93">
        <v>21</v>
      </c>
      <c r="AO1650" s="93">
        <f>H1650*0.674383346</f>
        <v>0</v>
      </c>
      <c r="AP1650" s="93">
        <f>H1650*(1-0.674383346)</f>
        <v>0</v>
      </c>
      <c r="AQ1650" s="94" t="s">
        <v>148</v>
      </c>
      <c r="AV1650" s="93">
        <f t="shared" si="240"/>
        <v>0</v>
      </c>
      <c r="AW1650" s="93">
        <f t="shared" si="241"/>
        <v>0</v>
      </c>
      <c r="AX1650" s="93">
        <f t="shared" si="242"/>
        <v>0</v>
      </c>
      <c r="AY1650" s="94" t="s">
        <v>1919</v>
      </c>
      <c r="AZ1650" s="94" t="s">
        <v>1920</v>
      </c>
      <c r="BA1650" s="88" t="s">
        <v>67</v>
      </c>
      <c r="BC1650" s="93">
        <f t="shared" si="243"/>
        <v>0</v>
      </c>
      <c r="BD1650" s="93">
        <f t="shared" si="244"/>
        <v>0</v>
      </c>
      <c r="BE1650" s="93">
        <v>0</v>
      </c>
      <c r="BF1650" s="93">
        <f t="shared" si="245"/>
        <v>6.5329999999999999E-2</v>
      </c>
      <c r="BH1650" s="93">
        <f t="shared" si="246"/>
        <v>0</v>
      </c>
      <c r="BI1650" s="93">
        <f t="shared" si="247"/>
        <v>0</v>
      </c>
      <c r="BJ1650" s="93">
        <f t="shared" si="248"/>
        <v>0</v>
      </c>
      <c r="BK1650" s="93"/>
      <c r="BL1650" s="93">
        <v>732</v>
      </c>
      <c r="BW1650" s="93" t="str">
        <f t="shared" si="249"/>
        <v>21</v>
      </c>
      <c r="BX1650" s="2" t="s">
        <v>1932</v>
      </c>
    </row>
    <row r="1651" spans="1:76" s="81" customFormat="1" ht="25.5" x14ac:dyDescent="0.25">
      <c r="A1651" s="72" t="s">
        <v>1933</v>
      </c>
      <c r="B1651" s="72" t="s">
        <v>55</v>
      </c>
      <c r="C1651" s="72" t="s">
        <v>1934</v>
      </c>
      <c r="D1651" s="175" t="s">
        <v>1935</v>
      </c>
      <c r="E1651" s="175"/>
      <c r="F1651" s="72" t="s">
        <v>203</v>
      </c>
      <c r="G1651" s="90">
        <v>1</v>
      </c>
      <c r="H1651" s="91"/>
      <c r="I1651" s="92" t="s">
        <v>63</v>
      </c>
      <c r="J1651" s="90">
        <f t="shared" si="224"/>
        <v>0</v>
      </c>
      <c r="K1651" s="90">
        <f t="shared" si="225"/>
        <v>0</v>
      </c>
      <c r="L1651" s="90">
        <f t="shared" si="226"/>
        <v>0</v>
      </c>
      <c r="M1651" s="90">
        <f t="shared" si="227"/>
        <v>0</v>
      </c>
      <c r="N1651" s="90">
        <v>5.0899999999999999E-3</v>
      </c>
      <c r="O1651" s="90">
        <f t="shared" si="228"/>
        <v>5.0899999999999999E-3</v>
      </c>
      <c r="P1651" s="92" t="s">
        <v>64</v>
      </c>
      <c r="Z1651" s="93">
        <f t="shared" si="229"/>
        <v>0</v>
      </c>
      <c r="AB1651" s="93">
        <f t="shared" si="230"/>
        <v>0</v>
      </c>
      <c r="AC1651" s="93">
        <f t="shared" si="231"/>
        <v>0</v>
      </c>
      <c r="AD1651" s="93">
        <f t="shared" si="232"/>
        <v>0</v>
      </c>
      <c r="AE1651" s="93">
        <f t="shared" si="233"/>
        <v>0</v>
      </c>
      <c r="AF1651" s="93">
        <f t="shared" si="234"/>
        <v>0</v>
      </c>
      <c r="AG1651" s="93">
        <f t="shared" si="235"/>
        <v>0</v>
      </c>
      <c r="AH1651" s="93">
        <f t="shared" si="236"/>
        <v>0</v>
      </c>
      <c r="AI1651" s="88" t="s">
        <v>55</v>
      </c>
      <c r="AJ1651" s="93">
        <f t="shared" si="237"/>
        <v>0</v>
      </c>
      <c r="AK1651" s="93">
        <f t="shared" si="238"/>
        <v>0</v>
      </c>
      <c r="AL1651" s="93">
        <f t="shared" si="239"/>
        <v>0</v>
      </c>
      <c r="AN1651" s="93">
        <v>21</v>
      </c>
      <c r="AO1651" s="93">
        <f>H1651*1</f>
        <v>0</v>
      </c>
      <c r="AP1651" s="93">
        <f>H1651*(1-1)</f>
        <v>0</v>
      </c>
      <c r="AQ1651" s="94" t="s">
        <v>148</v>
      </c>
      <c r="AV1651" s="93">
        <f t="shared" si="240"/>
        <v>0</v>
      </c>
      <c r="AW1651" s="93">
        <f t="shared" si="241"/>
        <v>0</v>
      </c>
      <c r="AX1651" s="93">
        <f t="shared" si="242"/>
        <v>0</v>
      </c>
      <c r="AY1651" s="94" t="s">
        <v>1919</v>
      </c>
      <c r="AZ1651" s="94" t="s">
        <v>1920</v>
      </c>
      <c r="BA1651" s="88" t="s">
        <v>67</v>
      </c>
      <c r="BC1651" s="93">
        <f t="shared" si="243"/>
        <v>0</v>
      </c>
      <c r="BD1651" s="93">
        <f t="shared" si="244"/>
        <v>0</v>
      </c>
      <c r="BE1651" s="93">
        <v>0</v>
      </c>
      <c r="BF1651" s="93">
        <f t="shared" si="245"/>
        <v>5.0899999999999999E-3</v>
      </c>
      <c r="BH1651" s="93">
        <f t="shared" si="246"/>
        <v>0</v>
      </c>
      <c r="BI1651" s="93">
        <f t="shared" si="247"/>
        <v>0</v>
      </c>
      <c r="BJ1651" s="93">
        <f t="shared" si="248"/>
        <v>0</v>
      </c>
      <c r="BK1651" s="93"/>
      <c r="BL1651" s="93">
        <v>732</v>
      </c>
      <c r="BW1651" s="93" t="str">
        <f t="shared" si="249"/>
        <v>21</v>
      </c>
      <c r="BX1651" s="2" t="s">
        <v>1935</v>
      </c>
    </row>
    <row r="1652" spans="1:76" s="81" customFormat="1" ht="25.5" x14ac:dyDescent="0.25">
      <c r="A1652" s="72" t="s">
        <v>1936</v>
      </c>
      <c r="B1652" s="72" t="s">
        <v>55</v>
      </c>
      <c r="C1652" s="72" t="s">
        <v>1937</v>
      </c>
      <c r="D1652" s="175" t="s">
        <v>1938</v>
      </c>
      <c r="E1652" s="175"/>
      <c r="F1652" s="72" t="s">
        <v>1334</v>
      </c>
      <c r="G1652" s="90">
        <v>2</v>
      </c>
      <c r="H1652" s="91"/>
      <c r="I1652" s="92" t="s">
        <v>63</v>
      </c>
      <c r="J1652" s="90">
        <f t="shared" si="224"/>
        <v>0</v>
      </c>
      <c r="K1652" s="90">
        <f t="shared" si="225"/>
        <v>0</v>
      </c>
      <c r="L1652" s="90">
        <f t="shared" si="226"/>
        <v>0</v>
      </c>
      <c r="M1652" s="90">
        <f t="shared" si="227"/>
        <v>0</v>
      </c>
      <c r="N1652" s="90">
        <v>3.3899999999999998E-3</v>
      </c>
      <c r="O1652" s="90">
        <f t="shared" si="228"/>
        <v>6.7799999999999996E-3</v>
      </c>
      <c r="P1652" s="92" t="s">
        <v>64</v>
      </c>
      <c r="Z1652" s="93">
        <f t="shared" si="229"/>
        <v>0</v>
      </c>
      <c r="AB1652" s="93">
        <f t="shared" si="230"/>
        <v>0</v>
      </c>
      <c r="AC1652" s="93">
        <f t="shared" si="231"/>
        <v>0</v>
      </c>
      <c r="AD1652" s="93">
        <f t="shared" si="232"/>
        <v>0</v>
      </c>
      <c r="AE1652" s="93">
        <f t="shared" si="233"/>
        <v>0</v>
      </c>
      <c r="AF1652" s="93">
        <f t="shared" si="234"/>
        <v>0</v>
      </c>
      <c r="AG1652" s="93">
        <f t="shared" si="235"/>
        <v>0</v>
      </c>
      <c r="AH1652" s="93">
        <f t="shared" si="236"/>
        <v>0</v>
      </c>
      <c r="AI1652" s="88" t="s">
        <v>55</v>
      </c>
      <c r="AJ1652" s="93">
        <f t="shared" si="237"/>
        <v>0</v>
      </c>
      <c r="AK1652" s="93">
        <f t="shared" si="238"/>
        <v>0</v>
      </c>
      <c r="AL1652" s="93">
        <f t="shared" si="239"/>
        <v>0</v>
      </c>
      <c r="AN1652" s="93">
        <v>21</v>
      </c>
      <c r="AO1652" s="93">
        <f>H1652*0.954232877</f>
        <v>0</v>
      </c>
      <c r="AP1652" s="93">
        <f>H1652*(1-0.954232877)</f>
        <v>0</v>
      </c>
      <c r="AQ1652" s="94" t="s">
        <v>148</v>
      </c>
      <c r="AV1652" s="93">
        <f t="shared" si="240"/>
        <v>0</v>
      </c>
      <c r="AW1652" s="93">
        <f t="shared" si="241"/>
        <v>0</v>
      </c>
      <c r="AX1652" s="93">
        <f t="shared" si="242"/>
        <v>0</v>
      </c>
      <c r="AY1652" s="94" t="s">
        <v>1919</v>
      </c>
      <c r="AZ1652" s="94" t="s">
        <v>1920</v>
      </c>
      <c r="BA1652" s="88" t="s">
        <v>67</v>
      </c>
      <c r="BC1652" s="93">
        <f t="shared" si="243"/>
        <v>0</v>
      </c>
      <c r="BD1652" s="93">
        <f t="shared" si="244"/>
        <v>0</v>
      </c>
      <c r="BE1652" s="93">
        <v>0</v>
      </c>
      <c r="BF1652" s="93">
        <f t="shared" si="245"/>
        <v>6.7799999999999996E-3</v>
      </c>
      <c r="BH1652" s="93">
        <f t="shared" si="246"/>
        <v>0</v>
      </c>
      <c r="BI1652" s="93">
        <f t="shared" si="247"/>
        <v>0</v>
      </c>
      <c r="BJ1652" s="93">
        <f t="shared" si="248"/>
        <v>0</v>
      </c>
      <c r="BK1652" s="93"/>
      <c r="BL1652" s="93">
        <v>732</v>
      </c>
      <c r="BW1652" s="93" t="str">
        <f t="shared" si="249"/>
        <v>21</v>
      </c>
      <c r="BX1652" s="2" t="s">
        <v>1938</v>
      </c>
    </row>
    <row r="1653" spans="1:76" s="81" customFormat="1" ht="25.5" x14ac:dyDescent="0.25">
      <c r="A1653" s="72" t="s">
        <v>1939</v>
      </c>
      <c r="B1653" s="72" t="s">
        <v>55</v>
      </c>
      <c r="C1653" s="72" t="s">
        <v>1940</v>
      </c>
      <c r="D1653" s="175" t="s">
        <v>1941</v>
      </c>
      <c r="E1653" s="175"/>
      <c r="F1653" s="72" t="s">
        <v>1334</v>
      </c>
      <c r="G1653" s="90">
        <v>1</v>
      </c>
      <c r="H1653" s="91"/>
      <c r="I1653" s="92" t="s">
        <v>63</v>
      </c>
      <c r="J1653" s="90">
        <f t="shared" si="224"/>
        <v>0</v>
      </c>
      <c r="K1653" s="90">
        <f t="shared" si="225"/>
        <v>0</v>
      </c>
      <c r="L1653" s="90">
        <f t="shared" si="226"/>
        <v>0</v>
      </c>
      <c r="M1653" s="90">
        <f t="shared" si="227"/>
        <v>0</v>
      </c>
      <c r="N1653" s="90">
        <v>6.9999999999999999E-4</v>
      </c>
      <c r="O1653" s="90">
        <f t="shared" si="228"/>
        <v>6.9999999999999999E-4</v>
      </c>
      <c r="P1653" s="92" t="s">
        <v>64</v>
      </c>
      <c r="Z1653" s="93">
        <f t="shared" si="229"/>
        <v>0</v>
      </c>
      <c r="AB1653" s="93">
        <f t="shared" si="230"/>
        <v>0</v>
      </c>
      <c r="AC1653" s="93">
        <f t="shared" si="231"/>
        <v>0</v>
      </c>
      <c r="AD1653" s="93">
        <f t="shared" si="232"/>
        <v>0</v>
      </c>
      <c r="AE1653" s="93">
        <f t="shared" si="233"/>
        <v>0</v>
      </c>
      <c r="AF1653" s="93">
        <f t="shared" si="234"/>
        <v>0</v>
      </c>
      <c r="AG1653" s="93">
        <f t="shared" si="235"/>
        <v>0</v>
      </c>
      <c r="AH1653" s="93">
        <f t="shared" si="236"/>
        <v>0</v>
      </c>
      <c r="AI1653" s="88" t="s">
        <v>55</v>
      </c>
      <c r="AJ1653" s="93">
        <f t="shared" si="237"/>
        <v>0</v>
      </c>
      <c r="AK1653" s="93">
        <f t="shared" si="238"/>
        <v>0</v>
      </c>
      <c r="AL1653" s="93">
        <f t="shared" si="239"/>
        <v>0</v>
      </c>
      <c r="AN1653" s="93">
        <v>21</v>
      </c>
      <c r="AO1653" s="93">
        <f>H1653*0.971882656</f>
        <v>0</v>
      </c>
      <c r="AP1653" s="93">
        <f>H1653*(1-0.971882656)</f>
        <v>0</v>
      </c>
      <c r="AQ1653" s="94" t="s">
        <v>148</v>
      </c>
      <c r="AV1653" s="93">
        <f t="shared" si="240"/>
        <v>0</v>
      </c>
      <c r="AW1653" s="93">
        <f t="shared" si="241"/>
        <v>0</v>
      </c>
      <c r="AX1653" s="93">
        <f t="shared" si="242"/>
        <v>0</v>
      </c>
      <c r="AY1653" s="94" t="s">
        <v>1919</v>
      </c>
      <c r="AZ1653" s="94" t="s">
        <v>1920</v>
      </c>
      <c r="BA1653" s="88" t="s">
        <v>67</v>
      </c>
      <c r="BC1653" s="93">
        <f t="shared" si="243"/>
        <v>0</v>
      </c>
      <c r="BD1653" s="93">
        <f t="shared" si="244"/>
        <v>0</v>
      </c>
      <c r="BE1653" s="93">
        <v>0</v>
      </c>
      <c r="BF1653" s="93">
        <f t="shared" si="245"/>
        <v>6.9999999999999999E-4</v>
      </c>
      <c r="BH1653" s="93">
        <f t="shared" si="246"/>
        <v>0</v>
      </c>
      <c r="BI1653" s="93">
        <f t="shared" si="247"/>
        <v>0</v>
      </c>
      <c r="BJ1653" s="93">
        <f t="shared" si="248"/>
        <v>0</v>
      </c>
      <c r="BK1653" s="93"/>
      <c r="BL1653" s="93">
        <v>732</v>
      </c>
      <c r="BW1653" s="93" t="str">
        <f t="shared" si="249"/>
        <v>21</v>
      </c>
      <c r="BX1653" s="2" t="s">
        <v>1941</v>
      </c>
    </row>
    <row r="1654" spans="1:76" s="81" customFormat="1" ht="25.5" x14ac:dyDescent="0.25">
      <c r="A1654" s="72" t="s">
        <v>1942</v>
      </c>
      <c r="B1654" s="72" t="s">
        <v>55</v>
      </c>
      <c r="C1654" s="72" t="s">
        <v>1943</v>
      </c>
      <c r="D1654" s="175" t="s">
        <v>1944</v>
      </c>
      <c r="E1654" s="175"/>
      <c r="F1654" s="72" t="s">
        <v>1334</v>
      </c>
      <c r="G1654" s="90">
        <v>2</v>
      </c>
      <c r="H1654" s="91"/>
      <c r="I1654" s="92" t="s">
        <v>63</v>
      </c>
      <c r="J1654" s="90">
        <f t="shared" si="224"/>
        <v>0</v>
      </c>
      <c r="K1654" s="90">
        <f t="shared" si="225"/>
        <v>0</v>
      </c>
      <c r="L1654" s="90">
        <f t="shared" si="226"/>
        <v>0</v>
      </c>
      <c r="M1654" s="90">
        <f t="shared" si="227"/>
        <v>0</v>
      </c>
      <c r="N1654" s="90">
        <v>5.2999999999999998E-4</v>
      </c>
      <c r="O1654" s="90">
        <f t="shared" si="228"/>
        <v>1.06E-3</v>
      </c>
      <c r="P1654" s="92" t="s">
        <v>1945</v>
      </c>
      <c r="Z1654" s="93">
        <f t="shared" si="229"/>
        <v>0</v>
      </c>
      <c r="AB1654" s="93">
        <f t="shared" si="230"/>
        <v>0</v>
      </c>
      <c r="AC1654" s="93">
        <f t="shared" si="231"/>
        <v>0</v>
      </c>
      <c r="AD1654" s="93">
        <f t="shared" si="232"/>
        <v>0</v>
      </c>
      <c r="AE1654" s="93">
        <f t="shared" si="233"/>
        <v>0</v>
      </c>
      <c r="AF1654" s="93">
        <f t="shared" si="234"/>
        <v>0</v>
      </c>
      <c r="AG1654" s="93">
        <f t="shared" si="235"/>
        <v>0</v>
      </c>
      <c r="AH1654" s="93">
        <f t="shared" si="236"/>
        <v>0</v>
      </c>
      <c r="AI1654" s="88" t="s">
        <v>55</v>
      </c>
      <c r="AJ1654" s="93">
        <f t="shared" si="237"/>
        <v>0</v>
      </c>
      <c r="AK1654" s="93">
        <f t="shared" si="238"/>
        <v>0</v>
      </c>
      <c r="AL1654" s="93">
        <f t="shared" si="239"/>
        <v>0</v>
      </c>
      <c r="AN1654" s="93">
        <v>21</v>
      </c>
      <c r="AO1654" s="93">
        <f>H1654*0.5382</f>
        <v>0</v>
      </c>
      <c r="AP1654" s="93">
        <f>H1654*(1-0.5382)</f>
        <v>0</v>
      </c>
      <c r="AQ1654" s="94" t="s">
        <v>148</v>
      </c>
      <c r="AV1654" s="93">
        <f t="shared" si="240"/>
        <v>0</v>
      </c>
      <c r="AW1654" s="93">
        <f t="shared" si="241"/>
        <v>0</v>
      </c>
      <c r="AX1654" s="93">
        <f t="shared" si="242"/>
        <v>0</v>
      </c>
      <c r="AY1654" s="94" t="s">
        <v>1919</v>
      </c>
      <c r="AZ1654" s="94" t="s">
        <v>1920</v>
      </c>
      <c r="BA1654" s="88" t="s">
        <v>67</v>
      </c>
      <c r="BC1654" s="93">
        <f t="shared" si="243"/>
        <v>0</v>
      </c>
      <c r="BD1654" s="93">
        <f t="shared" si="244"/>
        <v>0</v>
      </c>
      <c r="BE1654" s="93">
        <v>0</v>
      </c>
      <c r="BF1654" s="93">
        <f t="shared" si="245"/>
        <v>1.06E-3</v>
      </c>
      <c r="BH1654" s="93">
        <f t="shared" si="246"/>
        <v>0</v>
      </c>
      <c r="BI1654" s="93">
        <f t="shared" si="247"/>
        <v>0</v>
      </c>
      <c r="BJ1654" s="93">
        <f t="shared" si="248"/>
        <v>0</v>
      </c>
      <c r="BK1654" s="93"/>
      <c r="BL1654" s="93">
        <v>732</v>
      </c>
      <c r="BW1654" s="93" t="str">
        <f t="shared" si="249"/>
        <v>21</v>
      </c>
      <c r="BX1654" s="2" t="s">
        <v>1944</v>
      </c>
    </row>
    <row r="1655" spans="1:76" s="81" customFormat="1" ht="25.5" x14ac:dyDescent="0.25">
      <c r="A1655" s="72" t="s">
        <v>1946</v>
      </c>
      <c r="B1655" s="72" t="s">
        <v>55</v>
      </c>
      <c r="C1655" s="72" t="s">
        <v>1947</v>
      </c>
      <c r="D1655" s="175" t="s">
        <v>1948</v>
      </c>
      <c r="E1655" s="175"/>
      <c r="F1655" s="72" t="s">
        <v>203</v>
      </c>
      <c r="G1655" s="90">
        <v>2</v>
      </c>
      <c r="H1655" s="91"/>
      <c r="I1655" s="92" t="s">
        <v>63</v>
      </c>
      <c r="J1655" s="90">
        <f t="shared" si="224"/>
        <v>0</v>
      </c>
      <c r="K1655" s="90">
        <f t="shared" si="225"/>
        <v>0</v>
      </c>
      <c r="L1655" s="90">
        <f t="shared" si="226"/>
        <v>0</v>
      </c>
      <c r="M1655" s="90">
        <f t="shared" si="227"/>
        <v>0</v>
      </c>
      <c r="N1655" s="90">
        <v>0</v>
      </c>
      <c r="O1655" s="90">
        <f t="shared" si="228"/>
        <v>0</v>
      </c>
      <c r="P1655" s="92" t="s">
        <v>1652</v>
      </c>
      <c r="Z1655" s="93">
        <f t="shared" si="229"/>
        <v>0</v>
      </c>
      <c r="AB1655" s="93">
        <f t="shared" si="230"/>
        <v>0</v>
      </c>
      <c r="AC1655" s="93">
        <f t="shared" si="231"/>
        <v>0</v>
      </c>
      <c r="AD1655" s="93">
        <f t="shared" si="232"/>
        <v>0</v>
      </c>
      <c r="AE1655" s="93">
        <f t="shared" si="233"/>
        <v>0</v>
      </c>
      <c r="AF1655" s="93">
        <f t="shared" si="234"/>
        <v>0</v>
      </c>
      <c r="AG1655" s="93">
        <f t="shared" si="235"/>
        <v>0</v>
      </c>
      <c r="AH1655" s="93">
        <f t="shared" si="236"/>
        <v>0</v>
      </c>
      <c r="AI1655" s="88" t="s">
        <v>55</v>
      </c>
      <c r="AJ1655" s="93">
        <f t="shared" si="237"/>
        <v>0</v>
      </c>
      <c r="AK1655" s="93">
        <f t="shared" si="238"/>
        <v>0</v>
      </c>
      <c r="AL1655" s="93">
        <f t="shared" si="239"/>
        <v>0</v>
      </c>
      <c r="AN1655" s="93">
        <v>21</v>
      </c>
      <c r="AO1655" s="93">
        <f t="shared" ref="AO1655:AO1664" si="250">H1655*1</f>
        <v>0</v>
      </c>
      <c r="AP1655" s="93">
        <f t="shared" ref="AP1655:AP1664" si="251">H1655*(1-1)</f>
        <v>0</v>
      </c>
      <c r="AQ1655" s="94" t="s">
        <v>148</v>
      </c>
      <c r="AV1655" s="93">
        <f t="shared" si="240"/>
        <v>0</v>
      </c>
      <c r="AW1655" s="93">
        <f t="shared" si="241"/>
        <v>0</v>
      </c>
      <c r="AX1655" s="93">
        <f t="shared" si="242"/>
        <v>0</v>
      </c>
      <c r="AY1655" s="94" t="s">
        <v>1919</v>
      </c>
      <c r="AZ1655" s="94" t="s">
        <v>1920</v>
      </c>
      <c r="BA1655" s="88" t="s">
        <v>67</v>
      </c>
      <c r="BC1655" s="93">
        <f t="shared" si="243"/>
        <v>0</v>
      </c>
      <c r="BD1655" s="93">
        <f t="shared" si="244"/>
        <v>0</v>
      </c>
      <c r="BE1655" s="93">
        <v>0</v>
      </c>
      <c r="BF1655" s="93">
        <f t="shared" si="245"/>
        <v>0</v>
      </c>
      <c r="BH1655" s="93">
        <f t="shared" si="246"/>
        <v>0</v>
      </c>
      <c r="BI1655" s="93">
        <f t="shared" si="247"/>
        <v>0</v>
      </c>
      <c r="BJ1655" s="93">
        <f t="shared" si="248"/>
        <v>0</v>
      </c>
      <c r="BK1655" s="93"/>
      <c r="BL1655" s="93">
        <v>732</v>
      </c>
      <c r="BW1655" s="93" t="str">
        <f t="shared" si="249"/>
        <v>21</v>
      </c>
      <c r="BX1655" s="2" t="s">
        <v>1948</v>
      </c>
    </row>
    <row r="1656" spans="1:76" s="81" customFormat="1" ht="25.5" x14ac:dyDescent="0.25">
      <c r="A1656" s="72" t="s">
        <v>1949</v>
      </c>
      <c r="B1656" s="72" t="s">
        <v>55</v>
      </c>
      <c r="C1656" s="72" t="s">
        <v>1950</v>
      </c>
      <c r="D1656" s="175" t="s">
        <v>1951</v>
      </c>
      <c r="E1656" s="175"/>
      <c r="F1656" s="72" t="s">
        <v>203</v>
      </c>
      <c r="G1656" s="90">
        <v>1</v>
      </c>
      <c r="H1656" s="91"/>
      <c r="I1656" s="92" t="s">
        <v>63</v>
      </c>
      <c r="J1656" s="90">
        <f t="shared" si="224"/>
        <v>0</v>
      </c>
      <c r="K1656" s="90">
        <f t="shared" si="225"/>
        <v>0</v>
      </c>
      <c r="L1656" s="90">
        <f t="shared" si="226"/>
        <v>0</v>
      </c>
      <c r="M1656" s="90">
        <f t="shared" si="227"/>
        <v>0</v>
      </c>
      <c r="N1656" s="90">
        <v>0</v>
      </c>
      <c r="O1656" s="90">
        <f t="shared" si="228"/>
        <v>0</v>
      </c>
      <c r="P1656" s="92" t="s">
        <v>1652</v>
      </c>
      <c r="Z1656" s="93">
        <f t="shared" si="229"/>
        <v>0</v>
      </c>
      <c r="AB1656" s="93">
        <f t="shared" si="230"/>
        <v>0</v>
      </c>
      <c r="AC1656" s="93">
        <f t="shared" si="231"/>
        <v>0</v>
      </c>
      <c r="AD1656" s="93">
        <f t="shared" si="232"/>
        <v>0</v>
      </c>
      <c r="AE1656" s="93">
        <f t="shared" si="233"/>
        <v>0</v>
      </c>
      <c r="AF1656" s="93">
        <f t="shared" si="234"/>
        <v>0</v>
      </c>
      <c r="AG1656" s="93">
        <f t="shared" si="235"/>
        <v>0</v>
      </c>
      <c r="AH1656" s="93">
        <f t="shared" si="236"/>
        <v>0</v>
      </c>
      <c r="AI1656" s="88" t="s">
        <v>55</v>
      </c>
      <c r="AJ1656" s="93">
        <f t="shared" si="237"/>
        <v>0</v>
      </c>
      <c r="AK1656" s="93">
        <f t="shared" si="238"/>
        <v>0</v>
      </c>
      <c r="AL1656" s="93">
        <f t="shared" si="239"/>
        <v>0</v>
      </c>
      <c r="AN1656" s="93">
        <v>21</v>
      </c>
      <c r="AO1656" s="93">
        <f t="shared" si="250"/>
        <v>0</v>
      </c>
      <c r="AP1656" s="93">
        <f t="shared" si="251"/>
        <v>0</v>
      </c>
      <c r="AQ1656" s="94" t="s">
        <v>148</v>
      </c>
      <c r="AV1656" s="93">
        <f t="shared" si="240"/>
        <v>0</v>
      </c>
      <c r="AW1656" s="93">
        <f t="shared" si="241"/>
        <v>0</v>
      </c>
      <c r="AX1656" s="93">
        <f t="shared" si="242"/>
        <v>0</v>
      </c>
      <c r="AY1656" s="94" t="s">
        <v>1919</v>
      </c>
      <c r="AZ1656" s="94" t="s">
        <v>1920</v>
      </c>
      <c r="BA1656" s="88" t="s">
        <v>67</v>
      </c>
      <c r="BC1656" s="93">
        <f t="shared" si="243"/>
        <v>0</v>
      </c>
      <c r="BD1656" s="93">
        <f t="shared" si="244"/>
        <v>0</v>
      </c>
      <c r="BE1656" s="93">
        <v>0</v>
      </c>
      <c r="BF1656" s="93">
        <f t="shared" si="245"/>
        <v>0</v>
      </c>
      <c r="BH1656" s="93">
        <f t="shared" si="246"/>
        <v>0</v>
      </c>
      <c r="BI1656" s="93">
        <f t="shared" si="247"/>
        <v>0</v>
      </c>
      <c r="BJ1656" s="93">
        <f t="shared" si="248"/>
        <v>0</v>
      </c>
      <c r="BK1656" s="93"/>
      <c r="BL1656" s="93">
        <v>732</v>
      </c>
      <c r="BW1656" s="93" t="str">
        <f t="shared" si="249"/>
        <v>21</v>
      </c>
      <c r="BX1656" s="2" t="s">
        <v>1951</v>
      </c>
    </row>
    <row r="1657" spans="1:76" s="81" customFormat="1" ht="25.5" x14ac:dyDescent="0.25">
      <c r="A1657" s="72" t="s">
        <v>1952</v>
      </c>
      <c r="B1657" s="72" t="s">
        <v>55</v>
      </c>
      <c r="C1657" s="72" t="s">
        <v>1953</v>
      </c>
      <c r="D1657" s="175" t="s">
        <v>1954</v>
      </c>
      <c r="E1657" s="175"/>
      <c r="F1657" s="72" t="s">
        <v>203</v>
      </c>
      <c r="G1657" s="90">
        <v>1</v>
      </c>
      <c r="H1657" s="91"/>
      <c r="I1657" s="92" t="s">
        <v>63</v>
      </c>
      <c r="J1657" s="90">
        <f t="shared" si="224"/>
        <v>0</v>
      </c>
      <c r="K1657" s="90">
        <f t="shared" si="225"/>
        <v>0</v>
      </c>
      <c r="L1657" s="90">
        <f t="shared" si="226"/>
        <v>0</v>
      </c>
      <c r="M1657" s="90">
        <f t="shared" si="227"/>
        <v>0</v>
      </c>
      <c r="N1657" s="90">
        <v>0</v>
      </c>
      <c r="O1657" s="90">
        <f t="shared" si="228"/>
        <v>0</v>
      </c>
      <c r="P1657" s="92" t="s">
        <v>1652</v>
      </c>
      <c r="Z1657" s="93">
        <f t="shared" si="229"/>
        <v>0</v>
      </c>
      <c r="AB1657" s="93">
        <f t="shared" si="230"/>
        <v>0</v>
      </c>
      <c r="AC1657" s="93">
        <f t="shared" si="231"/>
        <v>0</v>
      </c>
      <c r="AD1657" s="93">
        <f t="shared" si="232"/>
        <v>0</v>
      </c>
      <c r="AE1657" s="93">
        <f t="shared" si="233"/>
        <v>0</v>
      </c>
      <c r="AF1657" s="93">
        <f t="shared" si="234"/>
        <v>0</v>
      </c>
      <c r="AG1657" s="93">
        <f t="shared" si="235"/>
        <v>0</v>
      </c>
      <c r="AH1657" s="93">
        <f t="shared" si="236"/>
        <v>0</v>
      </c>
      <c r="AI1657" s="88" t="s">
        <v>55</v>
      </c>
      <c r="AJ1657" s="93">
        <f t="shared" si="237"/>
        <v>0</v>
      </c>
      <c r="AK1657" s="93">
        <f t="shared" si="238"/>
        <v>0</v>
      </c>
      <c r="AL1657" s="93">
        <f t="shared" si="239"/>
        <v>0</v>
      </c>
      <c r="AN1657" s="93">
        <v>21</v>
      </c>
      <c r="AO1657" s="93">
        <f t="shared" si="250"/>
        <v>0</v>
      </c>
      <c r="AP1657" s="93">
        <f t="shared" si="251"/>
        <v>0</v>
      </c>
      <c r="AQ1657" s="94" t="s">
        <v>148</v>
      </c>
      <c r="AV1657" s="93">
        <f t="shared" si="240"/>
        <v>0</v>
      </c>
      <c r="AW1657" s="93">
        <f t="shared" si="241"/>
        <v>0</v>
      </c>
      <c r="AX1657" s="93">
        <f t="shared" si="242"/>
        <v>0</v>
      </c>
      <c r="AY1657" s="94" t="s">
        <v>1919</v>
      </c>
      <c r="AZ1657" s="94" t="s">
        <v>1920</v>
      </c>
      <c r="BA1657" s="88" t="s">
        <v>67</v>
      </c>
      <c r="BC1657" s="93">
        <f t="shared" si="243"/>
        <v>0</v>
      </c>
      <c r="BD1657" s="93">
        <f t="shared" si="244"/>
        <v>0</v>
      </c>
      <c r="BE1657" s="93">
        <v>0</v>
      </c>
      <c r="BF1657" s="93">
        <f t="shared" si="245"/>
        <v>0</v>
      </c>
      <c r="BH1657" s="93">
        <f t="shared" si="246"/>
        <v>0</v>
      </c>
      <c r="BI1657" s="93">
        <f t="shared" si="247"/>
        <v>0</v>
      </c>
      <c r="BJ1657" s="93">
        <f t="shared" si="248"/>
        <v>0</v>
      </c>
      <c r="BK1657" s="93"/>
      <c r="BL1657" s="93">
        <v>732</v>
      </c>
      <c r="BW1657" s="93" t="str">
        <f t="shared" si="249"/>
        <v>21</v>
      </c>
      <c r="BX1657" s="2" t="s">
        <v>1954</v>
      </c>
    </row>
    <row r="1658" spans="1:76" s="81" customFormat="1" ht="25.5" x14ac:dyDescent="0.25">
      <c r="A1658" s="72" t="s">
        <v>1955</v>
      </c>
      <c r="B1658" s="72" t="s">
        <v>55</v>
      </c>
      <c r="C1658" s="72" t="s">
        <v>1956</v>
      </c>
      <c r="D1658" s="175" t="s">
        <v>1957</v>
      </c>
      <c r="E1658" s="175"/>
      <c r="F1658" s="72" t="s">
        <v>203</v>
      </c>
      <c r="G1658" s="90">
        <v>1</v>
      </c>
      <c r="H1658" s="91"/>
      <c r="I1658" s="92" t="s">
        <v>63</v>
      </c>
      <c r="J1658" s="90">
        <f t="shared" si="224"/>
        <v>0</v>
      </c>
      <c r="K1658" s="90">
        <f t="shared" si="225"/>
        <v>0</v>
      </c>
      <c r="L1658" s="90">
        <f t="shared" si="226"/>
        <v>0</v>
      </c>
      <c r="M1658" s="90">
        <f t="shared" si="227"/>
        <v>0</v>
      </c>
      <c r="N1658" s="90">
        <v>0</v>
      </c>
      <c r="O1658" s="90">
        <f t="shared" si="228"/>
        <v>0</v>
      </c>
      <c r="P1658" s="92" t="s">
        <v>1652</v>
      </c>
      <c r="Z1658" s="93">
        <f t="shared" si="229"/>
        <v>0</v>
      </c>
      <c r="AB1658" s="93">
        <f t="shared" si="230"/>
        <v>0</v>
      </c>
      <c r="AC1658" s="93">
        <f t="shared" si="231"/>
        <v>0</v>
      </c>
      <c r="AD1658" s="93">
        <f t="shared" si="232"/>
        <v>0</v>
      </c>
      <c r="AE1658" s="93">
        <f t="shared" si="233"/>
        <v>0</v>
      </c>
      <c r="AF1658" s="93">
        <f t="shared" si="234"/>
        <v>0</v>
      </c>
      <c r="AG1658" s="93">
        <f t="shared" si="235"/>
        <v>0</v>
      </c>
      <c r="AH1658" s="93">
        <f t="shared" si="236"/>
        <v>0</v>
      </c>
      <c r="AI1658" s="88" t="s">
        <v>55</v>
      </c>
      <c r="AJ1658" s="93">
        <f t="shared" si="237"/>
        <v>0</v>
      </c>
      <c r="AK1658" s="93">
        <f t="shared" si="238"/>
        <v>0</v>
      </c>
      <c r="AL1658" s="93">
        <f t="shared" si="239"/>
        <v>0</v>
      </c>
      <c r="AN1658" s="93">
        <v>21</v>
      </c>
      <c r="AO1658" s="93">
        <f t="shared" si="250"/>
        <v>0</v>
      </c>
      <c r="AP1658" s="93">
        <f t="shared" si="251"/>
        <v>0</v>
      </c>
      <c r="AQ1658" s="94" t="s">
        <v>148</v>
      </c>
      <c r="AV1658" s="93">
        <f t="shared" si="240"/>
        <v>0</v>
      </c>
      <c r="AW1658" s="93">
        <f t="shared" si="241"/>
        <v>0</v>
      </c>
      <c r="AX1658" s="93">
        <f t="shared" si="242"/>
        <v>0</v>
      </c>
      <c r="AY1658" s="94" t="s">
        <v>1919</v>
      </c>
      <c r="AZ1658" s="94" t="s">
        <v>1920</v>
      </c>
      <c r="BA1658" s="88" t="s">
        <v>67</v>
      </c>
      <c r="BC1658" s="93">
        <f t="shared" si="243"/>
        <v>0</v>
      </c>
      <c r="BD1658" s="93">
        <f t="shared" si="244"/>
        <v>0</v>
      </c>
      <c r="BE1658" s="93">
        <v>0</v>
      </c>
      <c r="BF1658" s="93">
        <f t="shared" si="245"/>
        <v>0</v>
      </c>
      <c r="BH1658" s="93">
        <f t="shared" si="246"/>
        <v>0</v>
      </c>
      <c r="BI1658" s="93">
        <f t="shared" si="247"/>
        <v>0</v>
      </c>
      <c r="BJ1658" s="93">
        <f t="shared" si="248"/>
        <v>0</v>
      </c>
      <c r="BK1658" s="93"/>
      <c r="BL1658" s="93">
        <v>732</v>
      </c>
      <c r="BW1658" s="93" t="str">
        <f t="shared" si="249"/>
        <v>21</v>
      </c>
      <c r="BX1658" s="2" t="s">
        <v>1957</v>
      </c>
    </row>
    <row r="1659" spans="1:76" s="81" customFormat="1" ht="25.5" x14ac:dyDescent="0.25">
      <c r="A1659" s="72" t="s">
        <v>1958</v>
      </c>
      <c r="B1659" s="72" t="s">
        <v>55</v>
      </c>
      <c r="C1659" s="72" t="s">
        <v>1959</v>
      </c>
      <c r="D1659" s="175" t="s">
        <v>1960</v>
      </c>
      <c r="E1659" s="175"/>
      <c r="F1659" s="72" t="s">
        <v>203</v>
      </c>
      <c r="G1659" s="90">
        <v>1</v>
      </c>
      <c r="H1659" s="91"/>
      <c r="I1659" s="92" t="s">
        <v>63</v>
      </c>
      <c r="J1659" s="90">
        <f t="shared" si="224"/>
        <v>0</v>
      </c>
      <c r="K1659" s="90">
        <f t="shared" si="225"/>
        <v>0</v>
      </c>
      <c r="L1659" s="90">
        <f t="shared" si="226"/>
        <v>0</v>
      </c>
      <c r="M1659" s="90">
        <f t="shared" si="227"/>
        <v>0</v>
      </c>
      <c r="N1659" s="90">
        <v>0</v>
      </c>
      <c r="O1659" s="90">
        <f t="shared" si="228"/>
        <v>0</v>
      </c>
      <c r="P1659" s="92" t="s">
        <v>1652</v>
      </c>
      <c r="Z1659" s="93">
        <f t="shared" si="229"/>
        <v>0</v>
      </c>
      <c r="AB1659" s="93">
        <f t="shared" si="230"/>
        <v>0</v>
      </c>
      <c r="AC1659" s="93">
        <f t="shared" si="231"/>
        <v>0</v>
      </c>
      <c r="AD1659" s="93">
        <f t="shared" si="232"/>
        <v>0</v>
      </c>
      <c r="AE1659" s="93">
        <f t="shared" si="233"/>
        <v>0</v>
      </c>
      <c r="AF1659" s="93">
        <f t="shared" si="234"/>
        <v>0</v>
      </c>
      <c r="AG1659" s="93">
        <f t="shared" si="235"/>
        <v>0</v>
      </c>
      <c r="AH1659" s="93">
        <f t="shared" si="236"/>
        <v>0</v>
      </c>
      <c r="AI1659" s="88" t="s">
        <v>55</v>
      </c>
      <c r="AJ1659" s="93">
        <f t="shared" si="237"/>
        <v>0</v>
      </c>
      <c r="AK1659" s="93">
        <f t="shared" si="238"/>
        <v>0</v>
      </c>
      <c r="AL1659" s="93">
        <f t="shared" si="239"/>
        <v>0</v>
      </c>
      <c r="AN1659" s="93">
        <v>21</v>
      </c>
      <c r="AO1659" s="93">
        <f t="shared" si="250"/>
        <v>0</v>
      </c>
      <c r="AP1659" s="93">
        <f t="shared" si="251"/>
        <v>0</v>
      </c>
      <c r="AQ1659" s="94" t="s">
        <v>148</v>
      </c>
      <c r="AV1659" s="93">
        <f t="shared" si="240"/>
        <v>0</v>
      </c>
      <c r="AW1659" s="93">
        <f t="shared" si="241"/>
        <v>0</v>
      </c>
      <c r="AX1659" s="93">
        <f t="shared" si="242"/>
        <v>0</v>
      </c>
      <c r="AY1659" s="94" t="s">
        <v>1919</v>
      </c>
      <c r="AZ1659" s="94" t="s">
        <v>1920</v>
      </c>
      <c r="BA1659" s="88" t="s">
        <v>67</v>
      </c>
      <c r="BC1659" s="93">
        <f t="shared" si="243"/>
        <v>0</v>
      </c>
      <c r="BD1659" s="93">
        <f t="shared" si="244"/>
        <v>0</v>
      </c>
      <c r="BE1659" s="93">
        <v>0</v>
      </c>
      <c r="BF1659" s="93">
        <f t="shared" si="245"/>
        <v>0</v>
      </c>
      <c r="BH1659" s="93">
        <f t="shared" si="246"/>
        <v>0</v>
      </c>
      <c r="BI1659" s="93">
        <f t="shared" si="247"/>
        <v>0</v>
      </c>
      <c r="BJ1659" s="93">
        <f t="shared" si="248"/>
        <v>0</v>
      </c>
      <c r="BK1659" s="93"/>
      <c r="BL1659" s="93">
        <v>732</v>
      </c>
      <c r="BW1659" s="93" t="str">
        <f t="shared" si="249"/>
        <v>21</v>
      </c>
      <c r="BX1659" s="2" t="s">
        <v>1960</v>
      </c>
    </row>
    <row r="1660" spans="1:76" s="81" customFormat="1" ht="25.5" x14ac:dyDescent="0.25">
      <c r="A1660" s="72" t="s">
        <v>1961</v>
      </c>
      <c r="B1660" s="72" t="s">
        <v>55</v>
      </c>
      <c r="C1660" s="72" t="s">
        <v>1962</v>
      </c>
      <c r="D1660" s="175" t="s">
        <v>1963</v>
      </c>
      <c r="E1660" s="175"/>
      <c r="F1660" s="72" t="s">
        <v>203</v>
      </c>
      <c r="G1660" s="90">
        <v>1</v>
      </c>
      <c r="H1660" s="91"/>
      <c r="I1660" s="92" t="s">
        <v>63</v>
      </c>
      <c r="J1660" s="90">
        <f t="shared" si="224"/>
        <v>0</v>
      </c>
      <c r="K1660" s="90">
        <f t="shared" si="225"/>
        <v>0</v>
      </c>
      <c r="L1660" s="90">
        <f t="shared" si="226"/>
        <v>0</v>
      </c>
      <c r="M1660" s="90">
        <f t="shared" si="227"/>
        <v>0</v>
      </c>
      <c r="N1660" s="90">
        <v>0</v>
      </c>
      <c r="O1660" s="90">
        <f t="shared" si="228"/>
        <v>0</v>
      </c>
      <c r="P1660" s="92" t="s">
        <v>1652</v>
      </c>
      <c r="Z1660" s="93">
        <f t="shared" si="229"/>
        <v>0</v>
      </c>
      <c r="AB1660" s="93">
        <f t="shared" si="230"/>
        <v>0</v>
      </c>
      <c r="AC1660" s="93">
        <f t="shared" si="231"/>
        <v>0</v>
      </c>
      <c r="AD1660" s="93">
        <f t="shared" si="232"/>
        <v>0</v>
      </c>
      <c r="AE1660" s="93">
        <f t="shared" si="233"/>
        <v>0</v>
      </c>
      <c r="AF1660" s="93">
        <f t="shared" si="234"/>
        <v>0</v>
      </c>
      <c r="AG1660" s="93">
        <f t="shared" si="235"/>
        <v>0</v>
      </c>
      <c r="AH1660" s="93">
        <f t="shared" si="236"/>
        <v>0</v>
      </c>
      <c r="AI1660" s="88" t="s">
        <v>55</v>
      </c>
      <c r="AJ1660" s="93">
        <f t="shared" si="237"/>
        <v>0</v>
      </c>
      <c r="AK1660" s="93">
        <f t="shared" si="238"/>
        <v>0</v>
      </c>
      <c r="AL1660" s="93">
        <f t="shared" si="239"/>
        <v>0</v>
      </c>
      <c r="AN1660" s="93">
        <v>21</v>
      </c>
      <c r="AO1660" s="93">
        <f t="shared" si="250"/>
        <v>0</v>
      </c>
      <c r="AP1660" s="93">
        <f t="shared" si="251"/>
        <v>0</v>
      </c>
      <c r="AQ1660" s="94" t="s">
        <v>148</v>
      </c>
      <c r="AV1660" s="93">
        <f t="shared" si="240"/>
        <v>0</v>
      </c>
      <c r="AW1660" s="93">
        <f t="shared" si="241"/>
        <v>0</v>
      </c>
      <c r="AX1660" s="93">
        <f t="shared" si="242"/>
        <v>0</v>
      </c>
      <c r="AY1660" s="94" t="s">
        <v>1919</v>
      </c>
      <c r="AZ1660" s="94" t="s">
        <v>1920</v>
      </c>
      <c r="BA1660" s="88" t="s">
        <v>67</v>
      </c>
      <c r="BC1660" s="93">
        <f t="shared" si="243"/>
        <v>0</v>
      </c>
      <c r="BD1660" s="93">
        <f t="shared" si="244"/>
        <v>0</v>
      </c>
      <c r="BE1660" s="93">
        <v>0</v>
      </c>
      <c r="BF1660" s="93">
        <f t="shared" si="245"/>
        <v>0</v>
      </c>
      <c r="BH1660" s="93">
        <f t="shared" si="246"/>
        <v>0</v>
      </c>
      <c r="BI1660" s="93">
        <f t="shared" si="247"/>
        <v>0</v>
      </c>
      <c r="BJ1660" s="93">
        <f t="shared" si="248"/>
        <v>0</v>
      </c>
      <c r="BK1660" s="93"/>
      <c r="BL1660" s="93">
        <v>732</v>
      </c>
      <c r="BW1660" s="93" t="str">
        <f t="shared" si="249"/>
        <v>21</v>
      </c>
      <c r="BX1660" s="2" t="s">
        <v>1963</v>
      </c>
    </row>
    <row r="1661" spans="1:76" s="81" customFormat="1" ht="25.5" x14ac:dyDescent="0.25">
      <c r="A1661" s="72" t="s">
        <v>1964</v>
      </c>
      <c r="B1661" s="72" t="s">
        <v>55</v>
      </c>
      <c r="C1661" s="72" t="s">
        <v>1965</v>
      </c>
      <c r="D1661" s="175" t="s">
        <v>1966</v>
      </c>
      <c r="E1661" s="175"/>
      <c r="F1661" s="72" t="s">
        <v>203</v>
      </c>
      <c r="G1661" s="90">
        <v>3</v>
      </c>
      <c r="H1661" s="91"/>
      <c r="I1661" s="92" t="s">
        <v>63</v>
      </c>
      <c r="J1661" s="90">
        <f t="shared" si="224"/>
        <v>0</v>
      </c>
      <c r="K1661" s="90">
        <f t="shared" si="225"/>
        <v>0</v>
      </c>
      <c r="L1661" s="90">
        <f t="shared" si="226"/>
        <v>0</v>
      </c>
      <c r="M1661" s="90">
        <f t="shared" si="227"/>
        <v>0</v>
      </c>
      <c r="N1661" s="90">
        <v>0</v>
      </c>
      <c r="O1661" s="90">
        <f t="shared" si="228"/>
        <v>0</v>
      </c>
      <c r="P1661" s="92" t="s">
        <v>1652</v>
      </c>
      <c r="Z1661" s="93">
        <f t="shared" si="229"/>
        <v>0</v>
      </c>
      <c r="AB1661" s="93">
        <f t="shared" si="230"/>
        <v>0</v>
      </c>
      <c r="AC1661" s="93">
        <f t="shared" si="231"/>
        <v>0</v>
      </c>
      <c r="AD1661" s="93">
        <f t="shared" si="232"/>
        <v>0</v>
      </c>
      <c r="AE1661" s="93">
        <f t="shared" si="233"/>
        <v>0</v>
      </c>
      <c r="AF1661" s="93">
        <f t="shared" si="234"/>
        <v>0</v>
      </c>
      <c r="AG1661" s="93">
        <f t="shared" si="235"/>
        <v>0</v>
      </c>
      <c r="AH1661" s="93">
        <f t="shared" si="236"/>
        <v>0</v>
      </c>
      <c r="AI1661" s="88" t="s">
        <v>55</v>
      </c>
      <c r="AJ1661" s="93">
        <f t="shared" si="237"/>
        <v>0</v>
      </c>
      <c r="AK1661" s="93">
        <f t="shared" si="238"/>
        <v>0</v>
      </c>
      <c r="AL1661" s="93">
        <f t="shared" si="239"/>
        <v>0</v>
      </c>
      <c r="AN1661" s="93">
        <v>21</v>
      </c>
      <c r="AO1661" s="93">
        <f t="shared" si="250"/>
        <v>0</v>
      </c>
      <c r="AP1661" s="93">
        <f t="shared" si="251"/>
        <v>0</v>
      </c>
      <c r="AQ1661" s="94" t="s">
        <v>148</v>
      </c>
      <c r="AV1661" s="93">
        <f t="shared" si="240"/>
        <v>0</v>
      </c>
      <c r="AW1661" s="93">
        <f t="shared" si="241"/>
        <v>0</v>
      </c>
      <c r="AX1661" s="93">
        <f t="shared" si="242"/>
        <v>0</v>
      </c>
      <c r="AY1661" s="94" t="s">
        <v>1919</v>
      </c>
      <c r="AZ1661" s="94" t="s">
        <v>1920</v>
      </c>
      <c r="BA1661" s="88" t="s">
        <v>67</v>
      </c>
      <c r="BC1661" s="93">
        <f t="shared" si="243"/>
        <v>0</v>
      </c>
      <c r="BD1661" s="93">
        <f t="shared" si="244"/>
        <v>0</v>
      </c>
      <c r="BE1661" s="93">
        <v>0</v>
      </c>
      <c r="BF1661" s="93">
        <f t="shared" si="245"/>
        <v>0</v>
      </c>
      <c r="BH1661" s="93">
        <f t="shared" si="246"/>
        <v>0</v>
      </c>
      <c r="BI1661" s="93">
        <f t="shared" si="247"/>
        <v>0</v>
      </c>
      <c r="BJ1661" s="93">
        <f t="shared" si="248"/>
        <v>0</v>
      </c>
      <c r="BK1661" s="93"/>
      <c r="BL1661" s="93">
        <v>732</v>
      </c>
      <c r="BW1661" s="93" t="str">
        <f t="shared" si="249"/>
        <v>21</v>
      </c>
      <c r="BX1661" s="2" t="s">
        <v>1966</v>
      </c>
    </row>
    <row r="1662" spans="1:76" s="81" customFormat="1" ht="25.5" x14ac:dyDescent="0.25">
      <c r="A1662" s="72" t="s">
        <v>1967</v>
      </c>
      <c r="B1662" s="72" t="s">
        <v>55</v>
      </c>
      <c r="C1662" s="72" t="s">
        <v>1968</v>
      </c>
      <c r="D1662" s="175" t="s">
        <v>1969</v>
      </c>
      <c r="E1662" s="175"/>
      <c r="F1662" s="72" t="s">
        <v>203</v>
      </c>
      <c r="G1662" s="90">
        <v>1</v>
      </c>
      <c r="H1662" s="91"/>
      <c r="I1662" s="92" t="s">
        <v>63</v>
      </c>
      <c r="J1662" s="90">
        <f t="shared" si="224"/>
        <v>0</v>
      </c>
      <c r="K1662" s="90">
        <f t="shared" si="225"/>
        <v>0</v>
      </c>
      <c r="L1662" s="90">
        <f t="shared" si="226"/>
        <v>0</v>
      </c>
      <c r="M1662" s="90">
        <f t="shared" si="227"/>
        <v>0</v>
      </c>
      <c r="N1662" s="90">
        <v>0</v>
      </c>
      <c r="O1662" s="90">
        <f t="shared" si="228"/>
        <v>0</v>
      </c>
      <c r="P1662" s="92" t="s">
        <v>1652</v>
      </c>
      <c r="Z1662" s="93">
        <f t="shared" si="229"/>
        <v>0</v>
      </c>
      <c r="AB1662" s="93">
        <f t="shared" si="230"/>
        <v>0</v>
      </c>
      <c r="AC1662" s="93">
        <f t="shared" si="231"/>
        <v>0</v>
      </c>
      <c r="AD1662" s="93">
        <f t="shared" si="232"/>
        <v>0</v>
      </c>
      <c r="AE1662" s="93">
        <f t="shared" si="233"/>
        <v>0</v>
      </c>
      <c r="AF1662" s="93">
        <f t="shared" si="234"/>
        <v>0</v>
      </c>
      <c r="AG1662" s="93">
        <f t="shared" si="235"/>
        <v>0</v>
      </c>
      <c r="AH1662" s="93">
        <f t="shared" si="236"/>
        <v>0</v>
      </c>
      <c r="AI1662" s="88" t="s">
        <v>55</v>
      </c>
      <c r="AJ1662" s="93">
        <f t="shared" si="237"/>
        <v>0</v>
      </c>
      <c r="AK1662" s="93">
        <f t="shared" si="238"/>
        <v>0</v>
      </c>
      <c r="AL1662" s="93">
        <f t="shared" si="239"/>
        <v>0</v>
      </c>
      <c r="AN1662" s="93">
        <v>21</v>
      </c>
      <c r="AO1662" s="93">
        <f t="shared" si="250"/>
        <v>0</v>
      </c>
      <c r="AP1662" s="93">
        <f t="shared" si="251"/>
        <v>0</v>
      </c>
      <c r="AQ1662" s="94" t="s">
        <v>148</v>
      </c>
      <c r="AV1662" s="93">
        <f t="shared" si="240"/>
        <v>0</v>
      </c>
      <c r="AW1662" s="93">
        <f t="shared" si="241"/>
        <v>0</v>
      </c>
      <c r="AX1662" s="93">
        <f t="shared" si="242"/>
        <v>0</v>
      </c>
      <c r="AY1662" s="94" t="s">
        <v>1919</v>
      </c>
      <c r="AZ1662" s="94" t="s">
        <v>1920</v>
      </c>
      <c r="BA1662" s="88" t="s">
        <v>67</v>
      </c>
      <c r="BC1662" s="93">
        <f t="shared" si="243"/>
        <v>0</v>
      </c>
      <c r="BD1662" s="93">
        <f t="shared" si="244"/>
        <v>0</v>
      </c>
      <c r="BE1662" s="93">
        <v>0</v>
      </c>
      <c r="BF1662" s="93">
        <f t="shared" si="245"/>
        <v>0</v>
      </c>
      <c r="BH1662" s="93">
        <f t="shared" si="246"/>
        <v>0</v>
      </c>
      <c r="BI1662" s="93">
        <f t="shared" si="247"/>
        <v>0</v>
      </c>
      <c r="BJ1662" s="93">
        <f t="shared" si="248"/>
        <v>0</v>
      </c>
      <c r="BK1662" s="93"/>
      <c r="BL1662" s="93">
        <v>732</v>
      </c>
      <c r="BW1662" s="93" t="str">
        <f t="shared" si="249"/>
        <v>21</v>
      </c>
      <c r="BX1662" s="2" t="s">
        <v>1969</v>
      </c>
    </row>
    <row r="1663" spans="1:76" s="81" customFormat="1" ht="25.5" x14ac:dyDescent="0.25">
      <c r="A1663" s="72" t="s">
        <v>1970</v>
      </c>
      <c r="B1663" s="72" t="s">
        <v>55</v>
      </c>
      <c r="C1663" s="72" t="s">
        <v>1971</v>
      </c>
      <c r="D1663" s="175" t="s">
        <v>1972</v>
      </c>
      <c r="E1663" s="175"/>
      <c r="F1663" s="72" t="s">
        <v>203</v>
      </c>
      <c r="G1663" s="90">
        <v>2</v>
      </c>
      <c r="H1663" s="91"/>
      <c r="I1663" s="92" t="s">
        <v>63</v>
      </c>
      <c r="J1663" s="90">
        <f t="shared" si="224"/>
        <v>0</v>
      </c>
      <c r="K1663" s="90">
        <f t="shared" si="225"/>
        <v>0</v>
      </c>
      <c r="L1663" s="90">
        <f t="shared" si="226"/>
        <v>0</v>
      </c>
      <c r="M1663" s="90">
        <f t="shared" si="227"/>
        <v>0</v>
      </c>
      <c r="N1663" s="90">
        <v>0</v>
      </c>
      <c r="O1663" s="90">
        <f t="shared" si="228"/>
        <v>0</v>
      </c>
      <c r="P1663" s="92" t="s">
        <v>1652</v>
      </c>
      <c r="Z1663" s="93">
        <f t="shared" si="229"/>
        <v>0</v>
      </c>
      <c r="AB1663" s="93">
        <f t="shared" si="230"/>
        <v>0</v>
      </c>
      <c r="AC1663" s="93">
        <f t="shared" si="231"/>
        <v>0</v>
      </c>
      <c r="AD1663" s="93">
        <f t="shared" si="232"/>
        <v>0</v>
      </c>
      <c r="AE1663" s="93">
        <f t="shared" si="233"/>
        <v>0</v>
      </c>
      <c r="AF1663" s="93">
        <f t="shared" si="234"/>
        <v>0</v>
      </c>
      <c r="AG1663" s="93">
        <f t="shared" si="235"/>
        <v>0</v>
      </c>
      <c r="AH1663" s="93">
        <f t="shared" si="236"/>
        <v>0</v>
      </c>
      <c r="AI1663" s="88" t="s">
        <v>55</v>
      </c>
      <c r="AJ1663" s="93">
        <f t="shared" si="237"/>
        <v>0</v>
      </c>
      <c r="AK1663" s="93">
        <f t="shared" si="238"/>
        <v>0</v>
      </c>
      <c r="AL1663" s="93">
        <f t="shared" si="239"/>
        <v>0</v>
      </c>
      <c r="AN1663" s="93">
        <v>21</v>
      </c>
      <c r="AO1663" s="93">
        <f t="shared" si="250"/>
        <v>0</v>
      </c>
      <c r="AP1663" s="93">
        <f t="shared" si="251"/>
        <v>0</v>
      </c>
      <c r="AQ1663" s="94" t="s">
        <v>148</v>
      </c>
      <c r="AV1663" s="93">
        <f t="shared" si="240"/>
        <v>0</v>
      </c>
      <c r="AW1663" s="93">
        <f t="shared" si="241"/>
        <v>0</v>
      </c>
      <c r="AX1663" s="93">
        <f t="shared" si="242"/>
        <v>0</v>
      </c>
      <c r="AY1663" s="94" t="s">
        <v>1919</v>
      </c>
      <c r="AZ1663" s="94" t="s">
        <v>1920</v>
      </c>
      <c r="BA1663" s="88" t="s">
        <v>67</v>
      </c>
      <c r="BC1663" s="93">
        <f t="shared" si="243"/>
        <v>0</v>
      </c>
      <c r="BD1663" s="93">
        <f t="shared" si="244"/>
        <v>0</v>
      </c>
      <c r="BE1663" s="93">
        <v>0</v>
      </c>
      <c r="BF1663" s="93">
        <f t="shared" si="245"/>
        <v>0</v>
      </c>
      <c r="BH1663" s="93">
        <f t="shared" si="246"/>
        <v>0</v>
      </c>
      <c r="BI1663" s="93">
        <f t="shared" si="247"/>
        <v>0</v>
      </c>
      <c r="BJ1663" s="93">
        <f t="shared" si="248"/>
        <v>0</v>
      </c>
      <c r="BK1663" s="93"/>
      <c r="BL1663" s="93">
        <v>732</v>
      </c>
      <c r="BW1663" s="93" t="str">
        <f t="shared" si="249"/>
        <v>21</v>
      </c>
      <c r="BX1663" s="2" t="s">
        <v>1972</v>
      </c>
    </row>
    <row r="1664" spans="1:76" s="81" customFormat="1" ht="25.5" x14ac:dyDescent="0.25">
      <c r="A1664" s="72" t="s">
        <v>1973</v>
      </c>
      <c r="B1664" s="72" t="s">
        <v>55</v>
      </c>
      <c r="C1664" s="72" t="s">
        <v>1974</v>
      </c>
      <c r="D1664" s="175" t="s">
        <v>1975</v>
      </c>
      <c r="E1664" s="175"/>
      <c r="F1664" s="72" t="s">
        <v>203</v>
      </c>
      <c r="G1664" s="90">
        <v>2</v>
      </c>
      <c r="H1664" s="91"/>
      <c r="I1664" s="92" t="s">
        <v>63</v>
      </c>
      <c r="J1664" s="90">
        <f t="shared" si="224"/>
        <v>0</v>
      </c>
      <c r="K1664" s="90">
        <f t="shared" si="225"/>
        <v>0</v>
      </c>
      <c r="L1664" s="90">
        <f t="shared" si="226"/>
        <v>0</v>
      </c>
      <c r="M1664" s="90">
        <f t="shared" si="227"/>
        <v>0</v>
      </c>
      <c r="N1664" s="90">
        <v>0</v>
      </c>
      <c r="O1664" s="90">
        <f t="shared" si="228"/>
        <v>0</v>
      </c>
      <c r="P1664" s="92" t="s">
        <v>1652</v>
      </c>
      <c r="Z1664" s="93">
        <f t="shared" si="229"/>
        <v>0</v>
      </c>
      <c r="AB1664" s="93">
        <f t="shared" si="230"/>
        <v>0</v>
      </c>
      <c r="AC1664" s="93">
        <f t="shared" si="231"/>
        <v>0</v>
      </c>
      <c r="AD1664" s="93">
        <f t="shared" si="232"/>
        <v>0</v>
      </c>
      <c r="AE1664" s="93">
        <f t="shared" si="233"/>
        <v>0</v>
      </c>
      <c r="AF1664" s="93">
        <f t="shared" si="234"/>
        <v>0</v>
      </c>
      <c r="AG1664" s="93">
        <f t="shared" si="235"/>
        <v>0</v>
      </c>
      <c r="AH1664" s="93">
        <f t="shared" si="236"/>
        <v>0</v>
      </c>
      <c r="AI1664" s="88" t="s">
        <v>55</v>
      </c>
      <c r="AJ1664" s="93">
        <f t="shared" si="237"/>
        <v>0</v>
      </c>
      <c r="AK1664" s="93">
        <f t="shared" si="238"/>
        <v>0</v>
      </c>
      <c r="AL1664" s="93">
        <f t="shared" si="239"/>
        <v>0</v>
      </c>
      <c r="AN1664" s="93">
        <v>21</v>
      </c>
      <c r="AO1664" s="93">
        <f t="shared" si="250"/>
        <v>0</v>
      </c>
      <c r="AP1664" s="93">
        <f t="shared" si="251"/>
        <v>0</v>
      </c>
      <c r="AQ1664" s="94" t="s">
        <v>148</v>
      </c>
      <c r="AV1664" s="93">
        <f t="shared" si="240"/>
        <v>0</v>
      </c>
      <c r="AW1664" s="93">
        <f t="shared" si="241"/>
        <v>0</v>
      </c>
      <c r="AX1664" s="93">
        <f t="shared" si="242"/>
        <v>0</v>
      </c>
      <c r="AY1664" s="94" t="s">
        <v>1919</v>
      </c>
      <c r="AZ1664" s="94" t="s">
        <v>1920</v>
      </c>
      <c r="BA1664" s="88" t="s">
        <v>67</v>
      </c>
      <c r="BC1664" s="93">
        <f t="shared" si="243"/>
        <v>0</v>
      </c>
      <c r="BD1664" s="93">
        <f t="shared" si="244"/>
        <v>0</v>
      </c>
      <c r="BE1664" s="93">
        <v>0</v>
      </c>
      <c r="BF1664" s="93">
        <f t="shared" si="245"/>
        <v>0</v>
      </c>
      <c r="BH1664" s="93">
        <f t="shared" si="246"/>
        <v>0</v>
      </c>
      <c r="BI1664" s="93">
        <f t="shared" si="247"/>
        <v>0</v>
      </c>
      <c r="BJ1664" s="93">
        <f t="shared" si="248"/>
        <v>0</v>
      </c>
      <c r="BK1664" s="93"/>
      <c r="BL1664" s="93">
        <v>732</v>
      </c>
      <c r="BW1664" s="93" t="str">
        <f t="shared" si="249"/>
        <v>21</v>
      </c>
      <c r="BX1664" s="2" t="s">
        <v>1975</v>
      </c>
    </row>
    <row r="1665" spans="1:76" s="81" customFormat="1" ht="13.5" customHeight="1" x14ac:dyDescent="0.25">
      <c r="A1665" s="95"/>
      <c r="B1665" s="95"/>
      <c r="C1665" s="95"/>
      <c r="D1665" s="182" t="s">
        <v>1976</v>
      </c>
      <c r="E1665" s="182"/>
      <c r="F1665" s="182"/>
      <c r="G1665" s="182"/>
      <c r="H1665" s="182"/>
      <c r="I1665" s="182"/>
      <c r="J1665" s="182"/>
      <c r="K1665" s="182"/>
      <c r="L1665" s="182"/>
      <c r="M1665" s="182"/>
      <c r="N1665" s="182"/>
      <c r="O1665" s="182"/>
      <c r="P1665" s="182"/>
    </row>
    <row r="1666" spans="1:76" s="81" customFormat="1" ht="25.5" x14ac:dyDescent="0.25">
      <c r="A1666" s="72" t="s">
        <v>1977</v>
      </c>
      <c r="B1666" s="72" t="s">
        <v>55</v>
      </c>
      <c r="C1666" s="72" t="s">
        <v>1978</v>
      </c>
      <c r="D1666" s="175" t="s">
        <v>1979</v>
      </c>
      <c r="E1666" s="175"/>
      <c r="F1666" s="72" t="s">
        <v>203</v>
      </c>
      <c r="G1666" s="90">
        <v>1</v>
      </c>
      <c r="H1666" s="91"/>
      <c r="I1666" s="92" t="s">
        <v>63</v>
      </c>
      <c r="J1666" s="90">
        <f>G1666*AO1666</f>
        <v>0</v>
      </c>
      <c r="K1666" s="90">
        <f>G1666*AP1666</f>
        <v>0</v>
      </c>
      <c r="L1666" s="90">
        <f>G1666*H1666</f>
        <v>0</v>
      </c>
      <c r="M1666" s="90">
        <f>L1666*(1+BW1666/100)</f>
        <v>0</v>
      </c>
      <c r="N1666" s="90">
        <v>0</v>
      </c>
      <c r="O1666" s="90">
        <f>G1666*N1666</f>
        <v>0</v>
      </c>
      <c r="P1666" s="92" t="s">
        <v>1652</v>
      </c>
      <c r="Z1666" s="93">
        <f>IF(AQ1666="5",BJ1666,0)</f>
        <v>0</v>
      </c>
      <c r="AB1666" s="93">
        <f>IF(AQ1666="1",BH1666,0)</f>
        <v>0</v>
      </c>
      <c r="AC1666" s="93">
        <f>IF(AQ1666="1",BI1666,0)</f>
        <v>0</v>
      </c>
      <c r="AD1666" s="93">
        <f>IF(AQ1666="7",BH1666,0)</f>
        <v>0</v>
      </c>
      <c r="AE1666" s="93">
        <f>IF(AQ1666="7",BI1666,0)</f>
        <v>0</v>
      </c>
      <c r="AF1666" s="93">
        <f>IF(AQ1666="2",BH1666,0)</f>
        <v>0</v>
      </c>
      <c r="AG1666" s="93">
        <f>IF(AQ1666="2",BI1666,0)</f>
        <v>0</v>
      </c>
      <c r="AH1666" s="93">
        <f>IF(AQ1666="0",BJ1666,0)</f>
        <v>0</v>
      </c>
      <c r="AI1666" s="88" t="s">
        <v>55</v>
      </c>
      <c r="AJ1666" s="93">
        <f>IF(AN1666=0,L1666,0)</f>
        <v>0</v>
      </c>
      <c r="AK1666" s="93">
        <f>IF(AN1666=12,L1666,0)</f>
        <v>0</v>
      </c>
      <c r="AL1666" s="93">
        <f>IF(AN1666=21,L1666,0)</f>
        <v>0</v>
      </c>
      <c r="AN1666" s="93">
        <v>21</v>
      </c>
      <c r="AO1666" s="93">
        <f>H1666*1</f>
        <v>0</v>
      </c>
      <c r="AP1666" s="93">
        <f>H1666*(1-1)</f>
        <v>0</v>
      </c>
      <c r="AQ1666" s="94" t="s">
        <v>148</v>
      </c>
      <c r="AV1666" s="93">
        <f>AW1666+AX1666</f>
        <v>0</v>
      </c>
      <c r="AW1666" s="93">
        <f>G1666*AO1666</f>
        <v>0</v>
      </c>
      <c r="AX1666" s="93">
        <f>G1666*AP1666</f>
        <v>0</v>
      </c>
      <c r="AY1666" s="94" t="s">
        <v>1919</v>
      </c>
      <c r="AZ1666" s="94" t="s">
        <v>1920</v>
      </c>
      <c r="BA1666" s="88" t="s">
        <v>67</v>
      </c>
      <c r="BC1666" s="93">
        <f>AW1666+AX1666</f>
        <v>0</v>
      </c>
      <c r="BD1666" s="93">
        <f>H1666/(100-BE1666)*100</f>
        <v>0</v>
      </c>
      <c r="BE1666" s="93">
        <v>0</v>
      </c>
      <c r="BF1666" s="93">
        <f>O1666</f>
        <v>0</v>
      </c>
      <c r="BH1666" s="93">
        <f>G1666*AO1666</f>
        <v>0</v>
      </c>
      <c r="BI1666" s="93">
        <f>G1666*AP1666</f>
        <v>0</v>
      </c>
      <c r="BJ1666" s="93">
        <f>G1666*H1666</f>
        <v>0</v>
      </c>
      <c r="BK1666" s="93"/>
      <c r="BL1666" s="93">
        <v>732</v>
      </c>
      <c r="BW1666" s="93" t="str">
        <f>I1666</f>
        <v>21</v>
      </c>
      <c r="BX1666" s="2" t="s">
        <v>1979</v>
      </c>
    </row>
    <row r="1667" spans="1:76" s="81" customFormat="1" ht="25.5" x14ac:dyDescent="0.25">
      <c r="A1667" s="72" t="s">
        <v>1980</v>
      </c>
      <c r="B1667" s="72" t="s">
        <v>55</v>
      </c>
      <c r="C1667" s="72" t="s">
        <v>1981</v>
      </c>
      <c r="D1667" s="175" t="s">
        <v>1982</v>
      </c>
      <c r="E1667" s="175"/>
      <c r="F1667" s="72" t="s">
        <v>203</v>
      </c>
      <c r="G1667" s="90">
        <v>1</v>
      </c>
      <c r="H1667" s="91"/>
      <c r="I1667" s="92" t="s">
        <v>63</v>
      </c>
      <c r="J1667" s="90">
        <f>G1667*AO1667</f>
        <v>0</v>
      </c>
      <c r="K1667" s="90">
        <f>G1667*AP1667</f>
        <v>0</v>
      </c>
      <c r="L1667" s="90">
        <f>G1667*H1667</f>
        <v>0</v>
      </c>
      <c r="M1667" s="90">
        <f>L1667*(1+BW1667/100)</f>
        <v>0</v>
      </c>
      <c r="N1667" s="90">
        <v>0</v>
      </c>
      <c r="O1667" s="90">
        <f>G1667*N1667</f>
        <v>0</v>
      </c>
      <c r="P1667" s="92" t="s">
        <v>1652</v>
      </c>
      <c r="Z1667" s="93">
        <f>IF(AQ1667="5",BJ1667,0)</f>
        <v>0</v>
      </c>
      <c r="AB1667" s="93">
        <f>IF(AQ1667="1",BH1667,0)</f>
        <v>0</v>
      </c>
      <c r="AC1667" s="93">
        <f>IF(AQ1667="1",BI1667,0)</f>
        <v>0</v>
      </c>
      <c r="AD1667" s="93">
        <f>IF(AQ1667="7",BH1667,0)</f>
        <v>0</v>
      </c>
      <c r="AE1667" s="93">
        <f>IF(AQ1667="7",BI1667,0)</f>
        <v>0</v>
      </c>
      <c r="AF1667" s="93">
        <f>IF(AQ1667="2",BH1667,0)</f>
        <v>0</v>
      </c>
      <c r="AG1667" s="93">
        <f>IF(AQ1667="2",BI1667,0)</f>
        <v>0</v>
      </c>
      <c r="AH1667" s="93">
        <f>IF(AQ1667="0",BJ1667,0)</f>
        <v>0</v>
      </c>
      <c r="AI1667" s="88" t="s">
        <v>55</v>
      </c>
      <c r="AJ1667" s="93">
        <f>IF(AN1667=0,L1667,0)</f>
        <v>0</v>
      </c>
      <c r="AK1667" s="93">
        <f>IF(AN1667=12,L1667,0)</f>
        <v>0</v>
      </c>
      <c r="AL1667" s="93">
        <f>IF(AN1667=21,L1667,0)</f>
        <v>0</v>
      </c>
      <c r="AN1667" s="93">
        <v>21</v>
      </c>
      <c r="AO1667" s="93">
        <f>H1667*1</f>
        <v>0</v>
      </c>
      <c r="AP1667" s="93">
        <f>H1667*(1-1)</f>
        <v>0</v>
      </c>
      <c r="AQ1667" s="94" t="s">
        <v>148</v>
      </c>
      <c r="AV1667" s="93">
        <f>AW1667+AX1667</f>
        <v>0</v>
      </c>
      <c r="AW1667" s="93">
        <f>G1667*AO1667</f>
        <v>0</v>
      </c>
      <c r="AX1667" s="93">
        <f>G1667*AP1667</f>
        <v>0</v>
      </c>
      <c r="AY1667" s="94" t="s">
        <v>1919</v>
      </c>
      <c r="AZ1667" s="94" t="s">
        <v>1920</v>
      </c>
      <c r="BA1667" s="88" t="s">
        <v>67</v>
      </c>
      <c r="BC1667" s="93">
        <f>AW1667+AX1667</f>
        <v>0</v>
      </c>
      <c r="BD1667" s="93">
        <f>H1667/(100-BE1667)*100</f>
        <v>0</v>
      </c>
      <c r="BE1667" s="93">
        <v>0</v>
      </c>
      <c r="BF1667" s="93">
        <f>O1667</f>
        <v>0</v>
      </c>
      <c r="BH1667" s="93">
        <f>G1667*AO1667</f>
        <v>0</v>
      </c>
      <c r="BI1667" s="93">
        <f>G1667*AP1667</f>
        <v>0</v>
      </c>
      <c r="BJ1667" s="93">
        <f>G1667*H1667</f>
        <v>0</v>
      </c>
      <c r="BK1667" s="93"/>
      <c r="BL1667" s="93">
        <v>732</v>
      </c>
      <c r="BW1667" s="93" t="str">
        <f>I1667</f>
        <v>21</v>
      </c>
      <c r="BX1667" s="2" t="s">
        <v>1982</v>
      </c>
    </row>
    <row r="1668" spans="1:76" s="81" customFormat="1" ht="25.5" x14ac:dyDescent="0.25">
      <c r="A1668" s="72" t="s">
        <v>1983</v>
      </c>
      <c r="B1668" s="72" t="s">
        <v>55</v>
      </c>
      <c r="C1668" s="72" t="s">
        <v>1984</v>
      </c>
      <c r="D1668" s="175" t="s">
        <v>1985</v>
      </c>
      <c r="E1668" s="175"/>
      <c r="F1668" s="72" t="s">
        <v>1449</v>
      </c>
      <c r="G1668" s="91"/>
      <c r="H1668" s="91"/>
      <c r="I1668" s="92" t="s">
        <v>63</v>
      </c>
      <c r="J1668" s="90">
        <f>G1668*AO1668</f>
        <v>0</v>
      </c>
      <c r="K1668" s="90">
        <f>G1668*AP1668</f>
        <v>0</v>
      </c>
      <c r="L1668" s="90">
        <f>G1668*H1668</f>
        <v>0</v>
      </c>
      <c r="M1668" s="90">
        <f>L1668*(1+BW1668/100)</f>
        <v>0</v>
      </c>
      <c r="N1668" s="90">
        <v>0</v>
      </c>
      <c r="O1668" s="90">
        <f>G1668*N1668</f>
        <v>0</v>
      </c>
      <c r="P1668" s="92" t="s">
        <v>371</v>
      </c>
      <c r="Z1668" s="93">
        <f>IF(AQ1668="5",BJ1668,0)</f>
        <v>0</v>
      </c>
      <c r="AB1668" s="93">
        <f>IF(AQ1668="1",BH1668,0)</f>
        <v>0</v>
      </c>
      <c r="AC1668" s="93">
        <f>IF(AQ1668="1",BI1668,0)</f>
        <v>0</v>
      </c>
      <c r="AD1668" s="93">
        <f>IF(AQ1668="7",BH1668,0)</f>
        <v>0</v>
      </c>
      <c r="AE1668" s="93">
        <f>IF(AQ1668="7",BI1668,0)</f>
        <v>0</v>
      </c>
      <c r="AF1668" s="93">
        <f>IF(AQ1668="2",BH1668,0)</f>
        <v>0</v>
      </c>
      <c r="AG1668" s="93">
        <f>IF(AQ1668="2",BI1668,0)</f>
        <v>0</v>
      </c>
      <c r="AH1668" s="93">
        <f>IF(AQ1668="0",BJ1668,0)</f>
        <v>0</v>
      </c>
      <c r="AI1668" s="88" t="s">
        <v>55</v>
      </c>
      <c r="AJ1668" s="93">
        <f>IF(AN1668=0,L1668,0)</f>
        <v>0</v>
      </c>
      <c r="AK1668" s="93">
        <f>IF(AN1668=12,L1668,0)</f>
        <v>0</v>
      </c>
      <c r="AL1668" s="93">
        <f>IF(AN1668=21,L1668,0)</f>
        <v>0</v>
      </c>
      <c r="AN1668" s="93">
        <v>21</v>
      </c>
      <c r="AO1668" s="93">
        <f>H1668*0</f>
        <v>0</v>
      </c>
      <c r="AP1668" s="93">
        <f>H1668*(1-0)</f>
        <v>0</v>
      </c>
      <c r="AQ1668" s="94" t="s">
        <v>136</v>
      </c>
      <c r="AV1668" s="93">
        <f>AW1668+AX1668</f>
        <v>0</v>
      </c>
      <c r="AW1668" s="93">
        <f>G1668*AO1668</f>
        <v>0</v>
      </c>
      <c r="AX1668" s="93">
        <f>G1668*AP1668</f>
        <v>0</v>
      </c>
      <c r="AY1668" s="94" t="s">
        <v>1919</v>
      </c>
      <c r="AZ1668" s="94" t="s">
        <v>1920</v>
      </c>
      <c r="BA1668" s="88" t="s">
        <v>67</v>
      </c>
      <c r="BC1668" s="93">
        <f>AW1668+AX1668</f>
        <v>0</v>
      </c>
      <c r="BD1668" s="93">
        <f>H1668/(100-BE1668)*100</f>
        <v>0</v>
      </c>
      <c r="BE1668" s="93">
        <v>0</v>
      </c>
      <c r="BF1668" s="93">
        <f>O1668</f>
        <v>0</v>
      </c>
      <c r="BH1668" s="93">
        <f>G1668*AO1668</f>
        <v>0</v>
      </c>
      <c r="BI1668" s="93">
        <f>G1668*AP1668</f>
        <v>0</v>
      </c>
      <c r="BJ1668" s="93">
        <f>G1668*H1668</f>
        <v>0</v>
      </c>
      <c r="BK1668" s="93"/>
      <c r="BL1668" s="93">
        <v>732</v>
      </c>
      <c r="BW1668" s="93" t="str">
        <f>I1668</f>
        <v>21</v>
      </c>
      <c r="BX1668" s="2" t="s">
        <v>1985</v>
      </c>
    </row>
    <row r="1669" spans="1:76" s="81" customFormat="1" x14ac:dyDescent="0.25">
      <c r="A1669" s="85" t="s">
        <v>54</v>
      </c>
      <c r="B1669" s="74" t="s">
        <v>55</v>
      </c>
      <c r="C1669" s="74" t="s">
        <v>1986</v>
      </c>
      <c r="D1669" s="176" t="s">
        <v>1987</v>
      </c>
      <c r="E1669" s="176"/>
      <c r="F1669" s="85" t="s">
        <v>4</v>
      </c>
      <c r="G1669" s="85" t="s">
        <v>4</v>
      </c>
      <c r="H1669" s="98"/>
      <c r="I1669" s="85" t="s">
        <v>4</v>
      </c>
      <c r="J1669" s="86">
        <f>SUM(J1670:J1695)</f>
        <v>0</v>
      </c>
      <c r="K1669" s="86">
        <f>SUM(K1670:K1695)</f>
        <v>0</v>
      </c>
      <c r="L1669" s="86">
        <f>SUM(L1670:L1695)</f>
        <v>0</v>
      </c>
      <c r="M1669" s="86">
        <f>SUM(M1670:M1695)</f>
        <v>0</v>
      </c>
      <c r="N1669" s="87" t="s">
        <v>54</v>
      </c>
      <c r="O1669" s="86">
        <f>SUM(O1670:O1695)</f>
        <v>1.3903000000000001</v>
      </c>
      <c r="P1669" s="87" t="s">
        <v>54</v>
      </c>
      <c r="AI1669" s="88" t="s">
        <v>55</v>
      </c>
      <c r="AS1669" s="89">
        <f>SUM(AJ1670:AJ1695)</f>
        <v>0</v>
      </c>
      <c r="AT1669" s="89">
        <f>SUM(AK1670:AK1695)</f>
        <v>0</v>
      </c>
      <c r="AU1669" s="89">
        <f>SUM(AL1670:AL1695)</f>
        <v>0</v>
      </c>
    </row>
    <row r="1670" spans="1:76" s="81" customFormat="1" ht="25.5" x14ac:dyDescent="0.25">
      <c r="A1670" s="72" t="s">
        <v>1988</v>
      </c>
      <c r="B1670" s="72" t="s">
        <v>55</v>
      </c>
      <c r="C1670" s="72" t="s">
        <v>1989</v>
      </c>
      <c r="D1670" s="175" t="s">
        <v>1990</v>
      </c>
      <c r="E1670" s="175"/>
      <c r="F1670" s="72" t="s">
        <v>213</v>
      </c>
      <c r="G1670" s="90">
        <v>360</v>
      </c>
      <c r="H1670" s="91"/>
      <c r="I1670" s="92" t="s">
        <v>63</v>
      </c>
      <c r="J1670" s="90">
        <f t="shared" ref="J1670:J1677" si="252">G1670*AO1670</f>
        <v>0</v>
      </c>
      <c r="K1670" s="90">
        <f t="shared" ref="K1670:K1677" si="253">G1670*AP1670</f>
        <v>0</v>
      </c>
      <c r="L1670" s="90">
        <f t="shared" ref="L1670:L1677" si="254">G1670*H1670</f>
        <v>0</v>
      </c>
      <c r="M1670" s="90">
        <f t="shared" ref="M1670:M1677" si="255">L1670*(1+BW1670/100)</f>
        <v>0</v>
      </c>
      <c r="N1670" s="90">
        <v>7.6000000000000004E-4</v>
      </c>
      <c r="O1670" s="90">
        <f t="shared" ref="O1670:O1677" si="256">G1670*N1670</f>
        <v>0.27360000000000001</v>
      </c>
      <c r="P1670" s="92" t="s">
        <v>64</v>
      </c>
      <c r="Z1670" s="93">
        <f t="shared" ref="Z1670:Z1677" si="257">IF(AQ1670="5",BJ1670,0)</f>
        <v>0</v>
      </c>
      <c r="AB1670" s="93">
        <f t="shared" ref="AB1670:AB1677" si="258">IF(AQ1670="1",BH1670,0)</f>
        <v>0</v>
      </c>
      <c r="AC1670" s="93">
        <f t="shared" ref="AC1670:AC1677" si="259">IF(AQ1670="1",BI1670,0)</f>
        <v>0</v>
      </c>
      <c r="AD1670" s="93">
        <f t="shared" ref="AD1670:AD1677" si="260">IF(AQ1670="7",BH1670,0)</f>
        <v>0</v>
      </c>
      <c r="AE1670" s="93">
        <f t="shared" ref="AE1670:AE1677" si="261">IF(AQ1670="7",BI1670,0)</f>
        <v>0</v>
      </c>
      <c r="AF1670" s="93">
        <f t="shared" ref="AF1670:AF1677" si="262">IF(AQ1670="2",BH1670,0)</f>
        <v>0</v>
      </c>
      <c r="AG1670" s="93">
        <f t="shared" ref="AG1670:AG1677" si="263">IF(AQ1670="2",BI1670,0)</f>
        <v>0</v>
      </c>
      <c r="AH1670" s="93">
        <f t="shared" ref="AH1670:AH1677" si="264">IF(AQ1670="0",BJ1670,0)</f>
        <v>0</v>
      </c>
      <c r="AI1670" s="88" t="s">
        <v>55</v>
      </c>
      <c r="AJ1670" s="93">
        <f t="shared" ref="AJ1670:AJ1677" si="265">IF(AN1670=0,L1670,0)</f>
        <v>0</v>
      </c>
      <c r="AK1670" s="93">
        <f t="shared" ref="AK1670:AK1677" si="266">IF(AN1670=12,L1670,0)</f>
        <v>0</v>
      </c>
      <c r="AL1670" s="93">
        <f t="shared" ref="AL1670:AL1677" si="267">IF(AN1670=21,L1670,0)</f>
        <v>0</v>
      </c>
      <c r="AN1670" s="93">
        <v>21</v>
      </c>
      <c r="AO1670" s="93">
        <f>H1670*0.609094875</f>
        <v>0</v>
      </c>
      <c r="AP1670" s="93">
        <f>H1670*(1-0.609094875)</f>
        <v>0</v>
      </c>
      <c r="AQ1670" s="94" t="s">
        <v>148</v>
      </c>
      <c r="AV1670" s="93">
        <f t="shared" ref="AV1670:AV1677" si="268">AW1670+AX1670</f>
        <v>0</v>
      </c>
      <c r="AW1670" s="93">
        <f t="shared" ref="AW1670:AW1677" si="269">G1670*AO1670</f>
        <v>0</v>
      </c>
      <c r="AX1670" s="93">
        <f t="shared" ref="AX1670:AX1677" si="270">G1670*AP1670</f>
        <v>0</v>
      </c>
      <c r="AY1670" s="94" t="s">
        <v>1991</v>
      </c>
      <c r="AZ1670" s="94" t="s">
        <v>1920</v>
      </c>
      <c r="BA1670" s="88" t="s">
        <v>67</v>
      </c>
      <c r="BC1670" s="93">
        <f t="shared" ref="BC1670:BC1677" si="271">AW1670+AX1670</f>
        <v>0</v>
      </c>
      <c r="BD1670" s="93">
        <f t="shared" ref="BD1670:BD1677" si="272">H1670/(100-BE1670)*100</f>
        <v>0</v>
      </c>
      <c r="BE1670" s="93">
        <v>0</v>
      </c>
      <c r="BF1670" s="93">
        <f t="shared" ref="BF1670:BF1677" si="273">O1670</f>
        <v>0.27360000000000001</v>
      </c>
      <c r="BH1670" s="93">
        <f t="shared" ref="BH1670:BH1677" si="274">G1670*AO1670</f>
        <v>0</v>
      </c>
      <c r="BI1670" s="93">
        <f t="shared" ref="BI1670:BI1677" si="275">G1670*AP1670</f>
        <v>0</v>
      </c>
      <c r="BJ1670" s="93">
        <f t="shared" ref="BJ1670:BJ1677" si="276">G1670*H1670</f>
        <v>0</v>
      </c>
      <c r="BK1670" s="93"/>
      <c r="BL1670" s="93">
        <v>733</v>
      </c>
      <c r="BW1670" s="93" t="str">
        <f t="shared" ref="BW1670:BW1677" si="277">I1670</f>
        <v>21</v>
      </c>
      <c r="BX1670" s="2" t="s">
        <v>1990</v>
      </c>
    </row>
    <row r="1671" spans="1:76" s="81" customFormat="1" ht="25.5" x14ac:dyDescent="0.25">
      <c r="A1671" s="72" t="s">
        <v>1992</v>
      </c>
      <c r="B1671" s="72" t="s">
        <v>55</v>
      </c>
      <c r="C1671" s="72" t="s">
        <v>1993</v>
      </c>
      <c r="D1671" s="175" t="s">
        <v>1994</v>
      </c>
      <c r="E1671" s="175"/>
      <c r="F1671" s="72" t="s">
        <v>213</v>
      </c>
      <c r="G1671" s="90">
        <v>130</v>
      </c>
      <c r="H1671" s="91"/>
      <c r="I1671" s="92" t="s">
        <v>63</v>
      </c>
      <c r="J1671" s="90">
        <f t="shared" si="252"/>
        <v>0</v>
      </c>
      <c r="K1671" s="90">
        <f t="shared" si="253"/>
        <v>0</v>
      </c>
      <c r="L1671" s="90">
        <f t="shared" si="254"/>
        <v>0</v>
      </c>
      <c r="M1671" s="90">
        <f t="shared" si="255"/>
        <v>0</v>
      </c>
      <c r="N1671" s="90">
        <v>8.8000000000000003E-4</v>
      </c>
      <c r="O1671" s="90">
        <f t="shared" si="256"/>
        <v>0.1144</v>
      </c>
      <c r="P1671" s="92" t="s">
        <v>64</v>
      </c>
      <c r="Z1671" s="93">
        <f t="shared" si="257"/>
        <v>0</v>
      </c>
      <c r="AB1671" s="93">
        <f t="shared" si="258"/>
        <v>0</v>
      </c>
      <c r="AC1671" s="93">
        <f t="shared" si="259"/>
        <v>0</v>
      </c>
      <c r="AD1671" s="93">
        <f t="shared" si="260"/>
        <v>0</v>
      </c>
      <c r="AE1671" s="93">
        <f t="shared" si="261"/>
        <v>0</v>
      </c>
      <c r="AF1671" s="93">
        <f t="shared" si="262"/>
        <v>0</v>
      </c>
      <c r="AG1671" s="93">
        <f t="shared" si="263"/>
        <v>0</v>
      </c>
      <c r="AH1671" s="93">
        <f t="shared" si="264"/>
        <v>0</v>
      </c>
      <c r="AI1671" s="88" t="s">
        <v>55</v>
      </c>
      <c r="AJ1671" s="93">
        <f t="shared" si="265"/>
        <v>0</v>
      </c>
      <c r="AK1671" s="93">
        <f t="shared" si="266"/>
        <v>0</v>
      </c>
      <c r="AL1671" s="93">
        <f t="shared" si="267"/>
        <v>0</v>
      </c>
      <c r="AN1671" s="93">
        <v>21</v>
      </c>
      <c r="AO1671" s="93">
        <f>H1671*0.646990476</f>
        <v>0</v>
      </c>
      <c r="AP1671" s="93">
        <f>H1671*(1-0.646990476)</f>
        <v>0</v>
      </c>
      <c r="AQ1671" s="94" t="s">
        <v>148</v>
      </c>
      <c r="AV1671" s="93">
        <f t="shared" si="268"/>
        <v>0</v>
      </c>
      <c r="AW1671" s="93">
        <f t="shared" si="269"/>
        <v>0</v>
      </c>
      <c r="AX1671" s="93">
        <f t="shared" si="270"/>
        <v>0</v>
      </c>
      <c r="AY1671" s="94" t="s">
        <v>1991</v>
      </c>
      <c r="AZ1671" s="94" t="s">
        <v>1920</v>
      </c>
      <c r="BA1671" s="88" t="s">
        <v>67</v>
      </c>
      <c r="BC1671" s="93">
        <f t="shared" si="271"/>
        <v>0</v>
      </c>
      <c r="BD1671" s="93">
        <f t="shared" si="272"/>
        <v>0</v>
      </c>
      <c r="BE1671" s="93">
        <v>0</v>
      </c>
      <c r="BF1671" s="93">
        <f t="shared" si="273"/>
        <v>0.1144</v>
      </c>
      <c r="BH1671" s="93">
        <f t="shared" si="274"/>
        <v>0</v>
      </c>
      <c r="BI1671" s="93">
        <f t="shared" si="275"/>
        <v>0</v>
      </c>
      <c r="BJ1671" s="93">
        <f t="shared" si="276"/>
        <v>0</v>
      </c>
      <c r="BK1671" s="93"/>
      <c r="BL1671" s="93">
        <v>733</v>
      </c>
      <c r="BW1671" s="93" t="str">
        <f t="shared" si="277"/>
        <v>21</v>
      </c>
      <c r="BX1671" s="2" t="s">
        <v>1994</v>
      </c>
    </row>
    <row r="1672" spans="1:76" s="81" customFormat="1" ht="25.5" x14ac:dyDescent="0.25">
      <c r="A1672" s="72" t="s">
        <v>1995</v>
      </c>
      <c r="B1672" s="72" t="s">
        <v>55</v>
      </c>
      <c r="C1672" s="72" t="s">
        <v>1996</v>
      </c>
      <c r="D1672" s="175" t="s">
        <v>1997</v>
      </c>
      <c r="E1672" s="175"/>
      <c r="F1672" s="72" t="s">
        <v>213</v>
      </c>
      <c r="G1672" s="90">
        <v>100</v>
      </c>
      <c r="H1672" s="91"/>
      <c r="I1672" s="92" t="s">
        <v>63</v>
      </c>
      <c r="J1672" s="90">
        <f t="shared" si="252"/>
        <v>0</v>
      </c>
      <c r="K1672" s="90">
        <f t="shared" si="253"/>
        <v>0</v>
      </c>
      <c r="L1672" s="90">
        <f t="shared" si="254"/>
        <v>0</v>
      </c>
      <c r="M1672" s="90">
        <f t="shared" si="255"/>
        <v>0</v>
      </c>
      <c r="N1672" s="90">
        <v>1.01E-3</v>
      </c>
      <c r="O1672" s="90">
        <f t="shared" si="256"/>
        <v>0.10100000000000001</v>
      </c>
      <c r="P1672" s="92" t="s">
        <v>64</v>
      </c>
      <c r="Z1672" s="93">
        <f t="shared" si="257"/>
        <v>0</v>
      </c>
      <c r="AB1672" s="93">
        <f t="shared" si="258"/>
        <v>0</v>
      </c>
      <c r="AC1672" s="93">
        <f t="shared" si="259"/>
        <v>0</v>
      </c>
      <c r="AD1672" s="93">
        <f t="shared" si="260"/>
        <v>0</v>
      </c>
      <c r="AE1672" s="93">
        <f t="shared" si="261"/>
        <v>0</v>
      </c>
      <c r="AF1672" s="93">
        <f t="shared" si="262"/>
        <v>0</v>
      </c>
      <c r="AG1672" s="93">
        <f t="shared" si="263"/>
        <v>0</v>
      </c>
      <c r="AH1672" s="93">
        <f t="shared" si="264"/>
        <v>0</v>
      </c>
      <c r="AI1672" s="88" t="s">
        <v>55</v>
      </c>
      <c r="AJ1672" s="93">
        <f t="shared" si="265"/>
        <v>0</v>
      </c>
      <c r="AK1672" s="93">
        <f t="shared" si="266"/>
        <v>0</v>
      </c>
      <c r="AL1672" s="93">
        <f t="shared" si="267"/>
        <v>0</v>
      </c>
      <c r="AN1672" s="93">
        <v>21</v>
      </c>
      <c r="AO1672" s="93">
        <f>H1672*0.682009967</f>
        <v>0</v>
      </c>
      <c r="AP1672" s="93">
        <f>H1672*(1-0.682009967)</f>
        <v>0</v>
      </c>
      <c r="AQ1672" s="94" t="s">
        <v>148</v>
      </c>
      <c r="AV1672" s="93">
        <f t="shared" si="268"/>
        <v>0</v>
      </c>
      <c r="AW1672" s="93">
        <f t="shared" si="269"/>
        <v>0</v>
      </c>
      <c r="AX1672" s="93">
        <f t="shared" si="270"/>
        <v>0</v>
      </c>
      <c r="AY1672" s="94" t="s">
        <v>1991</v>
      </c>
      <c r="AZ1672" s="94" t="s">
        <v>1920</v>
      </c>
      <c r="BA1672" s="88" t="s">
        <v>67</v>
      </c>
      <c r="BC1672" s="93">
        <f t="shared" si="271"/>
        <v>0</v>
      </c>
      <c r="BD1672" s="93">
        <f t="shared" si="272"/>
        <v>0</v>
      </c>
      <c r="BE1672" s="93">
        <v>0</v>
      </c>
      <c r="BF1672" s="93">
        <f t="shared" si="273"/>
        <v>0.10100000000000001</v>
      </c>
      <c r="BH1672" s="93">
        <f t="shared" si="274"/>
        <v>0</v>
      </c>
      <c r="BI1672" s="93">
        <f t="shared" si="275"/>
        <v>0</v>
      </c>
      <c r="BJ1672" s="93">
        <f t="shared" si="276"/>
        <v>0</v>
      </c>
      <c r="BK1672" s="93"/>
      <c r="BL1672" s="93">
        <v>733</v>
      </c>
      <c r="BW1672" s="93" t="str">
        <f t="shared" si="277"/>
        <v>21</v>
      </c>
      <c r="BX1672" s="2" t="s">
        <v>1997</v>
      </c>
    </row>
    <row r="1673" spans="1:76" s="81" customFormat="1" ht="25.5" x14ac:dyDescent="0.25">
      <c r="A1673" s="72" t="s">
        <v>1998</v>
      </c>
      <c r="B1673" s="72" t="s">
        <v>55</v>
      </c>
      <c r="C1673" s="72" t="s">
        <v>1999</v>
      </c>
      <c r="D1673" s="175" t="s">
        <v>2000</v>
      </c>
      <c r="E1673" s="175"/>
      <c r="F1673" s="72" t="s">
        <v>213</v>
      </c>
      <c r="G1673" s="90">
        <v>140</v>
      </c>
      <c r="H1673" s="91"/>
      <c r="I1673" s="92" t="s">
        <v>63</v>
      </c>
      <c r="J1673" s="90">
        <f t="shared" si="252"/>
        <v>0</v>
      </c>
      <c r="K1673" s="90">
        <f t="shared" si="253"/>
        <v>0</v>
      </c>
      <c r="L1673" s="90">
        <f t="shared" si="254"/>
        <v>0</v>
      </c>
      <c r="M1673" s="90">
        <f t="shared" si="255"/>
        <v>0</v>
      </c>
      <c r="N1673" s="90">
        <v>1.6000000000000001E-3</v>
      </c>
      <c r="O1673" s="90">
        <f t="shared" si="256"/>
        <v>0.224</v>
      </c>
      <c r="P1673" s="92" t="s">
        <v>64</v>
      </c>
      <c r="Z1673" s="93">
        <f t="shared" si="257"/>
        <v>0</v>
      </c>
      <c r="AB1673" s="93">
        <f t="shared" si="258"/>
        <v>0</v>
      </c>
      <c r="AC1673" s="93">
        <f t="shared" si="259"/>
        <v>0</v>
      </c>
      <c r="AD1673" s="93">
        <f t="shared" si="260"/>
        <v>0</v>
      </c>
      <c r="AE1673" s="93">
        <f t="shared" si="261"/>
        <v>0</v>
      </c>
      <c r="AF1673" s="93">
        <f t="shared" si="262"/>
        <v>0</v>
      </c>
      <c r="AG1673" s="93">
        <f t="shared" si="263"/>
        <v>0</v>
      </c>
      <c r="AH1673" s="93">
        <f t="shared" si="264"/>
        <v>0</v>
      </c>
      <c r="AI1673" s="88" t="s">
        <v>55</v>
      </c>
      <c r="AJ1673" s="93">
        <f t="shared" si="265"/>
        <v>0</v>
      </c>
      <c r="AK1673" s="93">
        <f t="shared" si="266"/>
        <v>0</v>
      </c>
      <c r="AL1673" s="93">
        <f t="shared" si="267"/>
        <v>0</v>
      </c>
      <c r="AN1673" s="93">
        <v>21</v>
      </c>
      <c r="AO1673" s="93">
        <f>H1673*0.770105485</f>
        <v>0</v>
      </c>
      <c r="AP1673" s="93">
        <f>H1673*(1-0.770105485)</f>
        <v>0</v>
      </c>
      <c r="AQ1673" s="94" t="s">
        <v>148</v>
      </c>
      <c r="AV1673" s="93">
        <f t="shared" si="268"/>
        <v>0</v>
      </c>
      <c r="AW1673" s="93">
        <f t="shared" si="269"/>
        <v>0</v>
      </c>
      <c r="AX1673" s="93">
        <f t="shared" si="270"/>
        <v>0</v>
      </c>
      <c r="AY1673" s="94" t="s">
        <v>1991</v>
      </c>
      <c r="AZ1673" s="94" t="s">
        <v>1920</v>
      </c>
      <c r="BA1673" s="88" t="s">
        <v>67</v>
      </c>
      <c r="BC1673" s="93">
        <f t="shared" si="271"/>
        <v>0</v>
      </c>
      <c r="BD1673" s="93">
        <f t="shared" si="272"/>
        <v>0</v>
      </c>
      <c r="BE1673" s="93">
        <v>0</v>
      </c>
      <c r="BF1673" s="93">
        <f t="shared" si="273"/>
        <v>0.224</v>
      </c>
      <c r="BH1673" s="93">
        <f t="shared" si="274"/>
        <v>0</v>
      </c>
      <c r="BI1673" s="93">
        <f t="shared" si="275"/>
        <v>0</v>
      </c>
      <c r="BJ1673" s="93">
        <f t="shared" si="276"/>
        <v>0</v>
      </c>
      <c r="BK1673" s="93"/>
      <c r="BL1673" s="93">
        <v>733</v>
      </c>
      <c r="BW1673" s="93" t="str">
        <f t="shared" si="277"/>
        <v>21</v>
      </c>
      <c r="BX1673" s="2" t="s">
        <v>2000</v>
      </c>
    </row>
    <row r="1674" spans="1:76" s="81" customFormat="1" ht="25.5" x14ac:dyDescent="0.25">
      <c r="A1674" s="72" t="s">
        <v>2001</v>
      </c>
      <c r="B1674" s="72" t="s">
        <v>55</v>
      </c>
      <c r="C1674" s="72" t="s">
        <v>2002</v>
      </c>
      <c r="D1674" s="175" t="s">
        <v>2003</v>
      </c>
      <c r="E1674" s="175"/>
      <c r="F1674" s="72" t="s">
        <v>213</v>
      </c>
      <c r="G1674" s="90">
        <v>50</v>
      </c>
      <c r="H1674" s="91"/>
      <c r="I1674" s="92" t="s">
        <v>63</v>
      </c>
      <c r="J1674" s="90">
        <f t="shared" si="252"/>
        <v>0</v>
      </c>
      <c r="K1674" s="90">
        <f t="shared" si="253"/>
        <v>0</v>
      </c>
      <c r="L1674" s="90">
        <f t="shared" si="254"/>
        <v>0</v>
      </c>
      <c r="M1674" s="90">
        <f t="shared" si="255"/>
        <v>0</v>
      </c>
      <c r="N1674" s="90">
        <v>1.9599999999999999E-3</v>
      </c>
      <c r="O1674" s="90">
        <f t="shared" si="256"/>
        <v>9.8000000000000004E-2</v>
      </c>
      <c r="P1674" s="92" t="s">
        <v>64</v>
      </c>
      <c r="Z1674" s="93">
        <f t="shared" si="257"/>
        <v>0</v>
      </c>
      <c r="AB1674" s="93">
        <f t="shared" si="258"/>
        <v>0</v>
      </c>
      <c r="AC1674" s="93">
        <f t="shared" si="259"/>
        <v>0</v>
      </c>
      <c r="AD1674" s="93">
        <f t="shared" si="260"/>
        <v>0</v>
      </c>
      <c r="AE1674" s="93">
        <f t="shared" si="261"/>
        <v>0</v>
      </c>
      <c r="AF1674" s="93">
        <f t="shared" si="262"/>
        <v>0</v>
      </c>
      <c r="AG1674" s="93">
        <f t="shared" si="263"/>
        <v>0</v>
      </c>
      <c r="AH1674" s="93">
        <f t="shared" si="264"/>
        <v>0</v>
      </c>
      <c r="AI1674" s="88" t="s">
        <v>55</v>
      </c>
      <c r="AJ1674" s="93">
        <f t="shared" si="265"/>
        <v>0</v>
      </c>
      <c r="AK1674" s="93">
        <f t="shared" si="266"/>
        <v>0</v>
      </c>
      <c r="AL1674" s="93">
        <f t="shared" si="267"/>
        <v>0</v>
      </c>
      <c r="AN1674" s="93">
        <v>21</v>
      </c>
      <c r="AO1674" s="93">
        <f>H1674*0.80837766</f>
        <v>0</v>
      </c>
      <c r="AP1674" s="93">
        <f>H1674*(1-0.80837766)</f>
        <v>0</v>
      </c>
      <c r="AQ1674" s="94" t="s">
        <v>148</v>
      </c>
      <c r="AV1674" s="93">
        <f t="shared" si="268"/>
        <v>0</v>
      </c>
      <c r="AW1674" s="93">
        <f t="shared" si="269"/>
        <v>0</v>
      </c>
      <c r="AX1674" s="93">
        <f t="shared" si="270"/>
        <v>0</v>
      </c>
      <c r="AY1674" s="94" t="s">
        <v>1991</v>
      </c>
      <c r="AZ1674" s="94" t="s">
        <v>1920</v>
      </c>
      <c r="BA1674" s="88" t="s">
        <v>67</v>
      </c>
      <c r="BC1674" s="93">
        <f t="shared" si="271"/>
        <v>0</v>
      </c>
      <c r="BD1674" s="93">
        <f t="shared" si="272"/>
        <v>0</v>
      </c>
      <c r="BE1674" s="93">
        <v>0</v>
      </c>
      <c r="BF1674" s="93">
        <f t="shared" si="273"/>
        <v>9.8000000000000004E-2</v>
      </c>
      <c r="BH1674" s="93">
        <f t="shared" si="274"/>
        <v>0</v>
      </c>
      <c r="BI1674" s="93">
        <f t="shared" si="275"/>
        <v>0</v>
      </c>
      <c r="BJ1674" s="93">
        <f t="shared" si="276"/>
        <v>0</v>
      </c>
      <c r="BK1674" s="93"/>
      <c r="BL1674" s="93">
        <v>733</v>
      </c>
      <c r="BW1674" s="93" t="str">
        <f t="shared" si="277"/>
        <v>21</v>
      </c>
      <c r="BX1674" s="2" t="s">
        <v>2003</v>
      </c>
    </row>
    <row r="1675" spans="1:76" s="81" customFormat="1" ht="25.5" x14ac:dyDescent="0.25">
      <c r="A1675" s="72" t="s">
        <v>2004</v>
      </c>
      <c r="B1675" s="72" t="s">
        <v>55</v>
      </c>
      <c r="C1675" s="72" t="s">
        <v>2005</v>
      </c>
      <c r="D1675" s="175" t="s">
        <v>2006</v>
      </c>
      <c r="E1675" s="175"/>
      <c r="F1675" s="72" t="s">
        <v>213</v>
      </c>
      <c r="G1675" s="90">
        <v>200</v>
      </c>
      <c r="H1675" s="91"/>
      <c r="I1675" s="92" t="s">
        <v>63</v>
      </c>
      <c r="J1675" s="90">
        <f t="shared" si="252"/>
        <v>0</v>
      </c>
      <c r="K1675" s="90">
        <f t="shared" si="253"/>
        <v>0</v>
      </c>
      <c r="L1675" s="90">
        <f t="shared" si="254"/>
        <v>0</v>
      </c>
      <c r="M1675" s="90">
        <f t="shared" si="255"/>
        <v>0</v>
      </c>
      <c r="N1675" s="90">
        <v>2.31E-3</v>
      </c>
      <c r="O1675" s="90">
        <f t="shared" si="256"/>
        <v>0.46200000000000002</v>
      </c>
      <c r="P1675" s="92" t="s">
        <v>64</v>
      </c>
      <c r="Z1675" s="93">
        <f t="shared" si="257"/>
        <v>0</v>
      </c>
      <c r="AB1675" s="93">
        <f t="shared" si="258"/>
        <v>0</v>
      </c>
      <c r="AC1675" s="93">
        <f t="shared" si="259"/>
        <v>0</v>
      </c>
      <c r="AD1675" s="93">
        <f t="shared" si="260"/>
        <v>0</v>
      </c>
      <c r="AE1675" s="93">
        <f t="shared" si="261"/>
        <v>0</v>
      </c>
      <c r="AF1675" s="93">
        <f t="shared" si="262"/>
        <v>0</v>
      </c>
      <c r="AG1675" s="93">
        <f t="shared" si="263"/>
        <v>0</v>
      </c>
      <c r="AH1675" s="93">
        <f t="shared" si="264"/>
        <v>0</v>
      </c>
      <c r="AI1675" s="88" t="s">
        <v>55</v>
      </c>
      <c r="AJ1675" s="93">
        <f t="shared" si="265"/>
        <v>0</v>
      </c>
      <c r="AK1675" s="93">
        <f t="shared" si="266"/>
        <v>0</v>
      </c>
      <c r="AL1675" s="93">
        <f t="shared" si="267"/>
        <v>0</v>
      </c>
      <c r="AN1675" s="93">
        <v>21</v>
      </c>
      <c r="AO1675" s="93">
        <f>H1675*0.825423729</f>
        <v>0</v>
      </c>
      <c r="AP1675" s="93">
        <f>H1675*(1-0.825423729)</f>
        <v>0</v>
      </c>
      <c r="AQ1675" s="94" t="s">
        <v>148</v>
      </c>
      <c r="AV1675" s="93">
        <f t="shared" si="268"/>
        <v>0</v>
      </c>
      <c r="AW1675" s="93">
        <f t="shared" si="269"/>
        <v>0</v>
      </c>
      <c r="AX1675" s="93">
        <f t="shared" si="270"/>
        <v>0</v>
      </c>
      <c r="AY1675" s="94" t="s">
        <v>1991</v>
      </c>
      <c r="AZ1675" s="94" t="s">
        <v>1920</v>
      </c>
      <c r="BA1675" s="88" t="s">
        <v>67</v>
      </c>
      <c r="BC1675" s="93">
        <f t="shared" si="271"/>
        <v>0</v>
      </c>
      <c r="BD1675" s="93">
        <f t="shared" si="272"/>
        <v>0</v>
      </c>
      <c r="BE1675" s="93">
        <v>0</v>
      </c>
      <c r="BF1675" s="93">
        <f t="shared" si="273"/>
        <v>0.46200000000000002</v>
      </c>
      <c r="BH1675" s="93">
        <f t="shared" si="274"/>
        <v>0</v>
      </c>
      <c r="BI1675" s="93">
        <f t="shared" si="275"/>
        <v>0</v>
      </c>
      <c r="BJ1675" s="93">
        <f t="shared" si="276"/>
        <v>0</v>
      </c>
      <c r="BK1675" s="93"/>
      <c r="BL1675" s="93">
        <v>733</v>
      </c>
      <c r="BW1675" s="93" t="str">
        <f t="shared" si="277"/>
        <v>21</v>
      </c>
      <c r="BX1675" s="2" t="s">
        <v>2006</v>
      </c>
    </row>
    <row r="1676" spans="1:76" s="81" customFormat="1" ht="25.5" x14ac:dyDescent="0.25">
      <c r="A1676" s="72" t="s">
        <v>2007</v>
      </c>
      <c r="B1676" s="72" t="s">
        <v>55</v>
      </c>
      <c r="C1676" s="72" t="s">
        <v>2008</v>
      </c>
      <c r="D1676" s="175" t="s">
        <v>2009</v>
      </c>
      <c r="E1676" s="175"/>
      <c r="F1676" s="72" t="s">
        <v>213</v>
      </c>
      <c r="G1676" s="90">
        <v>10</v>
      </c>
      <c r="H1676" s="91"/>
      <c r="I1676" s="92" t="s">
        <v>63</v>
      </c>
      <c r="J1676" s="90">
        <f t="shared" si="252"/>
        <v>0</v>
      </c>
      <c r="K1676" s="90">
        <f t="shared" si="253"/>
        <v>0</v>
      </c>
      <c r="L1676" s="90">
        <f t="shared" si="254"/>
        <v>0</v>
      </c>
      <c r="M1676" s="90">
        <f t="shared" si="255"/>
        <v>0</v>
      </c>
      <c r="N1676" s="90">
        <v>3.7399999999999998E-3</v>
      </c>
      <c r="O1676" s="90">
        <f t="shared" si="256"/>
        <v>3.7399999999999996E-2</v>
      </c>
      <c r="P1676" s="92" t="s">
        <v>64</v>
      </c>
      <c r="Z1676" s="93">
        <f t="shared" si="257"/>
        <v>0</v>
      </c>
      <c r="AB1676" s="93">
        <f t="shared" si="258"/>
        <v>0</v>
      </c>
      <c r="AC1676" s="93">
        <f t="shared" si="259"/>
        <v>0</v>
      </c>
      <c r="AD1676" s="93">
        <f t="shared" si="260"/>
        <v>0</v>
      </c>
      <c r="AE1676" s="93">
        <f t="shared" si="261"/>
        <v>0</v>
      </c>
      <c r="AF1676" s="93">
        <f t="shared" si="262"/>
        <v>0</v>
      </c>
      <c r="AG1676" s="93">
        <f t="shared" si="263"/>
        <v>0</v>
      </c>
      <c r="AH1676" s="93">
        <f t="shared" si="264"/>
        <v>0</v>
      </c>
      <c r="AI1676" s="88" t="s">
        <v>55</v>
      </c>
      <c r="AJ1676" s="93">
        <f t="shared" si="265"/>
        <v>0</v>
      </c>
      <c r="AK1676" s="93">
        <f t="shared" si="266"/>
        <v>0</v>
      </c>
      <c r="AL1676" s="93">
        <f t="shared" si="267"/>
        <v>0</v>
      </c>
      <c r="AN1676" s="93">
        <v>21</v>
      </c>
      <c r="AO1676" s="93">
        <f>H1676*0.874966186</f>
        <v>0</v>
      </c>
      <c r="AP1676" s="93">
        <f>H1676*(1-0.874966186)</f>
        <v>0</v>
      </c>
      <c r="AQ1676" s="94" t="s">
        <v>148</v>
      </c>
      <c r="AV1676" s="93">
        <f t="shared" si="268"/>
        <v>0</v>
      </c>
      <c r="AW1676" s="93">
        <f t="shared" si="269"/>
        <v>0</v>
      </c>
      <c r="AX1676" s="93">
        <f t="shared" si="270"/>
        <v>0</v>
      </c>
      <c r="AY1676" s="94" t="s">
        <v>1991</v>
      </c>
      <c r="AZ1676" s="94" t="s">
        <v>1920</v>
      </c>
      <c r="BA1676" s="88" t="s">
        <v>67</v>
      </c>
      <c r="BC1676" s="93">
        <f t="shared" si="271"/>
        <v>0</v>
      </c>
      <c r="BD1676" s="93">
        <f t="shared" si="272"/>
        <v>0</v>
      </c>
      <c r="BE1676" s="93">
        <v>0</v>
      </c>
      <c r="BF1676" s="93">
        <f t="shared" si="273"/>
        <v>3.7399999999999996E-2</v>
      </c>
      <c r="BH1676" s="93">
        <f t="shared" si="274"/>
        <v>0</v>
      </c>
      <c r="BI1676" s="93">
        <f t="shared" si="275"/>
        <v>0</v>
      </c>
      <c r="BJ1676" s="93">
        <f t="shared" si="276"/>
        <v>0</v>
      </c>
      <c r="BK1676" s="93"/>
      <c r="BL1676" s="93">
        <v>733</v>
      </c>
      <c r="BW1676" s="93" t="str">
        <f t="shared" si="277"/>
        <v>21</v>
      </c>
      <c r="BX1676" s="2" t="s">
        <v>2009</v>
      </c>
    </row>
    <row r="1677" spans="1:76" s="81" customFormat="1" ht="25.5" x14ac:dyDescent="0.25">
      <c r="A1677" s="72" t="s">
        <v>614</v>
      </c>
      <c r="B1677" s="72" t="s">
        <v>55</v>
      </c>
      <c r="C1677" s="72" t="s">
        <v>2010</v>
      </c>
      <c r="D1677" s="175" t="s">
        <v>2011</v>
      </c>
      <c r="E1677" s="175"/>
      <c r="F1677" s="72" t="s">
        <v>213</v>
      </c>
      <c r="G1677" s="90">
        <v>360</v>
      </c>
      <c r="H1677" s="91"/>
      <c r="I1677" s="92" t="s">
        <v>63</v>
      </c>
      <c r="J1677" s="90">
        <f t="shared" si="252"/>
        <v>0</v>
      </c>
      <c r="K1677" s="90">
        <f t="shared" si="253"/>
        <v>0</v>
      </c>
      <c r="L1677" s="90">
        <f t="shared" si="254"/>
        <v>0</v>
      </c>
      <c r="M1677" s="90">
        <f t="shared" si="255"/>
        <v>0</v>
      </c>
      <c r="N1677" s="90">
        <v>2.0000000000000002E-5</v>
      </c>
      <c r="O1677" s="90">
        <f t="shared" si="256"/>
        <v>7.2000000000000007E-3</v>
      </c>
      <c r="P1677" s="92" t="s">
        <v>64</v>
      </c>
      <c r="Z1677" s="93">
        <f t="shared" si="257"/>
        <v>0</v>
      </c>
      <c r="AB1677" s="93">
        <f t="shared" si="258"/>
        <v>0</v>
      </c>
      <c r="AC1677" s="93">
        <f t="shared" si="259"/>
        <v>0</v>
      </c>
      <c r="AD1677" s="93">
        <f t="shared" si="260"/>
        <v>0</v>
      </c>
      <c r="AE1677" s="93">
        <f t="shared" si="261"/>
        <v>0</v>
      </c>
      <c r="AF1677" s="93">
        <f t="shared" si="262"/>
        <v>0</v>
      </c>
      <c r="AG1677" s="93">
        <f t="shared" si="263"/>
        <v>0</v>
      </c>
      <c r="AH1677" s="93">
        <f t="shared" si="264"/>
        <v>0</v>
      </c>
      <c r="AI1677" s="88" t="s">
        <v>55</v>
      </c>
      <c r="AJ1677" s="93">
        <f t="shared" si="265"/>
        <v>0</v>
      </c>
      <c r="AK1677" s="93">
        <f t="shared" si="266"/>
        <v>0</v>
      </c>
      <c r="AL1677" s="93">
        <f t="shared" si="267"/>
        <v>0</v>
      </c>
      <c r="AN1677" s="93">
        <v>21</v>
      </c>
      <c r="AO1677" s="93">
        <f>H1677*0.245814883</f>
        <v>0</v>
      </c>
      <c r="AP1677" s="93">
        <f>H1677*(1-0.245814883)</f>
        <v>0</v>
      </c>
      <c r="AQ1677" s="94" t="s">
        <v>148</v>
      </c>
      <c r="AV1677" s="93">
        <f t="shared" si="268"/>
        <v>0</v>
      </c>
      <c r="AW1677" s="93">
        <f t="shared" si="269"/>
        <v>0</v>
      </c>
      <c r="AX1677" s="93">
        <f t="shared" si="270"/>
        <v>0</v>
      </c>
      <c r="AY1677" s="94" t="s">
        <v>1991</v>
      </c>
      <c r="AZ1677" s="94" t="s">
        <v>1920</v>
      </c>
      <c r="BA1677" s="88" t="s">
        <v>67</v>
      </c>
      <c r="BC1677" s="93">
        <f t="shared" si="271"/>
        <v>0</v>
      </c>
      <c r="BD1677" s="93">
        <f t="shared" si="272"/>
        <v>0</v>
      </c>
      <c r="BE1677" s="93">
        <v>0</v>
      </c>
      <c r="BF1677" s="93">
        <f t="shared" si="273"/>
        <v>7.2000000000000007E-3</v>
      </c>
      <c r="BH1677" s="93">
        <f t="shared" si="274"/>
        <v>0</v>
      </c>
      <c r="BI1677" s="93">
        <f t="shared" si="275"/>
        <v>0</v>
      </c>
      <c r="BJ1677" s="93">
        <f t="shared" si="276"/>
        <v>0</v>
      </c>
      <c r="BK1677" s="93"/>
      <c r="BL1677" s="93">
        <v>733</v>
      </c>
      <c r="BW1677" s="93" t="str">
        <f t="shared" si="277"/>
        <v>21</v>
      </c>
      <c r="BX1677" s="2" t="s">
        <v>2011</v>
      </c>
    </row>
    <row r="1678" spans="1:76" s="81" customFormat="1" ht="13.5" customHeight="1" x14ac:dyDescent="0.25">
      <c r="A1678" s="95"/>
      <c r="B1678" s="95"/>
      <c r="C1678" s="95"/>
      <c r="D1678" s="182" t="s">
        <v>2012</v>
      </c>
      <c r="E1678" s="182"/>
      <c r="F1678" s="182"/>
      <c r="G1678" s="182"/>
      <c r="H1678" s="182"/>
      <c r="I1678" s="182"/>
      <c r="J1678" s="182"/>
      <c r="K1678" s="182"/>
      <c r="L1678" s="182"/>
      <c r="M1678" s="182"/>
      <c r="N1678" s="182"/>
      <c r="O1678" s="182"/>
      <c r="P1678" s="182"/>
    </row>
    <row r="1679" spans="1:76" s="81" customFormat="1" ht="25.5" x14ac:dyDescent="0.25">
      <c r="A1679" s="72" t="s">
        <v>2013</v>
      </c>
      <c r="B1679" s="72" t="s">
        <v>55</v>
      </c>
      <c r="C1679" s="72" t="s">
        <v>2014</v>
      </c>
      <c r="D1679" s="175" t="s">
        <v>2011</v>
      </c>
      <c r="E1679" s="175"/>
      <c r="F1679" s="72" t="s">
        <v>213</v>
      </c>
      <c r="G1679" s="90">
        <v>130</v>
      </c>
      <c r="H1679" s="91"/>
      <c r="I1679" s="92" t="s">
        <v>63</v>
      </c>
      <c r="J1679" s="90">
        <f>G1679*AO1679</f>
        <v>0</v>
      </c>
      <c r="K1679" s="90">
        <f>G1679*AP1679</f>
        <v>0</v>
      </c>
      <c r="L1679" s="90">
        <f>G1679*H1679</f>
        <v>0</v>
      </c>
      <c r="M1679" s="90">
        <f>L1679*(1+BW1679/100)</f>
        <v>0</v>
      </c>
      <c r="N1679" s="90">
        <v>3.0000000000000001E-5</v>
      </c>
      <c r="O1679" s="90">
        <f>G1679*N1679</f>
        <v>3.9000000000000003E-3</v>
      </c>
      <c r="P1679" s="92" t="s">
        <v>64</v>
      </c>
      <c r="Z1679" s="93">
        <f>IF(AQ1679="5",BJ1679,0)</f>
        <v>0</v>
      </c>
      <c r="AB1679" s="93">
        <f>IF(AQ1679="1",BH1679,0)</f>
        <v>0</v>
      </c>
      <c r="AC1679" s="93">
        <f>IF(AQ1679="1",BI1679,0)</f>
        <v>0</v>
      </c>
      <c r="AD1679" s="93">
        <f>IF(AQ1679="7",BH1679,0)</f>
        <v>0</v>
      </c>
      <c r="AE1679" s="93">
        <f>IF(AQ1679="7",BI1679,0)</f>
        <v>0</v>
      </c>
      <c r="AF1679" s="93">
        <f>IF(AQ1679="2",BH1679,0)</f>
        <v>0</v>
      </c>
      <c r="AG1679" s="93">
        <f>IF(AQ1679="2",BI1679,0)</f>
        <v>0</v>
      </c>
      <c r="AH1679" s="93">
        <f>IF(AQ1679="0",BJ1679,0)</f>
        <v>0</v>
      </c>
      <c r="AI1679" s="88" t="s">
        <v>55</v>
      </c>
      <c r="AJ1679" s="93">
        <f>IF(AN1679=0,L1679,0)</f>
        <v>0</v>
      </c>
      <c r="AK1679" s="93">
        <f>IF(AN1679=12,L1679,0)</f>
        <v>0</v>
      </c>
      <c r="AL1679" s="93">
        <f>IF(AN1679=21,L1679,0)</f>
        <v>0</v>
      </c>
      <c r="AN1679" s="93">
        <v>21</v>
      </c>
      <c r="AO1679" s="93">
        <f>H1679*0.273909876</f>
        <v>0</v>
      </c>
      <c r="AP1679" s="93">
        <f>H1679*(1-0.273909876)</f>
        <v>0</v>
      </c>
      <c r="AQ1679" s="94" t="s">
        <v>148</v>
      </c>
      <c r="AV1679" s="93">
        <f>AW1679+AX1679</f>
        <v>0</v>
      </c>
      <c r="AW1679" s="93">
        <f>G1679*AO1679</f>
        <v>0</v>
      </c>
      <c r="AX1679" s="93">
        <f>G1679*AP1679</f>
        <v>0</v>
      </c>
      <c r="AY1679" s="94" t="s">
        <v>1991</v>
      </c>
      <c r="AZ1679" s="94" t="s">
        <v>1920</v>
      </c>
      <c r="BA1679" s="88" t="s">
        <v>67</v>
      </c>
      <c r="BC1679" s="93">
        <f>AW1679+AX1679</f>
        <v>0</v>
      </c>
      <c r="BD1679" s="93">
        <f>H1679/(100-BE1679)*100</f>
        <v>0</v>
      </c>
      <c r="BE1679" s="93">
        <v>0</v>
      </c>
      <c r="BF1679" s="93">
        <f>O1679</f>
        <v>3.9000000000000003E-3</v>
      </c>
      <c r="BH1679" s="93">
        <f>G1679*AO1679</f>
        <v>0</v>
      </c>
      <c r="BI1679" s="93">
        <f>G1679*AP1679</f>
        <v>0</v>
      </c>
      <c r="BJ1679" s="93">
        <f>G1679*H1679</f>
        <v>0</v>
      </c>
      <c r="BK1679" s="93"/>
      <c r="BL1679" s="93">
        <v>733</v>
      </c>
      <c r="BW1679" s="93" t="str">
        <f>I1679</f>
        <v>21</v>
      </c>
      <c r="BX1679" s="2" t="s">
        <v>2011</v>
      </c>
    </row>
    <row r="1680" spans="1:76" s="81" customFormat="1" ht="13.5" customHeight="1" x14ac:dyDescent="0.25">
      <c r="A1680" s="95"/>
      <c r="B1680" s="95"/>
      <c r="C1680" s="95"/>
      <c r="D1680" s="182" t="s">
        <v>2015</v>
      </c>
      <c r="E1680" s="182"/>
      <c r="F1680" s="182"/>
      <c r="G1680" s="182"/>
      <c r="H1680" s="182"/>
      <c r="I1680" s="182"/>
      <c r="J1680" s="182"/>
      <c r="K1680" s="182"/>
      <c r="L1680" s="182"/>
      <c r="M1680" s="182"/>
      <c r="N1680" s="182"/>
      <c r="O1680" s="182"/>
      <c r="P1680" s="182"/>
    </row>
    <row r="1681" spans="1:76" s="81" customFormat="1" ht="25.5" x14ac:dyDescent="0.25">
      <c r="A1681" s="72" t="s">
        <v>2016</v>
      </c>
      <c r="B1681" s="72" t="s">
        <v>55</v>
      </c>
      <c r="C1681" s="72" t="s">
        <v>2017</v>
      </c>
      <c r="D1681" s="175" t="s">
        <v>2018</v>
      </c>
      <c r="E1681" s="175"/>
      <c r="F1681" s="72" t="s">
        <v>213</v>
      </c>
      <c r="G1681" s="90">
        <v>100</v>
      </c>
      <c r="H1681" s="91"/>
      <c r="I1681" s="92" t="s">
        <v>63</v>
      </c>
      <c r="J1681" s="90">
        <f>G1681*AO1681</f>
        <v>0</v>
      </c>
      <c r="K1681" s="90">
        <f>G1681*AP1681</f>
        <v>0</v>
      </c>
      <c r="L1681" s="90">
        <f>G1681*H1681</f>
        <v>0</v>
      </c>
      <c r="M1681" s="90">
        <f>L1681*(1+BW1681/100)</f>
        <v>0</v>
      </c>
      <c r="N1681" s="90">
        <v>5.0000000000000002E-5</v>
      </c>
      <c r="O1681" s="90">
        <f>G1681*N1681</f>
        <v>5.0000000000000001E-3</v>
      </c>
      <c r="P1681" s="92" t="s">
        <v>64</v>
      </c>
      <c r="Z1681" s="93">
        <f>IF(AQ1681="5",BJ1681,0)</f>
        <v>0</v>
      </c>
      <c r="AB1681" s="93">
        <f>IF(AQ1681="1",BH1681,0)</f>
        <v>0</v>
      </c>
      <c r="AC1681" s="93">
        <f>IF(AQ1681="1",BI1681,0)</f>
        <v>0</v>
      </c>
      <c r="AD1681" s="93">
        <f>IF(AQ1681="7",BH1681,0)</f>
        <v>0</v>
      </c>
      <c r="AE1681" s="93">
        <f>IF(AQ1681="7",BI1681,0)</f>
        <v>0</v>
      </c>
      <c r="AF1681" s="93">
        <f>IF(AQ1681="2",BH1681,0)</f>
        <v>0</v>
      </c>
      <c r="AG1681" s="93">
        <f>IF(AQ1681="2",BI1681,0)</f>
        <v>0</v>
      </c>
      <c r="AH1681" s="93">
        <f>IF(AQ1681="0",BJ1681,0)</f>
        <v>0</v>
      </c>
      <c r="AI1681" s="88" t="s">
        <v>55</v>
      </c>
      <c r="AJ1681" s="93">
        <f>IF(AN1681=0,L1681,0)</f>
        <v>0</v>
      </c>
      <c r="AK1681" s="93">
        <f>IF(AN1681=12,L1681,0)</f>
        <v>0</v>
      </c>
      <c r="AL1681" s="93">
        <f>IF(AN1681=21,L1681,0)</f>
        <v>0</v>
      </c>
      <c r="AN1681" s="93">
        <v>21</v>
      </c>
      <c r="AO1681" s="93">
        <f>H1681*0.399315254</f>
        <v>0</v>
      </c>
      <c r="AP1681" s="93">
        <f>H1681*(1-0.399315254)</f>
        <v>0</v>
      </c>
      <c r="AQ1681" s="94" t="s">
        <v>148</v>
      </c>
      <c r="AV1681" s="93">
        <f>AW1681+AX1681</f>
        <v>0</v>
      </c>
      <c r="AW1681" s="93">
        <f>G1681*AO1681</f>
        <v>0</v>
      </c>
      <c r="AX1681" s="93">
        <f>G1681*AP1681</f>
        <v>0</v>
      </c>
      <c r="AY1681" s="94" t="s">
        <v>1991</v>
      </c>
      <c r="AZ1681" s="94" t="s">
        <v>1920</v>
      </c>
      <c r="BA1681" s="88" t="s">
        <v>67</v>
      </c>
      <c r="BC1681" s="93">
        <f>AW1681+AX1681</f>
        <v>0</v>
      </c>
      <c r="BD1681" s="93">
        <f>H1681/(100-BE1681)*100</f>
        <v>0</v>
      </c>
      <c r="BE1681" s="93">
        <v>0</v>
      </c>
      <c r="BF1681" s="93">
        <f>O1681</f>
        <v>5.0000000000000001E-3</v>
      </c>
      <c r="BH1681" s="93">
        <f>G1681*AO1681</f>
        <v>0</v>
      </c>
      <c r="BI1681" s="93">
        <f>G1681*AP1681</f>
        <v>0</v>
      </c>
      <c r="BJ1681" s="93">
        <f>G1681*H1681</f>
        <v>0</v>
      </c>
      <c r="BK1681" s="93"/>
      <c r="BL1681" s="93">
        <v>733</v>
      </c>
      <c r="BW1681" s="93" t="str">
        <f>I1681</f>
        <v>21</v>
      </c>
      <c r="BX1681" s="2" t="s">
        <v>2018</v>
      </c>
    </row>
    <row r="1682" spans="1:76" s="81" customFormat="1" ht="13.5" customHeight="1" x14ac:dyDescent="0.25">
      <c r="A1682" s="95"/>
      <c r="B1682" s="95"/>
      <c r="C1682" s="95"/>
      <c r="D1682" s="182" t="s">
        <v>2019</v>
      </c>
      <c r="E1682" s="182"/>
      <c r="F1682" s="182"/>
      <c r="G1682" s="182"/>
      <c r="H1682" s="182"/>
      <c r="I1682" s="182"/>
      <c r="J1682" s="182"/>
      <c r="K1682" s="182"/>
      <c r="L1682" s="182"/>
      <c r="M1682" s="182"/>
      <c r="N1682" s="182"/>
      <c r="O1682" s="182"/>
      <c r="P1682" s="182"/>
    </row>
    <row r="1683" spans="1:76" s="81" customFormat="1" ht="25.5" x14ac:dyDescent="0.25">
      <c r="A1683" s="72" t="s">
        <v>2020</v>
      </c>
      <c r="B1683" s="72" t="s">
        <v>55</v>
      </c>
      <c r="C1683" s="72" t="s">
        <v>2021</v>
      </c>
      <c r="D1683" s="175" t="s">
        <v>2018</v>
      </c>
      <c r="E1683" s="175"/>
      <c r="F1683" s="72" t="s">
        <v>213</v>
      </c>
      <c r="G1683" s="90">
        <v>140</v>
      </c>
      <c r="H1683" s="91"/>
      <c r="I1683" s="92" t="s">
        <v>63</v>
      </c>
      <c r="J1683" s="90">
        <f>G1683*AO1683</f>
        <v>0</v>
      </c>
      <c r="K1683" s="90">
        <f>G1683*AP1683</f>
        <v>0</v>
      </c>
      <c r="L1683" s="90">
        <f>G1683*H1683</f>
        <v>0</v>
      </c>
      <c r="M1683" s="90">
        <f>L1683*(1+BW1683/100)</f>
        <v>0</v>
      </c>
      <c r="N1683" s="90">
        <v>8.0000000000000007E-5</v>
      </c>
      <c r="O1683" s="90">
        <f>G1683*N1683</f>
        <v>1.1200000000000002E-2</v>
      </c>
      <c r="P1683" s="92" t="s">
        <v>64</v>
      </c>
      <c r="Z1683" s="93">
        <f>IF(AQ1683="5",BJ1683,0)</f>
        <v>0</v>
      </c>
      <c r="AB1683" s="93">
        <f>IF(AQ1683="1",BH1683,0)</f>
        <v>0</v>
      </c>
      <c r="AC1683" s="93">
        <f>IF(AQ1683="1",BI1683,0)</f>
        <v>0</v>
      </c>
      <c r="AD1683" s="93">
        <f>IF(AQ1683="7",BH1683,0)</f>
        <v>0</v>
      </c>
      <c r="AE1683" s="93">
        <f>IF(AQ1683="7",BI1683,0)</f>
        <v>0</v>
      </c>
      <c r="AF1683" s="93">
        <f>IF(AQ1683="2",BH1683,0)</f>
        <v>0</v>
      </c>
      <c r="AG1683" s="93">
        <f>IF(AQ1683="2",BI1683,0)</f>
        <v>0</v>
      </c>
      <c r="AH1683" s="93">
        <f>IF(AQ1683="0",BJ1683,0)</f>
        <v>0</v>
      </c>
      <c r="AI1683" s="88" t="s">
        <v>55</v>
      </c>
      <c r="AJ1683" s="93">
        <f>IF(AN1683=0,L1683,0)</f>
        <v>0</v>
      </c>
      <c r="AK1683" s="93">
        <f>IF(AN1683=12,L1683,0)</f>
        <v>0</v>
      </c>
      <c r="AL1683" s="93">
        <f>IF(AN1683=21,L1683,0)</f>
        <v>0</v>
      </c>
      <c r="AN1683" s="93">
        <v>21</v>
      </c>
      <c r="AO1683" s="93">
        <f>H1683*0.427676195</f>
        <v>0</v>
      </c>
      <c r="AP1683" s="93">
        <f>H1683*(1-0.427676195)</f>
        <v>0</v>
      </c>
      <c r="AQ1683" s="94" t="s">
        <v>148</v>
      </c>
      <c r="AV1683" s="93">
        <f>AW1683+AX1683</f>
        <v>0</v>
      </c>
      <c r="AW1683" s="93">
        <f>G1683*AO1683</f>
        <v>0</v>
      </c>
      <c r="AX1683" s="93">
        <f>G1683*AP1683</f>
        <v>0</v>
      </c>
      <c r="AY1683" s="94" t="s">
        <v>1991</v>
      </c>
      <c r="AZ1683" s="94" t="s">
        <v>1920</v>
      </c>
      <c r="BA1683" s="88" t="s">
        <v>67</v>
      </c>
      <c r="BC1683" s="93">
        <f>AW1683+AX1683</f>
        <v>0</v>
      </c>
      <c r="BD1683" s="93">
        <f>H1683/(100-BE1683)*100</f>
        <v>0</v>
      </c>
      <c r="BE1683" s="93">
        <v>0</v>
      </c>
      <c r="BF1683" s="93">
        <f>O1683</f>
        <v>1.1200000000000002E-2</v>
      </c>
      <c r="BH1683" s="93">
        <f>G1683*AO1683</f>
        <v>0</v>
      </c>
      <c r="BI1683" s="93">
        <f>G1683*AP1683</f>
        <v>0</v>
      </c>
      <c r="BJ1683" s="93">
        <f>G1683*H1683</f>
        <v>0</v>
      </c>
      <c r="BK1683" s="93"/>
      <c r="BL1683" s="93">
        <v>733</v>
      </c>
      <c r="BW1683" s="93" t="str">
        <f>I1683</f>
        <v>21</v>
      </c>
      <c r="BX1683" s="2" t="s">
        <v>2018</v>
      </c>
    </row>
    <row r="1684" spans="1:76" s="81" customFormat="1" ht="13.5" customHeight="1" x14ac:dyDescent="0.25">
      <c r="A1684" s="95"/>
      <c r="B1684" s="95"/>
      <c r="C1684" s="95"/>
      <c r="D1684" s="182" t="s">
        <v>2022</v>
      </c>
      <c r="E1684" s="182"/>
      <c r="F1684" s="182"/>
      <c r="G1684" s="182"/>
      <c r="H1684" s="182"/>
      <c r="I1684" s="182"/>
      <c r="J1684" s="182"/>
      <c r="K1684" s="182"/>
      <c r="L1684" s="182"/>
      <c r="M1684" s="182"/>
      <c r="N1684" s="182"/>
      <c r="O1684" s="182"/>
      <c r="P1684" s="182"/>
    </row>
    <row r="1685" spans="1:76" s="81" customFormat="1" ht="25.5" x14ac:dyDescent="0.25">
      <c r="A1685" s="72" t="s">
        <v>2023</v>
      </c>
      <c r="B1685" s="72" t="s">
        <v>55</v>
      </c>
      <c r="C1685" s="72" t="s">
        <v>2024</v>
      </c>
      <c r="D1685" s="175" t="s">
        <v>2025</v>
      </c>
      <c r="E1685" s="175"/>
      <c r="F1685" s="72" t="s">
        <v>213</v>
      </c>
      <c r="G1685" s="90">
        <v>50</v>
      </c>
      <c r="H1685" s="91"/>
      <c r="I1685" s="92" t="s">
        <v>63</v>
      </c>
      <c r="J1685" s="90">
        <f>G1685*AO1685</f>
        <v>0</v>
      </c>
      <c r="K1685" s="90">
        <f>G1685*AP1685</f>
        <v>0</v>
      </c>
      <c r="L1685" s="90">
        <f>G1685*H1685</f>
        <v>0</v>
      </c>
      <c r="M1685" s="90">
        <f>L1685*(1+BW1685/100)</f>
        <v>0</v>
      </c>
      <c r="N1685" s="90">
        <v>8.0000000000000007E-5</v>
      </c>
      <c r="O1685" s="90">
        <f>G1685*N1685</f>
        <v>4.0000000000000001E-3</v>
      </c>
      <c r="P1685" s="92" t="s">
        <v>64</v>
      </c>
      <c r="Z1685" s="93">
        <f>IF(AQ1685="5",BJ1685,0)</f>
        <v>0</v>
      </c>
      <c r="AB1685" s="93">
        <f>IF(AQ1685="1",BH1685,0)</f>
        <v>0</v>
      </c>
      <c r="AC1685" s="93">
        <f>IF(AQ1685="1",BI1685,0)</f>
        <v>0</v>
      </c>
      <c r="AD1685" s="93">
        <f>IF(AQ1685="7",BH1685,0)</f>
        <v>0</v>
      </c>
      <c r="AE1685" s="93">
        <f>IF(AQ1685="7",BI1685,0)</f>
        <v>0</v>
      </c>
      <c r="AF1685" s="93">
        <f>IF(AQ1685="2",BH1685,0)</f>
        <v>0</v>
      </c>
      <c r="AG1685" s="93">
        <f>IF(AQ1685="2",BI1685,0)</f>
        <v>0</v>
      </c>
      <c r="AH1685" s="93">
        <f>IF(AQ1685="0",BJ1685,0)</f>
        <v>0</v>
      </c>
      <c r="AI1685" s="88" t="s">
        <v>55</v>
      </c>
      <c r="AJ1685" s="93">
        <f>IF(AN1685=0,L1685,0)</f>
        <v>0</v>
      </c>
      <c r="AK1685" s="93">
        <f>IF(AN1685=12,L1685,0)</f>
        <v>0</v>
      </c>
      <c r="AL1685" s="93">
        <f>IF(AN1685=21,L1685,0)</f>
        <v>0</v>
      </c>
      <c r="AN1685" s="93">
        <v>21</v>
      </c>
      <c r="AO1685" s="93">
        <f>H1685*0.536971609</f>
        <v>0</v>
      </c>
      <c r="AP1685" s="93">
        <f>H1685*(1-0.536971609)</f>
        <v>0</v>
      </c>
      <c r="AQ1685" s="94" t="s">
        <v>148</v>
      </c>
      <c r="AV1685" s="93">
        <f>AW1685+AX1685</f>
        <v>0</v>
      </c>
      <c r="AW1685" s="93">
        <f>G1685*AO1685</f>
        <v>0</v>
      </c>
      <c r="AX1685" s="93">
        <f>G1685*AP1685</f>
        <v>0</v>
      </c>
      <c r="AY1685" s="94" t="s">
        <v>1991</v>
      </c>
      <c r="AZ1685" s="94" t="s">
        <v>1920</v>
      </c>
      <c r="BA1685" s="88" t="s">
        <v>67</v>
      </c>
      <c r="BC1685" s="93">
        <f>AW1685+AX1685</f>
        <v>0</v>
      </c>
      <c r="BD1685" s="93">
        <f>H1685/(100-BE1685)*100</f>
        <v>0</v>
      </c>
      <c r="BE1685" s="93">
        <v>0</v>
      </c>
      <c r="BF1685" s="93">
        <f>O1685</f>
        <v>4.0000000000000001E-3</v>
      </c>
      <c r="BH1685" s="93">
        <f>G1685*AO1685</f>
        <v>0</v>
      </c>
      <c r="BI1685" s="93">
        <f>G1685*AP1685</f>
        <v>0</v>
      </c>
      <c r="BJ1685" s="93">
        <f>G1685*H1685</f>
        <v>0</v>
      </c>
      <c r="BK1685" s="93"/>
      <c r="BL1685" s="93">
        <v>733</v>
      </c>
      <c r="BW1685" s="93" t="str">
        <f>I1685</f>
        <v>21</v>
      </c>
      <c r="BX1685" s="2" t="s">
        <v>2025</v>
      </c>
    </row>
    <row r="1686" spans="1:76" s="81" customFormat="1" ht="13.5" customHeight="1" x14ac:dyDescent="0.25">
      <c r="A1686" s="95"/>
      <c r="B1686" s="95"/>
      <c r="C1686" s="95"/>
      <c r="D1686" s="182" t="s">
        <v>2026</v>
      </c>
      <c r="E1686" s="182"/>
      <c r="F1686" s="182"/>
      <c r="G1686" s="182"/>
      <c r="H1686" s="182"/>
      <c r="I1686" s="182"/>
      <c r="J1686" s="182"/>
      <c r="K1686" s="182"/>
      <c r="L1686" s="182"/>
      <c r="M1686" s="182"/>
      <c r="N1686" s="182"/>
      <c r="O1686" s="182"/>
      <c r="P1686" s="182"/>
    </row>
    <row r="1687" spans="1:76" s="81" customFormat="1" ht="25.5" x14ac:dyDescent="0.25">
      <c r="A1687" s="72" t="s">
        <v>2027</v>
      </c>
      <c r="B1687" s="72" t="s">
        <v>55</v>
      </c>
      <c r="C1687" s="72" t="s">
        <v>2028</v>
      </c>
      <c r="D1687" s="175" t="s">
        <v>2029</v>
      </c>
      <c r="E1687" s="175"/>
      <c r="F1687" s="72" t="s">
        <v>213</v>
      </c>
      <c r="G1687" s="90">
        <v>210</v>
      </c>
      <c r="H1687" s="91"/>
      <c r="I1687" s="92" t="s">
        <v>63</v>
      </c>
      <c r="J1687" s="90">
        <f>G1687*AO1687</f>
        <v>0</v>
      </c>
      <c r="K1687" s="90">
        <f>G1687*AP1687</f>
        <v>0</v>
      </c>
      <c r="L1687" s="90">
        <f>G1687*H1687</f>
        <v>0</v>
      </c>
      <c r="M1687" s="90">
        <f>L1687*(1+BW1687/100)</f>
        <v>0</v>
      </c>
      <c r="N1687" s="90">
        <v>0</v>
      </c>
      <c r="O1687" s="90">
        <f>G1687*N1687</f>
        <v>0</v>
      </c>
      <c r="P1687" s="92" t="s">
        <v>64</v>
      </c>
      <c r="Z1687" s="93">
        <f>IF(AQ1687="5",BJ1687,0)</f>
        <v>0</v>
      </c>
      <c r="AB1687" s="93">
        <f>IF(AQ1687="1",BH1687,0)</f>
        <v>0</v>
      </c>
      <c r="AC1687" s="93">
        <f>IF(AQ1687="1",BI1687,0)</f>
        <v>0</v>
      </c>
      <c r="AD1687" s="93">
        <f>IF(AQ1687="7",BH1687,0)</f>
        <v>0</v>
      </c>
      <c r="AE1687" s="93">
        <f>IF(AQ1687="7",BI1687,0)</f>
        <v>0</v>
      </c>
      <c r="AF1687" s="93">
        <f>IF(AQ1687="2",BH1687,0)</f>
        <v>0</v>
      </c>
      <c r="AG1687" s="93">
        <f>IF(AQ1687="2",BI1687,0)</f>
        <v>0</v>
      </c>
      <c r="AH1687" s="93">
        <f>IF(AQ1687="0",BJ1687,0)</f>
        <v>0</v>
      </c>
      <c r="AI1687" s="88" t="s">
        <v>55</v>
      </c>
      <c r="AJ1687" s="93">
        <f>IF(AN1687=0,L1687,0)</f>
        <v>0</v>
      </c>
      <c r="AK1687" s="93">
        <f>IF(AN1687=12,L1687,0)</f>
        <v>0</v>
      </c>
      <c r="AL1687" s="93">
        <f>IF(AN1687=21,L1687,0)</f>
        <v>0</v>
      </c>
      <c r="AN1687" s="93">
        <v>21</v>
      </c>
      <c r="AO1687" s="93">
        <f>H1687*0</f>
        <v>0</v>
      </c>
      <c r="AP1687" s="93">
        <f>H1687*(1-0)</f>
        <v>0</v>
      </c>
      <c r="AQ1687" s="94" t="s">
        <v>148</v>
      </c>
      <c r="AV1687" s="93">
        <f>AW1687+AX1687</f>
        <v>0</v>
      </c>
      <c r="AW1687" s="93">
        <f>G1687*AO1687</f>
        <v>0</v>
      </c>
      <c r="AX1687" s="93">
        <f>G1687*AP1687</f>
        <v>0</v>
      </c>
      <c r="AY1687" s="94" t="s">
        <v>1991</v>
      </c>
      <c r="AZ1687" s="94" t="s">
        <v>1920</v>
      </c>
      <c r="BA1687" s="88" t="s">
        <v>67</v>
      </c>
      <c r="BC1687" s="93">
        <f>AW1687+AX1687</f>
        <v>0</v>
      </c>
      <c r="BD1687" s="93">
        <f>H1687/(100-BE1687)*100</f>
        <v>0</v>
      </c>
      <c r="BE1687" s="93">
        <v>0</v>
      </c>
      <c r="BF1687" s="93">
        <f>O1687</f>
        <v>0</v>
      </c>
      <c r="BH1687" s="93">
        <f>G1687*AO1687</f>
        <v>0</v>
      </c>
      <c r="BI1687" s="93">
        <f>G1687*AP1687</f>
        <v>0</v>
      </c>
      <c r="BJ1687" s="93">
        <f>G1687*H1687</f>
        <v>0</v>
      </c>
      <c r="BK1687" s="93"/>
      <c r="BL1687" s="93">
        <v>733</v>
      </c>
      <c r="BW1687" s="93" t="str">
        <f>I1687</f>
        <v>21</v>
      </c>
      <c r="BX1687" s="2" t="s">
        <v>2029</v>
      </c>
    </row>
    <row r="1688" spans="1:76" s="81" customFormat="1" x14ac:dyDescent="0.25">
      <c r="A1688" s="95"/>
      <c r="B1688" s="95"/>
      <c r="C1688" s="95"/>
      <c r="D1688" s="76" t="s">
        <v>2030</v>
      </c>
      <c r="E1688" s="76" t="s">
        <v>2031</v>
      </c>
      <c r="F1688" s="95"/>
      <c r="G1688" s="96">
        <v>210</v>
      </c>
      <c r="H1688" s="95"/>
      <c r="I1688" s="95"/>
      <c r="J1688" s="95"/>
      <c r="K1688" s="95"/>
      <c r="L1688" s="95"/>
      <c r="M1688" s="95"/>
      <c r="N1688" s="95"/>
      <c r="O1688" s="95"/>
      <c r="P1688" s="95"/>
    </row>
    <row r="1689" spans="1:76" s="81" customFormat="1" ht="25.5" x14ac:dyDescent="0.25">
      <c r="A1689" s="72" t="s">
        <v>2032</v>
      </c>
      <c r="B1689" s="72" t="s">
        <v>55</v>
      </c>
      <c r="C1689" s="72" t="s">
        <v>2033</v>
      </c>
      <c r="D1689" s="175" t="s">
        <v>2034</v>
      </c>
      <c r="E1689" s="175"/>
      <c r="F1689" s="72" t="s">
        <v>213</v>
      </c>
      <c r="G1689" s="90">
        <v>780</v>
      </c>
      <c r="H1689" s="91"/>
      <c r="I1689" s="92" t="s">
        <v>63</v>
      </c>
      <c r="J1689" s="90">
        <f>G1689*AO1689</f>
        <v>0</v>
      </c>
      <c r="K1689" s="90">
        <f>G1689*AP1689</f>
        <v>0</v>
      </c>
      <c r="L1689" s="90">
        <f>G1689*H1689</f>
        <v>0</v>
      </c>
      <c r="M1689" s="90">
        <f>L1689*(1+BW1689/100)</f>
        <v>0</v>
      </c>
      <c r="N1689" s="90">
        <v>0</v>
      </c>
      <c r="O1689" s="90">
        <f>G1689*N1689</f>
        <v>0</v>
      </c>
      <c r="P1689" s="92" t="s">
        <v>64</v>
      </c>
      <c r="Z1689" s="93">
        <f>IF(AQ1689="5",BJ1689,0)</f>
        <v>0</v>
      </c>
      <c r="AB1689" s="93">
        <f>IF(AQ1689="1",BH1689,0)</f>
        <v>0</v>
      </c>
      <c r="AC1689" s="93">
        <f>IF(AQ1689="1",BI1689,0)</f>
        <v>0</v>
      </c>
      <c r="AD1689" s="93">
        <f>IF(AQ1689="7",BH1689,0)</f>
        <v>0</v>
      </c>
      <c r="AE1689" s="93">
        <f>IF(AQ1689="7",BI1689,0)</f>
        <v>0</v>
      </c>
      <c r="AF1689" s="93">
        <f>IF(AQ1689="2",BH1689,0)</f>
        <v>0</v>
      </c>
      <c r="AG1689" s="93">
        <f>IF(AQ1689="2",BI1689,0)</f>
        <v>0</v>
      </c>
      <c r="AH1689" s="93">
        <f>IF(AQ1689="0",BJ1689,0)</f>
        <v>0</v>
      </c>
      <c r="AI1689" s="88" t="s">
        <v>55</v>
      </c>
      <c r="AJ1689" s="93">
        <f>IF(AN1689=0,L1689,0)</f>
        <v>0</v>
      </c>
      <c r="AK1689" s="93">
        <f>IF(AN1689=12,L1689,0)</f>
        <v>0</v>
      </c>
      <c r="AL1689" s="93">
        <f>IF(AN1689=21,L1689,0)</f>
        <v>0</v>
      </c>
      <c r="AN1689" s="93">
        <v>21</v>
      </c>
      <c r="AO1689" s="93">
        <f>H1689*0.020984665</f>
        <v>0</v>
      </c>
      <c r="AP1689" s="93">
        <f>H1689*(1-0.020984665)</f>
        <v>0</v>
      </c>
      <c r="AQ1689" s="94" t="s">
        <v>148</v>
      </c>
      <c r="AV1689" s="93">
        <f>AW1689+AX1689</f>
        <v>0</v>
      </c>
      <c r="AW1689" s="93">
        <f>G1689*AO1689</f>
        <v>0</v>
      </c>
      <c r="AX1689" s="93">
        <f>G1689*AP1689</f>
        <v>0</v>
      </c>
      <c r="AY1689" s="94" t="s">
        <v>1991</v>
      </c>
      <c r="AZ1689" s="94" t="s">
        <v>1920</v>
      </c>
      <c r="BA1689" s="88" t="s">
        <v>67</v>
      </c>
      <c r="BC1689" s="93">
        <f>AW1689+AX1689</f>
        <v>0</v>
      </c>
      <c r="BD1689" s="93">
        <f>H1689/(100-BE1689)*100</f>
        <v>0</v>
      </c>
      <c r="BE1689" s="93">
        <v>0</v>
      </c>
      <c r="BF1689" s="93">
        <f>O1689</f>
        <v>0</v>
      </c>
      <c r="BH1689" s="93">
        <f>G1689*AO1689</f>
        <v>0</v>
      </c>
      <c r="BI1689" s="93">
        <f>G1689*AP1689</f>
        <v>0</v>
      </c>
      <c r="BJ1689" s="93">
        <f>G1689*H1689</f>
        <v>0</v>
      </c>
      <c r="BK1689" s="93"/>
      <c r="BL1689" s="93">
        <v>733</v>
      </c>
      <c r="BW1689" s="93" t="str">
        <f>I1689</f>
        <v>21</v>
      </c>
      <c r="BX1689" s="2" t="s">
        <v>2034</v>
      </c>
    </row>
    <row r="1690" spans="1:76" s="81" customFormat="1" x14ac:dyDescent="0.25">
      <c r="A1690" s="95"/>
      <c r="B1690" s="95"/>
      <c r="C1690" s="95"/>
      <c r="D1690" s="76" t="s">
        <v>2035</v>
      </c>
      <c r="E1690" s="76" t="s">
        <v>54</v>
      </c>
      <c r="F1690" s="95"/>
      <c r="G1690" s="96">
        <v>780</v>
      </c>
      <c r="H1690" s="95"/>
      <c r="I1690" s="95"/>
      <c r="J1690" s="95"/>
      <c r="K1690" s="95"/>
      <c r="L1690" s="95"/>
      <c r="M1690" s="95"/>
      <c r="N1690" s="95"/>
      <c r="O1690" s="95"/>
      <c r="P1690" s="95"/>
    </row>
    <row r="1691" spans="1:76" s="81" customFormat="1" ht="25.5" x14ac:dyDescent="0.25">
      <c r="A1691" s="72" t="s">
        <v>2036</v>
      </c>
      <c r="B1691" s="72" t="s">
        <v>55</v>
      </c>
      <c r="C1691" s="72" t="s">
        <v>2037</v>
      </c>
      <c r="D1691" s="175" t="s">
        <v>2038</v>
      </c>
      <c r="E1691" s="175"/>
      <c r="F1691" s="72" t="s">
        <v>213</v>
      </c>
      <c r="G1691" s="90">
        <v>210</v>
      </c>
      <c r="H1691" s="91"/>
      <c r="I1691" s="92" t="s">
        <v>63</v>
      </c>
      <c r="J1691" s="90">
        <f>G1691*AO1691</f>
        <v>0</v>
      </c>
      <c r="K1691" s="90">
        <f>G1691*AP1691</f>
        <v>0</v>
      </c>
      <c r="L1691" s="90">
        <f>G1691*H1691</f>
        <v>0</v>
      </c>
      <c r="M1691" s="90">
        <f>L1691*(1+BW1691/100)</f>
        <v>0</v>
      </c>
      <c r="N1691" s="90">
        <v>0</v>
      </c>
      <c r="O1691" s="90">
        <f>G1691*N1691</f>
        <v>0</v>
      </c>
      <c r="P1691" s="92" t="s">
        <v>64</v>
      </c>
      <c r="Z1691" s="93">
        <f>IF(AQ1691="5",BJ1691,0)</f>
        <v>0</v>
      </c>
      <c r="AB1691" s="93">
        <f>IF(AQ1691="1",BH1691,0)</f>
        <v>0</v>
      </c>
      <c r="AC1691" s="93">
        <f>IF(AQ1691="1",BI1691,0)</f>
        <v>0</v>
      </c>
      <c r="AD1691" s="93">
        <f>IF(AQ1691="7",BH1691,0)</f>
        <v>0</v>
      </c>
      <c r="AE1691" s="93">
        <f>IF(AQ1691="7",BI1691,0)</f>
        <v>0</v>
      </c>
      <c r="AF1691" s="93">
        <f>IF(AQ1691="2",BH1691,0)</f>
        <v>0</v>
      </c>
      <c r="AG1691" s="93">
        <f>IF(AQ1691="2",BI1691,0)</f>
        <v>0</v>
      </c>
      <c r="AH1691" s="93">
        <f>IF(AQ1691="0",BJ1691,0)</f>
        <v>0</v>
      </c>
      <c r="AI1691" s="88" t="s">
        <v>55</v>
      </c>
      <c r="AJ1691" s="93">
        <f>IF(AN1691=0,L1691,0)</f>
        <v>0</v>
      </c>
      <c r="AK1691" s="93">
        <f>IF(AN1691=12,L1691,0)</f>
        <v>0</v>
      </c>
      <c r="AL1691" s="93">
        <f>IF(AN1691=21,L1691,0)</f>
        <v>0</v>
      </c>
      <c r="AN1691" s="93">
        <v>21</v>
      </c>
      <c r="AO1691" s="93">
        <f>H1691*0.024894515</f>
        <v>0</v>
      </c>
      <c r="AP1691" s="93">
        <f>H1691*(1-0.024894515)</f>
        <v>0</v>
      </c>
      <c r="AQ1691" s="94" t="s">
        <v>148</v>
      </c>
      <c r="AV1691" s="93">
        <f>AW1691+AX1691</f>
        <v>0</v>
      </c>
      <c r="AW1691" s="93">
        <f>G1691*AO1691</f>
        <v>0</v>
      </c>
      <c r="AX1691" s="93">
        <f>G1691*AP1691</f>
        <v>0</v>
      </c>
      <c r="AY1691" s="94" t="s">
        <v>1991</v>
      </c>
      <c r="AZ1691" s="94" t="s">
        <v>1920</v>
      </c>
      <c r="BA1691" s="88" t="s">
        <v>67</v>
      </c>
      <c r="BC1691" s="93">
        <f>AW1691+AX1691</f>
        <v>0</v>
      </c>
      <c r="BD1691" s="93">
        <f>H1691/(100-BE1691)*100</f>
        <v>0</v>
      </c>
      <c r="BE1691" s="93">
        <v>0</v>
      </c>
      <c r="BF1691" s="93">
        <f>O1691</f>
        <v>0</v>
      </c>
      <c r="BH1691" s="93">
        <f>G1691*AO1691</f>
        <v>0</v>
      </c>
      <c r="BI1691" s="93">
        <f>G1691*AP1691</f>
        <v>0</v>
      </c>
      <c r="BJ1691" s="93">
        <f>G1691*H1691</f>
        <v>0</v>
      </c>
      <c r="BK1691" s="93"/>
      <c r="BL1691" s="93">
        <v>733</v>
      </c>
      <c r="BW1691" s="93" t="str">
        <f>I1691</f>
        <v>21</v>
      </c>
      <c r="BX1691" s="2" t="s">
        <v>2038</v>
      </c>
    </row>
    <row r="1692" spans="1:76" s="81" customFormat="1" x14ac:dyDescent="0.25">
      <c r="A1692" s="95"/>
      <c r="B1692" s="95"/>
      <c r="C1692" s="95"/>
      <c r="D1692" s="76" t="s">
        <v>2039</v>
      </c>
      <c r="E1692" s="76" t="s">
        <v>54</v>
      </c>
      <c r="F1692" s="95"/>
      <c r="G1692" s="96">
        <v>210</v>
      </c>
      <c r="H1692" s="95"/>
      <c r="I1692" s="95"/>
      <c r="J1692" s="95"/>
      <c r="K1692" s="95"/>
      <c r="L1692" s="95"/>
      <c r="M1692" s="95"/>
      <c r="N1692" s="95"/>
      <c r="O1692" s="95"/>
      <c r="P1692" s="95"/>
    </row>
    <row r="1693" spans="1:76" s="81" customFormat="1" ht="25.5" x14ac:dyDescent="0.25">
      <c r="A1693" s="72" t="s">
        <v>2040</v>
      </c>
      <c r="B1693" s="72" t="s">
        <v>55</v>
      </c>
      <c r="C1693" s="72" t="s">
        <v>2041</v>
      </c>
      <c r="D1693" s="175" t="s">
        <v>2042</v>
      </c>
      <c r="E1693" s="175"/>
      <c r="F1693" s="72" t="s">
        <v>213</v>
      </c>
      <c r="G1693" s="90">
        <v>10</v>
      </c>
      <c r="H1693" s="91"/>
      <c r="I1693" s="92" t="s">
        <v>63</v>
      </c>
      <c r="J1693" s="90">
        <f>G1693*AO1693</f>
        <v>0</v>
      </c>
      <c r="K1693" s="90">
        <f>G1693*AP1693</f>
        <v>0</v>
      </c>
      <c r="L1693" s="90">
        <f>G1693*H1693</f>
        <v>0</v>
      </c>
      <c r="M1693" s="90">
        <f>L1693*(1+BW1693/100)</f>
        <v>0</v>
      </c>
      <c r="N1693" s="90">
        <v>2.5999999999999998E-4</v>
      </c>
      <c r="O1693" s="90">
        <f>G1693*N1693</f>
        <v>2.5999999999999999E-3</v>
      </c>
      <c r="P1693" s="92" t="s">
        <v>64</v>
      </c>
      <c r="Z1693" s="93">
        <f>IF(AQ1693="5",BJ1693,0)</f>
        <v>0</v>
      </c>
      <c r="AB1693" s="93">
        <f>IF(AQ1693="1",BH1693,0)</f>
        <v>0</v>
      </c>
      <c r="AC1693" s="93">
        <f>IF(AQ1693="1",BI1693,0)</f>
        <v>0</v>
      </c>
      <c r="AD1693" s="93">
        <f>IF(AQ1693="7",BH1693,0)</f>
        <v>0</v>
      </c>
      <c r="AE1693" s="93">
        <f>IF(AQ1693="7",BI1693,0)</f>
        <v>0</v>
      </c>
      <c r="AF1693" s="93">
        <f>IF(AQ1693="2",BH1693,0)</f>
        <v>0</v>
      </c>
      <c r="AG1693" s="93">
        <f>IF(AQ1693="2",BI1693,0)</f>
        <v>0</v>
      </c>
      <c r="AH1693" s="93">
        <f>IF(AQ1693="0",BJ1693,0)</f>
        <v>0</v>
      </c>
      <c r="AI1693" s="88" t="s">
        <v>55</v>
      </c>
      <c r="AJ1693" s="93">
        <f>IF(AN1693=0,L1693,0)</f>
        <v>0</v>
      </c>
      <c r="AK1693" s="93">
        <f>IF(AN1693=12,L1693,0)</f>
        <v>0</v>
      </c>
      <c r="AL1693" s="93">
        <f>IF(AN1693=21,L1693,0)</f>
        <v>0</v>
      </c>
      <c r="AN1693" s="93">
        <v>21</v>
      </c>
      <c r="AO1693" s="93">
        <f>H1693*1</f>
        <v>0</v>
      </c>
      <c r="AP1693" s="93">
        <f>H1693*(1-1)</f>
        <v>0</v>
      </c>
      <c r="AQ1693" s="94" t="s">
        <v>148</v>
      </c>
      <c r="AV1693" s="93">
        <f>AW1693+AX1693</f>
        <v>0</v>
      </c>
      <c r="AW1693" s="93">
        <f>G1693*AO1693</f>
        <v>0</v>
      </c>
      <c r="AX1693" s="93">
        <f>G1693*AP1693</f>
        <v>0</v>
      </c>
      <c r="AY1693" s="94" t="s">
        <v>1991</v>
      </c>
      <c r="AZ1693" s="94" t="s">
        <v>1920</v>
      </c>
      <c r="BA1693" s="88" t="s">
        <v>67</v>
      </c>
      <c r="BC1693" s="93">
        <f>AW1693+AX1693</f>
        <v>0</v>
      </c>
      <c r="BD1693" s="93">
        <f>H1693/(100-BE1693)*100</f>
        <v>0</v>
      </c>
      <c r="BE1693" s="93">
        <v>0</v>
      </c>
      <c r="BF1693" s="93">
        <f>O1693</f>
        <v>2.5999999999999999E-3</v>
      </c>
      <c r="BH1693" s="93">
        <f>G1693*AO1693</f>
        <v>0</v>
      </c>
      <c r="BI1693" s="93">
        <f>G1693*AP1693</f>
        <v>0</v>
      </c>
      <c r="BJ1693" s="93">
        <f>G1693*H1693</f>
        <v>0</v>
      </c>
      <c r="BK1693" s="93"/>
      <c r="BL1693" s="93">
        <v>733</v>
      </c>
      <c r="BW1693" s="93" t="str">
        <f>I1693</f>
        <v>21</v>
      </c>
      <c r="BX1693" s="2" t="s">
        <v>2042</v>
      </c>
    </row>
    <row r="1694" spans="1:76" s="81" customFormat="1" ht="25.5" x14ac:dyDescent="0.25">
      <c r="A1694" s="72" t="s">
        <v>2043</v>
      </c>
      <c r="B1694" s="72" t="s">
        <v>55</v>
      </c>
      <c r="C1694" s="72" t="s">
        <v>2044</v>
      </c>
      <c r="D1694" s="175" t="s">
        <v>2045</v>
      </c>
      <c r="E1694" s="175"/>
      <c r="F1694" s="72" t="s">
        <v>1449</v>
      </c>
      <c r="G1694" s="91"/>
      <c r="H1694" s="91"/>
      <c r="I1694" s="92" t="s">
        <v>63</v>
      </c>
      <c r="J1694" s="90">
        <f>G1694*AO1694</f>
        <v>0</v>
      </c>
      <c r="K1694" s="90">
        <f>G1694*AP1694</f>
        <v>0</v>
      </c>
      <c r="L1694" s="90">
        <f>G1694*H1694</f>
        <v>0</v>
      </c>
      <c r="M1694" s="90">
        <f>L1694*(1+BW1694/100)</f>
        <v>0</v>
      </c>
      <c r="N1694" s="90">
        <v>0</v>
      </c>
      <c r="O1694" s="90">
        <f>G1694*N1694</f>
        <v>0</v>
      </c>
      <c r="P1694" s="92" t="s">
        <v>64</v>
      </c>
      <c r="Z1694" s="93">
        <f>IF(AQ1694="5",BJ1694,0)</f>
        <v>0</v>
      </c>
      <c r="AB1694" s="93">
        <f>IF(AQ1694="1",BH1694,0)</f>
        <v>0</v>
      </c>
      <c r="AC1694" s="93">
        <f>IF(AQ1694="1",BI1694,0)</f>
        <v>0</v>
      </c>
      <c r="AD1694" s="93">
        <f>IF(AQ1694="7",BH1694,0)</f>
        <v>0</v>
      </c>
      <c r="AE1694" s="93">
        <f>IF(AQ1694="7",BI1694,0)</f>
        <v>0</v>
      </c>
      <c r="AF1694" s="93">
        <f>IF(AQ1694="2",BH1694,0)</f>
        <v>0</v>
      </c>
      <c r="AG1694" s="93">
        <f>IF(AQ1694="2",BI1694,0)</f>
        <v>0</v>
      </c>
      <c r="AH1694" s="93">
        <f>IF(AQ1694="0",BJ1694,0)</f>
        <v>0</v>
      </c>
      <c r="AI1694" s="88" t="s">
        <v>55</v>
      </c>
      <c r="AJ1694" s="93">
        <f>IF(AN1694=0,L1694,0)</f>
        <v>0</v>
      </c>
      <c r="AK1694" s="93">
        <f>IF(AN1694=12,L1694,0)</f>
        <v>0</v>
      </c>
      <c r="AL1694" s="93">
        <f>IF(AN1694=21,L1694,0)</f>
        <v>0</v>
      </c>
      <c r="AN1694" s="93">
        <v>21</v>
      </c>
      <c r="AO1694" s="93">
        <f>H1694*0</f>
        <v>0</v>
      </c>
      <c r="AP1694" s="93">
        <f>H1694*(1-0)</f>
        <v>0</v>
      </c>
      <c r="AQ1694" s="94" t="s">
        <v>136</v>
      </c>
      <c r="AV1694" s="93">
        <f>AW1694+AX1694</f>
        <v>0</v>
      </c>
      <c r="AW1694" s="93">
        <f>G1694*AO1694</f>
        <v>0</v>
      </c>
      <c r="AX1694" s="93">
        <f>G1694*AP1694</f>
        <v>0</v>
      </c>
      <c r="AY1694" s="94" t="s">
        <v>1991</v>
      </c>
      <c r="AZ1694" s="94" t="s">
        <v>1920</v>
      </c>
      <c r="BA1694" s="88" t="s">
        <v>67</v>
      </c>
      <c r="BC1694" s="93">
        <f>AW1694+AX1694</f>
        <v>0</v>
      </c>
      <c r="BD1694" s="93">
        <f>H1694/(100-BE1694)*100</f>
        <v>0</v>
      </c>
      <c r="BE1694" s="93">
        <v>0</v>
      </c>
      <c r="BF1694" s="93">
        <f>O1694</f>
        <v>0</v>
      </c>
      <c r="BH1694" s="93">
        <f>G1694*AO1694</f>
        <v>0</v>
      </c>
      <c r="BI1694" s="93">
        <f>G1694*AP1694</f>
        <v>0</v>
      </c>
      <c r="BJ1694" s="93">
        <f>G1694*H1694</f>
        <v>0</v>
      </c>
      <c r="BK1694" s="93"/>
      <c r="BL1694" s="93">
        <v>733</v>
      </c>
      <c r="BW1694" s="93" t="str">
        <f>I1694</f>
        <v>21</v>
      </c>
      <c r="BX1694" s="2" t="s">
        <v>2045</v>
      </c>
    </row>
    <row r="1695" spans="1:76" s="81" customFormat="1" ht="25.5" x14ac:dyDescent="0.25">
      <c r="A1695" s="72" t="s">
        <v>2046</v>
      </c>
      <c r="B1695" s="72" t="s">
        <v>55</v>
      </c>
      <c r="C1695" s="72" t="s">
        <v>2047</v>
      </c>
      <c r="D1695" s="175" t="s">
        <v>2048</v>
      </c>
      <c r="E1695" s="175"/>
      <c r="F1695" s="72" t="s">
        <v>213</v>
      </c>
      <c r="G1695" s="90">
        <v>200</v>
      </c>
      <c r="H1695" s="91"/>
      <c r="I1695" s="92" t="s">
        <v>63</v>
      </c>
      <c r="J1695" s="90">
        <f>G1695*AO1695</f>
        <v>0</v>
      </c>
      <c r="K1695" s="90">
        <f>G1695*AP1695</f>
        <v>0</v>
      </c>
      <c r="L1695" s="90">
        <f>G1695*H1695</f>
        <v>0</v>
      </c>
      <c r="M1695" s="90">
        <f>L1695*(1+BW1695/100)</f>
        <v>0</v>
      </c>
      <c r="N1695" s="90">
        <v>2.3000000000000001E-4</v>
      </c>
      <c r="O1695" s="90">
        <f>G1695*N1695</f>
        <v>4.5999999999999999E-2</v>
      </c>
      <c r="P1695" s="92" t="s">
        <v>64</v>
      </c>
      <c r="Z1695" s="93">
        <f>IF(AQ1695="5",BJ1695,0)</f>
        <v>0</v>
      </c>
      <c r="AB1695" s="93">
        <f>IF(AQ1695="1",BH1695,0)</f>
        <v>0</v>
      </c>
      <c r="AC1695" s="93">
        <f>IF(AQ1695="1",BI1695,0)</f>
        <v>0</v>
      </c>
      <c r="AD1695" s="93">
        <f>IF(AQ1695="7",BH1695,0)</f>
        <v>0</v>
      </c>
      <c r="AE1695" s="93">
        <f>IF(AQ1695="7",BI1695,0)</f>
        <v>0</v>
      </c>
      <c r="AF1695" s="93">
        <f>IF(AQ1695="2",BH1695,0)</f>
        <v>0</v>
      </c>
      <c r="AG1695" s="93">
        <f>IF(AQ1695="2",BI1695,0)</f>
        <v>0</v>
      </c>
      <c r="AH1695" s="93">
        <f>IF(AQ1695="0",BJ1695,0)</f>
        <v>0</v>
      </c>
      <c r="AI1695" s="88" t="s">
        <v>55</v>
      </c>
      <c r="AJ1695" s="93">
        <f>IF(AN1695=0,L1695,0)</f>
        <v>0</v>
      </c>
      <c r="AK1695" s="93">
        <f>IF(AN1695=12,L1695,0)</f>
        <v>0</v>
      </c>
      <c r="AL1695" s="93">
        <f>IF(AN1695=21,L1695,0)</f>
        <v>0</v>
      </c>
      <c r="AN1695" s="93">
        <v>21</v>
      </c>
      <c r="AO1695" s="93">
        <f>H1695*1</f>
        <v>0</v>
      </c>
      <c r="AP1695" s="93">
        <f>H1695*(1-1)</f>
        <v>0</v>
      </c>
      <c r="AQ1695" s="94" t="s">
        <v>148</v>
      </c>
      <c r="AV1695" s="93">
        <f>AW1695+AX1695</f>
        <v>0</v>
      </c>
      <c r="AW1695" s="93">
        <f>G1695*AO1695</f>
        <v>0</v>
      </c>
      <c r="AX1695" s="93">
        <f>G1695*AP1695</f>
        <v>0</v>
      </c>
      <c r="AY1695" s="94" t="s">
        <v>1991</v>
      </c>
      <c r="AZ1695" s="94" t="s">
        <v>1920</v>
      </c>
      <c r="BA1695" s="88" t="s">
        <v>67</v>
      </c>
      <c r="BC1695" s="93">
        <f>AW1695+AX1695</f>
        <v>0</v>
      </c>
      <c r="BD1695" s="93">
        <f>H1695/(100-BE1695)*100</f>
        <v>0</v>
      </c>
      <c r="BE1695" s="93">
        <v>0</v>
      </c>
      <c r="BF1695" s="93">
        <f>O1695</f>
        <v>4.5999999999999999E-2</v>
      </c>
      <c r="BH1695" s="93">
        <f>G1695*AO1695</f>
        <v>0</v>
      </c>
      <c r="BI1695" s="93">
        <f>G1695*AP1695</f>
        <v>0</v>
      </c>
      <c r="BJ1695" s="93">
        <f>G1695*H1695</f>
        <v>0</v>
      </c>
      <c r="BK1695" s="93"/>
      <c r="BL1695" s="93">
        <v>733</v>
      </c>
      <c r="BW1695" s="93" t="str">
        <f>I1695</f>
        <v>21</v>
      </c>
      <c r="BX1695" s="2" t="s">
        <v>2048</v>
      </c>
    </row>
    <row r="1696" spans="1:76" s="81" customFormat="1" x14ac:dyDescent="0.25">
      <c r="A1696" s="85" t="s">
        <v>54</v>
      </c>
      <c r="B1696" s="74" t="s">
        <v>55</v>
      </c>
      <c r="C1696" s="74" t="s">
        <v>2049</v>
      </c>
      <c r="D1696" s="176" t="s">
        <v>2050</v>
      </c>
      <c r="E1696" s="176"/>
      <c r="F1696" s="85" t="s">
        <v>4</v>
      </c>
      <c r="G1696" s="85" t="s">
        <v>4</v>
      </c>
      <c r="H1696" s="85" t="s">
        <v>4</v>
      </c>
      <c r="I1696" s="85" t="s">
        <v>4</v>
      </c>
      <c r="J1696" s="86">
        <f>SUM(J1697:J1724)</f>
        <v>0</v>
      </c>
      <c r="K1696" s="86">
        <f>SUM(K1697:K1724)</f>
        <v>0</v>
      </c>
      <c r="L1696" s="86">
        <f>SUM(L1697:L1724)</f>
        <v>0</v>
      </c>
      <c r="M1696" s="86">
        <f>SUM(M1697:M1724)</f>
        <v>0</v>
      </c>
      <c r="N1696" s="87" t="s">
        <v>54</v>
      </c>
      <c r="O1696" s="86">
        <f>SUM(O1697:O1724)</f>
        <v>0.10227</v>
      </c>
      <c r="P1696" s="87" t="s">
        <v>54</v>
      </c>
      <c r="AI1696" s="88" t="s">
        <v>55</v>
      </c>
      <c r="AS1696" s="89">
        <f>SUM(AJ1697:AJ1724)</f>
        <v>0</v>
      </c>
      <c r="AT1696" s="89">
        <f>SUM(AK1697:AK1724)</f>
        <v>0</v>
      </c>
      <c r="AU1696" s="89">
        <f>SUM(AL1697:AL1724)</f>
        <v>0</v>
      </c>
    </row>
    <row r="1697" spans="1:76" s="81" customFormat="1" ht="25.5" x14ac:dyDescent="0.25">
      <c r="A1697" s="72" t="s">
        <v>2051</v>
      </c>
      <c r="B1697" s="72" t="s">
        <v>55</v>
      </c>
      <c r="C1697" s="72" t="s">
        <v>2052</v>
      </c>
      <c r="D1697" s="175" t="s">
        <v>2053</v>
      </c>
      <c r="E1697" s="175"/>
      <c r="F1697" s="72" t="s">
        <v>203</v>
      </c>
      <c r="G1697" s="90">
        <v>1</v>
      </c>
      <c r="H1697" s="91"/>
      <c r="I1697" s="92" t="s">
        <v>63</v>
      </c>
      <c r="J1697" s="90">
        <f t="shared" ref="J1697:J1724" si="278">G1697*AO1697</f>
        <v>0</v>
      </c>
      <c r="K1697" s="90">
        <f t="shared" ref="K1697:K1724" si="279">G1697*AP1697</f>
        <v>0</v>
      </c>
      <c r="L1697" s="90">
        <f t="shared" ref="L1697:L1724" si="280">G1697*H1697</f>
        <v>0</v>
      </c>
      <c r="M1697" s="90">
        <f t="shared" ref="M1697:M1724" si="281">L1697*(1+BW1697/100)</f>
        <v>0</v>
      </c>
      <c r="N1697" s="90">
        <v>5.0000000000000001E-4</v>
      </c>
      <c r="O1697" s="90">
        <f t="shared" ref="O1697:O1724" si="282">G1697*N1697</f>
        <v>5.0000000000000001E-4</v>
      </c>
      <c r="P1697" s="92" t="s">
        <v>64</v>
      </c>
      <c r="Z1697" s="93">
        <f t="shared" ref="Z1697:Z1724" si="283">IF(AQ1697="5",BJ1697,0)</f>
        <v>0</v>
      </c>
      <c r="AB1697" s="93">
        <f t="shared" ref="AB1697:AB1724" si="284">IF(AQ1697="1",BH1697,0)</f>
        <v>0</v>
      </c>
      <c r="AC1697" s="93">
        <f t="shared" ref="AC1697:AC1724" si="285">IF(AQ1697="1",BI1697,0)</f>
        <v>0</v>
      </c>
      <c r="AD1697" s="93">
        <f t="shared" ref="AD1697:AD1724" si="286">IF(AQ1697="7",BH1697,0)</f>
        <v>0</v>
      </c>
      <c r="AE1697" s="93">
        <f t="shared" ref="AE1697:AE1724" si="287">IF(AQ1697="7",BI1697,0)</f>
        <v>0</v>
      </c>
      <c r="AF1697" s="93">
        <f t="shared" ref="AF1697:AF1724" si="288">IF(AQ1697="2",BH1697,0)</f>
        <v>0</v>
      </c>
      <c r="AG1697" s="93">
        <f t="shared" ref="AG1697:AG1724" si="289">IF(AQ1697="2",BI1697,0)</f>
        <v>0</v>
      </c>
      <c r="AH1697" s="93">
        <f t="shared" ref="AH1697:AH1724" si="290">IF(AQ1697="0",BJ1697,0)</f>
        <v>0</v>
      </c>
      <c r="AI1697" s="88" t="s">
        <v>55</v>
      </c>
      <c r="AJ1697" s="93">
        <f t="shared" ref="AJ1697:AJ1724" si="291">IF(AN1697=0,L1697,0)</f>
        <v>0</v>
      </c>
      <c r="AK1697" s="93">
        <f t="shared" ref="AK1697:AK1724" si="292">IF(AN1697=12,L1697,0)</f>
        <v>0</v>
      </c>
      <c r="AL1697" s="93">
        <f t="shared" ref="AL1697:AL1724" si="293">IF(AN1697=21,L1697,0)</f>
        <v>0</v>
      </c>
      <c r="AN1697" s="93">
        <v>21</v>
      </c>
      <c r="AO1697" s="93">
        <f>H1697*0.96818101</f>
        <v>0</v>
      </c>
      <c r="AP1697" s="93">
        <f>H1697*(1-0.96818101)</f>
        <v>0</v>
      </c>
      <c r="AQ1697" s="94" t="s">
        <v>148</v>
      </c>
      <c r="AV1697" s="93">
        <f t="shared" ref="AV1697:AV1724" si="294">AW1697+AX1697</f>
        <v>0</v>
      </c>
      <c r="AW1697" s="93">
        <f t="shared" ref="AW1697:AW1724" si="295">G1697*AO1697</f>
        <v>0</v>
      </c>
      <c r="AX1697" s="93">
        <f t="shared" ref="AX1697:AX1724" si="296">G1697*AP1697</f>
        <v>0</v>
      </c>
      <c r="AY1697" s="94" t="s">
        <v>2054</v>
      </c>
      <c r="AZ1697" s="94" t="s">
        <v>1920</v>
      </c>
      <c r="BA1697" s="88" t="s">
        <v>67</v>
      </c>
      <c r="BC1697" s="93">
        <f t="shared" ref="BC1697:BC1724" si="297">AW1697+AX1697</f>
        <v>0</v>
      </c>
      <c r="BD1697" s="93">
        <f t="shared" ref="BD1697:BD1724" si="298">H1697/(100-BE1697)*100</f>
        <v>0</v>
      </c>
      <c r="BE1697" s="93">
        <v>0</v>
      </c>
      <c r="BF1697" s="93">
        <f t="shared" ref="BF1697:BF1724" si="299">O1697</f>
        <v>5.0000000000000001E-4</v>
      </c>
      <c r="BH1697" s="93">
        <f t="shared" ref="BH1697:BH1724" si="300">G1697*AO1697</f>
        <v>0</v>
      </c>
      <c r="BI1697" s="93">
        <f t="shared" ref="BI1697:BI1724" si="301">G1697*AP1697</f>
        <v>0</v>
      </c>
      <c r="BJ1697" s="93">
        <f t="shared" ref="BJ1697:BJ1724" si="302">G1697*H1697</f>
        <v>0</v>
      </c>
      <c r="BK1697" s="93"/>
      <c r="BL1697" s="93">
        <v>734</v>
      </c>
      <c r="BW1697" s="93" t="str">
        <f t="shared" ref="BW1697:BW1724" si="303">I1697</f>
        <v>21</v>
      </c>
      <c r="BX1697" s="2" t="s">
        <v>2053</v>
      </c>
    </row>
    <row r="1698" spans="1:76" s="81" customFormat="1" ht="25.5" x14ac:dyDescent="0.25">
      <c r="A1698" s="72" t="s">
        <v>2055</v>
      </c>
      <c r="B1698" s="72" t="s">
        <v>55</v>
      </c>
      <c r="C1698" s="72" t="s">
        <v>2056</v>
      </c>
      <c r="D1698" s="175" t="s">
        <v>2057</v>
      </c>
      <c r="E1698" s="175"/>
      <c r="F1698" s="72" t="s">
        <v>203</v>
      </c>
      <c r="G1698" s="90">
        <v>1</v>
      </c>
      <c r="H1698" s="91"/>
      <c r="I1698" s="92" t="s">
        <v>63</v>
      </c>
      <c r="J1698" s="90">
        <f t="shared" si="278"/>
        <v>0</v>
      </c>
      <c r="K1698" s="90">
        <f t="shared" si="279"/>
        <v>0</v>
      </c>
      <c r="L1698" s="90">
        <f t="shared" si="280"/>
        <v>0</v>
      </c>
      <c r="M1698" s="90">
        <f t="shared" si="281"/>
        <v>0</v>
      </c>
      <c r="N1698" s="90">
        <v>5.0000000000000001E-4</v>
      </c>
      <c r="O1698" s="90">
        <f t="shared" si="282"/>
        <v>5.0000000000000001E-4</v>
      </c>
      <c r="P1698" s="92" t="s">
        <v>64</v>
      </c>
      <c r="Z1698" s="93">
        <f t="shared" si="283"/>
        <v>0</v>
      </c>
      <c r="AB1698" s="93">
        <f t="shared" si="284"/>
        <v>0</v>
      </c>
      <c r="AC1698" s="93">
        <f t="shared" si="285"/>
        <v>0</v>
      </c>
      <c r="AD1698" s="93">
        <f t="shared" si="286"/>
        <v>0</v>
      </c>
      <c r="AE1698" s="93">
        <f t="shared" si="287"/>
        <v>0</v>
      </c>
      <c r="AF1698" s="93">
        <f t="shared" si="288"/>
        <v>0</v>
      </c>
      <c r="AG1698" s="93">
        <f t="shared" si="289"/>
        <v>0</v>
      </c>
      <c r="AH1698" s="93">
        <f t="shared" si="290"/>
        <v>0</v>
      </c>
      <c r="AI1698" s="88" t="s">
        <v>55</v>
      </c>
      <c r="AJ1698" s="93">
        <f t="shared" si="291"/>
        <v>0</v>
      </c>
      <c r="AK1698" s="93">
        <f t="shared" si="292"/>
        <v>0</v>
      </c>
      <c r="AL1698" s="93">
        <f t="shared" si="293"/>
        <v>0</v>
      </c>
      <c r="AN1698" s="93">
        <v>21</v>
      </c>
      <c r="AO1698" s="93">
        <f>H1698*0.973824034</f>
        <v>0</v>
      </c>
      <c r="AP1698" s="93">
        <f>H1698*(1-0.973824034)</f>
        <v>0</v>
      </c>
      <c r="AQ1698" s="94" t="s">
        <v>148</v>
      </c>
      <c r="AV1698" s="93">
        <f t="shared" si="294"/>
        <v>0</v>
      </c>
      <c r="AW1698" s="93">
        <f t="shared" si="295"/>
        <v>0</v>
      </c>
      <c r="AX1698" s="93">
        <f t="shared" si="296"/>
        <v>0</v>
      </c>
      <c r="AY1698" s="94" t="s">
        <v>2054</v>
      </c>
      <c r="AZ1698" s="94" t="s">
        <v>1920</v>
      </c>
      <c r="BA1698" s="88" t="s">
        <v>67</v>
      </c>
      <c r="BC1698" s="93">
        <f t="shared" si="297"/>
        <v>0</v>
      </c>
      <c r="BD1698" s="93">
        <f t="shared" si="298"/>
        <v>0</v>
      </c>
      <c r="BE1698" s="93">
        <v>0</v>
      </c>
      <c r="BF1698" s="93">
        <f t="shared" si="299"/>
        <v>5.0000000000000001E-4</v>
      </c>
      <c r="BH1698" s="93">
        <f t="shared" si="300"/>
        <v>0</v>
      </c>
      <c r="BI1698" s="93">
        <f t="shared" si="301"/>
        <v>0</v>
      </c>
      <c r="BJ1698" s="93">
        <f t="shared" si="302"/>
        <v>0</v>
      </c>
      <c r="BK1698" s="93"/>
      <c r="BL1698" s="93">
        <v>734</v>
      </c>
      <c r="BW1698" s="93" t="str">
        <f t="shared" si="303"/>
        <v>21</v>
      </c>
      <c r="BX1698" s="2" t="s">
        <v>2057</v>
      </c>
    </row>
    <row r="1699" spans="1:76" s="81" customFormat="1" ht="25.5" x14ac:dyDescent="0.25">
      <c r="A1699" s="72" t="s">
        <v>2058</v>
      </c>
      <c r="B1699" s="72" t="s">
        <v>55</v>
      </c>
      <c r="C1699" s="72" t="s">
        <v>2059</v>
      </c>
      <c r="D1699" s="175" t="s">
        <v>2060</v>
      </c>
      <c r="E1699" s="175"/>
      <c r="F1699" s="72" t="s">
        <v>203</v>
      </c>
      <c r="G1699" s="90">
        <v>1</v>
      </c>
      <c r="H1699" s="91"/>
      <c r="I1699" s="92" t="s">
        <v>63</v>
      </c>
      <c r="J1699" s="90">
        <f t="shared" si="278"/>
        <v>0</v>
      </c>
      <c r="K1699" s="90">
        <f t="shared" si="279"/>
        <v>0</v>
      </c>
      <c r="L1699" s="90">
        <f t="shared" si="280"/>
        <v>0</v>
      </c>
      <c r="M1699" s="90">
        <f t="shared" si="281"/>
        <v>0</v>
      </c>
      <c r="N1699" s="90">
        <v>6.4999999999999997E-4</v>
      </c>
      <c r="O1699" s="90">
        <f t="shared" si="282"/>
        <v>6.4999999999999997E-4</v>
      </c>
      <c r="P1699" s="92" t="s">
        <v>64</v>
      </c>
      <c r="Z1699" s="93">
        <f t="shared" si="283"/>
        <v>0</v>
      </c>
      <c r="AB1699" s="93">
        <f t="shared" si="284"/>
        <v>0</v>
      </c>
      <c r="AC1699" s="93">
        <f t="shared" si="285"/>
        <v>0</v>
      </c>
      <c r="AD1699" s="93">
        <f t="shared" si="286"/>
        <v>0</v>
      </c>
      <c r="AE1699" s="93">
        <f t="shared" si="287"/>
        <v>0</v>
      </c>
      <c r="AF1699" s="93">
        <f t="shared" si="288"/>
        <v>0</v>
      </c>
      <c r="AG1699" s="93">
        <f t="shared" si="289"/>
        <v>0</v>
      </c>
      <c r="AH1699" s="93">
        <f t="shared" si="290"/>
        <v>0</v>
      </c>
      <c r="AI1699" s="88" t="s">
        <v>55</v>
      </c>
      <c r="AJ1699" s="93">
        <f t="shared" si="291"/>
        <v>0</v>
      </c>
      <c r="AK1699" s="93">
        <f t="shared" si="292"/>
        <v>0</v>
      </c>
      <c r="AL1699" s="93">
        <f t="shared" si="293"/>
        <v>0</v>
      </c>
      <c r="AN1699" s="93">
        <v>21</v>
      </c>
      <c r="AO1699" s="93">
        <f>H1699*0.91199187</f>
        <v>0</v>
      </c>
      <c r="AP1699" s="93">
        <f>H1699*(1-0.91199187)</f>
        <v>0</v>
      </c>
      <c r="AQ1699" s="94" t="s">
        <v>148</v>
      </c>
      <c r="AV1699" s="93">
        <f t="shared" si="294"/>
        <v>0</v>
      </c>
      <c r="AW1699" s="93">
        <f t="shared" si="295"/>
        <v>0</v>
      </c>
      <c r="AX1699" s="93">
        <f t="shared" si="296"/>
        <v>0</v>
      </c>
      <c r="AY1699" s="94" t="s">
        <v>2054</v>
      </c>
      <c r="AZ1699" s="94" t="s">
        <v>1920</v>
      </c>
      <c r="BA1699" s="88" t="s">
        <v>67</v>
      </c>
      <c r="BC1699" s="93">
        <f t="shared" si="297"/>
        <v>0</v>
      </c>
      <c r="BD1699" s="93">
        <f t="shared" si="298"/>
        <v>0</v>
      </c>
      <c r="BE1699" s="93">
        <v>0</v>
      </c>
      <c r="BF1699" s="93">
        <f t="shared" si="299"/>
        <v>6.4999999999999997E-4</v>
      </c>
      <c r="BH1699" s="93">
        <f t="shared" si="300"/>
        <v>0</v>
      </c>
      <c r="BI1699" s="93">
        <f t="shared" si="301"/>
        <v>0</v>
      </c>
      <c r="BJ1699" s="93">
        <f t="shared" si="302"/>
        <v>0</v>
      </c>
      <c r="BK1699" s="93"/>
      <c r="BL1699" s="93">
        <v>734</v>
      </c>
      <c r="BW1699" s="93" t="str">
        <f t="shared" si="303"/>
        <v>21</v>
      </c>
      <c r="BX1699" s="2" t="s">
        <v>2060</v>
      </c>
    </row>
    <row r="1700" spans="1:76" s="81" customFormat="1" ht="25.5" x14ac:dyDescent="0.25">
      <c r="A1700" s="72" t="s">
        <v>2061</v>
      </c>
      <c r="B1700" s="72" t="s">
        <v>55</v>
      </c>
      <c r="C1700" s="72" t="s">
        <v>2062</v>
      </c>
      <c r="D1700" s="175" t="s">
        <v>2063</v>
      </c>
      <c r="E1700" s="175"/>
      <c r="F1700" s="72" t="s">
        <v>203</v>
      </c>
      <c r="G1700" s="90">
        <v>2</v>
      </c>
      <c r="H1700" s="91"/>
      <c r="I1700" s="92" t="s">
        <v>63</v>
      </c>
      <c r="J1700" s="90">
        <f t="shared" si="278"/>
        <v>0</v>
      </c>
      <c r="K1700" s="90">
        <f t="shared" si="279"/>
        <v>0</v>
      </c>
      <c r="L1700" s="90">
        <f t="shared" si="280"/>
        <v>0</v>
      </c>
      <c r="M1700" s="90">
        <f t="shared" si="281"/>
        <v>0</v>
      </c>
      <c r="N1700" s="90">
        <v>6.4999999999999997E-4</v>
      </c>
      <c r="O1700" s="90">
        <f t="shared" si="282"/>
        <v>1.2999999999999999E-3</v>
      </c>
      <c r="P1700" s="92" t="s">
        <v>64</v>
      </c>
      <c r="Z1700" s="93">
        <f t="shared" si="283"/>
        <v>0</v>
      </c>
      <c r="AB1700" s="93">
        <f t="shared" si="284"/>
        <v>0</v>
      </c>
      <c r="AC1700" s="93">
        <f t="shared" si="285"/>
        <v>0</v>
      </c>
      <c r="AD1700" s="93">
        <f t="shared" si="286"/>
        <v>0</v>
      </c>
      <c r="AE1700" s="93">
        <f t="shared" si="287"/>
        <v>0</v>
      </c>
      <c r="AF1700" s="93">
        <f t="shared" si="288"/>
        <v>0</v>
      </c>
      <c r="AG1700" s="93">
        <f t="shared" si="289"/>
        <v>0</v>
      </c>
      <c r="AH1700" s="93">
        <f t="shared" si="290"/>
        <v>0</v>
      </c>
      <c r="AI1700" s="88" t="s">
        <v>55</v>
      </c>
      <c r="AJ1700" s="93">
        <f t="shared" si="291"/>
        <v>0</v>
      </c>
      <c r="AK1700" s="93">
        <f t="shared" si="292"/>
        <v>0</v>
      </c>
      <c r="AL1700" s="93">
        <f t="shared" si="293"/>
        <v>0</v>
      </c>
      <c r="AN1700" s="93">
        <v>21</v>
      </c>
      <c r="AO1700" s="93">
        <f>H1700*0.888392278</f>
        <v>0</v>
      </c>
      <c r="AP1700" s="93">
        <f>H1700*(1-0.888392278)</f>
        <v>0</v>
      </c>
      <c r="AQ1700" s="94" t="s">
        <v>148</v>
      </c>
      <c r="AV1700" s="93">
        <f t="shared" si="294"/>
        <v>0</v>
      </c>
      <c r="AW1700" s="93">
        <f t="shared" si="295"/>
        <v>0</v>
      </c>
      <c r="AX1700" s="93">
        <f t="shared" si="296"/>
        <v>0</v>
      </c>
      <c r="AY1700" s="94" t="s">
        <v>2054</v>
      </c>
      <c r="AZ1700" s="94" t="s">
        <v>1920</v>
      </c>
      <c r="BA1700" s="88" t="s">
        <v>67</v>
      </c>
      <c r="BC1700" s="93">
        <f t="shared" si="297"/>
        <v>0</v>
      </c>
      <c r="BD1700" s="93">
        <f t="shared" si="298"/>
        <v>0</v>
      </c>
      <c r="BE1700" s="93">
        <v>0</v>
      </c>
      <c r="BF1700" s="93">
        <f t="shared" si="299"/>
        <v>1.2999999999999999E-3</v>
      </c>
      <c r="BH1700" s="93">
        <f t="shared" si="300"/>
        <v>0</v>
      </c>
      <c r="BI1700" s="93">
        <f t="shared" si="301"/>
        <v>0</v>
      </c>
      <c r="BJ1700" s="93">
        <f t="shared" si="302"/>
        <v>0</v>
      </c>
      <c r="BK1700" s="93"/>
      <c r="BL1700" s="93">
        <v>734</v>
      </c>
      <c r="BW1700" s="93" t="str">
        <f t="shared" si="303"/>
        <v>21</v>
      </c>
      <c r="BX1700" s="2" t="s">
        <v>2063</v>
      </c>
    </row>
    <row r="1701" spans="1:76" s="81" customFormat="1" ht="25.5" x14ac:dyDescent="0.25">
      <c r="A1701" s="72" t="s">
        <v>2064</v>
      </c>
      <c r="B1701" s="72" t="s">
        <v>55</v>
      </c>
      <c r="C1701" s="72" t="s">
        <v>2065</v>
      </c>
      <c r="D1701" s="175" t="s">
        <v>2066</v>
      </c>
      <c r="E1701" s="175"/>
      <c r="F1701" s="72" t="s">
        <v>203</v>
      </c>
      <c r="G1701" s="90">
        <v>1</v>
      </c>
      <c r="H1701" s="91"/>
      <c r="I1701" s="92" t="s">
        <v>63</v>
      </c>
      <c r="J1701" s="90">
        <f t="shared" si="278"/>
        <v>0</v>
      </c>
      <c r="K1701" s="90">
        <f t="shared" si="279"/>
        <v>0</v>
      </c>
      <c r="L1701" s="90">
        <f t="shared" si="280"/>
        <v>0</v>
      </c>
      <c r="M1701" s="90">
        <f t="shared" si="281"/>
        <v>0</v>
      </c>
      <c r="N1701" s="90">
        <v>5.5000000000000003E-4</v>
      </c>
      <c r="O1701" s="90">
        <f t="shared" si="282"/>
        <v>5.5000000000000003E-4</v>
      </c>
      <c r="P1701" s="92" t="s">
        <v>64</v>
      </c>
      <c r="Z1701" s="93">
        <f t="shared" si="283"/>
        <v>0</v>
      </c>
      <c r="AB1701" s="93">
        <f t="shared" si="284"/>
        <v>0</v>
      </c>
      <c r="AC1701" s="93">
        <f t="shared" si="285"/>
        <v>0</v>
      </c>
      <c r="AD1701" s="93">
        <f t="shared" si="286"/>
        <v>0</v>
      </c>
      <c r="AE1701" s="93">
        <f t="shared" si="287"/>
        <v>0</v>
      </c>
      <c r="AF1701" s="93">
        <f t="shared" si="288"/>
        <v>0</v>
      </c>
      <c r="AG1701" s="93">
        <f t="shared" si="289"/>
        <v>0</v>
      </c>
      <c r="AH1701" s="93">
        <f t="shared" si="290"/>
        <v>0</v>
      </c>
      <c r="AI1701" s="88" t="s">
        <v>55</v>
      </c>
      <c r="AJ1701" s="93">
        <f t="shared" si="291"/>
        <v>0</v>
      </c>
      <c r="AK1701" s="93">
        <f t="shared" si="292"/>
        <v>0</v>
      </c>
      <c r="AL1701" s="93">
        <f t="shared" si="293"/>
        <v>0</v>
      </c>
      <c r="AN1701" s="93">
        <v>21</v>
      </c>
      <c r="AO1701" s="93">
        <f>H1701*0.864080717</f>
        <v>0</v>
      </c>
      <c r="AP1701" s="93">
        <f>H1701*(1-0.864080717)</f>
        <v>0</v>
      </c>
      <c r="AQ1701" s="94" t="s">
        <v>148</v>
      </c>
      <c r="AV1701" s="93">
        <f t="shared" si="294"/>
        <v>0</v>
      </c>
      <c r="AW1701" s="93">
        <f t="shared" si="295"/>
        <v>0</v>
      </c>
      <c r="AX1701" s="93">
        <f t="shared" si="296"/>
        <v>0</v>
      </c>
      <c r="AY1701" s="94" t="s">
        <v>2054</v>
      </c>
      <c r="AZ1701" s="94" t="s">
        <v>1920</v>
      </c>
      <c r="BA1701" s="88" t="s">
        <v>67</v>
      </c>
      <c r="BC1701" s="93">
        <f t="shared" si="297"/>
        <v>0</v>
      </c>
      <c r="BD1701" s="93">
        <f t="shared" si="298"/>
        <v>0</v>
      </c>
      <c r="BE1701" s="93">
        <v>0</v>
      </c>
      <c r="BF1701" s="93">
        <f t="shared" si="299"/>
        <v>5.5000000000000003E-4</v>
      </c>
      <c r="BH1701" s="93">
        <f t="shared" si="300"/>
        <v>0</v>
      </c>
      <c r="BI1701" s="93">
        <f t="shared" si="301"/>
        <v>0</v>
      </c>
      <c r="BJ1701" s="93">
        <f t="shared" si="302"/>
        <v>0</v>
      </c>
      <c r="BK1701" s="93"/>
      <c r="BL1701" s="93">
        <v>734</v>
      </c>
      <c r="BW1701" s="93" t="str">
        <f t="shared" si="303"/>
        <v>21</v>
      </c>
      <c r="BX1701" s="2" t="s">
        <v>2066</v>
      </c>
    </row>
    <row r="1702" spans="1:76" s="81" customFormat="1" ht="25.5" x14ac:dyDescent="0.25">
      <c r="A1702" s="72" t="s">
        <v>2067</v>
      </c>
      <c r="B1702" s="72" t="s">
        <v>55</v>
      </c>
      <c r="C1702" s="72" t="s">
        <v>2068</v>
      </c>
      <c r="D1702" s="175" t="s">
        <v>2069</v>
      </c>
      <c r="E1702" s="175"/>
      <c r="F1702" s="72" t="s">
        <v>203</v>
      </c>
      <c r="G1702" s="90">
        <v>5</v>
      </c>
      <c r="H1702" s="91"/>
      <c r="I1702" s="92" t="s">
        <v>63</v>
      </c>
      <c r="J1702" s="90">
        <f t="shared" si="278"/>
        <v>0</v>
      </c>
      <c r="K1702" s="90">
        <f t="shared" si="279"/>
        <v>0</v>
      </c>
      <c r="L1702" s="90">
        <f t="shared" si="280"/>
        <v>0</v>
      </c>
      <c r="M1702" s="90">
        <f t="shared" si="281"/>
        <v>0</v>
      </c>
      <c r="N1702" s="90">
        <v>6.8000000000000005E-4</v>
      </c>
      <c r="O1702" s="90">
        <f t="shared" si="282"/>
        <v>3.4000000000000002E-3</v>
      </c>
      <c r="P1702" s="92" t="s">
        <v>64</v>
      </c>
      <c r="Z1702" s="93">
        <f t="shared" si="283"/>
        <v>0</v>
      </c>
      <c r="AB1702" s="93">
        <f t="shared" si="284"/>
        <v>0</v>
      </c>
      <c r="AC1702" s="93">
        <f t="shared" si="285"/>
        <v>0</v>
      </c>
      <c r="AD1702" s="93">
        <f t="shared" si="286"/>
        <v>0</v>
      </c>
      <c r="AE1702" s="93">
        <f t="shared" si="287"/>
        <v>0</v>
      </c>
      <c r="AF1702" s="93">
        <f t="shared" si="288"/>
        <v>0</v>
      </c>
      <c r="AG1702" s="93">
        <f t="shared" si="289"/>
        <v>0</v>
      </c>
      <c r="AH1702" s="93">
        <f t="shared" si="290"/>
        <v>0</v>
      </c>
      <c r="AI1702" s="88" t="s">
        <v>55</v>
      </c>
      <c r="AJ1702" s="93">
        <f t="shared" si="291"/>
        <v>0</v>
      </c>
      <c r="AK1702" s="93">
        <f t="shared" si="292"/>
        <v>0</v>
      </c>
      <c r="AL1702" s="93">
        <f t="shared" si="293"/>
        <v>0</v>
      </c>
      <c r="AN1702" s="93">
        <v>21</v>
      </c>
      <c r="AO1702" s="93">
        <f>H1702*0.860529898</f>
        <v>0</v>
      </c>
      <c r="AP1702" s="93">
        <f>H1702*(1-0.860529898)</f>
        <v>0</v>
      </c>
      <c r="AQ1702" s="94" t="s">
        <v>148</v>
      </c>
      <c r="AV1702" s="93">
        <f t="shared" si="294"/>
        <v>0</v>
      </c>
      <c r="AW1702" s="93">
        <f t="shared" si="295"/>
        <v>0</v>
      </c>
      <c r="AX1702" s="93">
        <f t="shared" si="296"/>
        <v>0</v>
      </c>
      <c r="AY1702" s="94" t="s">
        <v>2054</v>
      </c>
      <c r="AZ1702" s="94" t="s">
        <v>1920</v>
      </c>
      <c r="BA1702" s="88" t="s">
        <v>67</v>
      </c>
      <c r="BC1702" s="93">
        <f t="shared" si="297"/>
        <v>0</v>
      </c>
      <c r="BD1702" s="93">
        <f t="shared" si="298"/>
        <v>0</v>
      </c>
      <c r="BE1702" s="93">
        <v>0</v>
      </c>
      <c r="BF1702" s="93">
        <f t="shared" si="299"/>
        <v>3.4000000000000002E-3</v>
      </c>
      <c r="BH1702" s="93">
        <f t="shared" si="300"/>
        <v>0</v>
      </c>
      <c r="BI1702" s="93">
        <f t="shared" si="301"/>
        <v>0</v>
      </c>
      <c r="BJ1702" s="93">
        <f t="shared" si="302"/>
        <v>0</v>
      </c>
      <c r="BK1702" s="93"/>
      <c r="BL1702" s="93">
        <v>734</v>
      </c>
      <c r="BW1702" s="93" t="str">
        <f t="shared" si="303"/>
        <v>21</v>
      </c>
      <c r="BX1702" s="2" t="s">
        <v>2069</v>
      </c>
    </row>
    <row r="1703" spans="1:76" s="81" customFormat="1" ht="25.5" x14ac:dyDescent="0.25">
      <c r="A1703" s="72" t="s">
        <v>2070</v>
      </c>
      <c r="B1703" s="72" t="s">
        <v>55</v>
      </c>
      <c r="C1703" s="72" t="s">
        <v>2071</v>
      </c>
      <c r="D1703" s="175" t="s">
        <v>2072</v>
      </c>
      <c r="E1703" s="175"/>
      <c r="F1703" s="72" t="s">
        <v>203</v>
      </c>
      <c r="G1703" s="90">
        <v>2</v>
      </c>
      <c r="H1703" s="91"/>
      <c r="I1703" s="92" t="s">
        <v>63</v>
      </c>
      <c r="J1703" s="90">
        <f t="shared" si="278"/>
        <v>0</v>
      </c>
      <c r="K1703" s="90">
        <f t="shared" si="279"/>
        <v>0</v>
      </c>
      <c r="L1703" s="90">
        <f t="shared" si="280"/>
        <v>0</v>
      </c>
      <c r="M1703" s="90">
        <f t="shared" si="281"/>
        <v>0</v>
      </c>
      <c r="N1703" s="90">
        <v>1.06E-3</v>
      </c>
      <c r="O1703" s="90">
        <f t="shared" si="282"/>
        <v>2.1199999999999999E-3</v>
      </c>
      <c r="P1703" s="92" t="s">
        <v>64</v>
      </c>
      <c r="Z1703" s="93">
        <f t="shared" si="283"/>
        <v>0</v>
      </c>
      <c r="AB1703" s="93">
        <f t="shared" si="284"/>
        <v>0</v>
      </c>
      <c r="AC1703" s="93">
        <f t="shared" si="285"/>
        <v>0</v>
      </c>
      <c r="AD1703" s="93">
        <f t="shared" si="286"/>
        <v>0</v>
      </c>
      <c r="AE1703" s="93">
        <f t="shared" si="287"/>
        <v>0</v>
      </c>
      <c r="AF1703" s="93">
        <f t="shared" si="288"/>
        <v>0</v>
      </c>
      <c r="AG1703" s="93">
        <f t="shared" si="289"/>
        <v>0</v>
      </c>
      <c r="AH1703" s="93">
        <f t="shared" si="290"/>
        <v>0</v>
      </c>
      <c r="AI1703" s="88" t="s">
        <v>55</v>
      </c>
      <c r="AJ1703" s="93">
        <f t="shared" si="291"/>
        <v>0</v>
      </c>
      <c r="AK1703" s="93">
        <f t="shared" si="292"/>
        <v>0</v>
      </c>
      <c r="AL1703" s="93">
        <f t="shared" si="293"/>
        <v>0</v>
      </c>
      <c r="AN1703" s="93">
        <v>21</v>
      </c>
      <c r="AO1703" s="93">
        <f>H1703*0.877497436</f>
        <v>0</v>
      </c>
      <c r="AP1703" s="93">
        <f>H1703*(1-0.877497436)</f>
        <v>0</v>
      </c>
      <c r="AQ1703" s="94" t="s">
        <v>148</v>
      </c>
      <c r="AV1703" s="93">
        <f t="shared" si="294"/>
        <v>0</v>
      </c>
      <c r="AW1703" s="93">
        <f t="shared" si="295"/>
        <v>0</v>
      </c>
      <c r="AX1703" s="93">
        <f t="shared" si="296"/>
        <v>0</v>
      </c>
      <c r="AY1703" s="94" t="s">
        <v>2054</v>
      </c>
      <c r="AZ1703" s="94" t="s">
        <v>1920</v>
      </c>
      <c r="BA1703" s="88" t="s">
        <v>67</v>
      </c>
      <c r="BC1703" s="93">
        <f t="shared" si="297"/>
        <v>0</v>
      </c>
      <c r="BD1703" s="93">
        <f t="shared" si="298"/>
        <v>0</v>
      </c>
      <c r="BE1703" s="93">
        <v>0</v>
      </c>
      <c r="BF1703" s="93">
        <f t="shared" si="299"/>
        <v>2.1199999999999999E-3</v>
      </c>
      <c r="BH1703" s="93">
        <f t="shared" si="300"/>
        <v>0</v>
      </c>
      <c r="BI1703" s="93">
        <f t="shared" si="301"/>
        <v>0</v>
      </c>
      <c r="BJ1703" s="93">
        <f t="shared" si="302"/>
        <v>0</v>
      </c>
      <c r="BK1703" s="93"/>
      <c r="BL1703" s="93">
        <v>734</v>
      </c>
      <c r="BW1703" s="93" t="str">
        <f t="shared" si="303"/>
        <v>21</v>
      </c>
      <c r="BX1703" s="2" t="s">
        <v>2072</v>
      </c>
    </row>
    <row r="1704" spans="1:76" s="81" customFormat="1" ht="25.5" x14ac:dyDescent="0.25">
      <c r="A1704" s="72" t="s">
        <v>2073</v>
      </c>
      <c r="B1704" s="72" t="s">
        <v>55</v>
      </c>
      <c r="C1704" s="72" t="s">
        <v>2074</v>
      </c>
      <c r="D1704" s="175" t="s">
        <v>2075</v>
      </c>
      <c r="E1704" s="175"/>
      <c r="F1704" s="72" t="s">
        <v>203</v>
      </c>
      <c r="G1704" s="90">
        <v>3</v>
      </c>
      <c r="H1704" s="91"/>
      <c r="I1704" s="92" t="s">
        <v>63</v>
      </c>
      <c r="J1704" s="90">
        <f t="shared" si="278"/>
        <v>0</v>
      </c>
      <c r="K1704" s="90">
        <f t="shared" si="279"/>
        <v>0</v>
      </c>
      <c r="L1704" s="90">
        <f t="shared" si="280"/>
        <v>0</v>
      </c>
      <c r="M1704" s="90">
        <f t="shared" si="281"/>
        <v>0</v>
      </c>
      <c r="N1704" s="90">
        <v>1.8000000000000001E-4</v>
      </c>
      <c r="O1704" s="90">
        <f t="shared" si="282"/>
        <v>5.4000000000000001E-4</v>
      </c>
      <c r="P1704" s="92" t="s">
        <v>64</v>
      </c>
      <c r="Z1704" s="93">
        <f t="shared" si="283"/>
        <v>0</v>
      </c>
      <c r="AB1704" s="93">
        <f t="shared" si="284"/>
        <v>0</v>
      </c>
      <c r="AC1704" s="93">
        <f t="shared" si="285"/>
        <v>0</v>
      </c>
      <c r="AD1704" s="93">
        <f t="shared" si="286"/>
        <v>0</v>
      </c>
      <c r="AE1704" s="93">
        <f t="shared" si="287"/>
        <v>0</v>
      </c>
      <c r="AF1704" s="93">
        <f t="shared" si="288"/>
        <v>0</v>
      </c>
      <c r="AG1704" s="93">
        <f t="shared" si="289"/>
        <v>0</v>
      </c>
      <c r="AH1704" s="93">
        <f t="shared" si="290"/>
        <v>0</v>
      </c>
      <c r="AI1704" s="88" t="s">
        <v>55</v>
      </c>
      <c r="AJ1704" s="93">
        <f t="shared" si="291"/>
        <v>0</v>
      </c>
      <c r="AK1704" s="93">
        <f t="shared" si="292"/>
        <v>0</v>
      </c>
      <c r="AL1704" s="93">
        <f t="shared" si="293"/>
        <v>0</v>
      </c>
      <c r="AN1704" s="93">
        <v>21</v>
      </c>
      <c r="AO1704" s="93">
        <f>H1704*0.823865546</f>
        <v>0</v>
      </c>
      <c r="AP1704" s="93">
        <f>H1704*(1-0.823865546)</f>
        <v>0</v>
      </c>
      <c r="AQ1704" s="94" t="s">
        <v>148</v>
      </c>
      <c r="AV1704" s="93">
        <f t="shared" si="294"/>
        <v>0</v>
      </c>
      <c r="AW1704" s="93">
        <f t="shared" si="295"/>
        <v>0</v>
      </c>
      <c r="AX1704" s="93">
        <f t="shared" si="296"/>
        <v>0</v>
      </c>
      <c r="AY1704" s="94" t="s">
        <v>2054</v>
      </c>
      <c r="AZ1704" s="94" t="s">
        <v>1920</v>
      </c>
      <c r="BA1704" s="88" t="s">
        <v>67</v>
      </c>
      <c r="BC1704" s="93">
        <f t="shared" si="297"/>
        <v>0</v>
      </c>
      <c r="BD1704" s="93">
        <f t="shared" si="298"/>
        <v>0</v>
      </c>
      <c r="BE1704" s="93">
        <v>0</v>
      </c>
      <c r="BF1704" s="93">
        <f t="shared" si="299"/>
        <v>5.4000000000000001E-4</v>
      </c>
      <c r="BH1704" s="93">
        <f t="shared" si="300"/>
        <v>0</v>
      </c>
      <c r="BI1704" s="93">
        <f t="shared" si="301"/>
        <v>0</v>
      </c>
      <c r="BJ1704" s="93">
        <f t="shared" si="302"/>
        <v>0</v>
      </c>
      <c r="BK1704" s="93"/>
      <c r="BL1704" s="93">
        <v>734</v>
      </c>
      <c r="BW1704" s="93" t="str">
        <f t="shared" si="303"/>
        <v>21</v>
      </c>
      <c r="BX1704" s="2" t="s">
        <v>2075</v>
      </c>
    </row>
    <row r="1705" spans="1:76" s="81" customFormat="1" ht="25.5" x14ac:dyDescent="0.25">
      <c r="A1705" s="72" t="s">
        <v>2076</v>
      </c>
      <c r="B1705" s="72" t="s">
        <v>55</v>
      </c>
      <c r="C1705" s="72" t="s">
        <v>2077</v>
      </c>
      <c r="D1705" s="175" t="s">
        <v>2078</v>
      </c>
      <c r="E1705" s="175"/>
      <c r="F1705" s="72" t="s">
        <v>203</v>
      </c>
      <c r="G1705" s="90">
        <v>4</v>
      </c>
      <c r="H1705" s="91"/>
      <c r="I1705" s="92" t="s">
        <v>63</v>
      </c>
      <c r="J1705" s="90">
        <f t="shared" si="278"/>
        <v>0</v>
      </c>
      <c r="K1705" s="90">
        <f t="shared" si="279"/>
        <v>0</v>
      </c>
      <c r="L1705" s="90">
        <f t="shared" si="280"/>
        <v>0</v>
      </c>
      <c r="M1705" s="90">
        <f t="shared" si="281"/>
        <v>0</v>
      </c>
      <c r="N1705" s="90">
        <v>5.9999999999999995E-4</v>
      </c>
      <c r="O1705" s="90">
        <f t="shared" si="282"/>
        <v>2.3999999999999998E-3</v>
      </c>
      <c r="P1705" s="92" t="s">
        <v>64</v>
      </c>
      <c r="Z1705" s="93">
        <f t="shared" si="283"/>
        <v>0</v>
      </c>
      <c r="AB1705" s="93">
        <f t="shared" si="284"/>
        <v>0</v>
      </c>
      <c r="AC1705" s="93">
        <f t="shared" si="285"/>
        <v>0</v>
      </c>
      <c r="AD1705" s="93">
        <f t="shared" si="286"/>
        <v>0</v>
      </c>
      <c r="AE1705" s="93">
        <f t="shared" si="287"/>
        <v>0</v>
      </c>
      <c r="AF1705" s="93">
        <f t="shared" si="288"/>
        <v>0</v>
      </c>
      <c r="AG1705" s="93">
        <f t="shared" si="289"/>
        <v>0</v>
      </c>
      <c r="AH1705" s="93">
        <f t="shared" si="290"/>
        <v>0</v>
      </c>
      <c r="AI1705" s="88" t="s">
        <v>55</v>
      </c>
      <c r="AJ1705" s="93">
        <f t="shared" si="291"/>
        <v>0</v>
      </c>
      <c r="AK1705" s="93">
        <f t="shared" si="292"/>
        <v>0</v>
      </c>
      <c r="AL1705" s="93">
        <f t="shared" si="293"/>
        <v>0</v>
      </c>
      <c r="AN1705" s="93">
        <v>21</v>
      </c>
      <c r="AO1705" s="93">
        <f>H1705*0.704311295</f>
        <v>0</v>
      </c>
      <c r="AP1705" s="93">
        <f>H1705*(1-0.704311295)</f>
        <v>0</v>
      </c>
      <c r="AQ1705" s="94" t="s">
        <v>148</v>
      </c>
      <c r="AV1705" s="93">
        <f t="shared" si="294"/>
        <v>0</v>
      </c>
      <c r="AW1705" s="93">
        <f t="shared" si="295"/>
        <v>0</v>
      </c>
      <c r="AX1705" s="93">
        <f t="shared" si="296"/>
        <v>0</v>
      </c>
      <c r="AY1705" s="94" t="s">
        <v>2054</v>
      </c>
      <c r="AZ1705" s="94" t="s">
        <v>1920</v>
      </c>
      <c r="BA1705" s="88" t="s">
        <v>67</v>
      </c>
      <c r="BC1705" s="93">
        <f t="shared" si="297"/>
        <v>0</v>
      </c>
      <c r="BD1705" s="93">
        <f t="shared" si="298"/>
        <v>0</v>
      </c>
      <c r="BE1705" s="93">
        <v>0</v>
      </c>
      <c r="BF1705" s="93">
        <f t="shared" si="299"/>
        <v>2.3999999999999998E-3</v>
      </c>
      <c r="BH1705" s="93">
        <f t="shared" si="300"/>
        <v>0</v>
      </c>
      <c r="BI1705" s="93">
        <f t="shared" si="301"/>
        <v>0</v>
      </c>
      <c r="BJ1705" s="93">
        <f t="shared" si="302"/>
        <v>0</v>
      </c>
      <c r="BK1705" s="93"/>
      <c r="BL1705" s="93">
        <v>734</v>
      </c>
      <c r="BW1705" s="93" t="str">
        <f t="shared" si="303"/>
        <v>21</v>
      </c>
      <c r="BX1705" s="2" t="s">
        <v>2078</v>
      </c>
    </row>
    <row r="1706" spans="1:76" s="81" customFormat="1" ht="25.5" x14ac:dyDescent="0.25">
      <c r="A1706" s="72" t="s">
        <v>2079</v>
      </c>
      <c r="B1706" s="72" t="s">
        <v>55</v>
      </c>
      <c r="C1706" s="72" t="s">
        <v>2080</v>
      </c>
      <c r="D1706" s="175" t="s">
        <v>2081</v>
      </c>
      <c r="E1706" s="175"/>
      <c r="F1706" s="72" t="s">
        <v>1334</v>
      </c>
      <c r="G1706" s="90">
        <v>3</v>
      </c>
      <c r="H1706" s="91"/>
      <c r="I1706" s="92" t="s">
        <v>63</v>
      </c>
      <c r="J1706" s="90">
        <f t="shared" si="278"/>
        <v>0</v>
      </c>
      <c r="K1706" s="90">
        <f t="shared" si="279"/>
        <v>0</v>
      </c>
      <c r="L1706" s="90">
        <f t="shared" si="280"/>
        <v>0</v>
      </c>
      <c r="M1706" s="90">
        <f t="shared" si="281"/>
        <v>0</v>
      </c>
      <c r="N1706" s="90">
        <v>1.25E-3</v>
      </c>
      <c r="O1706" s="90">
        <f t="shared" si="282"/>
        <v>3.7499999999999999E-3</v>
      </c>
      <c r="P1706" s="92" t="s">
        <v>64</v>
      </c>
      <c r="Z1706" s="93">
        <f t="shared" si="283"/>
        <v>0</v>
      </c>
      <c r="AB1706" s="93">
        <f t="shared" si="284"/>
        <v>0</v>
      </c>
      <c r="AC1706" s="93">
        <f t="shared" si="285"/>
        <v>0</v>
      </c>
      <c r="AD1706" s="93">
        <f t="shared" si="286"/>
        <v>0</v>
      </c>
      <c r="AE1706" s="93">
        <f t="shared" si="287"/>
        <v>0</v>
      </c>
      <c r="AF1706" s="93">
        <f t="shared" si="288"/>
        <v>0</v>
      </c>
      <c r="AG1706" s="93">
        <f t="shared" si="289"/>
        <v>0</v>
      </c>
      <c r="AH1706" s="93">
        <f t="shared" si="290"/>
        <v>0</v>
      </c>
      <c r="AI1706" s="88" t="s">
        <v>55</v>
      </c>
      <c r="AJ1706" s="93">
        <f t="shared" si="291"/>
        <v>0</v>
      </c>
      <c r="AK1706" s="93">
        <f t="shared" si="292"/>
        <v>0</v>
      </c>
      <c r="AL1706" s="93">
        <f t="shared" si="293"/>
        <v>0</v>
      </c>
      <c r="AN1706" s="93">
        <v>21</v>
      </c>
      <c r="AO1706" s="93">
        <f>H1706*0.958779219</f>
        <v>0</v>
      </c>
      <c r="AP1706" s="93">
        <f>H1706*(1-0.958779219)</f>
        <v>0</v>
      </c>
      <c r="AQ1706" s="94" t="s">
        <v>148</v>
      </c>
      <c r="AV1706" s="93">
        <f t="shared" si="294"/>
        <v>0</v>
      </c>
      <c r="AW1706" s="93">
        <f t="shared" si="295"/>
        <v>0</v>
      </c>
      <c r="AX1706" s="93">
        <f t="shared" si="296"/>
        <v>0</v>
      </c>
      <c r="AY1706" s="94" t="s">
        <v>2054</v>
      </c>
      <c r="AZ1706" s="94" t="s">
        <v>1920</v>
      </c>
      <c r="BA1706" s="88" t="s">
        <v>67</v>
      </c>
      <c r="BC1706" s="93">
        <f t="shared" si="297"/>
        <v>0</v>
      </c>
      <c r="BD1706" s="93">
        <f t="shared" si="298"/>
        <v>0</v>
      </c>
      <c r="BE1706" s="93">
        <v>0</v>
      </c>
      <c r="BF1706" s="93">
        <f t="shared" si="299"/>
        <v>3.7499999999999999E-3</v>
      </c>
      <c r="BH1706" s="93">
        <f t="shared" si="300"/>
        <v>0</v>
      </c>
      <c r="BI1706" s="93">
        <f t="shared" si="301"/>
        <v>0</v>
      </c>
      <c r="BJ1706" s="93">
        <f t="shared" si="302"/>
        <v>0</v>
      </c>
      <c r="BK1706" s="93"/>
      <c r="BL1706" s="93">
        <v>734</v>
      </c>
      <c r="BW1706" s="93" t="str">
        <f t="shared" si="303"/>
        <v>21</v>
      </c>
      <c r="BX1706" s="2" t="s">
        <v>2081</v>
      </c>
    </row>
    <row r="1707" spans="1:76" s="81" customFormat="1" ht="25.5" x14ac:dyDescent="0.25">
      <c r="A1707" s="72" t="s">
        <v>2082</v>
      </c>
      <c r="B1707" s="72" t="s">
        <v>55</v>
      </c>
      <c r="C1707" s="72" t="s">
        <v>2083</v>
      </c>
      <c r="D1707" s="175" t="s">
        <v>2084</v>
      </c>
      <c r="E1707" s="175"/>
      <c r="F1707" s="72" t="s">
        <v>203</v>
      </c>
      <c r="G1707" s="90">
        <v>4</v>
      </c>
      <c r="H1707" s="91"/>
      <c r="I1707" s="92" t="s">
        <v>63</v>
      </c>
      <c r="J1707" s="90">
        <f t="shared" si="278"/>
        <v>0</v>
      </c>
      <c r="K1707" s="90">
        <f t="shared" si="279"/>
        <v>0</v>
      </c>
      <c r="L1707" s="90">
        <f t="shared" si="280"/>
        <v>0</v>
      </c>
      <c r="M1707" s="90">
        <f t="shared" si="281"/>
        <v>0</v>
      </c>
      <c r="N1707" s="90">
        <v>1E-4</v>
      </c>
      <c r="O1707" s="90">
        <f t="shared" si="282"/>
        <v>4.0000000000000002E-4</v>
      </c>
      <c r="P1707" s="92" t="s">
        <v>64</v>
      </c>
      <c r="Z1707" s="93">
        <f t="shared" si="283"/>
        <v>0</v>
      </c>
      <c r="AB1707" s="93">
        <f t="shared" si="284"/>
        <v>0</v>
      </c>
      <c r="AC1707" s="93">
        <f t="shared" si="285"/>
        <v>0</v>
      </c>
      <c r="AD1707" s="93">
        <f t="shared" si="286"/>
        <v>0</v>
      </c>
      <c r="AE1707" s="93">
        <f t="shared" si="287"/>
        <v>0</v>
      </c>
      <c r="AF1707" s="93">
        <f t="shared" si="288"/>
        <v>0</v>
      </c>
      <c r="AG1707" s="93">
        <f t="shared" si="289"/>
        <v>0</v>
      </c>
      <c r="AH1707" s="93">
        <f t="shared" si="290"/>
        <v>0</v>
      </c>
      <c r="AI1707" s="88" t="s">
        <v>55</v>
      </c>
      <c r="AJ1707" s="93">
        <f t="shared" si="291"/>
        <v>0</v>
      </c>
      <c r="AK1707" s="93">
        <f t="shared" si="292"/>
        <v>0</v>
      </c>
      <c r="AL1707" s="93">
        <f t="shared" si="293"/>
        <v>0</v>
      </c>
      <c r="AN1707" s="93">
        <v>21</v>
      </c>
      <c r="AO1707" s="93">
        <f>H1707*0.893506098</f>
        <v>0</v>
      </c>
      <c r="AP1707" s="93">
        <f>H1707*(1-0.893506098)</f>
        <v>0</v>
      </c>
      <c r="AQ1707" s="94" t="s">
        <v>148</v>
      </c>
      <c r="AV1707" s="93">
        <f t="shared" si="294"/>
        <v>0</v>
      </c>
      <c r="AW1707" s="93">
        <f t="shared" si="295"/>
        <v>0</v>
      </c>
      <c r="AX1707" s="93">
        <f t="shared" si="296"/>
        <v>0</v>
      </c>
      <c r="AY1707" s="94" t="s">
        <v>2054</v>
      </c>
      <c r="AZ1707" s="94" t="s">
        <v>1920</v>
      </c>
      <c r="BA1707" s="88" t="s">
        <v>67</v>
      </c>
      <c r="BC1707" s="93">
        <f t="shared" si="297"/>
        <v>0</v>
      </c>
      <c r="BD1707" s="93">
        <f t="shared" si="298"/>
        <v>0</v>
      </c>
      <c r="BE1707" s="93">
        <v>0</v>
      </c>
      <c r="BF1707" s="93">
        <f t="shared" si="299"/>
        <v>4.0000000000000002E-4</v>
      </c>
      <c r="BH1707" s="93">
        <f t="shared" si="300"/>
        <v>0</v>
      </c>
      <c r="BI1707" s="93">
        <f t="shared" si="301"/>
        <v>0</v>
      </c>
      <c r="BJ1707" s="93">
        <f t="shared" si="302"/>
        <v>0</v>
      </c>
      <c r="BK1707" s="93"/>
      <c r="BL1707" s="93">
        <v>734</v>
      </c>
      <c r="BW1707" s="93" t="str">
        <f t="shared" si="303"/>
        <v>21</v>
      </c>
      <c r="BX1707" s="2" t="s">
        <v>2084</v>
      </c>
    </row>
    <row r="1708" spans="1:76" s="81" customFormat="1" ht="25.5" x14ac:dyDescent="0.25">
      <c r="A1708" s="72" t="s">
        <v>2085</v>
      </c>
      <c r="B1708" s="72" t="s">
        <v>55</v>
      </c>
      <c r="C1708" s="72" t="s">
        <v>2086</v>
      </c>
      <c r="D1708" s="175" t="s">
        <v>2087</v>
      </c>
      <c r="E1708" s="175"/>
      <c r="F1708" s="72" t="s">
        <v>203</v>
      </c>
      <c r="G1708" s="90">
        <v>2</v>
      </c>
      <c r="H1708" s="91"/>
      <c r="I1708" s="92" t="s">
        <v>63</v>
      </c>
      <c r="J1708" s="90">
        <f t="shared" si="278"/>
        <v>0</v>
      </c>
      <c r="K1708" s="90">
        <f t="shared" si="279"/>
        <v>0</v>
      </c>
      <c r="L1708" s="90">
        <f t="shared" si="280"/>
        <v>0</v>
      </c>
      <c r="M1708" s="90">
        <f t="shared" si="281"/>
        <v>0</v>
      </c>
      <c r="N1708" s="90">
        <v>6.8000000000000005E-4</v>
      </c>
      <c r="O1708" s="90">
        <f t="shared" si="282"/>
        <v>1.3600000000000001E-3</v>
      </c>
      <c r="P1708" s="92" t="s">
        <v>64</v>
      </c>
      <c r="Z1708" s="93">
        <f t="shared" si="283"/>
        <v>0</v>
      </c>
      <c r="AB1708" s="93">
        <f t="shared" si="284"/>
        <v>0</v>
      </c>
      <c r="AC1708" s="93">
        <f t="shared" si="285"/>
        <v>0</v>
      </c>
      <c r="AD1708" s="93">
        <f t="shared" si="286"/>
        <v>0</v>
      </c>
      <c r="AE1708" s="93">
        <f t="shared" si="287"/>
        <v>0</v>
      </c>
      <c r="AF1708" s="93">
        <f t="shared" si="288"/>
        <v>0</v>
      </c>
      <c r="AG1708" s="93">
        <f t="shared" si="289"/>
        <v>0</v>
      </c>
      <c r="AH1708" s="93">
        <f t="shared" si="290"/>
        <v>0</v>
      </c>
      <c r="AI1708" s="88" t="s">
        <v>55</v>
      </c>
      <c r="AJ1708" s="93">
        <f t="shared" si="291"/>
        <v>0</v>
      </c>
      <c r="AK1708" s="93">
        <f t="shared" si="292"/>
        <v>0</v>
      </c>
      <c r="AL1708" s="93">
        <f t="shared" si="293"/>
        <v>0</v>
      </c>
      <c r="AN1708" s="93">
        <v>21</v>
      </c>
      <c r="AO1708" s="93">
        <f>H1708*0.905755343</f>
        <v>0</v>
      </c>
      <c r="AP1708" s="93">
        <f>H1708*(1-0.905755343)</f>
        <v>0</v>
      </c>
      <c r="AQ1708" s="94" t="s">
        <v>148</v>
      </c>
      <c r="AV1708" s="93">
        <f t="shared" si="294"/>
        <v>0</v>
      </c>
      <c r="AW1708" s="93">
        <f t="shared" si="295"/>
        <v>0</v>
      </c>
      <c r="AX1708" s="93">
        <f t="shared" si="296"/>
        <v>0</v>
      </c>
      <c r="AY1708" s="94" t="s">
        <v>2054</v>
      </c>
      <c r="AZ1708" s="94" t="s">
        <v>1920</v>
      </c>
      <c r="BA1708" s="88" t="s">
        <v>67</v>
      </c>
      <c r="BC1708" s="93">
        <f t="shared" si="297"/>
        <v>0</v>
      </c>
      <c r="BD1708" s="93">
        <f t="shared" si="298"/>
        <v>0</v>
      </c>
      <c r="BE1708" s="93">
        <v>0</v>
      </c>
      <c r="BF1708" s="93">
        <f t="shared" si="299"/>
        <v>1.3600000000000001E-3</v>
      </c>
      <c r="BH1708" s="93">
        <f t="shared" si="300"/>
        <v>0</v>
      </c>
      <c r="BI1708" s="93">
        <f t="shared" si="301"/>
        <v>0</v>
      </c>
      <c r="BJ1708" s="93">
        <f t="shared" si="302"/>
        <v>0</v>
      </c>
      <c r="BK1708" s="93"/>
      <c r="BL1708" s="93">
        <v>734</v>
      </c>
      <c r="BW1708" s="93" t="str">
        <f t="shared" si="303"/>
        <v>21</v>
      </c>
      <c r="BX1708" s="2" t="s">
        <v>2087</v>
      </c>
    </row>
    <row r="1709" spans="1:76" s="81" customFormat="1" ht="25.5" x14ac:dyDescent="0.25">
      <c r="A1709" s="72" t="s">
        <v>2088</v>
      </c>
      <c r="B1709" s="72" t="s">
        <v>55</v>
      </c>
      <c r="C1709" s="72" t="s">
        <v>2089</v>
      </c>
      <c r="D1709" s="175" t="s">
        <v>2090</v>
      </c>
      <c r="E1709" s="175"/>
      <c r="F1709" s="72" t="s">
        <v>203</v>
      </c>
      <c r="G1709" s="90">
        <v>1</v>
      </c>
      <c r="H1709" s="91"/>
      <c r="I1709" s="92" t="s">
        <v>63</v>
      </c>
      <c r="J1709" s="90">
        <f t="shared" si="278"/>
        <v>0</v>
      </c>
      <c r="K1709" s="90">
        <f t="shared" si="279"/>
        <v>0</v>
      </c>
      <c r="L1709" s="90">
        <f t="shared" si="280"/>
        <v>0</v>
      </c>
      <c r="M1709" s="90">
        <f t="shared" si="281"/>
        <v>0</v>
      </c>
      <c r="N1709" s="90">
        <v>2E-3</v>
      </c>
      <c r="O1709" s="90">
        <f t="shared" si="282"/>
        <v>2E-3</v>
      </c>
      <c r="P1709" s="92" t="s">
        <v>64</v>
      </c>
      <c r="Z1709" s="93">
        <f t="shared" si="283"/>
        <v>0</v>
      </c>
      <c r="AB1709" s="93">
        <f t="shared" si="284"/>
        <v>0</v>
      </c>
      <c r="AC1709" s="93">
        <f t="shared" si="285"/>
        <v>0</v>
      </c>
      <c r="AD1709" s="93">
        <f t="shared" si="286"/>
        <v>0</v>
      </c>
      <c r="AE1709" s="93">
        <f t="shared" si="287"/>
        <v>0</v>
      </c>
      <c r="AF1709" s="93">
        <f t="shared" si="288"/>
        <v>0</v>
      </c>
      <c r="AG1709" s="93">
        <f t="shared" si="289"/>
        <v>0</v>
      </c>
      <c r="AH1709" s="93">
        <f t="shared" si="290"/>
        <v>0</v>
      </c>
      <c r="AI1709" s="88" t="s">
        <v>55</v>
      </c>
      <c r="AJ1709" s="93">
        <f t="shared" si="291"/>
        <v>0</v>
      </c>
      <c r="AK1709" s="93">
        <f t="shared" si="292"/>
        <v>0</v>
      </c>
      <c r="AL1709" s="93">
        <f t="shared" si="293"/>
        <v>0</v>
      </c>
      <c r="AN1709" s="93">
        <v>21</v>
      </c>
      <c r="AO1709" s="93">
        <f>H1709*0.980381877</f>
        <v>0</v>
      </c>
      <c r="AP1709" s="93">
        <f>H1709*(1-0.980381877)</f>
        <v>0</v>
      </c>
      <c r="AQ1709" s="94" t="s">
        <v>148</v>
      </c>
      <c r="AV1709" s="93">
        <f t="shared" si="294"/>
        <v>0</v>
      </c>
      <c r="AW1709" s="93">
        <f t="shared" si="295"/>
        <v>0</v>
      </c>
      <c r="AX1709" s="93">
        <f t="shared" si="296"/>
        <v>0</v>
      </c>
      <c r="AY1709" s="94" t="s">
        <v>2054</v>
      </c>
      <c r="AZ1709" s="94" t="s">
        <v>1920</v>
      </c>
      <c r="BA1709" s="88" t="s">
        <v>67</v>
      </c>
      <c r="BC1709" s="93">
        <f t="shared" si="297"/>
        <v>0</v>
      </c>
      <c r="BD1709" s="93">
        <f t="shared" si="298"/>
        <v>0</v>
      </c>
      <c r="BE1709" s="93">
        <v>0</v>
      </c>
      <c r="BF1709" s="93">
        <f t="shared" si="299"/>
        <v>2E-3</v>
      </c>
      <c r="BH1709" s="93">
        <f t="shared" si="300"/>
        <v>0</v>
      </c>
      <c r="BI1709" s="93">
        <f t="shared" si="301"/>
        <v>0</v>
      </c>
      <c r="BJ1709" s="93">
        <f t="shared" si="302"/>
        <v>0</v>
      </c>
      <c r="BK1709" s="93"/>
      <c r="BL1709" s="93">
        <v>734</v>
      </c>
      <c r="BW1709" s="93" t="str">
        <f t="shared" si="303"/>
        <v>21</v>
      </c>
      <c r="BX1709" s="2" t="s">
        <v>2090</v>
      </c>
    </row>
    <row r="1710" spans="1:76" s="81" customFormat="1" ht="25.5" x14ac:dyDescent="0.25">
      <c r="A1710" s="72" t="s">
        <v>2091</v>
      </c>
      <c r="B1710" s="72" t="s">
        <v>55</v>
      </c>
      <c r="C1710" s="72" t="s">
        <v>2092</v>
      </c>
      <c r="D1710" s="175" t="s">
        <v>2093</v>
      </c>
      <c r="E1710" s="175"/>
      <c r="F1710" s="72" t="s">
        <v>1334</v>
      </c>
      <c r="G1710" s="90">
        <v>1</v>
      </c>
      <c r="H1710" s="91"/>
      <c r="I1710" s="92" t="s">
        <v>63</v>
      </c>
      <c r="J1710" s="90">
        <f t="shared" si="278"/>
        <v>0</v>
      </c>
      <c r="K1710" s="90">
        <f t="shared" si="279"/>
        <v>0</v>
      </c>
      <c r="L1710" s="90">
        <f t="shared" si="280"/>
        <v>0</v>
      </c>
      <c r="M1710" s="90">
        <f t="shared" si="281"/>
        <v>0</v>
      </c>
      <c r="N1710" s="90">
        <v>2.7499999999999998E-3</v>
      </c>
      <c r="O1710" s="90">
        <f t="shared" si="282"/>
        <v>2.7499999999999998E-3</v>
      </c>
      <c r="P1710" s="92" t="s">
        <v>64</v>
      </c>
      <c r="Z1710" s="93">
        <f t="shared" si="283"/>
        <v>0</v>
      </c>
      <c r="AB1710" s="93">
        <f t="shared" si="284"/>
        <v>0</v>
      </c>
      <c r="AC1710" s="93">
        <f t="shared" si="285"/>
        <v>0</v>
      </c>
      <c r="AD1710" s="93">
        <f t="shared" si="286"/>
        <v>0</v>
      </c>
      <c r="AE1710" s="93">
        <f t="shared" si="287"/>
        <v>0</v>
      </c>
      <c r="AF1710" s="93">
        <f t="shared" si="288"/>
        <v>0</v>
      </c>
      <c r="AG1710" s="93">
        <f t="shared" si="289"/>
        <v>0</v>
      </c>
      <c r="AH1710" s="93">
        <f t="shared" si="290"/>
        <v>0</v>
      </c>
      <c r="AI1710" s="88" t="s">
        <v>55</v>
      </c>
      <c r="AJ1710" s="93">
        <f t="shared" si="291"/>
        <v>0</v>
      </c>
      <c r="AK1710" s="93">
        <f t="shared" si="292"/>
        <v>0</v>
      </c>
      <c r="AL1710" s="93">
        <f t="shared" si="293"/>
        <v>0</v>
      </c>
      <c r="AN1710" s="93">
        <v>21</v>
      </c>
      <c r="AO1710" s="93">
        <f>H1710*0.988210695</f>
        <v>0</v>
      </c>
      <c r="AP1710" s="93">
        <f>H1710*(1-0.988210695)</f>
        <v>0</v>
      </c>
      <c r="AQ1710" s="94" t="s">
        <v>148</v>
      </c>
      <c r="AV1710" s="93">
        <f t="shared" si="294"/>
        <v>0</v>
      </c>
      <c r="AW1710" s="93">
        <f t="shared" si="295"/>
        <v>0</v>
      </c>
      <c r="AX1710" s="93">
        <f t="shared" si="296"/>
        <v>0</v>
      </c>
      <c r="AY1710" s="94" t="s">
        <v>2054</v>
      </c>
      <c r="AZ1710" s="94" t="s">
        <v>1920</v>
      </c>
      <c r="BA1710" s="88" t="s">
        <v>67</v>
      </c>
      <c r="BC1710" s="93">
        <f t="shared" si="297"/>
        <v>0</v>
      </c>
      <c r="BD1710" s="93">
        <f t="shared" si="298"/>
        <v>0</v>
      </c>
      <c r="BE1710" s="93">
        <v>0</v>
      </c>
      <c r="BF1710" s="93">
        <f t="shared" si="299"/>
        <v>2.7499999999999998E-3</v>
      </c>
      <c r="BH1710" s="93">
        <f t="shared" si="300"/>
        <v>0</v>
      </c>
      <c r="BI1710" s="93">
        <f t="shared" si="301"/>
        <v>0</v>
      </c>
      <c r="BJ1710" s="93">
        <f t="shared" si="302"/>
        <v>0</v>
      </c>
      <c r="BK1710" s="93"/>
      <c r="BL1710" s="93">
        <v>734</v>
      </c>
      <c r="BW1710" s="93" t="str">
        <f t="shared" si="303"/>
        <v>21</v>
      </c>
      <c r="BX1710" s="2" t="s">
        <v>2093</v>
      </c>
    </row>
    <row r="1711" spans="1:76" s="81" customFormat="1" ht="25.5" x14ac:dyDescent="0.25">
      <c r="A1711" s="72" t="s">
        <v>2094</v>
      </c>
      <c r="B1711" s="72" t="s">
        <v>55</v>
      </c>
      <c r="C1711" s="72" t="s">
        <v>2095</v>
      </c>
      <c r="D1711" s="175" t="s">
        <v>2096</v>
      </c>
      <c r="E1711" s="175"/>
      <c r="F1711" s="72" t="s">
        <v>203</v>
      </c>
      <c r="G1711" s="90">
        <v>48</v>
      </c>
      <c r="H1711" s="91"/>
      <c r="I1711" s="92" t="s">
        <v>63</v>
      </c>
      <c r="J1711" s="90">
        <f t="shared" si="278"/>
        <v>0</v>
      </c>
      <c r="K1711" s="90">
        <f t="shared" si="279"/>
        <v>0</v>
      </c>
      <c r="L1711" s="90">
        <f t="shared" si="280"/>
        <v>0</v>
      </c>
      <c r="M1711" s="90">
        <f t="shared" si="281"/>
        <v>0</v>
      </c>
      <c r="N1711" s="90">
        <v>2.5999999999999998E-4</v>
      </c>
      <c r="O1711" s="90">
        <f t="shared" si="282"/>
        <v>1.2479999999999998E-2</v>
      </c>
      <c r="P1711" s="92" t="s">
        <v>64</v>
      </c>
      <c r="Z1711" s="93">
        <f t="shared" si="283"/>
        <v>0</v>
      </c>
      <c r="AB1711" s="93">
        <f t="shared" si="284"/>
        <v>0</v>
      </c>
      <c r="AC1711" s="93">
        <f t="shared" si="285"/>
        <v>0</v>
      </c>
      <c r="AD1711" s="93">
        <f t="shared" si="286"/>
        <v>0</v>
      </c>
      <c r="AE1711" s="93">
        <f t="shared" si="287"/>
        <v>0</v>
      </c>
      <c r="AF1711" s="93">
        <f t="shared" si="288"/>
        <v>0</v>
      </c>
      <c r="AG1711" s="93">
        <f t="shared" si="289"/>
        <v>0</v>
      </c>
      <c r="AH1711" s="93">
        <f t="shared" si="290"/>
        <v>0</v>
      </c>
      <c r="AI1711" s="88" t="s">
        <v>55</v>
      </c>
      <c r="AJ1711" s="93">
        <f t="shared" si="291"/>
        <v>0</v>
      </c>
      <c r="AK1711" s="93">
        <f t="shared" si="292"/>
        <v>0</v>
      </c>
      <c r="AL1711" s="93">
        <f t="shared" si="293"/>
        <v>0</v>
      </c>
      <c r="AN1711" s="93">
        <v>21</v>
      </c>
      <c r="AO1711" s="93">
        <f>H1711*0.90406862</f>
        <v>0</v>
      </c>
      <c r="AP1711" s="93">
        <f>H1711*(1-0.90406862)</f>
        <v>0</v>
      </c>
      <c r="AQ1711" s="94" t="s">
        <v>148</v>
      </c>
      <c r="AV1711" s="93">
        <f t="shared" si="294"/>
        <v>0</v>
      </c>
      <c r="AW1711" s="93">
        <f t="shared" si="295"/>
        <v>0</v>
      </c>
      <c r="AX1711" s="93">
        <f t="shared" si="296"/>
        <v>0</v>
      </c>
      <c r="AY1711" s="94" t="s">
        <v>2054</v>
      </c>
      <c r="AZ1711" s="94" t="s">
        <v>1920</v>
      </c>
      <c r="BA1711" s="88" t="s">
        <v>67</v>
      </c>
      <c r="BC1711" s="93">
        <f t="shared" si="297"/>
        <v>0</v>
      </c>
      <c r="BD1711" s="93">
        <f t="shared" si="298"/>
        <v>0</v>
      </c>
      <c r="BE1711" s="93">
        <v>0</v>
      </c>
      <c r="BF1711" s="93">
        <f t="shared" si="299"/>
        <v>1.2479999999999998E-2</v>
      </c>
      <c r="BH1711" s="93">
        <f t="shared" si="300"/>
        <v>0</v>
      </c>
      <c r="BI1711" s="93">
        <f t="shared" si="301"/>
        <v>0</v>
      </c>
      <c r="BJ1711" s="93">
        <f t="shared" si="302"/>
        <v>0</v>
      </c>
      <c r="BK1711" s="93"/>
      <c r="BL1711" s="93">
        <v>734</v>
      </c>
      <c r="BW1711" s="93" t="str">
        <f t="shared" si="303"/>
        <v>21</v>
      </c>
      <c r="BX1711" s="2" t="s">
        <v>2096</v>
      </c>
    </row>
    <row r="1712" spans="1:76" s="81" customFormat="1" ht="25.5" x14ac:dyDescent="0.25">
      <c r="A1712" s="72" t="s">
        <v>2097</v>
      </c>
      <c r="B1712" s="72" t="s">
        <v>55</v>
      </c>
      <c r="C1712" s="72" t="s">
        <v>2098</v>
      </c>
      <c r="D1712" s="175" t="s">
        <v>2099</v>
      </c>
      <c r="E1712" s="175"/>
      <c r="F1712" s="72" t="s">
        <v>203</v>
      </c>
      <c r="G1712" s="90">
        <v>70</v>
      </c>
      <c r="H1712" s="91"/>
      <c r="I1712" s="92" t="s">
        <v>63</v>
      </c>
      <c r="J1712" s="90">
        <f t="shared" si="278"/>
        <v>0</v>
      </c>
      <c r="K1712" s="90">
        <f t="shared" si="279"/>
        <v>0</v>
      </c>
      <c r="L1712" s="90">
        <f t="shared" si="280"/>
        <v>0</v>
      </c>
      <c r="M1712" s="90">
        <f t="shared" si="281"/>
        <v>0</v>
      </c>
      <c r="N1712" s="90">
        <v>1.3999999999999999E-4</v>
      </c>
      <c r="O1712" s="90">
        <f t="shared" si="282"/>
        <v>9.7999999999999997E-3</v>
      </c>
      <c r="P1712" s="92" t="s">
        <v>64</v>
      </c>
      <c r="Z1712" s="93">
        <f t="shared" si="283"/>
        <v>0</v>
      </c>
      <c r="AB1712" s="93">
        <f t="shared" si="284"/>
        <v>0</v>
      </c>
      <c r="AC1712" s="93">
        <f t="shared" si="285"/>
        <v>0</v>
      </c>
      <c r="AD1712" s="93">
        <f t="shared" si="286"/>
        <v>0</v>
      </c>
      <c r="AE1712" s="93">
        <f t="shared" si="287"/>
        <v>0</v>
      </c>
      <c r="AF1712" s="93">
        <f t="shared" si="288"/>
        <v>0</v>
      </c>
      <c r="AG1712" s="93">
        <f t="shared" si="289"/>
        <v>0</v>
      </c>
      <c r="AH1712" s="93">
        <f t="shared" si="290"/>
        <v>0</v>
      </c>
      <c r="AI1712" s="88" t="s">
        <v>55</v>
      </c>
      <c r="AJ1712" s="93">
        <f t="shared" si="291"/>
        <v>0</v>
      </c>
      <c r="AK1712" s="93">
        <f t="shared" si="292"/>
        <v>0</v>
      </c>
      <c r="AL1712" s="93">
        <f t="shared" si="293"/>
        <v>0</v>
      </c>
      <c r="AN1712" s="93">
        <v>21</v>
      </c>
      <c r="AO1712" s="93">
        <f>H1712*0.915057592</f>
        <v>0</v>
      </c>
      <c r="AP1712" s="93">
        <f>H1712*(1-0.915057592)</f>
        <v>0</v>
      </c>
      <c r="AQ1712" s="94" t="s">
        <v>148</v>
      </c>
      <c r="AV1712" s="93">
        <f t="shared" si="294"/>
        <v>0</v>
      </c>
      <c r="AW1712" s="93">
        <f t="shared" si="295"/>
        <v>0</v>
      </c>
      <c r="AX1712" s="93">
        <f t="shared" si="296"/>
        <v>0</v>
      </c>
      <c r="AY1712" s="94" t="s">
        <v>2054</v>
      </c>
      <c r="AZ1712" s="94" t="s">
        <v>1920</v>
      </c>
      <c r="BA1712" s="88" t="s">
        <v>67</v>
      </c>
      <c r="BC1712" s="93">
        <f t="shared" si="297"/>
        <v>0</v>
      </c>
      <c r="BD1712" s="93">
        <f t="shared" si="298"/>
        <v>0</v>
      </c>
      <c r="BE1712" s="93">
        <v>0</v>
      </c>
      <c r="BF1712" s="93">
        <f t="shared" si="299"/>
        <v>9.7999999999999997E-3</v>
      </c>
      <c r="BH1712" s="93">
        <f t="shared" si="300"/>
        <v>0</v>
      </c>
      <c r="BI1712" s="93">
        <f t="shared" si="301"/>
        <v>0</v>
      </c>
      <c r="BJ1712" s="93">
        <f t="shared" si="302"/>
        <v>0</v>
      </c>
      <c r="BK1712" s="93"/>
      <c r="BL1712" s="93">
        <v>734</v>
      </c>
      <c r="BW1712" s="93" t="str">
        <f t="shared" si="303"/>
        <v>21</v>
      </c>
      <c r="BX1712" s="2" t="s">
        <v>2099</v>
      </c>
    </row>
    <row r="1713" spans="1:76" s="81" customFormat="1" ht="25.5" x14ac:dyDescent="0.25">
      <c r="A1713" s="72" t="s">
        <v>2100</v>
      </c>
      <c r="B1713" s="72" t="s">
        <v>55</v>
      </c>
      <c r="C1713" s="72" t="s">
        <v>2101</v>
      </c>
      <c r="D1713" s="175" t="s">
        <v>2102</v>
      </c>
      <c r="E1713" s="175"/>
      <c r="F1713" s="72" t="s">
        <v>203</v>
      </c>
      <c r="G1713" s="90">
        <v>22</v>
      </c>
      <c r="H1713" s="91"/>
      <c r="I1713" s="92" t="s">
        <v>63</v>
      </c>
      <c r="J1713" s="90">
        <f t="shared" si="278"/>
        <v>0</v>
      </c>
      <c r="K1713" s="90">
        <f t="shared" si="279"/>
        <v>0</v>
      </c>
      <c r="L1713" s="90">
        <f t="shared" si="280"/>
        <v>0</v>
      </c>
      <c r="M1713" s="90">
        <f t="shared" si="281"/>
        <v>0</v>
      </c>
      <c r="N1713" s="90">
        <v>4.4999999999999999E-4</v>
      </c>
      <c r="O1713" s="90">
        <f t="shared" si="282"/>
        <v>9.8999999999999991E-3</v>
      </c>
      <c r="P1713" s="92" t="s">
        <v>64</v>
      </c>
      <c r="Z1713" s="93">
        <f t="shared" si="283"/>
        <v>0</v>
      </c>
      <c r="AB1713" s="93">
        <f t="shared" si="284"/>
        <v>0</v>
      </c>
      <c r="AC1713" s="93">
        <f t="shared" si="285"/>
        <v>0</v>
      </c>
      <c r="AD1713" s="93">
        <f t="shared" si="286"/>
        <v>0</v>
      </c>
      <c r="AE1713" s="93">
        <f t="shared" si="287"/>
        <v>0</v>
      </c>
      <c r="AF1713" s="93">
        <f t="shared" si="288"/>
        <v>0</v>
      </c>
      <c r="AG1713" s="93">
        <f t="shared" si="289"/>
        <v>0</v>
      </c>
      <c r="AH1713" s="93">
        <f t="shared" si="290"/>
        <v>0</v>
      </c>
      <c r="AI1713" s="88" t="s">
        <v>55</v>
      </c>
      <c r="AJ1713" s="93">
        <f t="shared" si="291"/>
        <v>0</v>
      </c>
      <c r="AK1713" s="93">
        <f t="shared" si="292"/>
        <v>0</v>
      </c>
      <c r="AL1713" s="93">
        <f t="shared" si="293"/>
        <v>0</v>
      </c>
      <c r="AN1713" s="93">
        <v>21</v>
      </c>
      <c r="AO1713" s="93">
        <f>H1713*0.950804047</f>
        <v>0</v>
      </c>
      <c r="AP1713" s="93">
        <f>H1713*(1-0.950804047)</f>
        <v>0</v>
      </c>
      <c r="AQ1713" s="94" t="s">
        <v>148</v>
      </c>
      <c r="AV1713" s="93">
        <f t="shared" si="294"/>
        <v>0</v>
      </c>
      <c r="AW1713" s="93">
        <f t="shared" si="295"/>
        <v>0</v>
      </c>
      <c r="AX1713" s="93">
        <f t="shared" si="296"/>
        <v>0</v>
      </c>
      <c r="AY1713" s="94" t="s">
        <v>2054</v>
      </c>
      <c r="AZ1713" s="94" t="s">
        <v>1920</v>
      </c>
      <c r="BA1713" s="88" t="s">
        <v>67</v>
      </c>
      <c r="BC1713" s="93">
        <f t="shared" si="297"/>
        <v>0</v>
      </c>
      <c r="BD1713" s="93">
        <f t="shared" si="298"/>
        <v>0</v>
      </c>
      <c r="BE1713" s="93">
        <v>0</v>
      </c>
      <c r="BF1713" s="93">
        <f t="shared" si="299"/>
        <v>9.8999999999999991E-3</v>
      </c>
      <c r="BH1713" s="93">
        <f t="shared" si="300"/>
        <v>0</v>
      </c>
      <c r="BI1713" s="93">
        <f t="shared" si="301"/>
        <v>0</v>
      </c>
      <c r="BJ1713" s="93">
        <f t="shared" si="302"/>
        <v>0</v>
      </c>
      <c r="BK1713" s="93"/>
      <c r="BL1713" s="93">
        <v>734</v>
      </c>
      <c r="BW1713" s="93" t="str">
        <f t="shared" si="303"/>
        <v>21</v>
      </c>
      <c r="BX1713" s="2" t="s">
        <v>2102</v>
      </c>
    </row>
    <row r="1714" spans="1:76" s="81" customFormat="1" ht="25.5" x14ac:dyDescent="0.25">
      <c r="A1714" s="72" t="s">
        <v>2103</v>
      </c>
      <c r="B1714" s="72" t="s">
        <v>55</v>
      </c>
      <c r="C1714" s="72" t="s">
        <v>2104</v>
      </c>
      <c r="D1714" s="175" t="s">
        <v>2105</v>
      </c>
      <c r="E1714" s="175"/>
      <c r="F1714" s="72" t="s">
        <v>203</v>
      </c>
      <c r="G1714" s="90">
        <v>20</v>
      </c>
      <c r="H1714" s="91"/>
      <c r="I1714" s="92" t="s">
        <v>63</v>
      </c>
      <c r="J1714" s="90">
        <f t="shared" si="278"/>
        <v>0</v>
      </c>
      <c r="K1714" s="90">
        <f t="shared" si="279"/>
        <v>0</v>
      </c>
      <c r="L1714" s="90">
        <f t="shared" si="280"/>
        <v>0</v>
      </c>
      <c r="M1714" s="90">
        <f t="shared" si="281"/>
        <v>0</v>
      </c>
      <c r="N1714" s="90">
        <v>1.9000000000000001E-4</v>
      </c>
      <c r="O1714" s="90">
        <f t="shared" si="282"/>
        <v>3.8000000000000004E-3</v>
      </c>
      <c r="P1714" s="92" t="s">
        <v>64</v>
      </c>
      <c r="Z1714" s="93">
        <f t="shared" si="283"/>
        <v>0</v>
      </c>
      <c r="AB1714" s="93">
        <f t="shared" si="284"/>
        <v>0</v>
      </c>
      <c r="AC1714" s="93">
        <f t="shared" si="285"/>
        <v>0</v>
      </c>
      <c r="AD1714" s="93">
        <f t="shared" si="286"/>
        <v>0</v>
      </c>
      <c r="AE1714" s="93">
        <f t="shared" si="287"/>
        <v>0</v>
      </c>
      <c r="AF1714" s="93">
        <f t="shared" si="288"/>
        <v>0</v>
      </c>
      <c r="AG1714" s="93">
        <f t="shared" si="289"/>
        <v>0</v>
      </c>
      <c r="AH1714" s="93">
        <f t="shared" si="290"/>
        <v>0</v>
      </c>
      <c r="AI1714" s="88" t="s">
        <v>55</v>
      </c>
      <c r="AJ1714" s="93">
        <f t="shared" si="291"/>
        <v>0</v>
      </c>
      <c r="AK1714" s="93">
        <f t="shared" si="292"/>
        <v>0</v>
      </c>
      <c r="AL1714" s="93">
        <f t="shared" si="293"/>
        <v>0</v>
      </c>
      <c r="AN1714" s="93">
        <v>21</v>
      </c>
      <c r="AO1714" s="93">
        <f>H1714*0.831489423</f>
        <v>0</v>
      </c>
      <c r="AP1714" s="93">
        <f>H1714*(1-0.831489423)</f>
        <v>0</v>
      </c>
      <c r="AQ1714" s="94" t="s">
        <v>148</v>
      </c>
      <c r="AV1714" s="93">
        <f t="shared" si="294"/>
        <v>0</v>
      </c>
      <c r="AW1714" s="93">
        <f t="shared" si="295"/>
        <v>0</v>
      </c>
      <c r="AX1714" s="93">
        <f t="shared" si="296"/>
        <v>0</v>
      </c>
      <c r="AY1714" s="94" t="s">
        <v>2054</v>
      </c>
      <c r="AZ1714" s="94" t="s">
        <v>1920</v>
      </c>
      <c r="BA1714" s="88" t="s">
        <v>67</v>
      </c>
      <c r="BC1714" s="93">
        <f t="shared" si="297"/>
        <v>0</v>
      </c>
      <c r="BD1714" s="93">
        <f t="shared" si="298"/>
        <v>0</v>
      </c>
      <c r="BE1714" s="93">
        <v>0</v>
      </c>
      <c r="BF1714" s="93">
        <f t="shared" si="299"/>
        <v>3.8000000000000004E-3</v>
      </c>
      <c r="BH1714" s="93">
        <f t="shared" si="300"/>
        <v>0</v>
      </c>
      <c r="BI1714" s="93">
        <f t="shared" si="301"/>
        <v>0</v>
      </c>
      <c r="BJ1714" s="93">
        <f t="shared" si="302"/>
        <v>0</v>
      </c>
      <c r="BK1714" s="93"/>
      <c r="BL1714" s="93">
        <v>734</v>
      </c>
      <c r="BW1714" s="93" t="str">
        <f t="shared" si="303"/>
        <v>21</v>
      </c>
      <c r="BX1714" s="2" t="s">
        <v>2105</v>
      </c>
    </row>
    <row r="1715" spans="1:76" s="81" customFormat="1" ht="25.5" x14ac:dyDescent="0.25">
      <c r="A1715" s="72" t="s">
        <v>2106</v>
      </c>
      <c r="B1715" s="72" t="s">
        <v>55</v>
      </c>
      <c r="C1715" s="72" t="s">
        <v>2107</v>
      </c>
      <c r="D1715" s="175" t="s">
        <v>2108</v>
      </c>
      <c r="E1715" s="175"/>
      <c r="F1715" s="72" t="s">
        <v>203</v>
      </c>
      <c r="G1715" s="90">
        <v>3</v>
      </c>
      <c r="H1715" s="91"/>
      <c r="I1715" s="92" t="s">
        <v>63</v>
      </c>
      <c r="J1715" s="90">
        <f t="shared" si="278"/>
        <v>0</v>
      </c>
      <c r="K1715" s="90">
        <f t="shared" si="279"/>
        <v>0</v>
      </c>
      <c r="L1715" s="90">
        <f t="shared" si="280"/>
        <v>0</v>
      </c>
      <c r="M1715" s="90">
        <f t="shared" si="281"/>
        <v>0</v>
      </c>
      <c r="N1715" s="90">
        <v>3.8999999999999999E-4</v>
      </c>
      <c r="O1715" s="90">
        <f t="shared" si="282"/>
        <v>1.17E-3</v>
      </c>
      <c r="P1715" s="92" t="s">
        <v>64</v>
      </c>
      <c r="Z1715" s="93">
        <f t="shared" si="283"/>
        <v>0</v>
      </c>
      <c r="AB1715" s="93">
        <f t="shared" si="284"/>
        <v>0</v>
      </c>
      <c r="AC1715" s="93">
        <f t="shared" si="285"/>
        <v>0</v>
      </c>
      <c r="AD1715" s="93">
        <f t="shared" si="286"/>
        <v>0</v>
      </c>
      <c r="AE1715" s="93">
        <f t="shared" si="287"/>
        <v>0</v>
      </c>
      <c r="AF1715" s="93">
        <f t="shared" si="288"/>
        <v>0</v>
      </c>
      <c r="AG1715" s="93">
        <f t="shared" si="289"/>
        <v>0</v>
      </c>
      <c r="AH1715" s="93">
        <f t="shared" si="290"/>
        <v>0</v>
      </c>
      <c r="AI1715" s="88" t="s">
        <v>55</v>
      </c>
      <c r="AJ1715" s="93">
        <f t="shared" si="291"/>
        <v>0</v>
      </c>
      <c r="AK1715" s="93">
        <f t="shared" si="292"/>
        <v>0</v>
      </c>
      <c r="AL1715" s="93">
        <f t="shared" si="293"/>
        <v>0</v>
      </c>
      <c r="AN1715" s="93">
        <v>21</v>
      </c>
      <c r="AO1715" s="93">
        <f>H1715*0.819752705</f>
        <v>0</v>
      </c>
      <c r="AP1715" s="93">
        <f>H1715*(1-0.819752705)</f>
        <v>0</v>
      </c>
      <c r="AQ1715" s="94" t="s">
        <v>148</v>
      </c>
      <c r="AV1715" s="93">
        <f t="shared" si="294"/>
        <v>0</v>
      </c>
      <c r="AW1715" s="93">
        <f t="shared" si="295"/>
        <v>0</v>
      </c>
      <c r="AX1715" s="93">
        <f t="shared" si="296"/>
        <v>0</v>
      </c>
      <c r="AY1715" s="94" t="s">
        <v>2054</v>
      </c>
      <c r="AZ1715" s="94" t="s">
        <v>1920</v>
      </c>
      <c r="BA1715" s="88" t="s">
        <v>67</v>
      </c>
      <c r="BC1715" s="93">
        <f t="shared" si="297"/>
        <v>0</v>
      </c>
      <c r="BD1715" s="93">
        <f t="shared" si="298"/>
        <v>0</v>
      </c>
      <c r="BE1715" s="93">
        <v>0</v>
      </c>
      <c r="BF1715" s="93">
        <f t="shared" si="299"/>
        <v>1.17E-3</v>
      </c>
      <c r="BH1715" s="93">
        <f t="shared" si="300"/>
        <v>0</v>
      </c>
      <c r="BI1715" s="93">
        <f t="shared" si="301"/>
        <v>0</v>
      </c>
      <c r="BJ1715" s="93">
        <f t="shared" si="302"/>
        <v>0</v>
      </c>
      <c r="BK1715" s="93"/>
      <c r="BL1715" s="93">
        <v>734</v>
      </c>
      <c r="BW1715" s="93" t="str">
        <f t="shared" si="303"/>
        <v>21</v>
      </c>
      <c r="BX1715" s="2" t="s">
        <v>2108</v>
      </c>
    </row>
    <row r="1716" spans="1:76" s="81" customFormat="1" ht="25.5" x14ac:dyDescent="0.25">
      <c r="A1716" s="72" t="s">
        <v>2109</v>
      </c>
      <c r="B1716" s="72" t="s">
        <v>55</v>
      </c>
      <c r="C1716" s="72" t="s">
        <v>2110</v>
      </c>
      <c r="D1716" s="175" t="s">
        <v>2111</v>
      </c>
      <c r="E1716" s="175"/>
      <c r="F1716" s="72" t="s">
        <v>203</v>
      </c>
      <c r="G1716" s="90">
        <v>5</v>
      </c>
      <c r="H1716" s="91"/>
      <c r="I1716" s="92" t="s">
        <v>63</v>
      </c>
      <c r="J1716" s="90">
        <f t="shared" si="278"/>
        <v>0</v>
      </c>
      <c r="K1716" s="90">
        <f t="shared" si="279"/>
        <v>0</v>
      </c>
      <c r="L1716" s="90">
        <f t="shared" si="280"/>
        <v>0</v>
      </c>
      <c r="M1716" s="90">
        <f t="shared" si="281"/>
        <v>0</v>
      </c>
      <c r="N1716" s="90">
        <v>6.8000000000000005E-4</v>
      </c>
      <c r="O1716" s="90">
        <f t="shared" si="282"/>
        <v>3.4000000000000002E-3</v>
      </c>
      <c r="P1716" s="92" t="s">
        <v>64</v>
      </c>
      <c r="Z1716" s="93">
        <f t="shared" si="283"/>
        <v>0</v>
      </c>
      <c r="AB1716" s="93">
        <f t="shared" si="284"/>
        <v>0</v>
      </c>
      <c r="AC1716" s="93">
        <f t="shared" si="285"/>
        <v>0</v>
      </c>
      <c r="AD1716" s="93">
        <f t="shared" si="286"/>
        <v>0</v>
      </c>
      <c r="AE1716" s="93">
        <f t="shared" si="287"/>
        <v>0</v>
      </c>
      <c r="AF1716" s="93">
        <f t="shared" si="288"/>
        <v>0</v>
      </c>
      <c r="AG1716" s="93">
        <f t="shared" si="289"/>
        <v>0</v>
      </c>
      <c r="AH1716" s="93">
        <f t="shared" si="290"/>
        <v>0</v>
      </c>
      <c r="AI1716" s="88" t="s">
        <v>55</v>
      </c>
      <c r="AJ1716" s="93">
        <f t="shared" si="291"/>
        <v>0</v>
      </c>
      <c r="AK1716" s="93">
        <f t="shared" si="292"/>
        <v>0</v>
      </c>
      <c r="AL1716" s="93">
        <f t="shared" si="293"/>
        <v>0</v>
      </c>
      <c r="AN1716" s="93">
        <v>21</v>
      </c>
      <c r="AO1716" s="93">
        <f>H1716*0.843601651</f>
        <v>0</v>
      </c>
      <c r="AP1716" s="93">
        <f>H1716*(1-0.843601651)</f>
        <v>0</v>
      </c>
      <c r="AQ1716" s="94" t="s">
        <v>148</v>
      </c>
      <c r="AV1716" s="93">
        <f t="shared" si="294"/>
        <v>0</v>
      </c>
      <c r="AW1716" s="93">
        <f t="shared" si="295"/>
        <v>0</v>
      </c>
      <c r="AX1716" s="93">
        <f t="shared" si="296"/>
        <v>0</v>
      </c>
      <c r="AY1716" s="94" t="s">
        <v>2054</v>
      </c>
      <c r="AZ1716" s="94" t="s">
        <v>1920</v>
      </c>
      <c r="BA1716" s="88" t="s">
        <v>67</v>
      </c>
      <c r="BC1716" s="93">
        <f t="shared" si="297"/>
        <v>0</v>
      </c>
      <c r="BD1716" s="93">
        <f t="shared" si="298"/>
        <v>0</v>
      </c>
      <c r="BE1716" s="93">
        <v>0</v>
      </c>
      <c r="BF1716" s="93">
        <f t="shared" si="299"/>
        <v>3.4000000000000002E-3</v>
      </c>
      <c r="BH1716" s="93">
        <f t="shared" si="300"/>
        <v>0</v>
      </c>
      <c r="BI1716" s="93">
        <f t="shared" si="301"/>
        <v>0</v>
      </c>
      <c r="BJ1716" s="93">
        <f t="shared" si="302"/>
        <v>0</v>
      </c>
      <c r="BK1716" s="93"/>
      <c r="BL1716" s="93">
        <v>734</v>
      </c>
      <c r="BW1716" s="93" t="str">
        <f t="shared" si="303"/>
        <v>21</v>
      </c>
      <c r="BX1716" s="2" t="s">
        <v>2111</v>
      </c>
    </row>
    <row r="1717" spans="1:76" s="81" customFormat="1" ht="25.5" x14ac:dyDescent="0.25">
      <c r="A1717" s="72" t="s">
        <v>2112</v>
      </c>
      <c r="B1717" s="72" t="s">
        <v>55</v>
      </c>
      <c r="C1717" s="72" t="s">
        <v>2113</v>
      </c>
      <c r="D1717" s="175" t="s">
        <v>2114</v>
      </c>
      <c r="E1717" s="175"/>
      <c r="F1717" s="72" t="s">
        <v>203</v>
      </c>
      <c r="G1717" s="90">
        <v>14</v>
      </c>
      <c r="H1717" s="91"/>
      <c r="I1717" s="92" t="s">
        <v>63</v>
      </c>
      <c r="J1717" s="90">
        <f t="shared" si="278"/>
        <v>0</v>
      </c>
      <c r="K1717" s="90">
        <f t="shared" si="279"/>
        <v>0</v>
      </c>
      <c r="L1717" s="90">
        <f t="shared" si="280"/>
        <v>0</v>
      </c>
      <c r="M1717" s="90">
        <f t="shared" si="281"/>
        <v>0</v>
      </c>
      <c r="N1717" s="90">
        <v>1.0399999999999999E-3</v>
      </c>
      <c r="O1717" s="90">
        <f t="shared" si="282"/>
        <v>1.4559999999999998E-2</v>
      </c>
      <c r="P1717" s="92" t="s">
        <v>64</v>
      </c>
      <c r="Z1717" s="93">
        <f t="shared" si="283"/>
        <v>0</v>
      </c>
      <c r="AB1717" s="93">
        <f t="shared" si="284"/>
        <v>0</v>
      </c>
      <c r="AC1717" s="93">
        <f t="shared" si="285"/>
        <v>0</v>
      </c>
      <c r="AD1717" s="93">
        <f t="shared" si="286"/>
        <v>0</v>
      </c>
      <c r="AE1717" s="93">
        <f t="shared" si="287"/>
        <v>0</v>
      </c>
      <c r="AF1717" s="93">
        <f t="shared" si="288"/>
        <v>0</v>
      </c>
      <c r="AG1717" s="93">
        <f t="shared" si="289"/>
        <v>0</v>
      </c>
      <c r="AH1717" s="93">
        <f t="shared" si="290"/>
        <v>0</v>
      </c>
      <c r="AI1717" s="88" t="s">
        <v>55</v>
      </c>
      <c r="AJ1717" s="93">
        <f t="shared" si="291"/>
        <v>0</v>
      </c>
      <c r="AK1717" s="93">
        <f t="shared" si="292"/>
        <v>0</v>
      </c>
      <c r="AL1717" s="93">
        <f t="shared" si="293"/>
        <v>0</v>
      </c>
      <c r="AN1717" s="93">
        <v>21</v>
      </c>
      <c r="AO1717" s="93">
        <f>H1717*0.859239436</f>
        <v>0</v>
      </c>
      <c r="AP1717" s="93">
        <f>H1717*(1-0.859239436)</f>
        <v>0</v>
      </c>
      <c r="AQ1717" s="94" t="s">
        <v>148</v>
      </c>
      <c r="AV1717" s="93">
        <f t="shared" si="294"/>
        <v>0</v>
      </c>
      <c r="AW1717" s="93">
        <f t="shared" si="295"/>
        <v>0</v>
      </c>
      <c r="AX1717" s="93">
        <f t="shared" si="296"/>
        <v>0</v>
      </c>
      <c r="AY1717" s="94" t="s">
        <v>2054</v>
      </c>
      <c r="AZ1717" s="94" t="s">
        <v>1920</v>
      </c>
      <c r="BA1717" s="88" t="s">
        <v>67</v>
      </c>
      <c r="BC1717" s="93">
        <f t="shared" si="297"/>
        <v>0</v>
      </c>
      <c r="BD1717" s="93">
        <f t="shared" si="298"/>
        <v>0</v>
      </c>
      <c r="BE1717" s="93">
        <v>0</v>
      </c>
      <c r="BF1717" s="93">
        <f t="shared" si="299"/>
        <v>1.4559999999999998E-2</v>
      </c>
      <c r="BH1717" s="93">
        <f t="shared" si="300"/>
        <v>0</v>
      </c>
      <c r="BI1717" s="93">
        <f t="shared" si="301"/>
        <v>0</v>
      </c>
      <c r="BJ1717" s="93">
        <f t="shared" si="302"/>
        <v>0</v>
      </c>
      <c r="BK1717" s="93"/>
      <c r="BL1717" s="93">
        <v>734</v>
      </c>
      <c r="BW1717" s="93" t="str">
        <f t="shared" si="303"/>
        <v>21</v>
      </c>
      <c r="BX1717" s="2" t="s">
        <v>2114</v>
      </c>
    </row>
    <row r="1718" spans="1:76" s="81" customFormat="1" ht="25.5" x14ac:dyDescent="0.25">
      <c r="A1718" s="72" t="s">
        <v>2115</v>
      </c>
      <c r="B1718" s="72" t="s">
        <v>55</v>
      </c>
      <c r="C1718" s="72" t="s">
        <v>2116</v>
      </c>
      <c r="D1718" s="175" t="s">
        <v>2117</v>
      </c>
      <c r="E1718" s="175"/>
      <c r="F1718" s="72" t="s">
        <v>203</v>
      </c>
      <c r="G1718" s="90">
        <v>6</v>
      </c>
      <c r="H1718" s="91"/>
      <c r="I1718" s="92" t="s">
        <v>63</v>
      </c>
      <c r="J1718" s="90">
        <f t="shared" si="278"/>
        <v>0</v>
      </c>
      <c r="K1718" s="90">
        <f t="shared" si="279"/>
        <v>0</v>
      </c>
      <c r="L1718" s="90">
        <f t="shared" si="280"/>
        <v>0</v>
      </c>
      <c r="M1718" s="90">
        <f t="shared" si="281"/>
        <v>0</v>
      </c>
      <c r="N1718" s="90">
        <v>1.6299999999999999E-3</v>
      </c>
      <c r="O1718" s="90">
        <f t="shared" si="282"/>
        <v>9.7800000000000005E-3</v>
      </c>
      <c r="P1718" s="92" t="s">
        <v>64</v>
      </c>
      <c r="Z1718" s="93">
        <f t="shared" si="283"/>
        <v>0</v>
      </c>
      <c r="AB1718" s="93">
        <f t="shared" si="284"/>
        <v>0</v>
      </c>
      <c r="AC1718" s="93">
        <f t="shared" si="285"/>
        <v>0</v>
      </c>
      <c r="AD1718" s="93">
        <f t="shared" si="286"/>
        <v>0</v>
      </c>
      <c r="AE1718" s="93">
        <f t="shared" si="287"/>
        <v>0</v>
      </c>
      <c r="AF1718" s="93">
        <f t="shared" si="288"/>
        <v>0</v>
      </c>
      <c r="AG1718" s="93">
        <f t="shared" si="289"/>
        <v>0</v>
      </c>
      <c r="AH1718" s="93">
        <f t="shared" si="290"/>
        <v>0</v>
      </c>
      <c r="AI1718" s="88" t="s">
        <v>55</v>
      </c>
      <c r="AJ1718" s="93">
        <f t="shared" si="291"/>
        <v>0</v>
      </c>
      <c r="AK1718" s="93">
        <f t="shared" si="292"/>
        <v>0</v>
      </c>
      <c r="AL1718" s="93">
        <f t="shared" si="293"/>
        <v>0</v>
      </c>
      <c r="AN1718" s="93">
        <v>21</v>
      </c>
      <c r="AO1718" s="93">
        <f>H1718*0.885429257</f>
        <v>0</v>
      </c>
      <c r="AP1718" s="93">
        <f>H1718*(1-0.885429257)</f>
        <v>0</v>
      </c>
      <c r="AQ1718" s="94" t="s">
        <v>148</v>
      </c>
      <c r="AV1718" s="93">
        <f t="shared" si="294"/>
        <v>0</v>
      </c>
      <c r="AW1718" s="93">
        <f t="shared" si="295"/>
        <v>0</v>
      </c>
      <c r="AX1718" s="93">
        <f t="shared" si="296"/>
        <v>0</v>
      </c>
      <c r="AY1718" s="94" t="s">
        <v>2054</v>
      </c>
      <c r="AZ1718" s="94" t="s">
        <v>1920</v>
      </c>
      <c r="BA1718" s="88" t="s">
        <v>67</v>
      </c>
      <c r="BC1718" s="93">
        <f t="shared" si="297"/>
        <v>0</v>
      </c>
      <c r="BD1718" s="93">
        <f t="shared" si="298"/>
        <v>0</v>
      </c>
      <c r="BE1718" s="93">
        <v>0</v>
      </c>
      <c r="BF1718" s="93">
        <f t="shared" si="299"/>
        <v>9.7800000000000005E-3</v>
      </c>
      <c r="BH1718" s="93">
        <f t="shared" si="300"/>
        <v>0</v>
      </c>
      <c r="BI1718" s="93">
        <f t="shared" si="301"/>
        <v>0</v>
      </c>
      <c r="BJ1718" s="93">
        <f t="shared" si="302"/>
        <v>0</v>
      </c>
      <c r="BK1718" s="93"/>
      <c r="BL1718" s="93">
        <v>734</v>
      </c>
      <c r="BW1718" s="93" t="str">
        <f t="shared" si="303"/>
        <v>21</v>
      </c>
      <c r="BX1718" s="2" t="s">
        <v>2117</v>
      </c>
    </row>
    <row r="1719" spans="1:76" s="81" customFormat="1" ht="25.5" x14ac:dyDescent="0.25">
      <c r="A1719" s="72" t="s">
        <v>2118</v>
      </c>
      <c r="B1719" s="72" t="s">
        <v>55</v>
      </c>
      <c r="C1719" s="72" t="s">
        <v>2119</v>
      </c>
      <c r="D1719" s="175" t="s">
        <v>2120</v>
      </c>
      <c r="E1719" s="175"/>
      <c r="F1719" s="72" t="s">
        <v>203</v>
      </c>
      <c r="G1719" s="90">
        <v>1</v>
      </c>
      <c r="H1719" s="91"/>
      <c r="I1719" s="92" t="s">
        <v>63</v>
      </c>
      <c r="J1719" s="90">
        <f t="shared" si="278"/>
        <v>0</v>
      </c>
      <c r="K1719" s="90">
        <f t="shared" si="279"/>
        <v>0</v>
      </c>
      <c r="L1719" s="90">
        <f t="shared" si="280"/>
        <v>0</v>
      </c>
      <c r="M1719" s="90">
        <f t="shared" si="281"/>
        <v>0</v>
      </c>
      <c r="N1719" s="90">
        <v>5.5999999999999995E-4</v>
      </c>
      <c r="O1719" s="90">
        <f t="shared" si="282"/>
        <v>5.5999999999999995E-4</v>
      </c>
      <c r="P1719" s="92" t="s">
        <v>64</v>
      </c>
      <c r="Z1719" s="93">
        <f t="shared" si="283"/>
        <v>0</v>
      </c>
      <c r="AB1719" s="93">
        <f t="shared" si="284"/>
        <v>0</v>
      </c>
      <c r="AC1719" s="93">
        <f t="shared" si="285"/>
        <v>0</v>
      </c>
      <c r="AD1719" s="93">
        <f t="shared" si="286"/>
        <v>0</v>
      </c>
      <c r="AE1719" s="93">
        <f t="shared" si="287"/>
        <v>0</v>
      </c>
      <c r="AF1719" s="93">
        <f t="shared" si="288"/>
        <v>0</v>
      </c>
      <c r="AG1719" s="93">
        <f t="shared" si="289"/>
        <v>0</v>
      </c>
      <c r="AH1719" s="93">
        <f t="shared" si="290"/>
        <v>0</v>
      </c>
      <c r="AI1719" s="88" t="s">
        <v>55</v>
      </c>
      <c r="AJ1719" s="93">
        <f t="shared" si="291"/>
        <v>0</v>
      </c>
      <c r="AK1719" s="93">
        <f t="shared" si="292"/>
        <v>0</v>
      </c>
      <c r="AL1719" s="93">
        <f t="shared" si="293"/>
        <v>0</v>
      </c>
      <c r="AN1719" s="93">
        <v>21</v>
      </c>
      <c r="AO1719" s="93">
        <f>H1719*0.815632603</f>
        <v>0</v>
      </c>
      <c r="AP1719" s="93">
        <f>H1719*(1-0.815632603)</f>
        <v>0</v>
      </c>
      <c r="AQ1719" s="94" t="s">
        <v>148</v>
      </c>
      <c r="AV1719" s="93">
        <f t="shared" si="294"/>
        <v>0</v>
      </c>
      <c r="AW1719" s="93">
        <f t="shared" si="295"/>
        <v>0</v>
      </c>
      <c r="AX1719" s="93">
        <f t="shared" si="296"/>
        <v>0</v>
      </c>
      <c r="AY1719" s="94" t="s">
        <v>2054</v>
      </c>
      <c r="AZ1719" s="94" t="s">
        <v>1920</v>
      </c>
      <c r="BA1719" s="88" t="s">
        <v>67</v>
      </c>
      <c r="BC1719" s="93">
        <f t="shared" si="297"/>
        <v>0</v>
      </c>
      <c r="BD1719" s="93">
        <f t="shared" si="298"/>
        <v>0</v>
      </c>
      <c r="BE1719" s="93">
        <v>0</v>
      </c>
      <c r="BF1719" s="93">
        <f t="shared" si="299"/>
        <v>5.5999999999999995E-4</v>
      </c>
      <c r="BH1719" s="93">
        <f t="shared" si="300"/>
        <v>0</v>
      </c>
      <c r="BI1719" s="93">
        <f t="shared" si="301"/>
        <v>0</v>
      </c>
      <c r="BJ1719" s="93">
        <f t="shared" si="302"/>
        <v>0</v>
      </c>
      <c r="BK1719" s="93"/>
      <c r="BL1719" s="93">
        <v>734</v>
      </c>
      <c r="BW1719" s="93" t="str">
        <f t="shared" si="303"/>
        <v>21</v>
      </c>
      <c r="BX1719" s="2" t="s">
        <v>2120</v>
      </c>
    </row>
    <row r="1720" spans="1:76" s="81" customFormat="1" ht="25.5" x14ac:dyDescent="0.25">
      <c r="A1720" s="72" t="s">
        <v>2121</v>
      </c>
      <c r="B1720" s="72" t="s">
        <v>55</v>
      </c>
      <c r="C1720" s="72" t="s">
        <v>2122</v>
      </c>
      <c r="D1720" s="175" t="s">
        <v>2123</v>
      </c>
      <c r="E1720" s="175"/>
      <c r="F1720" s="72" t="s">
        <v>203</v>
      </c>
      <c r="G1720" s="90">
        <v>5</v>
      </c>
      <c r="H1720" s="91"/>
      <c r="I1720" s="92" t="s">
        <v>63</v>
      </c>
      <c r="J1720" s="90">
        <f t="shared" si="278"/>
        <v>0</v>
      </c>
      <c r="K1720" s="90">
        <f t="shared" si="279"/>
        <v>0</v>
      </c>
      <c r="L1720" s="90">
        <f t="shared" si="280"/>
        <v>0</v>
      </c>
      <c r="M1720" s="90">
        <f t="shared" si="281"/>
        <v>0</v>
      </c>
      <c r="N1720" s="90">
        <v>1.1999999999999999E-3</v>
      </c>
      <c r="O1720" s="90">
        <f t="shared" si="282"/>
        <v>5.9999999999999993E-3</v>
      </c>
      <c r="P1720" s="92" t="s">
        <v>64</v>
      </c>
      <c r="Z1720" s="93">
        <f t="shared" si="283"/>
        <v>0</v>
      </c>
      <c r="AB1720" s="93">
        <f t="shared" si="284"/>
        <v>0</v>
      </c>
      <c r="AC1720" s="93">
        <f t="shared" si="285"/>
        <v>0</v>
      </c>
      <c r="AD1720" s="93">
        <f t="shared" si="286"/>
        <v>0</v>
      </c>
      <c r="AE1720" s="93">
        <f t="shared" si="287"/>
        <v>0</v>
      </c>
      <c r="AF1720" s="93">
        <f t="shared" si="288"/>
        <v>0</v>
      </c>
      <c r="AG1720" s="93">
        <f t="shared" si="289"/>
        <v>0</v>
      </c>
      <c r="AH1720" s="93">
        <f t="shared" si="290"/>
        <v>0</v>
      </c>
      <c r="AI1720" s="88" t="s">
        <v>55</v>
      </c>
      <c r="AJ1720" s="93">
        <f t="shared" si="291"/>
        <v>0</v>
      </c>
      <c r="AK1720" s="93">
        <f t="shared" si="292"/>
        <v>0</v>
      </c>
      <c r="AL1720" s="93">
        <f t="shared" si="293"/>
        <v>0</v>
      </c>
      <c r="AN1720" s="93">
        <v>21</v>
      </c>
      <c r="AO1720" s="93">
        <f>H1720*0.795059119</f>
        <v>0</v>
      </c>
      <c r="AP1720" s="93">
        <f>H1720*(1-0.795059119)</f>
        <v>0</v>
      </c>
      <c r="AQ1720" s="94" t="s">
        <v>148</v>
      </c>
      <c r="AV1720" s="93">
        <f t="shared" si="294"/>
        <v>0</v>
      </c>
      <c r="AW1720" s="93">
        <f t="shared" si="295"/>
        <v>0</v>
      </c>
      <c r="AX1720" s="93">
        <f t="shared" si="296"/>
        <v>0</v>
      </c>
      <c r="AY1720" s="94" t="s">
        <v>2054</v>
      </c>
      <c r="AZ1720" s="94" t="s">
        <v>1920</v>
      </c>
      <c r="BA1720" s="88" t="s">
        <v>67</v>
      </c>
      <c r="BC1720" s="93">
        <f t="shared" si="297"/>
        <v>0</v>
      </c>
      <c r="BD1720" s="93">
        <f t="shared" si="298"/>
        <v>0</v>
      </c>
      <c r="BE1720" s="93">
        <v>0</v>
      </c>
      <c r="BF1720" s="93">
        <f t="shared" si="299"/>
        <v>5.9999999999999993E-3</v>
      </c>
      <c r="BH1720" s="93">
        <f t="shared" si="300"/>
        <v>0</v>
      </c>
      <c r="BI1720" s="93">
        <f t="shared" si="301"/>
        <v>0</v>
      </c>
      <c r="BJ1720" s="93">
        <f t="shared" si="302"/>
        <v>0</v>
      </c>
      <c r="BK1720" s="93"/>
      <c r="BL1720" s="93">
        <v>734</v>
      </c>
      <c r="BW1720" s="93" t="str">
        <f t="shared" si="303"/>
        <v>21</v>
      </c>
      <c r="BX1720" s="2" t="s">
        <v>2123</v>
      </c>
    </row>
    <row r="1721" spans="1:76" s="81" customFormat="1" ht="25.5" x14ac:dyDescent="0.25">
      <c r="A1721" s="72" t="s">
        <v>2124</v>
      </c>
      <c r="B1721" s="72" t="s">
        <v>55</v>
      </c>
      <c r="C1721" s="72" t="s">
        <v>2125</v>
      </c>
      <c r="D1721" s="175" t="s">
        <v>2126</v>
      </c>
      <c r="E1721" s="175"/>
      <c r="F1721" s="72" t="s">
        <v>203</v>
      </c>
      <c r="G1721" s="90">
        <v>1</v>
      </c>
      <c r="H1721" s="91"/>
      <c r="I1721" s="92" t="s">
        <v>63</v>
      </c>
      <c r="J1721" s="90">
        <f t="shared" si="278"/>
        <v>0</v>
      </c>
      <c r="K1721" s="90">
        <f t="shared" si="279"/>
        <v>0</v>
      </c>
      <c r="L1721" s="90">
        <f t="shared" si="280"/>
        <v>0</v>
      </c>
      <c r="M1721" s="90">
        <f t="shared" si="281"/>
        <v>0</v>
      </c>
      <c r="N1721" s="90">
        <v>1.6999999999999999E-3</v>
      </c>
      <c r="O1721" s="90">
        <f t="shared" si="282"/>
        <v>1.6999999999999999E-3</v>
      </c>
      <c r="P1721" s="92" t="s">
        <v>64</v>
      </c>
      <c r="Z1721" s="93">
        <f t="shared" si="283"/>
        <v>0</v>
      </c>
      <c r="AB1721" s="93">
        <f t="shared" si="284"/>
        <v>0</v>
      </c>
      <c r="AC1721" s="93">
        <f t="shared" si="285"/>
        <v>0</v>
      </c>
      <c r="AD1721" s="93">
        <f t="shared" si="286"/>
        <v>0</v>
      </c>
      <c r="AE1721" s="93">
        <f t="shared" si="287"/>
        <v>0</v>
      </c>
      <c r="AF1721" s="93">
        <f t="shared" si="288"/>
        <v>0</v>
      </c>
      <c r="AG1721" s="93">
        <f t="shared" si="289"/>
        <v>0</v>
      </c>
      <c r="AH1721" s="93">
        <f t="shared" si="290"/>
        <v>0</v>
      </c>
      <c r="AI1721" s="88" t="s">
        <v>55</v>
      </c>
      <c r="AJ1721" s="93">
        <f t="shared" si="291"/>
        <v>0</v>
      </c>
      <c r="AK1721" s="93">
        <f t="shared" si="292"/>
        <v>0</v>
      </c>
      <c r="AL1721" s="93">
        <f t="shared" si="293"/>
        <v>0</v>
      </c>
      <c r="AN1721" s="93">
        <v>21</v>
      </c>
      <c r="AO1721" s="93">
        <f>H1721*0.854163614</f>
        <v>0</v>
      </c>
      <c r="AP1721" s="93">
        <f>H1721*(1-0.854163614)</f>
        <v>0</v>
      </c>
      <c r="AQ1721" s="94" t="s">
        <v>148</v>
      </c>
      <c r="AV1721" s="93">
        <f t="shared" si="294"/>
        <v>0</v>
      </c>
      <c r="AW1721" s="93">
        <f t="shared" si="295"/>
        <v>0</v>
      </c>
      <c r="AX1721" s="93">
        <f t="shared" si="296"/>
        <v>0</v>
      </c>
      <c r="AY1721" s="94" t="s">
        <v>2054</v>
      </c>
      <c r="AZ1721" s="94" t="s">
        <v>1920</v>
      </c>
      <c r="BA1721" s="88" t="s">
        <v>67</v>
      </c>
      <c r="BC1721" s="93">
        <f t="shared" si="297"/>
        <v>0</v>
      </c>
      <c r="BD1721" s="93">
        <f t="shared" si="298"/>
        <v>0</v>
      </c>
      <c r="BE1721" s="93">
        <v>0</v>
      </c>
      <c r="BF1721" s="93">
        <f t="shared" si="299"/>
        <v>1.6999999999999999E-3</v>
      </c>
      <c r="BH1721" s="93">
        <f t="shared" si="300"/>
        <v>0</v>
      </c>
      <c r="BI1721" s="93">
        <f t="shared" si="301"/>
        <v>0</v>
      </c>
      <c r="BJ1721" s="93">
        <f t="shared" si="302"/>
        <v>0</v>
      </c>
      <c r="BK1721" s="93"/>
      <c r="BL1721" s="93">
        <v>734</v>
      </c>
      <c r="BW1721" s="93" t="str">
        <f t="shared" si="303"/>
        <v>21</v>
      </c>
      <c r="BX1721" s="2" t="s">
        <v>2126</v>
      </c>
    </row>
    <row r="1722" spans="1:76" s="81" customFormat="1" ht="25.5" x14ac:dyDescent="0.25">
      <c r="A1722" s="72" t="s">
        <v>2127</v>
      </c>
      <c r="B1722" s="72" t="s">
        <v>55</v>
      </c>
      <c r="C1722" s="72" t="s">
        <v>2128</v>
      </c>
      <c r="D1722" s="175" t="s">
        <v>2129</v>
      </c>
      <c r="E1722" s="175"/>
      <c r="F1722" s="72" t="s">
        <v>203</v>
      </c>
      <c r="G1722" s="90">
        <v>1</v>
      </c>
      <c r="H1722" s="91"/>
      <c r="I1722" s="92" t="s">
        <v>63</v>
      </c>
      <c r="J1722" s="90">
        <f t="shared" si="278"/>
        <v>0</v>
      </c>
      <c r="K1722" s="90">
        <f t="shared" si="279"/>
        <v>0</v>
      </c>
      <c r="L1722" s="90">
        <f t="shared" si="280"/>
        <v>0</v>
      </c>
      <c r="M1722" s="90">
        <f t="shared" si="281"/>
        <v>0</v>
      </c>
      <c r="N1722" s="90">
        <v>6.4400000000000004E-3</v>
      </c>
      <c r="O1722" s="90">
        <f t="shared" si="282"/>
        <v>6.4400000000000004E-3</v>
      </c>
      <c r="P1722" s="92" t="s">
        <v>371</v>
      </c>
      <c r="Z1722" s="93">
        <f t="shared" si="283"/>
        <v>0</v>
      </c>
      <c r="AB1722" s="93">
        <f t="shared" si="284"/>
        <v>0</v>
      </c>
      <c r="AC1722" s="93">
        <f t="shared" si="285"/>
        <v>0</v>
      </c>
      <c r="AD1722" s="93">
        <f t="shared" si="286"/>
        <v>0</v>
      </c>
      <c r="AE1722" s="93">
        <f t="shared" si="287"/>
        <v>0</v>
      </c>
      <c r="AF1722" s="93">
        <f t="shared" si="288"/>
        <v>0</v>
      </c>
      <c r="AG1722" s="93">
        <f t="shared" si="289"/>
        <v>0</v>
      </c>
      <c r="AH1722" s="93">
        <f t="shared" si="290"/>
        <v>0</v>
      </c>
      <c r="AI1722" s="88" t="s">
        <v>55</v>
      </c>
      <c r="AJ1722" s="93">
        <f t="shared" si="291"/>
        <v>0</v>
      </c>
      <c r="AK1722" s="93">
        <f t="shared" si="292"/>
        <v>0</v>
      </c>
      <c r="AL1722" s="93">
        <f t="shared" si="293"/>
        <v>0</v>
      </c>
      <c r="AN1722" s="93">
        <v>21</v>
      </c>
      <c r="AO1722" s="93">
        <f>H1722*0.936221165</f>
        <v>0</v>
      </c>
      <c r="AP1722" s="93">
        <f>H1722*(1-0.936221165)</f>
        <v>0</v>
      </c>
      <c r="AQ1722" s="94" t="s">
        <v>148</v>
      </c>
      <c r="AV1722" s="93">
        <f t="shared" si="294"/>
        <v>0</v>
      </c>
      <c r="AW1722" s="93">
        <f t="shared" si="295"/>
        <v>0</v>
      </c>
      <c r="AX1722" s="93">
        <f t="shared" si="296"/>
        <v>0</v>
      </c>
      <c r="AY1722" s="94" t="s">
        <v>2054</v>
      </c>
      <c r="AZ1722" s="94" t="s">
        <v>1920</v>
      </c>
      <c r="BA1722" s="88" t="s">
        <v>67</v>
      </c>
      <c r="BC1722" s="93">
        <f t="shared" si="297"/>
        <v>0</v>
      </c>
      <c r="BD1722" s="93">
        <f t="shared" si="298"/>
        <v>0</v>
      </c>
      <c r="BE1722" s="93">
        <v>0</v>
      </c>
      <c r="BF1722" s="93">
        <f t="shared" si="299"/>
        <v>6.4400000000000004E-3</v>
      </c>
      <c r="BH1722" s="93">
        <f t="shared" si="300"/>
        <v>0</v>
      </c>
      <c r="BI1722" s="93">
        <f t="shared" si="301"/>
        <v>0</v>
      </c>
      <c r="BJ1722" s="93">
        <f t="shared" si="302"/>
        <v>0</v>
      </c>
      <c r="BK1722" s="93"/>
      <c r="BL1722" s="93">
        <v>734</v>
      </c>
      <c r="BW1722" s="93" t="str">
        <f t="shared" si="303"/>
        <v>21</v>
      </c>
      <c r="BX1722" s="2" t="s">
        <v>2129</v>
      </c>
    </row>
    <row r="1723" spans="1:76" s="81" customFormat="1" ht="25.5" x14ac:dyDescent="0.25">
      <c r="A1723" s="72" t="s">
        <v>2130</v>
      </c>
      <c r="B1723" s="72" t="s">
        <v>55</v>
      </c>
      <c r="C1723" s="72" t="s">
        <v>2131</v>
      </c>
      <c r="D1723" s="175" t="s">
        <v>2132</v>
      </c>
      <c r="E1723" s="175"/>
      <c r="F1723" s="72" t="s">
        <v>1449</v>
      </c>
      <c r="G1723" s="91"/>
      <c r="H1723" s="91"/>
      <c r="I1723" s="92" t="s">
        <v>63</v>
      </c>
      <c r="J1723" s="90">
        <f t="shared" si="278"/>
        <v>0</v>
      </c>
      <c r="K1723" s="90">
        <f t="shared" si="279"/>
        <v>0</v>
      </c>
      <c r="L1723" s="90">
        <f t="shared" si="280"/>
        <v>0</v>
      </c>
      <c r="M1723" s="90">
        <f t="shared" si="281"/>
        <v>0</v>
      </c>
      <c r="N1723" s="90">
        <v>0</v>
      </c>
      <c r="O1723" s="90">
        <f t="shared" si="282"/>
        <v>0</v>
      </c>
      <c r="P1723" s="92" t="s">
        <v>64</v>
      </c>
      <c r="Z1723" s="93">
        <f t="shared" si="283"/>
        <v>0</v>
      </c>
      <c r="AB1723" s="93">
        <f t="shared" si="284"/>
        <v>0</v>
      </c>
      <c r="AC1723" s="93">
        <f t="shared" si="285"/>
        <v>0</v>
      </c>
      <c r="AD1723" s="93">
        <f t="shared" si="286"/>
        <v>0</v>
      </c>
      <c r="AE1723" s="93">
        <f t="shared" si="287"/>
        <v>0</v>
      </c>
      <c r="AF1723" s="93">
        <f t="shared" si="288"/>
        <v>0</v>
      </c>
      <c r="AG1723" s="93">
        <f t="shared" si="289"/>
        <v>0</v>
      </c>
      <c r="AH1723" s="93">
        <f t="shared" si="290"/>
        <v>0</v>
      </c>
      <c r="AI1723" s="88" t="s">
        <v>55</v>
      </c>
      <c r="AJ1723" s="93">
        <f t="shared" si="291"/>
        <v>0</v>
      </c>
      <c r="AK1723" s="93">
        <f t="shared" si="292"/>
        <v>0</v>
      </c>
      <c r="AL1723" s="93">
        <f t="shared" si="293"/>
        <v>0</v>
      </c>
      <c r="AN1723" s="93">
        <v>21</v>
      </c>
      <c r="AO1723" s="93">
        <f>H1723*0</f>
        <v>0</v>
      </c>
      <c r="AP1723" s="93">
        <f>H1723*(1-0)</f>
        <v>0</v>
      </c>
      <c r="AQ1723" s="94" t="s">
        <v>136</v>
      </c>
      <c r="AV1723" s="93">
        <f t="shared" si="294"/>
        <v>0</v>
      </c>
      <c r="AW1723" s="93">
        <f t="shared" si="295"/>
        <v>0</v>
      </c>
      <c r="AX1723" s="93">
        <f t="shared" si="296"/>
        <v>0</v>
      </c>
      <c r="AY1723" s="94" t="s">
        <v>2054</v>
      </c>
      <c r="AZ1723" s="94" t="s">
        <v>1920</v>
      </c>
      <c r="BA1723" s="88" t="s">
        <v>67</v>
      </c>
      <c r="BC1723" s="93">
        <f t="shared" si="297"/>
        <v>0</v>
      </c>
      <c r="BD1723" s="93">
        <f t="shared" si="298"/>
        <v>0</v>
      </c>
      <c r="BE1723" s="93">
        <v>0</v>
      </c>
      <c r="BF1723" s="93">
        <f t="shared" si="299"/>
        <v>0</v>
      </c>
      <c r="BH1723" s="93">
        <f t="shared" si="300"/>
        <v>0</v>
      </c>
      <c r="BI1723" s="93">
        <f t="shared" si="301"/>
        <v>0</v>
      </c>
      <c r="BJ1723" s="93">
        <f t="shared" si="302"/>
        <v>0</v>
      </c>
      <c r="BK1723" s="93"/>
      <c r="BL1723" s="93">
        <v>734</v>
      </c>
      <c r="BW1723" s="93" t="str">
        <f t="shared" si="303"/>
        <v>21</v>
      </c>
      <c r="BX1723" s="2" t="s">
        <v>2132</v>
      </c>
    </row>
    <row r="1724" spans="1:76" s="81" customFormat="1" ht="25.5" x14ac:dyDescent="0.25">
      <c r="A1724" s="72" t="s">
        <v>2133</v>
      </c>
      <c r="B1724" s="72" t="s">
        <v>55</v>
      </c>
      <c r="C1724" s="72" t="s">
        <v>2134</v>
      </c>
      <c r="D1724" s="175" t="s">
        <v>2135</v>
      </c>
      <c r="E1724" s="175"/>
      <c r="F1724" s="72" t="s">
        <v>1334</v>
      </c>
      <c r="G1724" s="90">
        <v>1</v>
      </c>
      <c r="H1724" s="91"/>
      <c r="I1724" s="92" t="s">
        <v>63</v>
      </c>
      <c r="J1724" s="90">
        <f t="shared" si="278"/>
        <v>0</v>
      </c>
      <c r="K1724" s="90">
        <f t="shared" si="279"/>
        <v>0</v>
      </c>
      <c r="L1724" s="90">
        <f t="shared" si="280"/>
        <v>0</v>
      </c>
      <c r="M1724" s="90">
        <f t="shared" si="281"/>
        <v>0</v>
      </c>
      <c r="N1724" s="90">
        <v>4.6000000000000001E-4</v>
      </c>
      <c r="O1724" s="90">
        <f t="shared" si="282"/>
        <v>4.6000000000000001E-4</v>
      </c>
      <c r="P1724" s="92" t="s">
        <v>64</v>
      </c>
      <c r="Z1724" s="93">
        <f t="shared" si="283"/>
        <v>0</v>
      </c>
      <c r="AB1724" s="93">
        <f t="shared" si="284"/>
        <v>0</v>
      </c>
      <c r="AC1724" s="93">
        <f t="shared" si="285"/>
        <v>0</v>
      </c>
      <c r="AD1724" s="93">
        <f t="shared" si="286"/>
        <v>0</v>
      </c>
      <c r="AE1724" s="93">
        <f t="shared" si="287"/>
        <v>0</v>
      </c>
      <c r="AF1724" s="93">
        <f t="shared" si="288"/>
        <v>0</v>
      </c>
      <c r="AG1724" s="93">
        <f t="shared" si="289"/>
        <v>0</v>
      </c>
      <c r="AH1724" s="93">
        <f t="shared" si="290"/>
        <v>0</v>
      </c>
      <c r="AI1724" s="88" t="s">
        <v>55</v>
      </c>
      <c r="AJ1724" s="93">
        <f t="shared" si="291"/>
        <v>0</v>
      </c>
      <c r="AK1724" s="93">
        <f t="shared" si="292"/>
        <v>0</v>
      </c>
      <c r="AL1724" s="93">
        <f t="shared" si="293"/>
        <v>0</v>
      </c>
      <c r="AN1724" s="93">
        <v>21</v>
      </c>
      <c r="AO1724" s="93">
        <f>H1724*1</f>
        <v>0</v>
      </c>
      <c r="AP1724" s="93">
        <f>H1724*(1-1)</f>
        <v>0</v>
      </c>
      <c r="AQ1724" s="94" t="s">
        <v>148</v>
      </c>
      <c r="AV1724" s="93">
        <f t="shared" si="294"/>
        <v>0</v>
      </c>
      <c r="AW1724" s="93">
        <f t="shared" si="295"/>
        <v>0</v>
      </c>
      <c r="AX1724" s="93">
        <f t="shared" si="296"/>
        <v>0</v>
      </c>
      <c r="AY1724" s="94" t="s">
        <v>2054</v>
      </c>
      <c r="AZ1724" s="94" t="s">
        <v>1920</v>
      </c>
      <c r="BA1724" s="88" t="s">
        <v>67</v>
      </c>
      <c r="BC1724" s="93">
        <f t="shared" si="297"/>
        <v>0</v>
      </c>
      <c r="BD1724" s="93">
        <f t="shared" si="298"/>
        <v>0</v>
      </c>
      <c r="BE1724" s="93">
        <v>0</v>
      </c>
      <c r="BF1724" s="93">
        <f t="shared" si="299"/>
        <v>4.6000000000000001E-4</v>
      </c>
      <c r="BH1724" s="93">
        <f t="shared" si="300"/>
        <v>0</v>
      </c>
      <c r="BI1724" s="93">
        <f t="shared" si="301"/>
        <v>0</v>
      </c>
      <c r="BJ1724" s="93">
        <f t="shared" si="302"/>
        <v>0</v>
      </c>
      <c r="BK1724" s="93"/>
      <c r="BL1724" s="93">
        <v>734</v>
      </c>
      <c r="BW1724" s="93" t="str">
        <f t="shared" si="303"/>
        <v>21</v>
      </c>
      <c r="BX1724" s="2" t="s">
        <v>2135</v>
      </c>
    </row>
    <row r="1725" spans="1:76" s="81" customFormat="1" x14ac:dyDescent="0.25">
      <c r="A1725" s="85" t="s">
        <v>54</v>
      </c>
      <c r="B1725" s="74" t="s">
        <v>55</v>
      </c>
      <c r="C1725" s="74" t="s">
        <v>2136</v>
      </c>
      <c r="D1725" s="176" t="s">
        <v>2137</v>
      </c>
      <c r="E1725" s="176"/>
      <c r="F1725" s="85" t="s">
        <v>4</v>
      </c>
      <c r="G1725" s="85" t="s">
        <v>4</v>
      </c>
      <c r="H1725" s="85" t="s">
        <v>4</v>
      </c>
      <c r="I1725" s="85" t="s">
        <v>4</v>
      </c>
      <c r="J1725" s="86">
        <f>SUM(J1726:J1766)</f>
        <v>0</v>
      </c>
      <c r="K1725" s="86">
        <f>SUM(K1726:K1766)</f>
        <v>0</v>
      </c>
      <c r="L1725" s="86">
        <f>SUM(L1726:L1766)</f>
        <v>0</v>
      </c>
      <c r="M1725" s="86">
        <f>SUM(M1726:M1766)</f>
        <v>0</v>
      </c>
      <c r="N1725" s="87" t="s">
        <v>54</v>
      </c>
      <c r="O1725" s="86">
        <f>SUM(O1726:O1766)</f>
        <v>6.88E-2</v>
      </c>
      <c r="P1725" s="87" t="s">
        <v>54</v>
      </c>
      <c r="AI1725" s="88" t="s">
        <v>55</v>
      </c>
      <c r="AS1725" s="89">
        <f>SUM(AJ1726:AJ1766)</f>
        <v>0</v>
      </c>
      <c r="AT1725" s="89">
        <f>SUM(AK1726:AK1766)</f>
        <v>0</v>
      </c>
      <c r="AU1725" s="89">
        <f>SUM(AL1726:AL1766)</f>
        <v>0</v>
      </c>
    </row>
    <row r="1726" spans="1:76" s="81" customFormat="1" ht="25.5" x14ac:dyDescent="0.25">
      <c r="A1726" s="72" t="s">
        <v>2138</v>
      </c>
      <c r="B1726" s="72" t="s">
        <v>55</v>
      </c>
      <c r="C1726" s="72" t="s">
        <v>2139</v>
      </c>
      <c r="D1726" s="175" t="s">
        <v>2140</v>
      </c>
      <c r="E1726" s="175"/>
      <c r="F1726" s="72" t="s">
        <v>192</v>
      </c>
      <c r="G1726" s="90">
        <v>84.061819999999997</v>
      </c>
      <c r="H1726" s="91"/>
      <c r="I1726" s="92" t="s">
        <v>63</v>
      </c>
      <c r="J1726" s="90">
        <f>G1726*AO1726</f>
        <v>0</v>
      </c>
      <c r="K1726" s="90">
        <f>G1726*AP1726</f>
        <v>0</v>
      </c>
      <c r="L1726" s="90">
        <f>G1726*H1726</f>
        <v>0</v>
      </c>
      <c r="M1726" s="90">
        <f>L1726*(1+BW1726/100)</f>
        <v>0</v>
      </c>
      <c r="N1726" s="90">
        <v>0</v>
      </c>
      <c r="O1726" s="90">
        <f>G1726*N1726</f>
        <v>0</v>
      </c>
      <c r="P1726" s="92" t="s">
        <v>64</v>
      </c>
      <c r="Z1726" s="93">
        <f>IF(AQ1726="5",BJ1726,0)</f>
        <v>0</v>
      </c>
      <c r="AB1726" s="93">
        <f>IF(AQ1726="1",BH1726,0)</f>
        <v>0</v>
      </c>
      <c r="AC1726" s="93">
        <f>IF(AQ1726="1",BI1726,0)</f>
        <v>0</v>
      </c>
      <c r="AD1726" s="93">
        <f>IF(AQ1726="7",BH1726,0)</f>
        <v>0</v>
      </c>
      <c r="AE1726" s="93">
        <f>IF(AQ1726="7",BI1726,0)</f>
        <v>0</v>
      </c>
      <c r="AF1726" s="93">
        <f>IF(AQ1726="2",BH1726,0)</f>
        <v>0</v>
      </c>
      <c r="AG1726" s="93">
        <f>IF(AQ1726="2",BI1726,0)</f>
        <v>0</v>
      </c>
      <c r="AH1726" s="93">
        <f>IF(AQ1726="0",BJ1726,0)</f>
        <v>0</v>
      </c>
      <c r="AI1726" s="88" t="s">
        <v>55</v>
      </c>
      <c r="AJ1726" s="93">
        <f>IF(AN1726=0,L1726,0)</f>
        <v>0</v>
      </c>
      <c r="AK1726" s="93">
        <f>IF(AN1726=12,L1726,0)</f>
        <v>0</v>
      </c>
      <c r="AL1726" s="93">
        <f>IF(AN1726=21,L1726,0)</f>
        <v>0</v>
      </c>
      <c r="AN1726" s="93">
        <v>21</v>
      </c>
      <c r="AO1726" s="93">
        <f>H1726*0</f>
        <v>0</v>
      </c>
      <c r="AP1726" s="93">
        <f>H1726*(1-0)</f>
        <v>0</v>
      </c>
      <c r="AQ1726" s="94" t="s">
        <v>148</v>
      </c>
      <c r="AV1726" s="93">
        <f>AW1726+AX1726</f>
        <v>0</v>
      </c>
      <c r="AW1726" s="93">
        <f>G1726*AO1726</f>
        <v>0</v>
      </c>
      <c r="AX1726" s="93">
        <f>G1726*AP1726</f>
        <v>0</v>
      </c>
      <c r="AY1726" s="94" t="s">
        <v>2141</v>
      </c>
      <c r="AZ1726" s="94" t="s">
        <v>1920</v>
      </c>
      <c r="BA1726" s="88" t="s">
        <v>67</v>
      </c>
      <c r="BC1726" s="93">
        <f>AW1726+AX1726</f>
        <v>0</v>
      </c>
      <c r="BD1726" s="93">
        <f>H1726/(100-BE1726)*100</f>
        <v>0</v>
      </c>
      <c r="BE1726" s="93">
        <v>0</v>
      </c>
      <c r="BF1726" s="93">
        <f>O1726</f>
        <v>0</v>
      </c>
      <c r="BH1726" s="93">
        <f>G1726*AO1726</f>
        <v>0</v>
      </c>
      <c r="BI1726" s="93">
        <f>G1726*AP1726</f>
        <v>0</v>
      </c>
      <c r="BJ1726" s="93">
        <f>G1726*H1726</f>
        <v>0</v>
      </c>
      <c r="BK1726" s="93"/>
      <c r="BL1726" s="93">
        <v>735</v>
      </c>
      <c r="BW1726" s="93" t="str">
        <f>I1726</f>
        <v>21</v>
      </c>
      <c r="BX1726" s="2" t="s">
        <v>2140</v>
      </c>
    </row>
    <row r="1727" spans="1:76" s="81" customFormat="1" x14ac:dyDescent="0.25">
      <c r="A1727" s="95"/>
      <c r="B1727" s="95"/>
      <c r="C1727" s="95"/>
      <c r="D1727" s="76" t="s">
        <v>54</v>
      </c>
      <c r="E1727" s="76" t="s">
        <v>2142</v>
      </c>
      <c r="F1727" s="95"/>
      <c r="G1727" s="96">
        <v>0</v>
      </c>
      <c r="H1727" s="97"/>
      <c r="I1727" s="95"/>
      <c r="J1727" s="95"/>
      <c r="K1727" s="95"/>
      <c r="L1727" s="95"/>
      <c r="M1727" s="95"/>
      <c r="N1727" s="95"/>
      <c r="O1727" s="95"/>
      <c r="P1727" s="95"/>
    </row>
    <row r="1728" spans="1:76" s="81" customFormat="1" ht="38.25" x14ac:dyDescent="0.25">
      <c r="A1728" s="95"/>
      <c r="B1728" s="95"/>
      <c r="C1728" s="95"/>
      <c r="D1728" s="76" t="s">
        <v>2143</v>
      </c>
      <c r="E1728" s="76" t="s">
        <v>54</v>
      </c>
      <c r="F1728" s="95"/>
      <c r="G1728" s="96">
        <v>29.631820000000001</v>
      </c>
      <c r="H1728" s="97"/>
      <c r="I1728" s="95"/>
      <c r="J1728" s="95"/>
      <c r="K1728" s="95"/>
      <c r="L1728" s="95"/>
      <c r="M1728" s="95"/>
      <c r="N1728" s="95"/>
      <c r="O1728" s="95"/>
      <c r="P1728" s="95"/>
    </row>
    <row r="1729" spans="1:76" s="81" customFormat="1" x14ac:dyDescent="0.25">
      <c r="A1729" s="95"/>
      <c r="B1729" s="95"/>
      <c r="C1729" s="95"/>
      <c r="D1729" s="76" t="s">
        <v>2144</v>
      </c>
      <c r="E1729" s="76" t="s">
        <v>54</v>
      </c>
      <c r="F1729" s="95"/>
      <c r="G1729" s="96">
        <v>26</v>
      </c>
      <c r="H1729" s="97"/>
      <c r="I1729" s="95"/>
      <c r="J1729" s="95"/>
      <c r="K1729" s="95"/>
      <c r="L1729" s="95"/>
      <c r="M1729" s="95"/>
      <c r="N1729" s="95"/>
      <c r="O1729" s="95"/>
      <c r="P1729" s="95"/>
    </row>
    <row r="1730" spans="1:76" s="81" customFormat="1" ht="38.25" x14ac:dyDescent="0.25">
      <c r="A1730" s="95"/>
      <c r="B1730" s="95"/>
      <c r="C1730" s="95"/>
      <c r="D1730" s="76" t="s">
        <v>2145</v>
      </c>
      <c r="E1730" s="76" t="s">
        <v>54</v>
      </c>
      <c r="F1730" s="95"/>
      <c r="G1730" s="96">
        <v>28.43</v>
      </c>
      <c r="H1730" s="97"/>
      <c r="I1730" s="95"/>
      <c r="J1730" s="95"/>
      <c r="K1730" s="95"/>
      <c r="L1730" s="95"/>
      <c r="M1730" s="95"/>
      <c r="N1730" s="95"/>
      <c r="O1730" s="95"/>
      <c r="P1730" s="95"/>
    </row>
    <row r="1731" spans="1:76" s="81" customFormat="1" ht="25.5" x14ac:dyDescent="0.25">
      <c r="A1731" s="72" t="s">
        <v>2146</v>
      </c>
      <c r="B1731" s="72" t="s">
        <v>55</v>
      </c>
      <c r="C1731" s="72" t="s">
        <v>2147</v>
      </c>
      <c r="D1731" s="175" t="s">
        <v>2148</v>
      </c>
      <c r="E1731" s="175"/>
      <c r="F1731" s="72" t="s">
        <v>203</v>
      </c>
      <c r="G1731" s="90">
        <v>4</v>
      </c>
      <c r="H1731" s="91"/>
      <c r="I1731" s="92" t="s">
        <v>63</v>
      </c>
      <c r="J1731" s="90">
        <f>G1731*AO1731</f>
        <v>0</v>
      </c>
      <c r="K1731" s="90">
        <f>G1731*AP1731</f>
        <v>0</v>
      </c>
      <c r="L1731" s="90">
        <f>G1731*H1731</f>
        <v>0</v>
      </c>
      <c r="M1731" s="90">
        <f>L1731*(1+BW1731/100)</f>
        <v>0</v>
      </c>
      <c r="N1731" s="90">
        <v>1.72E-2</v>
      </c>
      <c r="O1731" s="90">
        <f>G1731*N1731</f>
        <v>6.88E-2</v>
      </c>
      <c r="P1731" s="92" t="s">
        <v>64</v>
      </c>
      <c r="Z1731" s="93">
        <f>IF(AQ1731="5",BJ1731,0)</f>
        <v>0</v>
      </c>
      <c r="AB1731" s="93">
        <f>IF(AQ1731="1",BH1731,0)</f>
        <v>0</v>
      </c>
      <c r="AC1731" s="93">
        <f>IF(AQ1731="1",BI1731,0)</f>
        <v>0</v>
      </c>
      <c r="AD1731" s="93">
        <f>IF(AQ1731="7",BH1731,0)</f>
        <v>0</v>
      </c>
      <c r="AE1731" s="93">
        <f>IF(AQ1731="7",BI1731,0)</f>
        <v>0</v>
      </c>
      <c r="AF1731" s="93">
        <f>IF(AQ1731="2",BH1731,0)</f>
        <v>0</v>
      </c>
      <c r="AG1731" s="93">
        <f>IF(AQ1731="2",BI1731,0)</f>
        <v>0</v>
      </c>
      <c r="AH1731" s="93">
        <f>IF(AQ1731="0",BJ1731,0)</f>
        <v>0</v>
      </c>
      <c r="AI1731" s="88" t="s">
        <v>55</v>
      </c>
      <c r="AJ1731" s="93">
        <f>IF(AN1731=0,L1731,0)</f>
        <v>0</v>
      </c>
      <c r="AK1731" s="93">
        <f>IF(AN1731=12,L1731,0)</f>
        <v>0</v>
      </c>
      <c r="AL1731" s="93">
        <f>IF(AN1731=21,L1731,0)</f>
        <v>0</v>
      </c>
      <c r="AN1731" s="93">
        <v>21</v>
      </c>
      <c r="AO1731" s="93">
        <f>H1731*0.913164716</f>
        <v>0</v>
      </c>
      <c r="AP1731" s="93">
        <f>H1731*(1-0.913164716)</f>
        <v>0</v>
      </c>
      <c r="AQ1731" s="94" t="s">
        <v>148</v>
      </c>
      <c r="AV1731" s="93">
        <f>AW1731+AX1731</f>
        <v>0</v>
      </c>
      <c r="AW1731" s="93">
        <f>G1731*AO1731</f>
        <v>0</v>
      </c>
      <c r="AX1731" s="93">
        <f>G1731*AP1731</f>
        <v>0</v>
      </c>
      <c r="AY1731" s="94" t="s">
        <v>2141</v>
      </c>
      <c r="AZ1731" s="94" t="s">
        <v>1920</v>
      </c>
      <c r="BA1731" s="88" t="s">
        <v>67</v>
      </c>
      <c r="BC1731" s="93">
        <f>AW1731+AX1731</f>
        <v>0</v>
      </c>
      <c r="BD1731" s="93">
        <f>H1731/(100-BE1731)*100</f>
        <v>0</v>
      </c>
      <c r="BE1731" s="93">
        <v>0</v>
      </c>
      <c r="BF1731" s="93">
        <f>O1731</f>
        <v>6.88E-2</v>
      </c>
      <c r="BH1731" s="93">
        <f>G1731*AO1731</f>
        <v>0</v>
      </c>
      <c r="BI1731" s="93">
        <f>G1731*AP1731</f>
        <v>0</v>
      </c>
      <c r="BJ1731" s="93">
        <f>G1731*H1731</f>
        <v>0</v>
      </c>
      <c r="BK1731" s="93"/>
      <c r="BL1731" s="93">
        <v>735</v>
      </c>
      <c r="BW1731" s="93" t="str">
        <f>I1731</f>
        <v>21</v>
      </c>
      <c r="BX1731" s="2" t="s">
        <v>2148</v>
      </c>
    </row>
    <row r="1732" spans="1:76" s="81" customFormat="1" ht="25.5" x14ac:dyDescent="0.25">
      <c r="A1732" s="72" t="s">
        <v>2149</v>
      </c>
      <c r="B1732" s="72" t="s">
        <v>55</v>
      </c>
      <c r="C1732" s="72" t="s">
        <v>2150</v>
      </c>
      <c r="D1732" s="175" t="s">
        <v>2151</v>
      </c>
      <c r="E1732" s="175"/>
      <c r="F1732" s="72" t="s">
        <v>203</v>
      </c>
      <c r="G1732" s="90">
        <v>27</v>
      </c>
      <c r="H1732" s="91"/>
      <c r="I1732" s="92" t="s">
        <v>63</v>
      </c>
      <c r="J1732" s="90">
        <f>G1732*AO1732</f>
        <v>0</v>
      </c>
      <c r="K1732" s="90">
        <f>G1732*AP1732</f>
        <v>0</v>
      </c>
      <c r="L1732" s="90">
        <f>G1732*H1732</f>
        <v>0</v>
      </c>
      <c r="M1732" s="90">
        <f>L1732*(1+BW1732/100)</f>
        <v>0</v>
      </c>
      <c r="N1732" s="90">
        <v>0</v>
      </c>
      <c r="O1732" s="90">
        <f>G1732*N1732</f>
        <v>0</v>
      </c>
      <c r="P1732" s="92" t="s">
        <v>64</v>
      </c>
      <c r="Z1732" s="93">
        <f>IF(AQ1732="5",BJ1732,0)</f>
        <v>0</v>
      </c>
      <c r="AB1732" s="93">
        <f>IF(AQ1732="1",BH1732,0)</f>
        <v>0</v>
      </c>
      <c r="AC1732" s="93">
        <f>IF(AQ1732="1",BI1732,0)</f>
        <v>0</v>
      </c>
      <c r="AD1732" s="93">
        <f>IF(AQ1732="7",BH1732,0)</f>
        <v>0</v>
      </c>
      <c r="AE1732" s="93">
        <f>IF(AQ1732="7",BI1732,0)</f>
        <v>0</v>
      </c>
      <c r="AF1732" s="93">
        <f>IF(AQ1732="2",BH1732,0)</f>
        <v>0</v>
      </c>
      <c r="AG1732" s="93">
        <f>IF(AQ1732="2",BI1732,0)</f>
        <v>0</v>
      </c>
      <c r="AH1732" s="93">
        <f>IF(AQ1732="0",BJ1732,0)</f>
        <v>0</v>
      </c>
      <c r="AI1732" s="88" t="s">
        <v>55</v>
      </c>
      <c r="AJ1732" s="93">
        <f>IF(AN1732=0,L1732,0)</f>
        <v>0</v>
      </c>
      <c r="AK1732" s="93">
        <f>IF(AN1732=12,L1732,0)</f>
        <v>0</v>
      </c>
      <c r="AL1732" s="93">
        <f>IF(AN1732=21,L1732,0)</f>
        <v>0</v>
      </c>
      <c r="AN1732" s="93">
        <v>21</v>
      </c>
      <c r="AO1732" s="93">
        <f>H1732*0</f>
        <v>0</v>
      </c>
      <c r="AP1732" s="93">
        <f>H1732*(1-0)</f>
        <v>0</v>
      </c>
      <c r="AQ1732" s="94" t="s">
        <v>148</v>
      </c>
      <c r="AV1732" s="93">
        <f>AW1732+AX1732</f>
        <v>0</v>
      </c>
      <c r="AW1732" s="93">
        <f>G1732*AO1732</f>
        <v>0</v>
      </c>
      <c r="AX1732" s="93">
        <f>G1732*AP1732</f>
        <v>0</v>
      </c>
      <c r="AY1732" s="94" t="s">
        <v>2141</v>
      </c>
      <c r="AZ1732" s="94" t="s">
        <v>1920</v>
      </c>
      <c r="BA1732" s="88" t="s">
        <v>67</v>
      </c>
      <c r="BC1732" s="93">
        <f>AW1732+AX1732</f>
        <v>0</v>
      </c>
      <c r="BD1732" s="93">
        <f>H1732/(100-BE1732)*100</f>
        <v>0</v>
      </c>
      <c r="BE1732" s="93">
        <v>0</v>
      </c>
      <c r="BF1732" s="93">
        <f>O1732</f>
        <v>0</v>
      </c>
      <c r="BH1732" s="93">
        <f>G1732*AO1732</f>
        <v>0</v>
      </c>
      <c r="BI1732" s="93">
        <f>G1732*AP1732</f>
        <v>0</v>
      </c>
      <c r="BJ1732" s="93">
        <f>G1732*H1732</f>
        <v>0</v>
      </c>
      <c r="BK1732" s="93"/>
      <c r="BL1732" s="93">
        <v>735</v>
      </c>
      <c r="BW1732" s="93" t="str">
        <f>I1732</f>
        <v>21</v>
      </c>
      <c r="BX1732" s="2" t="s">
        <v>2151</v>
      </c>
    </row>
    <row r="1733" spans="1:76" s="81" customFormat="1" x14ac:dyDescent="0.25">
      <c r="A1733" s="95"/>
      <c r="B1733" s="95"/>
      <c r="C1733" s="95"/>
      <c r="D1733" s="76" t="s">
        <v>2152</v>
      </c>
      <c r="E1733" s="76" t="s">
        <v>54</v>
      </c>
      <c r="F1733" s="95"/>
      <c r="G1733" s="96">
        <v>27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25.5" x14ac:dyDescent="0.25">
      <c r="A1734" s="72" t="s">
        <v>2153</v>
      </c>
      <c r="B1734" s="72" t="s">
        <v>55</v>
      </c>
      <c r="C1734" s="72" t="s">
        <v>2154</v>
      </c>
      <c r="D1734" s="175" t="s">
        <v>2155</v>
      </c>
      <c r="E1734" s="175"/>
      <c r="F1734" s="72" t="s">
        <v>203</v>
      </c>
      <c r="G1734" s="90">
        <v>19</v>
      </c>
      <c r="H1734" s="91"/>
      <c r="I1734" s="92" t="s">
        <v>63</v>
      </c>
      <c r="J1734" s="90">
        <f>G1734*AO1734</f>
        <v>0</v>
      </c>
      <c r="K1734" s="90">
        <f>G1734*AP1734</f>
        <v>0</v>
      </c>
      <c r="L1734" s="90">
        <f>G1734*H1734</f>
        <v>0</v>
      </c>
      <c r="M1734" s="90">
        <f>L1734*(1+BW1734/100)</f>
        <v>0</v>
      </c>
      <c r="N1734" s="90">
        <v>0</v>
      </c>
      <c r="O1734" s="90">
        <f>G1734*N1734</f>
        <v>0</v>
      </c>
      <c r="P1734" s="92" t="s">
        <v>64</v>
      </c>
      <c r="Z1734" s="93">
        <f>IF(AQ1734="5",BJ1734,0)</f>
        <v>0</v>
      </c>
      <c r="AB1734" s="93">
        <f>IF(AQ1734="1",BH1734,0)</f>
        <v>0</v>
      </c>
      <c r="AC1734" s="93">
        <f>IF(AQ1734="1",BI1734,0)</f>
        <v>0</v>
      </c>
      <c r="AD1734" s="93">
        <f>IF(AQ1734="7",BH1734,0)</f>
        <v>0</v>
      </c>
      <c r="AE1734" s="93">
        <f>IF(AQ1734="7",BI1734,0)</f>
        <v>0</v>
      </c>
      <c r="AF1734" s="93">
        <f>IF(AQ1734="2",BH1734,0)</f>
        <v>0</v>
      </c>
      <c r="AG1734" s="93">
        <f>IF(AQ1734="2",BI1734,0)</f>
        <v>0</v>
      </c>
      <c r="AH1734" s="93">
        <f>IF(AQ1734="0",BJ1734,0)</f>
        <v>0</v>
      </c>
      <c r="AI1734" s="88" t="s">
        <v>55</v>
      </c>
      <c r="AJ1734" s="93">
        <f>IF(AN1734=0,L1734,0)</f>
        <v>0</v>
      </c>
      <c r="AK1734" s="93">
        <f>IF(AN1734=12,L1734,0)</f>
        <v>0</v>
      </c>
      <c r="AL1734" s="93">
        <f>IF(AN1734=21,L1734,0)</f>
        <v>0</v>
      </c>
      <c r="AN1734" s="93">
        <v>21</v>
      </c>
      <c r="AO1734" s="93">
        <f>H1734*0</f>
        <v>0</v>
      </c>
      <c r="AP1734" s="93">
        <f>H1734*(1-0)</f>
        <v>0</v>
      </c>
      <c r="AQ1734" s="94" t="s">
        <v>148</v>
      </c>
      <c r="AV1734" s="93">
        <f>AW1734+AX1734</f>
        <v>0</v>
      </c>
      <c r="AW1734" s="93">
        <f>G1734*AO1734</f>
        <v>0</v>
      </c>
      <c r="AX1734" s="93">
        <f>G1734*AP1734</f>
        <v>0</v>
      </c>
      <c r="AY1734" s="94" t="s">
        <v>2141</v>
      </c>
      <c r="AZ1734" s="94" t="s">
        <v>1920</v>
      </c>
      <c r="BA1734" s="88" t="s">
        <v>67</v>
      </c>
      <c r="BC1734" s="93">
        <f>AW1734+AX1734</f>
        <v>0</v>
      </c>
      <c r="BD1734" s="93">
        <f>H1734/(100-BE1734)*100</f>
        <v>0</v>
      </c>
      <c r="BE1734" s="93">
        <v>0</v>
      </c>
      <c r="BF1734" s="93">
        <f>O1734</f>
        <v>0</v>
      </c>
      <c r="BH1734" s="93">
        <f>G1734*AO1734</f>
        <v>0</v>
      </c>
      <c r="BI1734" s="93">
        <f>G1734*AP1734</f>
        <v>0</v>
      </c>
      <c r="BJ1734" s="93">
        <f>G1734*H1734</f>
        <v>0</v>
      </c>
      <c r="BK1734" s="93"/>
      <c r="BL1734" s="93">
        <v>735</v>
      </c>
      <c r="BW1734" s="93" t="str">
        <f>I1734</f>
        <v>21</v>
      </c>
      <c r="BX1734" s="2" t="s">
        <v>2155</v>
      </c>
    </row>
    <row r="1735" spans="1:76" s="81" customFormat="1" x14ac:dyDescent="0.25">
      <c r="A1735" s="95"/>
      <c r="B1735" s="95"/>
      <c r="C1735" s="95"/>
      <c r="D1735" s="76" t="s">
        <v>2156</v>
      </c>
      <c r="E1735" s="76" t="s">
        <v>54</v>
      </c>
      <c r="F1735" s="95"/>
      <c r="G1735" s="96">
        <v>19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25.5" x14ac:dyDescent="0.25">
      <c r="A1736" s="72" t="s">
        <v>2157</v>
      </c>
      <c r="B1736" s="72" t="s">
        <v>55</v>
      </c>
      <c r="C1736" s="72" t="s">
        <v>2158</v>
      </c>
      <c r="D1736" s="175" t="s">
        <v>2159</v>
      </c>
      <c r="E1736" s="175"/>
      <c r="F1736" s="72" t="s">
        <v>203</v>
      </c>
      <c r="G1736" s="90">
        <v>3</v>
      </c>
      <c r="H1736" s="91"/>
      <c r="I1736" s="92" t="s">
        <v>63</v>
      </c>
      <c r="J1736" s="90">
        <f>G1736*AO1736</f>
        <v>0</v>
      </c>
      <c r="K1736" s="90">
        <f>G1736*AP1736</f>
        <v>0</v>
      </c>
      <c r="L1736" s="90">
        <f>G1736*H1736</f>
        <v>0</v>
      </c>
      <c r="M1736" s="90">
        <f>L1736*(1+BW1736/100)</f>
        <v>0</v>
      </c>
      <c r="N1736" s="90">
        <v>0</v>
      </c>
      <c r="O1736" s="90">
        <f>G1736*N1736</f>
        <v>0</v>
      </c>
      <c r="P1736" s="92" t="s">
        <v>64</v>
      </c>
      <c r="Z1736" s="93">
        <f>IF(AQ1736="5",BJ1736,0)</f>
        <v>0</v>
      </c>
      <c r="AB1736" s="93">
        <f>IF(AQ1736="1",BH1736,0)</f>
        <v>0</v>
      </c>
      <c r="AC1736" s="93">
        <f>IF(AQ1736="1",BI1736,0)</f>
        <v>0</v>
      </c>
      <c r="AD1736" s="93">
        <f>IF(AQ1736="7",BH1736,0)</f>
        <v>0</v>
      </c>
      <c r="AE1736" s="93">
        <f>IF(AQ1736="7",BI1736,0)</f>
        <v>0</v>
      </c>
      <c r="AF1736" s="93">
        <f>IF(AQ1736="2",BH1736,0)</f>
        <v>0</v>
      </c>
      <c r="AG1736" s="93">
        <f>IF(AQ1736="2",BI1736,0)</f>
        <v>0</v>
      </c>
      <c r="AH1736" s="93">
        <f>IF(AQ1736="0",BJ1736,0)</f>
        <v>0</v>
      </c>
      <c r="AI1736" s="88" t="s">
        <v>55</v>
      </c>
      <c r="AJ1736" s="93">
        <f>IF(AN1736=0,L1736,0)</f>
        <v>0</v>
      </c>
      <c r="AK1736" s="93">
        <f>IF(AN1736=12,L1736,0)</f>
        <v>0</v>
      </c>
      <c r="AL1736" s="93">
        <f>IF(AN1736=21,L1736,0)</f>
        <v>0</v>
      </c>
      <c r="AN1736" s="93">
        <v>21</v>
      </c>
      <c r="AO1736" s="93">
        <f>H1736*0</f>
        <v>0</v>
      </c>
      <c r="AP1736" s="93">
        <f>H1736*(1-0)</f>
        <v>0</v>
      </c>
      <c r="AQ1736" s="94" t="s">
        <v>148</v>
      </c>
      <c r="AV1736" s="93">
        <f>AW1736+AX1736</f>
        <v>0</v>
      </c>
      <c r="AW1736" s="93">
        <f>G1736*AO1736</f>
        <v>0</v>
      </c>
      <c r="AX1736" s="93">
        <f>G1736*AP1736</f>
        <v>0</v>
      </c>
      <c r="AY1736" s="94" t="s">
        <v>2141</v>
      </c>
      <c r="AZ1736" s="94" t="s">
        <v>1920</v>
      </c>
      <c r="BA1736" s="88" t="s">
        <v>67</v>
      </c>
      <c r="BC1736" s="93">
        <f>AW1736+AX1736</f>
        <v>0</v>
      </c>
      <c r="BD1736" s="93">
        <f>H1736/(100-BE1736)*100</f>
        <v>0</v>
      </c>
      <c r="BE1736" s="93">
        <v>0</v>
      </c>
      <c r="BF1736" s="93">
        <f>O1736</f>
        <v>0</v>
      </c>
      <c r="BH1736" s="93">
        <f>G1736*AO1736</f>
        <v>0</v>
      </c>
      <c r="BI1736" s="93">
        <f>G1736*AP1736</f>
        <v>0</v>
      </c>
      <c r="BJ1736" s="93">
        <f>G1736*H1736</f>
        <v>0</v>
      </c>
      <c r="BK1736" s="93"/>
      <c r="BL1736" s="93">
        <v>735</v>
      </c>
      <c r="BW1736" s="93" t="str">
        <f>I1736</f>
        <v>21</v>
      </c>
      <c r="BX1736" s="2" t="s">
        <v>2159</v>
      </c>
    </row>
    <row r="1737" spans="1:76" s="81" customFormat="1" x14ac:dyDescent="0.25">
      <c r="A1737" s="95"/>
      <c r="B1737" s="95"/>
      <c r="C1737" s="95"/>
      <c r="D1737" s="76" t="s">
        <v>2160</v>
      </c>
      <c r="E1737" s="76" t="s">
        <v>54</v>
      </c>
      <c r="F1737" s="95"/>
      <c r="G1737" s="96">
        <v>3</v>
      </c>
      <c r="H1737" s="97"/>
      <c r="I1737" s="95"/>
      <c r="J1737" s="95"/>
      <c r="K1737" s="95"/>
      <c r="L1737" s="95"/>
      <c r="M1737" s="95"/>
      <c r="N1737" s="95"/>
      <c r="O1737" s="95"/>
      <c r="P1737" s="95"/>
    </row>
    <row r="1738" spans="1:76" s="81" customFormat="1" ht="25.5" x14ac:dyDescent="0.25">
      <c r="A1738" s="72" t="s">
        <v>2161</v>
      </c>
      <c r="B1738" s="72" t="s">
        <v>55</v>
      </c>
      <c r="C1738" s="72" t="s">
        <v>2162</v>
      </c>
      <c r="D1738" s="175" t="s">
        <v>2163</v>
      </c>
      <c r="E1738" s="175"/>
      <c r="F1738" s="72" t="s">
        <v>203</v>
      </c>
      <c r="G1738" s="90">
        <v>13</v>
      </c>
      <c r="H1738" s="91"/>
      <c r="I1738" s="92" t="s">
        <v>63</v>
      </c>
      <c r="J1738" s="90">
        <f>G1738*AO1738</f>
        <v>0</v>
      </c>
      <c r="K1738" s="90">
        <f>G1738*AP1738</f>
        <v>0</v>
      </c>
      <c r="L1738" s="90">
        <f>G1738*H1738</f>
        <v>0</v>
      </c>
      <c r="M1738" s="90">
        <f>L1738*(1+BW1738/100)</f>
        <v>0</v>
      </c>
      <c r="N1738" s="90">
        <v>0</v>
      </c>
      <c r="O1738" s="90">
        <f>G1738*N1738</f>
        <v>0</v>
      </c>
      <c r="P1738" s="92" t="s">
        <v>64</v>
      </c>
      <c r="Z1738" s="93">
        <f>IF(AQ1738="5",BJ1738,0)</f>
        <v>0</v>
      </c>
      <c r="AB1738" s="93">
        <f>IF(AQ1738="1",BH1738,0)</f>
        <v>0</v>
      </c>
      <c r="AC1738" s="93">
        <f>IF(AQ1738="1",BI1738,0)</f>
        <v>0</v>
      </c>
      <c r="AD1738" s="93">
        <f>IF(AQ1738="7",BH1738,0)</f>
        <v>0</v>
      </c>
      <c r="AE1738" s="93">
        <f>IF(AQ1738="7",BI1738,0)</f>
        <v>0</v>
      </c>
      <c r="AF1738" s="93">
        <f>IF(AQ1738="2",BH1738,0)</f>
        <v>0</v>
      </c>
      <c r="AG1738" s="93">
        <f>IF(AQ1738="2",BI1738,0)</f>
        <v>0</v>
      </c>
      <c r="AH1738" s="93">
        <f>IF(AQ1738="0",BJ1738,0)</f>
        <v>0</v>
      </c>
      <c r="AI1738" s="88" t="s">
        <v>55</v>
      </c>
      <c r="AJ1738" s="93">
        <f>IF(AN1738=0,L1738,0)</f>
        <v>0</v>
      </c>
      <c r="AK1738" s="93">
        <f>IF(AN1738=12,L1738,0)</f>
        <v>0</v>
      </c>
      <c r="AL1738" s="93">
        <f>IF(AN1738=21,L1738,0)</f>
        <v>0</v>
      </c>
      <c r="AN1738" s="93">
        <v>21</v>
      </c>
      <c r="AO1738" s="93">
        <f>H1738*0</f>
        <v>0</v>
      </c>
      <c r="AP1738" s="93">
        <f>H1738*(1-0)</f>
        <v>0</v>
      </c>
      <c r="AQ1738" s="94" t="s">
        <v>148</v>
      </c>
      <c r="AV1738" s="93">
        <f>AW1738+AX1738</f>
        <v>0</v>
      </c>
      <c r="AW1738" s="93">
        <f>G1738*AO1738</f>
        <v>0</v>
      </c>
      <c r="AX1738" s="93">
        <f>G1738*AP1738</f>
        <v>0</v>
      </c>
      <c r="AY1738" s="94" t="s">
        <v>2141</v>
      </c>
      <c r="AZ1738" s="94" t="s">
        <v>1920</v>
      </c>
      <c r="BA1738" s="88" t="s">
        <v>67</v>
      </c>
      <c r="BC1738" s="93">
        <f>AW1738+AX1738</f>
        <v>0</v>
      </c>
      <c r="BD1738" s="93">
        <f>H1738/(100-BE1738)*100</f>
        <v>0</v>
      </c>
      <c r="BE1738" s="93">
        <v>0</v>
      </c>
      <c r="BF1738" s="93">
        <f>O1738</f>
        <v>0</v>
      </c>
      <c r="BH1738" s="93">
        <f>G1738*AO1738</f>
        <v>0</v>
      </c>
      <c r="BI1738" s="93">
        <f>G1738*AP1738</f>
        <v>0</v>
      </c>
      <c r="BJ1738" s="93">
        <f>G1738*H1738</f>
        <v>0</v>
      </c>
      <c r="BK1738" s="93"/>
      <c r="BL1738" s="93">
        <v>735</v>
      </c>
      <c r="BW1738" s="93" t="str">
        <f>I1738</f>
        <v>21</v>
      </c>
      <c r="BX1738" s="2" t="s">
        <v>2163</v>
      </c>
    </row>
    <row r="1739" spans="1:76" s="81" customFormat="1" x14ac:dyDescent="0.25">
      <c r="A1739" s="95"/>
      <c r="B1739" s="95"/>
      <c r="C1739" s="95"/>
      <c r="D1739" s="76" t="s">
        <v>2164</v>
      </c>
      <c r="E1739" s="76" t="s">
        <v>54</v>
      </c>
      <c r="F1739" s="95"/>
      <c r="G1739" s="96">
        <v>13</v>
      </c>
      <c r="H1739" s="97"/>
      <c r="I1739" s="95"/>
      <c r="J1739" s="95"/>
      <c r="K1739" s="95"/>
      <c r="L1739" s="95"/>
      <c r="M1739" s="95"/>
      <c r="N1739" s="95"/>
      <c r="O1739" s="95"/>
      <c r="P1739" s="95"/>
    </row>
    <row r="1740" spans="1:76" s="81" customFormat="1" ht="25.5" x14ac:dyDescent="0.25">
      <c r="A1740" s="72" t="s">
        <v>2165</v>
      </c>
      <c r="B1740" s="72" t="s">
        <v>55</v>
      </c>
      <c r="C1740" s="72" t="s">
        <v>2166</v>
      </c>
      <c r="D1740" s="175" t="s">
        <v>2167</v>
      </c>
      <c r="E1740" s="175"/>
      <c r="F1740" s="72" t="s">
        <v>203</v>
      </c>
      <c r="G1740" s="90">
        <v>3</v>
      </c>
      <c r="H1740" s="91"/>
      <c r="I1740" s="92" t="s">
        <v>63</v>
      </c>
      <c r="J1740" s="90">
        <f t="shared" ref="J1740:J1766" si="304">G1740*AO1740</f>
        <v>0</v>
      </c>
      <c r="K1740" s="90">
        <f t="shared" ref="K1740:K1766" si="305">G1740*AP1740</f>
        <v>0</v>
      </c>
      <c r="L1740" s="90">
        <f t="shared" ref="L1740:L1766" si="306">G1740*H1740</f>
        <v>0</v>
      </c>
      <c r="M1740" s="90">
        <f t="shared" ref="M1740:M1766" si="307">L1740*(1+BW1740/100)</f>
        <v>0</v>
      </c>
      <c r="N1740" s="90">
        <v>0</v>
      </c>
      <c r="O1740" s="90">
        <f t="shared" ref="O1740:O1766" si="308">G1740*N1740</f>
        <v>0</v>
      </c>
      <c r="P1740" s="92" t="s">
        <v>64</v>
      </c>
      <c r="Z1740" s="93">
        <f t="shared" ref="Z1740:Z1766" si="309">IF(AQ1740="5",BJ1740,0)</f>
        <v>0</v>
      </c>
      <c r="AB1740" s="93">
        <f t="shared" ref="AB1740:AB1766" si="310">IF(AQ1740="1",BH1740,0)</f>
        <v>0</v>
      </c>
      <c r="AC1740" s="93">
        <f t="shared" ref="AC1740:AC1766" si="311">IF(AQ1740="1",BI1740,0)</f>
        <v>0</v>
      </c>
      <c r="AD1740" s="93">
        <f t="shared" ref="AD1740:AD1766" si="312">IF(AQ1740="7",BH1740,0)</f>
        <v>0</v>
      </c>
      <c r="AE1740" s="93">
        <f t="shared" ref="AE1740:AE1766" si="313">IF(AQ1740="7",BI1740,0)</f>
        <v>0</v>
      </c>
      <c r="AF1740" s="93">
        <f t="shared" ref="AF1740:AF1766" si="314">IF(AQ1740="2",BH1740,0)</f>
        <v>0</v>
      </c>
      <c r="AG1740" s="93">
        <f t="shared" ref="AG1740:AG1766" si="315">IF(AQ1740="2",BI1740,0)</f>
        <v>0</v>
      </c>
      <c r="AH1740" s="93">
        <f t="shared" ref="AH1740:AH1766" si="316">IF(AQ1740="0",BJ1740,0)</f>
        <v>0</v>
      </c>
      <c r="AI1740" s="88" t="s">
        <v>55</v>
      </c>
      <c r="AJ1740" s="93">
        <f t="shared" ref="AJ1740:AJ1766" si="317">IF(AN1740=0,L1740,0)</f>
        <v>0</v>
      </c>
      <c r="AK1740" s="93">
        <f t="shared" ref="AK1740:AK1766" si="318">IF(AN1740=12,L1740,0)</f>
        <v>0</v>
      </c>
      <c r="AL1740" s="93">
        <f t="shared" ref="AL1740:AL1766" si="319">IF(AN1740=21,L1740,0)</f>
        <v>0</v>
      </c>
      <c r="AN1740" s="93">
        <v>21</v>
      </c>
      <c r="AO1740" s="93">
        <f>H1740*0</f>
        <v>0</v>
      </c>
      <c r="AP1740" s="93">
        <f>H1740*(1-0)</f>
        <v>0</v>
      </c>
      <c r="AQ1740" s="94" t="s">
        <v>148</v>
      </c>
      <c r="AV1740" s="93">
        <f t="shared" ref="AV1740:AV1766" si="320">AW1740+AX1740</f>
        <v>0</v>
      </c>
      <c r="AW1740" s="93">
        <f t="shared" ref="AW1740:AW1766" si="321">G1740*AO1740</f>
        <v>0</v>
      </c>
      <c r="AX1740" s="93">
        <f t="shared" ref="AX1740:AX1766" si="322">G1740*AP1740</f>
        <v>0</v>
      </c>
      <c r="AY1740" s="94" t="s">
        <v>2141</v>
      </c>
      <c r="AZ1740" s="94" t="s">
        <v>1920</v>
      </c>
      <c r="BA1740" s="88" t="s">
        <v>67</v>
      </c>
      <c r="BC1740" s="93">
        <f t="shared" ref="BC1740:BC1766" si="323">AW1740+AX1740</f>
        <v>0</v>
      </c>
      <c r="BD1740" s="93">
        <f t="shared" ref="BD1740:BD1766" si="324">H1740/(100-BE1740)*100</f>
        <v>0</v>
      </c>
      <c r="BE1740" s="93">
        <v>0</v>
      </c>
      <c r="BF1740" s="93">
        <f t="shared" ref="BF1740:BF1766" si="325">O1740</f>
        <v>0</v>
      </c>
      <c r="BH1740" s="93">
        <f t="shared" ref="BH1740:BH1766" si="326">G1740*AO1740</f>
        <v>0</v>
      </c>
      <c r="BI1740" s="93">
        <f t="shared" ref="BI1740:BI1766" si="327">G1740*AP1740</f>
        <v>0</v>
      </c>
      <c r="BJ1740" s="93">
        <f t="shared" ref="BJ1740:BJ1766" si="328">G1740*H1740</f>
        <v>0</v>
      </c>
      <c r="BK1740" s="93"/>
      <c r="BL1740" s="93">
        <v>735</v>
      </c>
      <c r="BW1740" s="93" t="str">
        <f t="shared" ref="BW1740:BW1766" si="329">I1740</f>
        <v>21</v>
      </c>
      <c r="BX1740" s="2" t="s">
        <v>2167</v>
      </c>
    </row>
    <row r="1741" spans="1:76" s="81" customFormat="1" ht="25.5" x14ac:dyDescent="0.25">
      <c r="A1741" s="72" t="s">
        <v>2168</v>
      </c>
      <c r="B1741" s="72" t="s">
        <v>55</v>
      </c>
      <c r="C1741" s="72" t="s">
        <v>2169</v>
      </c>
      <c r="D1741" s="175" t="s">
        <v>2170</v>
      </c>
      <c r="E1741" s="175"/>
      <c r="F1741" s="72" t="s">
        <v>203</v>
      </c>
      <c r="G1741" s="90">
        <v>1</v>
      </c>
      <c r="H1741" s="91"/>
      <c r="I1741" s="92" t="s">
        <v>63</v>
      </c>
      <c r="J1741" s="90">
        <f t="shared" si="304"/>
        <v>0</v>
      </c>
      <c r="K1741" s="90">
        <f t="shared" si="305"/>
        <v>0</v>
      </c>
      <c r="L1741" s="90">
        <f t="shared" si="306"/>
        <v>0</v>
      </c>
      <c r="M1741" s="90">
        <f t="shared" si="307"/>
        <v>0</v>
      </c>
      <c r="N1741" s="90">
        <v>0</v>
      </c>
      <c r="O1741" s="90">
        <f t="shared" si="308"/>
        <v>0</v>
      </c>
      <c r="P1741" s="92" t="s">
        <v>64</v>
      </c>
      <c r="Z1741" s="93">
        <f t="shared" si="309"/>
        <v>0</v>
      </c>
      <c r="AB1741" s="93">
        <f t="shared" si="310"/>
        <v>0</v>
      </c>
      <c r="AC1741" s="93">
        <f t="shared" si="311"/>
        <v>0</v>
      </c>
      <c r="AD1741" s="93">
        <f t="shared" si="312"/>
        <v>0</v>
      </c>
      <c r="AE1741" s="93">
        <f t="shared" si="313"/>
        <v>0</v>
      </c>
      <c r="AF1741" s="93">
        <f t="shared" si="314"/>
        <v>0</v>
      </c>
      <c r="AG1741" s="93">
        <f t="shared" si="315"/>
        <v>0</v>
      </c>
      <c r="AH1741" s="93">
        <f t="shared" si="316"/>
        <v>0</v>
      </c>
      <c r="AI1741" s="88" t="s">
        <v>55</v>
      </c>
      <c r="AJ1741" s="93">
        <f t="shared" si="317"/>
        <v>0</v>
      </c>
      <c r="AK1741" s="93">
        <f t="shared" si="318"/>
        <v>0</v>
      </c>
      <c r="AL1741" s="93">
        <f t="shared" si="319"/>
        <v>0</v>
      </c>
      <c r="AN1741" s="93">
        <v>21</v>
      </c>
      <c r="AO1741" s="93">
        <f>H1741*0</f>
        <v>0</v>
      </c>
      <c r="AP1741" s="93">
        <f>H1741*(1-0)</f>
        <v>0</v>
      </c>
      <c r="AQ1741" s="94" t="s">
        <v>148</v>
      </c>
      <c r="AV1741" s="93">
        <f t="shared" si="320"/>
        <v>0</v>
      </c>
      <c r="AW1741" s="93">
        <f t="shared" si="321"/>
        <v>0</v>
      </c>
      <c r="AX1741" s="93">
        <f t="shared" si="322"/>
        <v>0</v>
      </c>
      <c r="AY1741" s="94" t="s">
        <v>2141</v>
      </c>
      <c r="AZ1741" s="94" t="s">
        <v>1920</v>
      </c>
      <c r="BA1741" s="88" t="s">
        <v>67</v>
      </c>
      <c r="BC1741" s="93">
        <f t="shared" si="323"/>
        <v>0</v>
      </c>
      <c r="BD1741" s="93">
        <f t="shared" si="324"/>
        <v>0</v>
      </c>
      <c r="BE1741" s="93">
        <v>0</v>
      </c>
      <c r="BF1741" s="93">
        <f t="shared" si="325"/>
        <v>0</v>
      </c>
      <c r="BH1741" s="93">
        <f t="shared" si="326"/>
        <v>0</v>
      </c>
      <c r="BI1741" s="93">
        <f t="shared" si="327"/>
        <v>0</v>
      </c>
      <c r="BJ1741" s="93">
        <f t="shared" si="328"/>
        <v>0</v>
      </c>
      <c r="BK1741" s="93"/>
      <c r="BL1741" s="93">
        <v>735</v>
      </c>
      <c r="BW1741" s="93" t="str">
        <f t="shared" si="329"/>
        <v>21</v>
      </c>
      <c r="BX1741" s="2" t="s">
        <v>2170</v>
      </c>
    </row>
    <row r="1742" spans="1:76" s="81" customFormat="1" ht="25.5" x14ac:dyDescent="0.25">
      <c r="A1742" s="72" t="s">
        <v>2171</v>
      </c>
      <c r="B1742" s="72" t="s">
        <v>55</v>
      </c>
      <c r="C1742" s="72" t="s">
        <v>2172</v>
      </c>
      <c r="D1742" s="175" t="s">
        <v>2173</v>
      </c>
      <c r="E1742" s="175"/>
      <c r="F1742" s="72" t="s">
        <v>203</v>
      </c>
      <c r="G1742" s="90">
        <v>2</v>
      </c>
      <c r="H1742" s="91"/>
      <c r="I1742" s="92" t="s">
        <v>63</v>
      </c>
      <c r="J1742" s="90">
        <f t="shared" si="304"/>
        <v>0</v>
      </c>
      <c r="K1742" s="90">
        <f t="shared" si="305"/>
        <v>0</v>
      </c>
      <c r="L1742" s="90">
        <f t="shared" si="306"/>
        <v>0</v>
      </c>
      <c r="M1742" s="90">
        <f t="shared" si="307"/>
        <v>0</v>
      </c>
      <c r="N1742" s="90">
        <v>0</v>
      </c>
      <c r="O1742" s="90">
        <f t="shared" si="308"/>
        <v>0</v>
      </c>
      <c r="P1742" s="92" t="s">
        <v>578</v>
      </c>
      <c r="Z1742" s="93">
        <f t="shared" si="309"/>
        <v>0</v>
      </c>
      <c r="AB1742" s="93">
        <f t="shared" si="310"/>
        <v>0</v>
      </c>
      <c r="AC1742" s="93">
        <f t="shared" si="311"/>
        <v>0</v>
      </c>
      <c r="AD1742" s="93">
        <f t="shared" si="312"/>
        <v>0</v>
      </c>
      <c r="AE1742" s="93">
        <f t="shared" si="313"/>
        <v>0</v>
      </c>
      <c r="AF1742" s="93">
        <f t="shared" si="314"/>
        <v>0</v>
      </c>
      <c r="AG1742" s="93">
        <f t="shared" si="315"/>
        <v>0</v>
      </c>
      <c r="AH1742" s="93">
        <f t="shared" si="316"/>
        <v>0</v>
      </c>
      <c r="AI1742" s="88" t="s">
        <v>55</v>
      </c>
      <c r="AJ1742" s="93">
        <f t="shared" si="317"/>
        <v>0</v>
      </c>
      <c r="AK1742" s="93">
        <f t="shared" si="318"/>
        <v>0</v>
      </c>
      <c r="AL1742" s="93">
        <f t="shared" si="319"/>
        <v>0</v>
      </c>
      <c r="AN1742" s="93">
        <v>21</v>
      </c>
      <c r="AO1742" s="93">
        <f t="shared" ref="AO1742:AO1765" si="330">H1742*1</f>
        <v>0</v>
      </c>
      <c r="AP1742" s="93">
        <f t="shared" ref="AP1742:AP1765" si="331">H1742*(1-1)</f>
        <v>0</v>
      </c>
      <c r="AQ1742" s="94" t="s">
        <v>148</v>
      </c>
      <c r="AV1742" s="93">
        <f t="shared" si="320"/>
        <v>0</v>
      </c>
      <c r="AW1742" s="93">
        <f t="shared" si="321"/>
        <v>0</v>
      </c>
      <c r="AX1742" s="93">
        <f t="shared" si="322"/>
        <v>0</v>
      </c>
      <c r="AY1742" s="94" t="s">
        <v>2141</v>
      </c>
      <c r="AZ1742" s="94" t="s">
        <v>1920</v>
      </c>
      <c r="BA1742" s="88" t="s">
        <v>67</v>
      </c>
      <c r="BC1742" s="93">
        <f t="shared" si="323"/>
        <v>0</v>
      </c>
      <c r="BD1742" s="93">
        <f t="shared" si="324"/>
        <v>0</v>
      </c>
      <c r="BE1742" s="93">
        <v>0</v>
      </c>
      <c r="BF1742" s="93">
        <f t="shared" si="325"/>
        <v>0</v>
      </c>
      <c r="BH1742" s="93">
        <f t="shared" si="326"/>
        <v>0</v>
      </c>
      <c r="BI1742" s="93">
        <f t="shared" si="327"/>
        <v>0</v>
      </c>
      <c r="BJ1742" s="93">
        <f t="shared" si="328"/>
        <v>0</v>
      </c>
      <c r="BK1742" s="93"/>
      <c r="BL1742" s="93">
        <v>735</v>
      </c>
      <c r="BW1742" s="93" t="str">
        <f t="shared" si="329"/>
        <v>21</v>
      </c>
      <c r="BX1742" s="2" t="s">
        <v>2173</v>
      </c>
    </row>
    <row r="1743" spans="1:76" s="81" customFormat="1" ht="25.5" x14ac:dyDescent="0.25">
      <c r="A1743" s="72" t="s">
        <v>2174</v>
      </c>
      <c r="B1743" s="72" t="s">
        <v>55</v>
      </c>
      <c r="C1743" s="72" t="s">
        <v>2175</v>
      </c>
      <c r="D1743" s="175" t="s">
        <v>2176</v>
      </c>
      <c r="E1743" s="175"/>
      <c r="F1743" s="72" t="s">
        <v>203</v>
      </c>
      <c r="G1743" s="90">
        <v>4</v>
      </c>
      <c r="H1743" s="91"/>
      <c r="I1743" s="92" t="s">
        <v>63</v>
      </c>
      <c r="J1743" s="90">
        <f t="shared" si="304"/>
        <v>0</v>
      </c>
      <c r="K1743" s="90">
        <f t="shared" si="305"/>
        <v>0</v>
      </c>
      <c r="L1743" s="90">
        <f t="shared" si="306"/>
        <v>0</v>
      </c>
      <c r="M1743" s="90">
        <f t="shared" si="307"/>
        <v>0</v>
      </c>
      <c r="N1743" s="90">
        <v>0</v>
      </c>
      <c r="O1743" s="90">
        <f t="shared" si="308"/>
        <v>0</v>
      </c>
      <c r="P1743" s="92" t="s">
        <v>578</v>
      </c>
      <c r="Z1743" s="93">
        <f t="shared" si="309"/>
        <v>0</v>
      </c>
      <c r="AB1743" s="93">
        <f t="shared" si="310"/>
        <v>0</v>
      </c>
      <c r="AC1743" s="93">
        <f t="shared" si="311"/>
        <v>0</v>
      </c>
      <c r="AD1743" s="93">
        <f t="shared" si="312"/>
        <v>0</v>
      </c>
      <c r="AE1743" s="93">
        <f t="shared" si="313"/>
        <v>0</v>
      </c>
      <c r="AF1743" s="93">
        <f t="shared" si="314"/>
        <v>0</v>
      </c>
      <c r="AG1743" s="93">
        <f t="shared" si="315"/>
        <v>0</v>
      </c>
      <c r="AH1743" s="93">
        <f t="shared" si="316"/>
        <v>0</v>
      </c>
      <c r="AI1743" s="88" t="s">
        <v>55</v>
      </c>
      <c r="AJ1743" s="93">
        <f t="shared" si="317"/>
        <v>0</v>
      </c>
      <c r="AK1743" s="93">
        <f t="shared" si="318"/>
        <v>0</v>
      </c>
      <c r="AL1743" s="93">
        <f t="shared" si="319"/>
        <v>0</v>
      </c>
      <c r="AN1743" s="93">
        <v>21</v>
      </c>
      <c r="AO1743" s="93">
        <f t="shared" si="330"/>
        <v>0</v>
      </c>
      <c r="AP1743" s="93">
        <f t="shared" si="331"/>
        <v>0</v>
      </c>
      <c r="AQ1743" s="94" t="s">
        <v>148</v>
      </c>
      <c r="AV1743" s="93">
        <f t="shared" si="320"/>
        <v>0</v>
      </c>
      <c r="AW1743" s="93">
        <f t="shared" si="321"/>
        <v>0</v>
      </c>
      <c r="AX1743" s="93">
        <f t="shared" si="322"/>
        <v>0</v>
      </c>
      <c r="AY1743" s="94" t="s">
        <v>2141</v>
      </c>
      <c r="AZ1743" s="94" t="s">
        <v>1920</v>
      </c>
      <c r="BA1743" s="88" t="s">
        <v>67</v>
      </c>
      <c r="BC1743" s="93">
        <f t="shared" si="323"/>
        <v>0</v>
      </c>
      <c r="BD1743" s="93">
        <f t="shared" si="324"/>
        <v>0</v>
      </c>
      <c r="BE1743" s="93">
        <v>0</v>
      </c>
      <c r="BF1743" s="93">
        <f t="shared" si="325"/>
        <v>0</v>
      </c>
      <c r="BH1743" s="93">
        <f t="shared" si="326"/>
        <v>0</v>
      </c>
      <c r="BI1743" s="93">
        <f t="shared" si="327"/>
        <v>0</v>
      </c>
      <c r="BJ1743" s="93">
        <f t="shared" si="328"/>
        <v>0</v>
      </c>
      <c r="BK1743" s="93"/>
      <c r="BL1743" s="93">
        <v>735</v>
      </c>
      <c r="BW1743" s="93" t="str">
        <f t="shared" si="329"/>
        <v>21</v>
      </c>
      <c r="BX1743" s="2" t="s">
        <v>2176</v>
      </c>
    </row>
    <row r="1744" spans="1:76" s="81" customFormat="1" ht="25.5" x14ac:dyDescent="0.25">
      <c r="A1744" s="72" t="s">
        <v>2177</v>
      </c>
      <c r="B1744" s="72" t="s">
        <v>55</v>
      </c>
      <c r="C1744" s="72" t="s">
        <v>2178</v>
      </c>
      <c r="D1744" s="175" t="s">
        <v>2179</v>
      </c>
      <c r="E1744" s="175"/>
      <c r="F1744" s="72" t="s">
        <v>203</v>
      </c>
      <c r="G1744" s="90">
        <v>2</v>
      </c>
      <c r="H1744" s="91"/>
      <c r="I1744" s="92" t="s">
        <v>63</v>
      </c>
      <c r="J1744" s="90">
        <f t="shared" si="304"/>
        <v>0</v>
      </c>
      <c r="K1744" s="90">
        <f t="shared" si="305"/>
        <v>0</v>
      </c>
      <c r="L1744" s="90">
        <f t="shared" si="306"/>
        <v>0</v>
      </c>
      <c r="M1744" s="90">
        <f t="shared" si="307"/>
        <v>0</v>
      </c>
      <c r="N1744" s="90">
        <v>0</v>
      </c>
      <c r="O1744" s="90">
        <f t="shared" si="308"/>
        <v>0</v>
      </c>
      <c r="P1744" s="92" t="s">
        <v>578</v>
      </c>
      <c r="Z1744" s="93">
        <f t="shared" si="309"/>
        <v>0</v>
      </c>
      <c r="AB1744" s="93">
        <f t="shared" si="310"/>
        <v>0</v>
      </c>
      <c r="AC1744" s="93">
        <f t="shared" si="311"/>
        <v>0</v>
      </c>
      <c r="AD1744" s="93">
        <f t="shared" si="312"/>
        <v>0</v>
      </c>
      <c r="AE1744" s="93">
        <f t="shared" si="313"/>
        <v>0</v>
      </c>
      <c r="AF1744" s="93">
        <f t="shared" si="314"/>
        <v>0</v>
      </c>
      <c r="AG1744" s="93">
        <f t="shared" si="315"/>
        <v>0</v>
      </c>
      <c r="AH1744" s="93">
        <f t="shared" si="316"/>
        <v>0</v>
      </c>
      <c r="AI1744" s="88" t="s">
        <v>55</v>
      </c>
      <c r="AJ1744" s="93">
        <f t="shared" si="317"/>
        <v>0</v>
      </c>
      <c r="AK1744" s="93">
        <f t="shared" si="318"/>
        <v>0</v>
      </c>
      <c r="AL1744" s="93">
        <f t="shared" si="319"/>
        <v>0</v>
      </c>
      <c r="AN1744" s="93">
        <v>21</v>
      </c>
      <c r="AO1744" s="93">
        <f t="shared" si="330"/>
        <v>0</v>
      </c>
      <c r="AP1744" s="93">
        <f t="shared" si="331"/>
        <v>0</v>
      </c>
      <c r="AQ1744" s="94" t="s">
        <v>148</v>
      </c>
      <c r="AV1744" s="93">
        <f t="shared" si="320"/>
        <v>0</v>
      </c>
      <c r="AW1744" s="93">
        <f t="shared" si="321"/>
        <v>0</v>
      </c>
      <c r="AX1744" s="93">
        <f t="shared" si="322"/>
        <v>0</v>
      </c>
      <c r="AY1744" s="94" t="s">
        <v>2141</v>
      </c>
      <c r="AZ1744" s="94" t="s">
        <v>1920</v>
      </c>
      <c r="BA1744" s="88" t="s">
        <v>67</v>
      </c>
      <c r="BC1744" s="93">
        <f t="shared" si="323"/>
        <v>0</v>
      </c>
      <c r="BD1744" s="93">
        <f t="shared" si="324"/>
        <v>0</v>
      </c>
      <c r="BE1744" s="93">
        <v>0</v>
      </c>
      <c r="BF1744" s="93">
        <f t="shared" si="325"/>
        <v>0</v>
      </c>
      <c r="BH1744" s="93">
        <f t="shared" si="326"/>
        <v>0</v>
      </c>
      <c r="BI1744" s="93">
        <f t="shared" si="327"/>
        <v>0</v>
      </c>
      <c r="BJ1744" s="93">
        <f t="shared" si="328"/>
        <v>0</v>
      </c>
      <c r="BK1744" s="93"/>
      <c r="BL1744" s="93">
        <v>735</v>
      </c>
      <c r="BW1744" s="93" t="str">
        <f t="shared" si="329"/>
        <v>21</v>
      </c>
      <c r="BX1744" s="2" t="s">
        <v>2179</v>
      </c>
    </row>
    <row r="1745" spans="1:76" s="81" customFormat="1" ht="25.5" x14ac:dyDescent="0.25">
      <c r="A1745" s="72" t="s">
        <v>2180</v>
      </c>
      <c r="B1745" s="72" t="s">
        <v>55</v>
      </c>
      <c r="C1745" s="72" t="s">
        <v>2181</v>
      </c>
      <c r="D1745" s="175" t="s">
        <v>2182</v>
      </c>
      <c r="E1745" s="175"/>
      <c r="F1745" s="72" t="s">
        <v>203</v>
      </c>
      <c r="G1745" s="90">
        <v>1</v>
      </c>
      <c r="H1745" s="91"/>
      <c r="I1745" s="92" t="s">
        <v>63</v>
      </c>
      <c r="J1745" s="90">
        <f t="shared" si="304"/>
        <v>0</v>
      </c>
      <c r="K1745" s="90">
        <f t="shared" si="305"/>
        <v>0</v>
      </c>
      <c r="L1745" s="90">
        <f t="shared" si="306"/>
        <v>0</v>
      </c>
      <c r="M1745" s="90">
        <f t="shared" si="307"/>
        <v>0</v>
      </c>
      <c r="N1745" s="90">
        <v>0</v>
      </c>
      <c r="O1745" s="90">
        <f t="shared" si="308"/>
        <v>0</v>
      </c>
      <c r="P1745" s="92" t="s">
        <v>578</v>
      </c>
      <c r="Z1745" s="93">
        <f t="shared" si="309"/>
        <v>0</v>
      </c>
      <c r="AB1745" s="93">
        <f t="shared" si="310"/>
        <v>0</v>
      </c>
      <c r="AC1745" s="93">
        <f t="shared" si="311"/>
        <v>0</v>
      </c>
      <c r="AD1745" s="93">
        <f t="shared" si="312"/>
        <v>0</v>
      </c>
      <c r="AE1745" s="93">
        <f t="shared" si="313"/>
        <v>0</v>
      </c>
      <c r="AF1745" s="93">
        <f t="shared" si="314"/>
        <v>0</v>
      </c>
      <c r="AG1745" s="93">
        <f t="shared" si="315"/>
        <v>0</v>
      </c>
      <c r="AH1745" s="93">
        <f t="shared" si="316"/>
        <v>0</v>
      </c>
      <c r="AI1745" s="88" t="s">
        <v>55</v>
      </c>
      <c r="AJ1745" s="93">
        <f t="shared" si="317"/>
        <v>0</v>
      </c>
      <c r="AK1745" s="93">
        <f t="shared" si="318"/>
        <v>0</v>
      </c>
      <c r="AL1745" s="93">
        <f t="shared" si="319"/>
        <v>0</v>
      </c>
      <c r="AN1745" s="93">
        <v>21</v>
      </c>
      <c r="AO1745" s="93">
        <f t="shared" si="330"/>
        <v>0</v>
      </c>
      <c r="AP1745" s="93">
        <f t="shared" si="331"/>
        <v>0</v>
      </c>
      <c r="AQ1745" s="94" t="s">
        <v>148</v>
      </c>
      <c r="AV1745" s="93">
        <f t="shared" si="320"/>
        <v>0</v>
      </c>
      <c r="AW1745" s="93">
        <f t="shared" si="321"/>
        <v>0</v>
      </c>
      <c r="AX1745" s="93">
        <f t="shared" si="322"/>
        <v>0</v>
      </c>
      <c r="AY1745" s="94" t="s">
        <v>2141</v>
      </c>
      <c r="AZ1745" s="94" t="s">
        <v>1920</v>
      </c>
      <c r="BA1745" s="88" t="s">
        <v>67</v>
      </c>
      <c r="BC1745" s="93">
        <f t="shared" si="323"/>
        <v>0</v>
      </c>
      <c r="BD1745" s="93">
        <f t="shared" si="324"/>
        <v>0</v>
      </c>
      <c r="BE1745" s="93">
        <v>0</v>
      </c>
      <c r="BF1745" s="93">
        <f t="shared" si="325"/>
        <v>0</v>
      </c>
      <c r="BH1745" s="93">
        <f t="shared" si="326"/>
        <v>0</v>
      </c>
      <c r="BI1745" s="93">
        <f t="shared" si="327"/>
        <v>0</v>
      </c>
      <c r="BJ1745" s="93">
        <f t="shared" si="328"/>
        <v>0</v>
      </c>
      <c r="BK1745" s="93"/>
      <c r="BL1745" s="93">
        <v>735</v>
      </c>
      <c r="BW1745" s="93" t="str">
        <f t="shared" si="329"/>
        <v>21</v>
      </c>
      <c r="BX1745" s="2" t="s">
        <v>2182</v>
      </c>
    </row>
    <row r="1746" spans="1:76" s="81" customFormat="1" ht="25.5" x14ac:dyDescent="0.25">
      <c r="A1746" s="72" t="s">
        <v>2183</v>
      </c>
      <c r="B1746" s="72" t="s">
        <v>55</v>
      </c>
      <c r="C1746" s="72" t="s">
        <v>2184</v>
      </c>
      <c r="D1746" s="175" t="s">
        <v>2185</v>
      </c>
      <c r="E1746" s="175"/>
      <c r="F1746" s="72" t="s">
        <v>203</v>
      </c>
      <c r="G1746" s="90">
        <v>7</v>
      </c>
      <c r="H1746" s="91"/>
      <c r="I1746" s="92" t="s">
        <v>63</v>
      </c>
      <c r="J1746" s="90">
        <f t="shared" si="304"/>
        <v>0</v>
      </c>
      <c r="K1746" s="90">
        <f t="shared" si="305"/>
        <v>0</v>
      </c>
      <c r="L1746" s="90">
        <f t="shared" si="306"/>
        <v>0</v>
      </c>
      <c r="M1746" s="90">
        <f t="shared" si="307"/>
        <v>0</v>
      </c>
      <c r="N1746" s="90">
        <v>0</v>
      </c>
      <c r="O1746" s="90">
        <f t="shared" si="308"/>
        <v>0</v>
      </c>
      <c r="P1746" s="92" t="s">
        <v>578</v>
      </c>
      <c r="Z1746" s="93">
        <f t="shared" si="309"/>
        <v>0</v>
      </c>
      <c r="AB1746" s="93">
        <f t="shared" si="310"/>
        <v>0</v>
      </c>
      <c r="AC1746" s="93">
        <f t="shared" si="311"/>
        <v>0</v>
      </c>
      <c r="AD1746" s="93">
        <f t="shared" si="312"/>
        <v>0</v>
      </c>
      <c r="AE1746" s="93">
        <f t="shared" si="313"/>
        <v>0</v>
      </c>
      <c r="AF1746" s="93">
        <f t="shared" si="314"/>
        <v>0</v>
      </c>
      <c r="AG1746" s="93">
        <f t="shared" si="315"/>
        <v>0</v>
      </c>
      <c r="AH1746" s="93">
        <f t="shared" si="316"/>
        <v>0</v>
      </c>
      <c r="AI1746" s="88" t="s">
        <v>55</v>
      </c>
      <c r="AJ1746" s="93">
        <f t="shared" si="317"/>
        <v>0</v>
      </c>
      <c r="AK1746" s="93">
        <f t="shared" si="318"/>
        <v>0</v>
      </c>
      <c r="AL1746" s="93">
        <f t="shared" si="319"/>
        <v>0</v>
      </c>
      <c r="AN1746" s="93">
        <v>21</v>
      </c>
      <c r="AO1746" s="93">
        <f t="shared" si="330"/>
        <v>0</v>
      </c>
      <c r="AP1746" s="93">
        <f t="shared" si="331"/>
        <v>0</v>
      </c>
      <c r="AQ1746" s="94" t="s">
        <v>148</v>
      </c>
      <c r="AV1746" s="93">
        <f t="shared" si="320"/>
        <v>0</v>
      </c>
      <c r="AW1746" s="93">
        <f t="shared" si="321"/>
        <v>0</v>
      </c>
      <c r="AX1746" s="93">
        <f t="shared" si="322"/>
        <v>0</v>
      </c>
      <c r="AY1746" s="94" t="s">
        <v>2141</v>
      </c>
      <c r="AZ1746" s="94" t="s">
        <v>1920</v>
      </c>
      <c r="BA1746" s="88" t="s">
        <v>67</v>
      </c>
      <c r="BC1746" s="93">
        <f t="shared" si="323"/>
        <v>0</v>
      </c>
      <c r="BD1746" s="93">
        <f t="shared" si="324"/>
        <v>0</v>
      </c>
      <c r="BE1746" s="93">
        <v>0</v>
      </c>
      <c r="BF1746" s="93">
        <f t="shared" si="325"/>
        <v>0</v>
      </c>
      <c r="BH1746" s="93">
        <f t="shared" si="326"/>
        <v>0</v>
      </c>
      <c r="BI1746" s="93">
        <f t="shared" si="327"/>
        <v>0</v>
      </c>
      <c r="BJ1746" s="93">
        <f t="shared" si="328"/>
        <v>0</v>
      </c>
      <c r="BK1746" s="93"/>
      <c r="BL1746" s="93">
        <v>735</v>
      </c>
      <c r="BW1746" s="93" t="str">
        <f t="shared" si="329"/>
        <v>21</v>
      </c>
      <c r="BX1746" s="2" t="s">
        <v>2185</v>
      </c>
    </row>
    <row r="1747" spans="1:76" s="81" customFormat="1" ht="25.5" x14ac:dyDescent="0.25">
      <c r="A1747" s="72" t="s">
        <v>2186</v>
      </c>
      <c r="B1747" s="72" t="s">
        <v>55</v>
      </c>
      <c r="C1747" s="72" t="s">
        <v>2187</v>
      </c>
      <c r="D1747" s="175" t="s">
        <v>2188</v>
      </c>
      <c r="E1747" s="175"/>
      <c r="F1747" s="72" t="s">
        <v>203</v>
      </c>
      <c r="G1747" s="90">
        <v>1</v>
      </c>
      <c r="H1747" s="91"/>
      <c r="I1747" s="92" t="s">
        <v>63</v>
      </c>
      <c r="J1747" s="90">
        <f t="shared" si="304"/>
        <v>0</v>
      </c>
      <c r="K1747" s="90">
        <f t="shared" si="305"/>
        <v>0</v>
      </c>
      <c r="L1747" s="90">
        <f t="shared" si="306"/>
        <v>0</v>
      </c>
      <c r="M1747" s="90">
        <f t="shared" si="307"/>
        <v>0</v>
      </c>
      <c r="N1747" s="90">
        <v>0</v>
      </c>
      <c r="O1747" s="90">
        <f t="shared" si="308"/>
        <v>0</v>
      </c>
      <c r="P1747" s="92" t="s">
        <v>578</v>
      </c>
      <c r="Z1747" s="93">
        <f t="shared" si="309"/>
        <v>0</v>
      </c>
      <c r="AB1747" s="93">
        <f t="shared" si="310"/>
        <v>0</v>
      </c>
      <c r="AC1747" s="93">
        <f t="shared" si="311"/>
        <v>0</v>
      </c>
      <c r="AD1747" s="93">
        <f t="shared" si="312"/>
        <v>0</v>
      </c>
      <c r="AE1747" s="93">
        <f t="shared" si="313"/>
        <v>0</v>
      </c>
      <c r="AF1747" s="93">
        <f t="shared" si="314"/>
        <v>0</v>
      </c>
      <c r="AG1747" s="93">
        <f t="shared" si="315"/>
        <v>0</v>
      </c>
      <c r="AH1747" s="93">
        <f t="shared" si="316"/>
        <v>0</v>
      </c>
      <c r="AI1747" s="88" t="s">
        <v>55</v>
      </c>
      <c r="AJ1747" s="93">
        <f t="shared" si="317"/>
        <v>0</v>
      </c>
      <c r="AK1747" s="93">
        <f t="shared" si="318"/>
        <v>0</v>
      </c>
      <c r="AL1747" s="93">
        <f t="shared" si="319"/>
        <v>0</v>
      </c>
      <c r="AN1747" s="93">
        <v>21</v>
      </c>
      <c r="AO1747" s="93">
        <f t="shared" si="330"/>
        <v>0</v>
      </c>
      <c r="AP1747" s="93">
        <f t="shared" si="331"/>
        <v>0</v>
      </c>
      <c r="AQ1747" s="94" t="s">
        <v>148</v>
      </c>
      <c r="AV1747" s="93">
        <f t="shared" si="320"/>
        <v>0</v>
      </c>
      <c r="AW1747" s="93">
        <f t="shared" si="321"/>
        <v>0</v>
      </c>
      <c r="AX1747" s="93">
        <f t="shared" si="322"/>
        <v>0</v>
      </c>
      <c r="AY1747" s="94" t="s">
        <v>2141</v>
      </c>
      <c r="AZ1747" s="94" t="s">
        <v>1920</v>
      </c>
      <c r="BA1747" s="88" t="s">
        <v>67</v>
      </c>
      <c r="BC1747" s="93">
        <f t="shared" si="323"/>
        <v>0</v>
      </c>
      <c r="BD1747" s="93">
        <f t="shared" si="324"/>
        <v>0</v>
      </c>
      <c r="BE1747" s="93">
        <v>0</v>
      </c>
      <c r="BF1747" s="93">
        <f t="shared" si="325"/>
        <v>0</v>
      </c>
      <c r="BH1747" s="93">
        <f t="shared" si="326"/>
        <v>0</v>
      </c>
      <c r="BI1747" s="93">
        <f t="shared" si="327"/>
        <v>0</v>
      </c>
      <c r="BJ1747" s="93">
        <f t="shared" si="328"/>
        <v>0</v>
      </c>
      <c r="BK1747" s="93"/>
      <c r="BL1747" s="93">
        <v>735</v>
      </c>
      <c r="BW1747" s="93" t="str">
        <f t="shared" si="329"/>
        <v>21</v>
      </c>
      <c r="BX1747" s="2" t="s">
        <v>2188</v>
      </c>
    </row>
    <row r="1748" spans="1:76" s="81" customFormat="1" ht="25.5" x14ac:dyDescent="0.25">
      <c r="A1748" s="72" t="s">
        <v>2189</v>
      </c>
      <c r="B1748" s="72" t="s">
        <v>55</v>
      </c>
      <c r="C1748" s="72" t="s">
        <v>2190</v>
      </c>
      <c r="D1748" s="175" t="s">
        <v>2191</v>
      </c>
      <c r="E1748" s="175"/>
      <c r="F1748" s="72" t="s">
        <v>203</v>
      </c>
      <c r="G1748" s="90">
        <v>1</v>
      </c>
      <c r="H1748" s="91"/>
      <c r="I1748" s="92" t="s">
        <v>63</v>
      </c>
      <c r="J1748" s="90">
        <f t="shared" si="304"/>
        <v>0</v>
      </c>
      <c r="K1748" s="90">
        <f t="shared" si="305"/>
        <v>0</v>
      </c>
      <c r="L1748" s="90">
        <f t="shared" si="306"/>
        <v>0</v>
      </c>
      <c r="M1748" s="90">
        <f t="shared" si="307"/>
        <v>0</v>
      </c>
      <c r="N1748" s="90">
        <v>0</v>
      </c>
      <c r="O1748" s="90">
        <f t="shared" si="308"/>
        <v>0</v>
      </c>
      <c r="P1748" s="92" t="s">
        <v>578</v>
      </c>
      <c r="Z1748" s="93">
        <f t="shared" si="309"/>
        <v>0</v>
      </c>
      <c r="AB1748" s="93">
        <f t="shared" si="310"/>
        <v>0</v>
      </c>
      <c r="AC1748" s="93">
        <f t="shared" si="311"/>
        <v>0</v>
      </c>
      <c r="AD1748" s="93">
        <f t="shared" si="312"/>
        <v>0</v>
      </c>
      <c r="AE1748" s="93">
        <f t="shared" si="313"/>
        <v>0</v>
      </c>
      <c r="AF1748" s="93">
        <f t="shared" si="314"/>
        <v>0</v>
      </c>
      <c r="AG1748" s="93">
        <f t="shared" si="315"/>
        <v>0</v>
      </c>
      <c r="AH1748" s="93">
        <f t="shared" si="316"/>
        <v>0</v>
      </c>
      <c r="AI1748" s="88" t="s">
        <v>55</v>
      </c>
      <c r="AJ1748" s="93">
        <f t="shared" si="317"/>
        <v>0</v>
      </c>
      <c r="AK1748" s="93">
        <f t="shared" si="318"/>
        <v>0</v>
      </c>
      <c r="AL1748" s="93">
        <f t="shared" si="319"/>
        <v>0</v>
      </c>
      <c r="AN1748" s="93">
        <v>21</v>
      </c>
      <c r="AO1748" s="93">
        <f t="shared" si="330"/>
        <v>0</v>
      </c>
      <c r="AP1748" s="93">
        <f t="shared" si="331"/>
        <v>0</v>
      </c>
      <c r="AQ1748" s="94" t="s">
        <v>148</v>
      </c>
      <c r="AV1748" s="93">
        <f t="shared" si="320"/>
        <v>0</v>
      </c>
      <c r="AW1748" s="93">
        <f t="shared" si="321"/>
        <v>0</v>
      </c>
      <c r="AX1748" s="93">
        <f t="shared" si="322"/>
        <v>0</v>
      </c>
      <c r="AY1748" s="94" t="s">
        <v>2141</v>
      </c>
      <c r="AZ1748" s="94" t="s">
        <v>1920</v>
      </c>
      <c r="BA1748" s="88" t="s">
        <v>67</v>
      </c>
      <c r="BC1748" s="93">
        <f t="shared" si="323"/>
        <v>0</v>
      </c>
      <c r="BD1748" s="93">
        <f t="shared" si="324"/>
        <v>0</v>
      </c>
      <c r="BE1748" s="93">
        <v>0</v>
      </c>
      <c r="BF1748" s="93">
        <f t="shared" si="325"/>
        <v>0</v>
      </c>
      <c r="BH1748" s="93">
        <f t="shared" si="326"/>
        <v>0</v>
      </c>
      <c r="BI1748" s="93">
        <f t="shared" si="327"/>
        <v>0</v>
      </c>
      <c r="BJ1748" s="93">
        <f t="shared" si="328"/>
        <v>0</v>
      </c>
      <c r="BK1748" s="93"/>
      <c r="BL1748" s="93">
        <v>735</v>
      </c>
      <c r="BW1748" s="93" t="str">
        <f t="shared" si="329"/>
        <v>21</v>
      </c>
      <c r="BX1748" s="2" t="s">
        <v>2191</v>
      </c>
    </row>
    <row r="1749" spans="1:76" s="81" customFormat="1" ht="25.5" x14ac:dyDescent="0.25">
      <c r="A1749" s="72" t="s">
        <v>2192</v>
      </c>
      <c r="B1749" s="72" t="s">
        <v>55</v>
      </c>
      <c r="C1749" s="72" t="s">
        <v>2193</v>
      </c>
      <c r="D1749" s="175" t="s">
        <v>2194</v>
      </c>
      <c r="E1749" s="175"/>
      <c r="F1749" s="72" t="s">
        <v>203</v>
      </c>
      <c r="G1749" s="90">
        <v>2</v>
      </c>
      <c r="H1749" s="91"/>
      <c r="I1749" s="92" t="s">
        <v>63</v>
      </c>
      <c r="J1749" s="90">
        <f t="shared" si="304"/>
        <v>0</v>
      </c>
      <c r="K1749" s="90">
        <f t="shared" si="305"/>
        <v>0</v>
      </c>
      <c r="L1749" s="90">
        <f t="shared" si="306"/>
        <v>0</v>
      </c>
      <c r="M1749" s="90">
        <f t="shared" si="307"/>
        <v>0</v>
      </c>
      <c r="N1749" s="90">
        <v>0</v>
      </c>
      <c r="O1749" s="90">
        <f t="shared" si="308"/>
        <v>0</v>
      </c>
      <c r="P1749" s="92" t="s">
        <v>578</v>
      </c>
      <c r="Z1749" s="93">
        <f t="shared" si="309"/>
        <v>0</v>
      </c>
      <c r="AB1749" s="93">
        <f t="shared" si="310"/>
        <v>0</v>
      </c>
      <c r="AC1749" s="93">
        <f t="shared" si="311"/>
        <v>0</v>
      </c>
      <c r="AD1749" s="93">
        <f t="shared" si="312"/>
        <v>0</v>
      </c>
      <c r="AE1749" s="93">
        <f t="shared" si="313"/>
        <v>0</v>
      </c>
      <c r="AF1749" s="93">
        <f t="shared" si="314"/>
        <v>0</v>
      </c>
      <c r="AG1749" s="93">
        <f t="shared" si="315"/>
        <v>0</v>
      </c>
      <c r="AH1749" s="93">
        <f t="shared" si="316"/>
        <v>0</v>
      </c>
      <c r="AI1749" s="88" t="s">
        <v>55</v>
      </c>
      <c r="AJ1749" s="93">
        <f t="shared" si="317"/>
        <v>0</v>
      </c>
      <c r="AK1749" s="93">
        <f t="shared" si="318"/>
        <v>0</v>
      </c>
      <c r="AL1749" s="93">
        <f t="shared" si="319"/>
        <v>0</v>
      </c>
      <c r="AN1749" s="93">
        <v>21</v>
      </c>
      <c r="AO1749" s="93">
        <f t="shared" si="330"/>
        <v>0</v>
      </c>
      <c r="AP1749" s="93">
        <f t="shared" si="331"/>
        <v>0</v>
      </c>
      <c r="AQ1749" s="94" t="s">
        <v>148</v>
      </c>
      <c r="AV1749" s="93">
        <f t="shared" si="320"/>
        <v>0</v>
      </c>
      <c r="AW1749" s="93">
        <f t="shared" si="321"/>
        <v>0</v>
      </c>
      <c r="AX1749" s="93">
        <f t="shared" si="322"/>
        <v>0</v>
      </c>
      <c r="AY1749" s="94" t="s">
        <v>2141</v>
      </c>
      <c r="AZ1749" s="94" t="s">
        <v>1920</v>
      </c>
      <c r="BA1749" s="88" t="s">
        <v>67</v>
      </c>
      <c r="BC1749" s="93">
        <f t="shared" si="323"/>
        <v>0</v>
      </c>
      <c r="BD1749" s="93">
        <f t="shared" si="324"/>
        <v>0</v>
      </c>
      <c r="BE1749" s="93">
        <v>0</v>
      </c>
      <c r="BF1749" s="93">
        <f t="shared" si="325"/>
        <v>0</v>
      </c>
      <c r="BH1749" s="93">
        <f t="shared" si="326"/>
        <v>0</v>
      </c>
      <c r="BI1749" s="93">
        <f t="shared" si="327"/>
        <v>0</v>
      </c>
      <c r="BJ1749" s="93">
        <f t="shared" si="328"/>
        <v>0</v>
      </c>
      <c r="BK1749" s="93"/>
      <c r="BL1749" s="93">
        <v>735</v>
      </c>
      <c r="BW1749" s="93" t="str">
        <f t="shared" si="329"/>
        <v>21</v>
      </c>
      <c r="BX1749" s="2" t="s">
        <v>2194</v>
      </c>
    </row>
    <row r="1750" spans="1:76" s="81" customFormat="1" ht="25.5" x14ac:dyDescent="0.25">
      <c r="A1750" s="72" t="s">
        <v>2195</v>
      </c>
      <c r="B1750" s="72" t="s">
        <v>55</v>
      </c>
      <c r="C1750" s="72" t="s">
        <v>2196</v>
      </c>
      <c r="D1750" s="175" t="s">
        <v>2197</v>
      </c>
      <c r="E1750" s="175"/>
      <c r="F1750" s="72" t="s">
        <v>203</v>
      </c>
      <c r="G1750" s="90">
        <v>1</v>
      </c>
      <c r="H1750" s="91"/>
      <c r="I1750" s="92" t="s">
        <v>63</v>
      </c>
      <c r="J1750" s="90">
        <f t="shared" si="304"/>
        <v>0</v>
      </c>
      <c r="K1750" s="90">
        <f t="shared" si="305"/>
        <v>0</v>
      </c>
      <c r="L1750" s="90">
        <f t="shared" si="306"/>
        <v>0</v>
      </c>
      <c r="M1750" s="90">
        <f t="shared" si="307"/>
        <v>0</v>
      </c>
      <c r="N1750" s="90">
        <v>0</v>
      </c>
      <c r="O1750" s="90">
        <f t="shared" si="308"/>
        <v>0</v>
      </c>
      <c r="P1750" s="92" t="s">
        <v>578</v>
      </c>
      <c r="Z1750" s="93">
        <f t="shared" si="309"/>
        <v>0</v>
      </c>
      <c r="AB1750" s="93">
        <f t="shared" si="310"/>
        <v>0</v>
      </c>
      <c r="AC1750" s="93">
        <f t="shared" si="311"/>
        <v>0</v>
      </c>
      <c r="AD1750" s="93">
        <f t="shared" si="312"/>
        <v>0</v>
      </c>
      <c r="AE1750" s="93">
        <f t="shared" si="313"/>
        <v>0</v>
      </c>
      <c r="AF1750" s="93">
        <f t="shared" si="314"/>
        <v>0</v>
      </c>
      <c r="AG1750" s="93">
        <f t="shared" si="315"/>
        <v>0</v>
      </c>
      <c r="AH1750" s="93">
        <f t="shared" si="316"/>
        <v>0</v>
      </c>
      <c r="AI1750" s="88" t="s">
        <v>55</v>
      </c>
      <c r="AJ1750" s="93">
        <f t="shared" si="317"/>
        <v>0</v>
      </c>
      <c r="AK1750" s="93">
        <f t="shared" si="318"/>
        <v>0</v>
      </c>
      <c r="AL1750" s="93">
        <f t="shared" si="319"/>
        <v>0</v>
      </c>
      <c r="AN1750" s="93">
        <v>21</v>
      </c>
      <c r="AO1750" s="93">
        <f t="shared" si="330"/>
        <v>0</v>
      </c>
      <c r="AP1750" s="93">
        <f t="shared" si="331"/>
        <v>0</v>
      </c>
      <c r="AQ1750" s="94" t="s">
        <v>148</v>
      </c>
      <c r="AV1750" s="93">
        <f t="shared" si="320"/>
        <v>0</v>
      </c>
      <c r="AW1750" s="93">
        <f t="shared" si="321"/>
        <v>0</v>
      </c>
      <c r="AX1750" s="93">
        <f t="shared" si="322"/>
        <v>0</v>
      </c>
      <c r="AY1750" s="94" t="s">
        <v>2141</v>
      </c>
      <c r="AZ1750" s="94" t="s">
        <v>1920</v>
      </c>
      <c r="BA1750" s="88" t="s">
        <v>67</v>
      </c>
      <c r="BC1750" s="93">
        <f t="shared" si="323"/>
        <v>0</v>
      </c>
      <c r="BD1750" s="93">
        <f t="shared" si="324"/>
        <v>0</v>
      </c>
      <c r="BE1750" s="93">
        <v>0</v>
      </c>
      <c r="BF1750" s="93">
        <f t="shared" si="325"/>
        <v>0</v>
      </c>
      <c r="BH1750" s="93">
        <f t="shared" si="326"/>
        <v>0</v>
      </c>
      <c r="BI1750" s="93">
        <f t="shared" si="327"/>
        <v>0</v>
      </c>
      <c r="BJ1750" s="93">
        <f t="shared" si="328"/>
        <v>0</v>
      </c>
      <c r="BK1750" s="93"/>
      <c r="BL1750" s="93">
        <v>735</v>
      </c>
      <c r="BW1750" s="93" t="str">
        <f t="shared" si="329"/>
        <v>21</v>
      </c>
      <c r="BX1750" s="2" t="s">
        <v>2197</v>
      </c>
    </row>
    <row r="1751" spans="1:76" s="81" customFormat="1" ht="25.5" x14ac:dyDescent="0.25">
      <c r="A1751" s="72" t="s">
        <v>2198</v>
      </c>
      <c r="B1751" s="72" t="s">
        <v>55</v>
      </c>
      <c r="C1751" s="72" t="s">
        <v>2199</v>
      </c>
      <c r="D1751" s="175" t="s">
        <v>2200</v>
      </c>
      <c r="E1751" s="175"/>
      <c r="F1751" s="72" t="s">
        <v>203</v>
      </c>
      <c r="G1751" s="90">
        <v>1</v>
      </c>
      <c r="H1751" s="91"/>
      <c r="I1751" s="92" t="s">
        <v>63</v>
      </c>
      <c r="J1751" s="90">
        <f t="shared" si="304"/>
        <v>0</v>
      </c>
      <c r="K1751" s="90">
        <f t="shared" si="305"/>
        <v>0</v>
      </c>
      <c r="L1751" s="90">
        <f t="shared" si="306"/>
        <v>0</v>
      </c>
      <c r="M1751" s="90">
        <f t="shared" si="307"/>
        <v>0</v>
      </c>
      <c r="N1751" s="90">
        <v>0</v>
      </c>
      <c r="O1751" s="90">
        <f t="shared" si="308"/>
        <v>0</v>
      </c>
      <c r="P1751" s="92" t="s">
        <v>578</v>
      </c>
      <c r="Z1751" s="93">
        <f t="shared" si="309"/>
        <v>0</v>
      </c>
      <c r="AB1751" s="93">
        <f t="shared" si="310"/>
        <v>0</v>
      </c>
      <c r="AC1751" s="93">
        <f t="shared" si="311"/>
        <v>0</v>
      </c>
      <c r="AD1751" s="93">
        <f t="shared" si="312"/>
        <v>0</v>
      </c>
      <c r="AE1751" s="93">
        <f t="shared" si="313"/>
        <v>0</v>
      </c>
      <c r="AF1751" s="93">
        <f t="shared" si="314"/>
        <v>0</v>
      </c>
      <c r="AG1751" s="93">
        <f t="shared" si="315"/>
        <v>0</v>
      </c>
      <c r="AH1751" s="93">
        <f t="shared" si="316"/>
        <v>0</v>
      </c>
      <c r="AI1751" s="88" t="s">
        <v>55</v>
      </c>
      <c r="AJ1751" s="93">
        <f t="shared" si="317"/>
        <v>0</v>
      </c>
      <c r="AK1751" s="93">
        <f t="shared" si="318"/>
        <v>0</v>
      </c>
      <c r="AL1751" s="93">
        <f t="shared" si="319"/>
        <v>0</v>
      </c>
      <c r="AN1751" s="93">
        <v>21</v>
      </c>
      <c r="AO1751" s="93">
        <f t="shared" si="330"/>
        <v>0</v>
      </c>
      <c r="AP1751" s="93">
        <f t="shared" si="331"/>
        <v>0</v>
      </c>
      <c r="AQ1751" s="94" t="s">
        <v>148</v>
      </c>
      <c r="AV1751" s="93">
        <f t="shared" si="320"/>
        <v>0</v>
      </c>
      <c r="AW1751" s="93">
        <f t="shared" si="321"/>
        <v>0</v>
      </c>
      <c r="AX1751" s="93">
        <f t="shared" si="322"/>
        <v>0</v>
      </c>
      <c r="AY1751" s="94" t="s">
        <v>2141</v>
      </c>
      <c r="AZ1751" s="94" t="s">
        <v>1920</v>
      </c>
      <c r="BA1751" s="88" t="s">
        <v>67</v>
      </c>
      <c r="BC1751" s="93">
        <f t="shared" si="323"/>
        <v>0</v>
      </c>
      <c r="BD1751" s="93">
        <f t="shared" si="324"/>
        <v>0</v>
      </c>
      <c r="BE1751" s="93">
        <v>0</v>
      </c>
      <c r="BF1751" s="93">
        <f t="shared" si="325"/>
        <v>0</v>
      </c>
      <c r="BH1751" s="93">
        <f t="shared" si="326"/>
        <v>0</v>
      </c>
      <c r="BI1751" s="93">
        <f t="shared" si="327"/>
        <v>0</v>
      </c>
      <c r="BJ1751" s="93">
        <f t="shared" si="328"/>
        <v>0</v>
      </c>
      <c r="BK1751" s="93"/>
      <c r="BL1751" s="93">
        <v>735</v>
      </c>
      <c r="BW1751" s="93" t="str">
        <f t="shared" si="329"/>
        <v>21</v>
      </c>
      <c r="BX1751" s="2" t="s">
        <v>2200</v>
      </c>
    </row>
    <row r="1752" spans="1:76" s="81" customFormat="1" ht="25.5" x14ac:dyDescent="0.25">
      <c r="A1752" s="72" t="s">
        <v>2201</v>
      </c>
      <c r="B1752" s="72" t="s">
        <v>55</v>
      </c>
      <c r="C1752" s="72" t="s">
        <v>2202</v>
      </c>
      <c r="D1752" s="175" t="s">
        <v>2203</v>
      </c>
      <c r="E1752" s="175"/>
      <c r="F1752" s="72" t="s">
        <v>203</v>
      </c>
      <c r="G1752" s="90">
        <v>2</v>
      </c>
      <c r="H1752" s="91"/>
      <c r="I1752" s="92" t="s">
        <v>63</v>
      </c>
      <c r="J1752" s="90">
        <f t="shared" si="304"/>
        <v>0</v>
      </c>
      <c r="K1752" s="90">
        <f t="shared" si="305"/>
        <v>0</v>
      </c>
      <c r="L1752" s="90">
        <f t="shared" si="306"/>
        <v>0</v>
      </c>
      <c r="M1752" s="90">
        <f t="shared" si="307"/>
        <v>0</v>
      </c>
      <c r="N1752" s="90">
        <v>0</v>
      </c>
      <c r="O1752" s="90">
        <f t="shared" si="308"/>
        <v>0</v>
      </c>
      <c r="P1752" s="92" t="s">
        <v>578</v>
      </c>
      <c r="Z1752" s="93">
        <f t="shared" si="309"/>
        <v>0</v>
      </c>
      <c r="AB1752" s="93">
        <f t="shared" si="310"/>
        <v>0</v>
      </c>
      <c r="AC1752" s="93">
        <f t="shared" si="311"/>
        <v>0</v>
      </c>
      <c r="AD1752" s="93">
        <f t="shared" si="312"/>
        <v>0</v>
      </c>
      <c r="AE1752" s="93">
        <f t="shared" si="313"/>
        <v>0</v>
      </c>
      <c r="AF1752" s="93">
        <f t="shared" si="314"/>
        <v>0</v>
      </c>
      <c r="AG1752" s="93">
        <f t="shared" si="315"/>
        <v>0</v>
      </c>
      <c r="AH1752" s="93">
        <f t="shared" si="316"/>
        <v>0</v>
      </c>
      <c r="AI1752" s="88" t="s">
        <v>55</v>
      </c>
      <c r="AJ1752" s="93">
        <f t="shared" si="317"/>
        <v>0</v>
      </c>
      <c r="AK1752" s="93">
        <f t="shared" si="318"/>
        <v>0</v>
      </c>
      <c r="AL1752" s="93">
        <f t="shared" si="319"/>
        <v>0</v>
      </c>
      <c r="AN1752" s="93">
        <v>21</v>
      </c>
      <c r="AO1752" s="93">
        <f t="shared" si="330"/>
        <v>0</v>
      </c>
      <c r="AP1752" s="93">
        <f t="shared" si="331"/>
        <v>0</v>
      </c>
      <c r="AQ1752" s="94" t="s">
        <v>148</v>
      </c>
      <c r="AV1752" s="93">
        <f t="shared" si="320"/>
        <v>0</v>
      </c>
      <c r="AW1752" s="93">
        <f t="shared" si="321"/>
        <v>0</v>
      </c>
      <c r="AX1752" s="93">
        <f t="shared" si="322"/>
        <v>0</v>
      </c>
      <c r="AY1752" s="94" t="s">
        <v>2141</v>
      </c>
      <c r="AZ1752" s="94" t="s">
        <v>1920</v>
      </c>
      <c r="BA1752" s="88" t="s">
        <v>67</v>
      </c>
      <c r="BC1752" s="93">
        <f t="shared" si="323"/>
        <v>0</v>
      </c>
      <c r="BD1752" s="93">
        <f t="shared" si="324"/>
        <v>0</v>
      </c>
      <c r="BE1752" s="93">
        <v>0</v>
      </c>
      <c r="BF1752" s="93">
        <f t="shared" si="325"/>
        <v>0</v>
      </c>
      <c r="BH1752" s="93">
        <f t="shared" si="326"/>
        <v>0</v>
      </c>
      <c r="BI1752" s="93">
        <f t="shared" si="327"/>
        <v>0</v>
      </c>
      <c r="BJ1752" s="93">
        <f t="shared" si="328"/>
        <v>0</v>
      </c>
      <c r="BK1752" s="93"/>
      <c r="BL1752" s="93">
        <v>735</v>
      </c>
      <c r="BW1752" s="93" t="str">
        <f t="shared" si="329"/>
        <v>21</v>
      </c>
      <c r="BX1752" s="2" t="s">
        <v>2203</v>
      </c>
    </row>
    <row r="1753" spans="1:76" s="81" customFormat="1" ht="25.5" x14ac:dyDescent="0.25">
      <c r="A1753" s="72" t="s">
        <v>2204</v>
      </c>
      <c r="B1753" s="72" t="s">
        <v>55</v>
      </c>
      <c r="C1753" s="72" t="s">
        <v>2205</v>
      </c>
      <c r="D1753" s="175" t="s">
        <v>2206</v>
      </c>
      <c r="E1753" s="175"/>
      <c r="F1753" s="72" t="s">
        <v>203</v>
      </c>
      <c r="G1753" s="90">
        <v>1</v>
      </c>
      <c r="H1753" s="91"/>
      <c r="I1753" s="92" t="s">
        <v>63</v>
      </c>
      <c r="J1753" s="90">
        <f t="shared" si="304"/>
        <v>0</v>
      </c>
      <c r="K1753" s="90">
        <f t="shared" si="305"/>
        <v>0</v>
      </c>
      <c r="L1753" s="90">
        <f t="shared" si="306"/>
        <v>0</v>
      </c>
      <c r="M1753" s="90">
        <f t="shared" si="307"/>
        <v>0</v>
      </c>
      <c r="N1753" s="90">
        <v>0</v>
      </c>
      <c r="O1753" s="90">
        <f t="shared" si="308"/>
        <v>0</v>
      </c>
      <c r="P1753" s="92" t="s">
        <v>578</v>
      </c>
      <c r="Z1753" s="93">
        <f t="shared" si="309"/>
        <v>0</v>
      </c>
      <c r="AB1753" s="93">
        <f t="shared" si="310"/>
        <v>0</v>
      </c>
      <c r="AC1753" s="93">
        <f t="shared" si="311"/>
        <v>0</v>
      </c>
      <c r="AD1753" s="93">
        <f t="shared" si="312"/>
        <v>0</v>
      </c>
      <c r="AE1753" s="93">
        <f t="shared" si="313"/>
        <v>0</v>
      </c>
      <c r="AF1753" s="93">
        <f t="shared" si="314"/>
        <v>0</v>
      </c>
      <c r="AG1753" s="93">
        <f t="shared" si="315"/>
        <v>0</v>
      </c>
      <c r="AH1753" s="93">
        <f t="shared" si="316"/>
        <v>0</v>
      </c>
      <c r="AI1753" s="88" t="s">
        <v>55</v>
      </c>
      <c r="AJ1753" s="93">
        <f t="shared" si="317"/>
        <v>0</v>
      </c>
      <c r="AK1753" s="93">
        <f t="shared" si="318"/>
        <v>0</v>
      </c>
      <c r="AL1753" s="93">
        <f t="shared" si="319"/>
        <v>0</v>
      </c>
      <c r="AN1753" s="93">
        <v>21</v>
      </c>
      <c r="AO1753" s="93">
        <f t="shared" si="330"/>
        <v>0</v>
      </c>
      <c r="AP1753" s="93">
        <f t="shared" si="331"/>
        <v>0</v>
      </c>
      <c r="AQ1753" s="94" t="s">
        <v>148</v>
      </c>
      <c r="AV1753" s="93">
        <f t="shared" si="320"/>
        <v>0</v>
      </c>
      <c r="AW1753" s="93">
        <f t="shared" si="321"/>
        <v>0</v>
      </c>
      <c r="AX1753" s="93">
        <f t="shared" si="322"/>
        <v>0</v>
      </c>
      <c r="AY1753" s="94" t="s">
        <v>2141</v>
      </c>
      <c r="AZ1753" s="94" t="s">
        <v>1920</v>
      </c>
      <c r="BA1753" s="88" t="s">
        <v>67</v>
      </c>
      <c r="BC1753" s="93">
        <f t="shared" si="323"/>
        <v>0</v>
      </c>
      <c r="BD1753" s="93">
        <f t="shared" si="324"/>
        <v>0</v>
      </c>
      <c r="BE1753" s="93">
        <v>0</v>
      </c>
      <c r="BF1753" s="93">
        <f t="shared" si="325"/>
        <v>0</v>
      </c>
      <c r="BH1753" s="93">
        <f t="shared" si="326"/>
        <v>0</v>
      </c>
      <c r="BI1753" s="93">
        <f t="shared" si="327"/>
        <v>0</v>
      </c>
      <c r="BJ1753" s="93">
        <f t="shared" si="328"/>
        <v>0</v>
      </c>
      <c r="BK1753" s="93"/>
      <c r="BL1753" s="93">
        <v>735</v>
      </c>
      <c r="BW1753" s="93" t="str">
        <f t="shared" si="329"/>
        <v>21</v>
      </c>
      <c r="BX1753" s="2" t="s">
        <v>2206</v>
      </c>
    </row>
    <row r="1754" spans="1:76" s="81" customFormat="1" ht="25.5" x14ac:dyDescent="0.25">
      <c r="A1754" s="72" t="s">
        <v>2207</v>
      </c>
      <c r="B1754" s="72" t="s">
        <v>55</v>
      </c>
      <c r="C1754" s="72" t="s">
        <v>2208</v>
      </c>
      <c r="D1754" s="175" t="s">
        <v>2209</v>
      </c>
      <c r="E1754" s="175"/>
      <c r="F1754" s="72" t="s">
        <v>203</v>
      </c>
      <c r="G1754" s="90">
        <v>9</v>
      </c>
      <c r="H1754" s="91"/>
      <c r="I1754" s="92" t="s">
        <v>63</v>
      </c>
      <c r="J1754" s="90">
        <f t="shared" si="304"/>
        <v>0</v>
      </c>
      <c r="K1754" s="90">
        <f t="shared" si="305"/>
        <v>0</v>
      </c>
      <c r="L1754" s="90">
        <f t="shared" si="306"/>
        <v>0</v>
      </c>
      <c r="M1754" s="90">
        <f t="shared" si="307"/>
        <v>0</v>
      </c>
      <c r="N1754" s="90">
        <v>0</v>
      </c>
      <c r="O1754" s="90">
        <f t="shared" si="308"/>
        <v>0</v>
      </c>
      <c r="P1754" s="92" t="s">
        <v>578</v>
      </c>
      <c r="Z1754" s="93">
        <f t="shared" si="309"/>
        <v>0</v>
      </c>
      <c r="AB1754" s="93">
        <f t="shared" si="310"/>
        <v>0</v>
      </c>
      <c r="AC1754" s="93">
        <f t="shared" si="311"/>
        <v>0</v>
      </c>
      <c r="AD1754" s="93">
        <f t="shared" si="312"/>
        <v>0</v>
      </c>
      <c r="AE1754" s="93">
        <f t="shared" si="313"/>
        <v>0</v>
      </c>
      <c r="AF1754" s="93">
        <f t="shared" si="314"/>
        <v>0</v>
      </c>
      <c r="AG1754" s="93">
        <f t="shared" si="315"/>
        <v>0</v>
      </c>
      <c r="AH1754" s="93">
        <f t="shared" si="316"/>
        <v>0</v>
      </c>
      <c r="AI1754" s="88" t="s">
        <v>55</v>
      </c>
      <c r="AJ1754" s="93">
        <f t="shared" si="317"/>
        <v>0</v>
      </c>
      <c r="AK1754" s="93">
        <f t="shared" si="318"/>
        <v>0</v>
      </c>
      <c r="AL1754" s="93">
        <f t="shared" si="319"/>
        <v>0</v>
      </c>
      <c r="AN1754" s="93">
        <v>21</v>
      </c>
      <c r="AO1754" s="93">
        <f t="shared" si="330"/>
        <v>0</v>
      </c>
      <c r="AP1754" s="93">
        <f t="shared" si="331"/>
        <v>0</v>
      </c>
      <c r="AQ1754" s="94" t="s">
        <v>148</v>
      </c>
      <c r="AV1754" s="93">
        <f t="shared" si="320"/>
        <v>0</v>
      </c>
      <c r="AW1754" s="93">
        <f t="shared" si="321"/>
        <v>0</v>
      </c>
      <c r="AX1754" s="93">
        <f t="shared" si="322"/>
        <v>0</v>
      </c>
      <c r="AY1754" s="94" t="s">
        <v>2141</v>
      </c>
      <c r="AZ1754" s="94" t="s">
        <v>1920</v>
      </c>
      <c r="BA1754" s="88" t="s">
        <v>67</v>
      </c>
      <c r="BC1754" s="93">
        <f t="shared" si="323"/>
        <v>0</v>
      </c>
      <c r="BD1754" s="93">
        <f t="shared" si="324"/>
        <v>0</v>
      </c>
      <c r="BE1754" s="93">
        <v>0</v>
      </c>
      <c r="BF1754" s="93">
        <f t="shared" si="325"/>
        <v>0</v>
      </c>
      <c r="BH1754" s="93">
        <f t="shared" si="326"/>
        <v>0</v>
      </c>
      <c r="BI1754" s="93">
        <f t="shared" si="327"/>
        <v>0</v>
      </c>
      <c r="BJ1754" s="93">
        <f t="shared" si="328"/>
        <v>0</v>
      </c>
      <c r="BK1754" s="93"/>
      <c r="BL1754" s="93">
        <v>735</v>
      </c>
      <c r="BW1754" s="93" t="str">
        <f t="shared" si="329"/>
        <v>21</v>
      </c>
      <c r="BX1754" s="2" t="s">
        <v>2209</v>
      </c>
    </row>
    <row r="1755" spans="1:76" s="81" customFormat="1" ht="25.5" x14ac:dyDescent="0.25">
      <c r="A1755" s="72" t="s">
        <v>2210</v>
      </c>
      <c r="B1755" s="72" t="s">
        <v>55</v>
      </c>
      <c r="C1755" s="72" t="s">
        <v>2211</v>
      </c>
      <c r="D1755" s="175" t="s">
        <v>2212</v>
      </c>
      <c r="E1755" s="175"/>
      <c r="F1755" s="72" t="s">
        <v>203</v>
      </c>
      <c r="G1755" s="90">
        <v>2</v>
      </c>
      <c r="H1755" s="91"/>
      <c r="I1755" s="92" t="s">
        <v>63</v>
      </c>
      <c r="J1755" s="90">
        <f t="shared" si="304"/>
        <v>0</v>
      </c>
      <c r="K1755" s="90">
        <f t="shared" si="305"/>
        <v>0</v>
      </c>
      <c r="L1755" s="90">
        <f t="shared" si="306"/>
        <v>0</v>
      </c>
      <c r="M1755" s="90">
        <f t="shared" si="307"/>
        <v>0</v>
      </c>
      <c r="N1755" s="90">
        <v>0</v>
      </c>
      <c r="O1755" s="90">
        <f t="shared" si="308"/>
        <v>0</v>
      </c>
      <c r="P1755" s="92" t="s">
        <v>578</v>
      </c>
      <c r="Z1755" s="93">
        <f t="shared" si="309"/>
        <v>0</v>
      </c>
      <c r="AB1755" s="93">
        <f t="shared" si="310"/>
        <v>0</v>
      </c>
      <c r="AC1755" s="93">
        <f t="shared" si="311"/>
        <v>0</v>
      </c>
      <c r="AD1755" s="93">
        <f t="shared" si="312"/>
        <v>0</v>
      </c>
      <c r="AE1755" s="93">
        <f t="shared" si="313"/>
        <v>0</v>
      </c>
      <c r="AF1755" s="93">
        <f t="shared" si="314"/>
        <v>0</v>
      </c>
      <c r="AG1755" s="93">
        <f t="shared" si="315"/>
        <v>0</v>
      </c>
      <c r="AH1755" s="93">
        <f t="shared" si="316"/>
        <v>0</v>
      </c>
      <c r="AI1755" s="88" t="s">
        <v>55</v>
      </c>
      <c r="AJ1755" s="93">
        <f t="shared" si="317"/>
        <v>0</v>
      </c>
      <c r="AK1755" s="93">
        <f t="shared" si="318"/>
        <v>0</v>
      </c>
      <c r="AL1755" s="93">
        <f t="shared" si="319"/>
        <v>0</v>
      </c>
      <c r="AN1755" s="93">
        <v>21</v>
      </c>
      <c r="AO1755" s="93">
        <f t="shared" si="330"/>
        <v>0</v>
      </c>
      <c r="AP1755" s="93">
        <f t="shared" si="331"/>
        <v>0</v>
      </c>
      <c r="AQ1755" s="94" t="s">
        <v>148</v>
      </c>
      <c r="AV1755" s="93">
        <f t="shared" si="320"/>
        <v>0</v>
      </c>
      <c r="AW1755" s="93">
        <f t="shared" si="321"/>
        <v>0</v>
      </c>
      <c r="AX1755" s="93">
        <f t="shared" si="322"/>
        <v>0</v>
      </c>
      <c r="AY1755" s="94" t="s">
        <v>2141</v>
      </c>
      <c r="AZ1755" s="94" t="s">
        <v>1920</v>
      </c>
      <c r="BA1755" s="88" t="s">
        <v>67</v>
      </c>
      <c r="BC1755" s="93">
        <f t="shared" si="323"/>
        <v>0</v>
      </c>
      <c r="BD1755" s="93">
        <f t="shared" si="324"/>
        <v>0</v>
      </c>
      <c r="BE1755" s="93">
        <v>0</v>
      </c>
      <c r="BF1755" s="93">
        <f t="shared" si="325"/>
        <v>0</v>
      </c>
      <c r="BH1755" s="93">
        <f t="shared" si="326"/>
        <v>0</v>
      </c>
      <c r="BI1755" s="93">
        <f t="shared" si="327"/>
        <v>0</v>
      </c>
      <c r="BJ1755" s="93">
        <f t="shared" si="328"/>
        <v>0</v>
      </c>
      <c r="BK1755" s="93"/>
      <c r="BL1755" s="93">
        <v>735</v>
      </c>
      <c r="BW1755" s="93" t="str">
        <f t="shared" si="329"/>
        <v>21</v>
      </c>
      <c r="BX1755" s="2" t="s">
        <v>2212</v>
      </c>
    </row>
    <row r="1756" spans="1:76" s="81" customFormat="1" ht="25.5" x14ac:dyDescent="0.25">
      <c r="A1756" s="72" t="s">
        <v>2213</v>
      </c>
      <c r="B1756" s="72" t="s">
        <v>55</v>
      </c>
      <c r="C1756" s="72" t="s">
        <v>2214</v>
      </c>
      <c r="D1756" s="175" t="s">
        <v>2215</v>
      </c>
      <c r="E1756" s="175"/>
      <c r="F1756" s="72" t="s">
        <v>203</v>
      </c>
      <c r="G1756" s="90">
        <v>1</v>
      </c>
      <c r="H1756" s="91"/>
      <c r="I1756" s="92" t="s">
        <v>63</v>
      </c>
      <c r="J1756" s="90">
        <f t="shared" si="304"/>
        <v>0</v>
      </c>
      <c r="K1756" s="90">
        <f t="shared" si="305"/>
        <v>0</v>
      </c>
      <c r="L1756" s="90">
        <f t="shared" si="306"/>
        <v>0</v>
      </c>
      <c r="M1756" s="90">
        <f t="shared" si="307"/>
        <v>0</v>
      </c>
      <c r="N1756" s="90">
        <v>0</v>
      </c>
      <c r="O1756" s="90">
        <f t="shared" si="308"/>
        <v>0</v>
      </c>
      <c r="P1756" s="92" t="s">
        <v>578</v>
      </c>
      <c r="Z1756" s="93">
        <f t="shared" si="309"/>
        <v>0</v>
      </c>
      <c r="AB1756" s="93">
        <f t="shared" si="310"/>
        <v>0</v>
      </c>
      <c r="AC1756" s="93">
        <f t="shared" si="311"/>
        <v>0</v>
      </c>
      <c r="AD1756" s="93">
        <f t="shared" si="312"/>
        <v>0</v>
      </c>
      <c r="AE1756" s="93">
        <f t="shared" si="313"/>
        <v>0</v>
      </c>
      <c r="AF1756" s="93">
        <f t="shared" si="314"/>
        <v>0</v>
      </c>
      <c r="AG1756" s="93">
        <f t="shared" si="315"/>
        <v>0</v>
      </c>
      <c r="AH1756" s="93">
        <f t="shared" si="316"/>
        <v>0</v>
      </c>
      <c r="AI1756" s="88" t="s">
        <v>55</v>
      </c>
      <c r="AJ1756" s="93">
        <f t="shared" si="317"/>
        <v>0</v>
      </c>
      <c r="AK1756" s="93">
        <f t="shared" si="318"/>
        <v>0</v>
      </c>
      <c r="AL1756" s="93">
        <f t="shared" si="319"/>
        <v>0</v>
      </c>
      <c r="AN1756" s="93">
        <v>21</v>
      </c>
      <c r="AO1756" s="93">
        <f t="shared" si="330"/>
        <v>0</v>
      </c>
      <c r="AP1756" s="93">
        <f t="shared" si="331"/>
        <v>0</v>
      </c>
      <c r="AQ1756" s="94" t="s">
        <v>148</v>
      </c>
      <c r="AV1756" s="93">
        <f t="shared" si="320"/>
        <v>0</v>
      </c>
      <c r="AW1756" s="93">
        <f t="shared" si="321"/>
        <v>0</v>
      </c>
      <c r="AX1756" s="93">
        <f t="shared" si="322"/>
        <v>0</v>
      </c>
      <c r="AY1756" s="94" t="s">
        <v>2141</v>
      </c>
      <c r="AZ1756" s="94" t="s">
        <v>1920</v>
      </c>
      <c r="BA1756" s="88" t="s">
        <v>67</v>
      </c>
      <c r="BC1756" s="93">
        <f t="shared" si="323"/>
        <v>0</v>
      </c>
      <c r="BD1756" s="93">
        <f t="shared" si="324"/>
        <v>0</v>
      </c>
      <c r="BE1756" s="93">
        <v>0</v>
      </c>
      <c r="BF1756" s="93">
        <f t="shared" si="325"/>
        <v>0</v>
      </c>
      <c r="BH1756" s="93">
        <f t="shared" si="326"/>
        <v>0</v>
      </c>
      <c r="BI1756" s="93">
        <f t="shared" si="327"/>
        <v>0</v>
      </c>
      <c r="BJ1756" s="93">
        <f t="shared" si="328"/>
        <v>0</v>
      </c>
      <c r="BK1756" s="93"/>
      <c r="BL1756" s="93">
        <v>735</v>
      </c>
      <c r="BW1756" s="93" t="str">
        <f t="shared" si="329"/>
        <v>21</v>
      </c>
      <c r="BX1756" s="2" t="s">
        <v>2215</v>
      </c>
    </row>
    <row r="1757" spans="1:76" s="81" customFormat="1" ht="25.5" x14ac:dyDescent="0.25">
      <c r="A1757" s="72" t="s">
        <v>2216</v>
      </c>
      <c r="B1757" s="72" t="s">
        <v>55</v>
      </c>
      <c r="C1757" s="72" t="s">
        <v>2217</v>
      </c>
      <c r="D1757" s="175" t="s">
        <v>2218</v>
      </c>
      <c r="E1757" s="175"/>
      <c r="F1757" s="72" t="s">
        <v>203</v>
      </c>
      <c r="G1757" s="90">
        <v>1</v>
      </c>
      <c r="H1757" s="91"/>
      <c r="I1757" s="92" t="s">
        <v>63</v>
      </c>
      <c r="J1757" s="90">
        <f t="shared" si="304"/>
        <v>0</v>
      </c>
      <c r="K1757" s="90">
        <f t="shared" si="305"/>
        <v>0</v>
      </c>
      <c r="L1757" s="90">
        <f t="shared" si="306"/>
        <v>0</v>
      </c>
      <c r="M1757" s="90">
        <f t="shared" si="307"/>
        <v>0</v>
      </c>
      <c r="N1757" s="90">
        <v>0</v>
      </c>
      <c r="O1757" s="90">
        <f t="shared" si="308"/>
        <v>0</v>
      </c>
      <c r="P1757" s="92" t="s">
        <v>578</v>
      </c>
      <c r="Z1757" s="93">
        <f t="shared" si="309"/>
        <v>0</v>
      </c>
      <c r="AB1757" s="93">
        <f t="shared" si="310"/>
        <v>0</v>
      </c>
      <c r="AC1757" s="93">
        <f t="shared" si="311"/>
        <v>0</v>
      </c>
      <c r="AD1757" s="93">
        <f t="shared" si="312"/>
        <v>0</v>
      </c>
      <c r="AE1757" s="93">
        <f t="shared" si="313"/>
        <v>0</v>
      </c>
      <c r="AF1757" s="93">
        <f t="shared" si="314"/>
        <v>0</v>
      </c>
      <c r="AG1757" s="93">
        <f t="shared" si="315"/>
        <v>0</v>
      </c>
      <c r="AH1757" s="93">
        <f t="shared" si="316"/>
        <v>0</v>
      </c>
      <c r="AI1757" s="88" t="s">
        <v>55</v>
      </c>
      <c r="AJ1757" s="93">
        <f t="shared" si="317"/>
        <v>0</v>
      </c>
      <c r="AK1757" s="93">
        <f t="shared" si="318"/>
        <v>0</v>
      </c>
      <c r="AL1757" s="93">
        <f t="shared" si="319"/>
        <v>0</v>
      </c>
      <c r="AN1757" s="93">
        <v>21</v>
      </c>
      <c r="AO1757" s="93">
        <f t="shared" si="330"/>
        <v>0</v>
      </c>
      <c r="AP1757" s="93">
        <f t="shared" si="331"/>
        <v>0</v>
      </c>
      <c r="AQ1757" s="94" t="s">
        <v>148</v>
      </c>
      <c r="AV1757" s="93">
        <f t="shared" si="320"/>
        <v>0</v>
      </c>
      <c r="AW1757" s="93">
        <f t="shared" si="321"/>
        <v>0</v>
      </c>
      <c r="AX1757" s="93">
        <f t="shared" si="322"/>
        <v>0</v>
      </c>
      <c r="AY1757" s="94" t="s">
        <v>2141</v>
      </c>
      <c r="AZ1757" s="94" t="s">
        <v>1920</v>
      </c>
      <c r="BA1757" s="88" t="s">
        <v>67</v>
      </c>
      <c r="BC1757" s="93">
        <f t="shared" si="323"/>
        <v>0</v>
      </c>
      <c r="BD1757" s="93">
        <f t="shared" si="324"/>
        <v>0</v>
      </c>
      <c r="BE1757" s="93">
        <v>0</v>
      </c>
      <c r="BF1757" s="93">
        <f t="shared" si="325"/>
        <v>0</v>
      </c>
      <c r="BH1757" s="93">
        <f t="shared" si="326"/>
        <v>0</v>
      </c>
      <c r="BI1757" s="93">
        <f t="shared" si="327"/>
        <v>0</v>
      </c>
      <c r="BJ1757" s="93">
        <f t="shared" si="328"/>
        <v>0</v>
      </c>
      <c r="BK1757" s="93"/>
      <c r="BL1757" s="93">
        <v>735</v>
      </c>
      <c r="BW1757" s="93" t="str">
        <f t="shared" si="329"/>
        <v>21</v>
      </c>
      <c r="BX1757" s="2" t="s">
        <v>2218</v>
      </c>
    </row>
    <row r="1758" spans="1:76" s="81" customFormat="1" ht="25.5" x14ac:dyDescent="0.25">
      <c r="A1758" s="72" t="s">
        <v>2219</v>
      </c>
      <c r="B1758" s="72" t="s">
        <v>55</v>
      </c>
      <c r="C1758" s="72" t="s">
        <v>2220</v>
      </c>
      <c r="D1758" s="175" t="s">
        <v>2221</v>
      </c>
      <c r="E1758" s="175"/>
      <c r="F1758" s="72" t="s">
        <v>203</v>
      </c>
      <c r="G1758" s="90">
        <v>6</v>
      </c>
      <c r="H1758" s="91"/>
      <c r="I1758" s="92" t="s">
        <v>63</v>
      </c>
      <c r="J1758" s="90">
        <f t="shared" si="304"/>
        <v>0</v>
      </c>
      <c r="K1758" s="90">
        <f t="shared" si="305"/>
        <v>0</v>
      </c>
      <c r="L1758" s="90">
        <f t="shared" si="306"/>
        <v>0</v>
      </c>
      <c r="M1758" s="90">
        <f t="shared" si="307"/>
        <v>0</v>
      </c>
      <c r="N1758" s="90">
        <v>0</v>
      </c>
      <c r="O1758" s="90">
        <f t="shared" si="308"/>
        <v>0</v>
      </c>
      <c r="P1758" s="92" t="s">
        <v>578</v>
      </c>
      <c r="Z1758" s="93">
        <f t="shared" si="309"/>
        <v>0</v>
      </c>
      <c r="AB1758" s="93">
        <f t="shared" si="310"/>
        <v>0</v>
      </c>
      <c r="AC1758" s="93">
        <f t="shared" si="311"/>
        <v>0</v>
      </c>
      <c r="AD1758" s="93">
        <f t="shared" si="312"/>
        <v>0</v>
      </c>
      <c r="AE1758" s="93">
        <f t="shared" si="313"/>
        <v>0</v>
      </c>
      <c r="AF1758" s="93">
        <f t="shared" si="314"/>
        <v>0</v>
      </c>
      <c r="AG1758" s="93">
        <f t="shared" si="315"/>
        <v>0</v>
      </c>
      <c r="AH1758" s="93">
        <f t="shared" si="316"/>
        <v>0</v>
      </c>
      <c r="AI1758" s="88" t="s">
        <v>55</v>
      </c>
      <c r="AJ1758" s="93">
        <f t="shared" si="317"/>
        <v>0</v>
      </c>
      <c r="AK1758" s="93">
        <f t="shared" si="318"/>
        <v>0</v>
      </c>
      <c r="AL1758" s="93">
        <f t="shared" si="319"/>
        <v>0</v>
      </c>
      <c r="AN1758" s="93">
        <v>21</v>
      </c>
      <c r="AO1758" s="93">
        <f t="shared" si="330"/>
        <v>0</v>
      </c>
      <c r="AP1758" s="93">
        <f t="shared" si="331"/>
        <v>0</v>
      </c>
      <c r="AQ1758" s="94" t="s">
        <v>148</v>
      </c>
      <c r="AV1758" s="93">
        <f t="shared" si="320"/>
        <v>0</v>
      </c>
      <c r="AW1758" s="93">
        <f t="shared" si="321"/>
        <v>0</v>
      </c>
      <c r="AX1758" s="93">
        <f t="shared" si="322"/>
        <v>0</v>
      </c>
      <c r="AY1758" s="94" t="s">
        <v>2141</v>
      </c>
      <c r="AZ1758" s="94" t="s">
        <v>1920</v>
      </c>
      <c r="BA1758" s="88" t="s">
        <v>67</v>
      </c>
      <c r="BC1758" s="93">
        <f t="shared" si="323"/>
        <v>0</v>
      </c>
      <c r="BD1758" s="93">
        <f t="shared" si="324"/>
        <v>0</v>
      </c>
      <c r="BE1758" s="93">
        <v>0</v>
      </c>
      <c r="BF1758" s="93">
        <f t="shared" si="325"/>
        <v>0</v>
      </c>
      <c r="BH1758" s="93">
        <f t="shared" si="326"/>
        <v>0</v>
      </c>
      <c r="BI1758" s="93">
        <f t="shared" si="327"/>
        <v>0</v>
      </c>
      <c r="BJ1758" s="93">
        <f t="shared" si="328"/>
        <v>0</v>
      </c>
      <c r="BK1758" s="93"/>
      <c r="BL1758" s="93">
        <v>735</v>
      </c>
      <c r="BW1758" s="93" t="str">
        <f t="shared" si="329"/>
        <v>21</v>
      </c>
      <c r="BX1758" s="2" t="s">
        <v>2221</v>
      </c>
    </row>
    <row r="1759" spans="1:76" s="81" customFormat="1" ht="25.5" x14ac:dyDescent="0.25">
      <c r="A1759" s="72" t="s">
        <v>2222</v>
      </c>
      <c r="B1759" s="72" t="s">
        <v>55</v>
      </c>
      <c r="C1759" s="72" t="s">
        <v>2223</v>
      </c>
      <c r="D1759" s="175" t="s">
        <v>2224</v>
      </c>
      <c r="E1759" s="175"/>
      <c r="F1759" s="72" t="s">
        <v>203</v>
      </c>
      <c r="G1759" s="90">
        <v>3</v>
      </c>
      <c r="H1759" s="91"/>
      <c r="I1759" s="92" t="s">
        <v>63</v>
      </c>
      <c r="J1759" s="90">
        <f t="shared" si="304"/>
        <v>0</v>
      </c>
      <c r="K1759" s="90">
        <f t="shared" si="305"/>
        <v>0</v>
      </c>
      <c r="L1759" s="90">
        <f t="shared" si="306"/>
        <v>0</v>
      </c>
      <c r="M1759" s="90">
        <f t="shared" si="307"/>
        <v>0</v>
      </c>
      <c r="N1759" s="90">
        <v>0</v>
      </c>
      <c r="O1759" s="90">
        <f t="shared" si="308"/>
        <v>0</v>
      </c>
      <c r="P1759" s="92" t="s">
        <v>578</v>
      </c>
      <c r="Z1759" s="93">
        <f t="shared" si="309"/>
        <v>0</v>
      </c>
      <c r="AB1759" s="93">
        <f t="shared" si="310"/>
        <v>0</v>
      </c>
      <c r="AC1759" s="93">
        <f t="shared" si="311"/>
        <v>0</v>
      </c>
      <c r="AD1759" s="93">
        <f t="shared" si="312"/>
        <v>0</v>
      </c>
      <c r="AE1759" s="93">
        <f t="shared" si="313"/>
        <v>0</v>
      </c>
      <c r="AF1759" s="93">
        <f t="shared" si="314"/>
        <v>0</v>
      </c>
      <c r="AG1759" s="93">
        <f t="shared" si="315"/>
        <v>0</v>
      </c>
      <c r="AH1759" s="93">
        <f t="shared" si="316"/>
        <v>0</v>
      </c>
      <c r="AI1759" s="88" t="s">
        <v>55</v>
      </c>
      <c r="AJ1759" s="93">
        <f t="shared" si="317"/>
        <v>0</v>
      </c>
      <c r="AK1759" s="93">
        <f t="shared" si="318"/>
        <v>0</v>
      </c>
      <c r="AL1759" s="93">
        <f t="shared" si="319"/>
        <v>0</v>
      </c>
      <c r="AN1759" s="93">
        <v>21</v>
      </c>
      <c r="AO1759" s="93">
        <f t="shared" si="330"/>
        <v>0</v>
      </c>
      <c r="AP1759" s="93">
        <f t="shared" si="331"/>
        <v>0</v>
      </c>
      <c r="AQ1759" s="94" t="s">
        <v>148</v>
      </c>
      <c r="AV1759" s="93">
        <f t="shared" si="320"/>
        <v>0</v>
      </c>
      <c r="AW1759" s="93">
        <f t="shared" si="321"/>
        <v>0</v>
      </c>
      <c r="AX1759" s="93">
        <f t="shared" si="322"/>
        <v>0</v>
      </c>
      <c r="AY1759" s="94" t="s">
        <v>2141</v>
      </c>
      <c r="AZ1759" s="94" t="s">
        <v>1920</v>
      </c>
      <c r="BA1759" s="88" t="s">
        <v>67</v>
      </c>
      <c r="BC1759" s="93">
        <f t="shared" si="323"/>
        <v>0</v>
      </c>
      <c r="BD1759" s="93">
        <f t="shared" si="324"/>
        <v>0</v>
      </c>
      <c r="BE1759" s="93">
        <v>0</v>
      </c>
      <c r="BF1759" s="93">
        <f t="shared" si="325"/>
        <v>0</v>
      </c>
      <c r="BH1759" s="93">
        <f t="shared" si="326"/>
        <v>0</v>
      </c>
      <c r="BI1759" s="93">
        <f t="shared" si="327"/>
        <v>0</v>
      </c>
      <c r="BJ1759" s="93">
        <f t="shared" si="328"/>
        <v>0</v>
      </c>
      <c r="BK1759" s="93"/>
      <c r="BL1759" s="93">
        <v>735</v>
      </c>
      <c r="BW1759" s="93" t="str">
        <f t="shared" si="329"/>
        <v>21</v>
      </c>
      <c r="BX1759" s="2" t="s">
        <v>2224</v>
      </c>
    </row>
    <row r="1760" spans="1:76" s="81" customFormat="1" ht="25.5" x14ac:dyDescent="0.25">
      <c r="A1760" s="72" t="s">
        <v>2225</v>
      </c>
      <c r="B1760" s="72" t="s">
        <v>55</v>
      </c>
      <c r="C1760" s="72" t="s">
        <v>2226</v>
      </c>
      <c r="D1760" s="175" t="s">
        <v>2227</v>
      </c>
      <c r="E1760" s="175"/>
      <c r="F1760" s="72" t="s">
        <v>203</v>
      </c>
      <c r="G1760" s="90">
        <v>1</v>
      </c>
      <c r="H1760" s="91"/>
      <c r="I1760" s="92" t="s">
        <v>63</v>
      </c>
      <c r="J1760" s="90">
        <f t="shared" si="304"/>
        <v>0</v>
      </c>
      <c r="K1760" s="90">
        <f t="shared" si="305"/>
        <v>0</v>
      </c>
      <c r="L1760" s="90">
        <f t="shared" si="306"/>
        <v>0</v>
      </c>
      <c r="M1760" s="90">
        <f t="shared" si="307"/>
        <v>0</v>
      </c>
      <c r="N1760" s="90">
        <v>0</v>
      </c>
      <c r="O1760" s="90">
        <f t="shared" si="308"/>
        <v>0</v>
      </c>
      <c r="P1760" s="92" t="s">
        <v>578</v>
      </c>
      <c r="Z1760" s="93">
        <f t="shared" si="309"/>
        <v>0</v>
      </c>
      <c r="AB1760" s="93">
        <f t="shared" si="310"/>
        <v>0</v>
      </c>
      <c r="AC1760" s="93">
        <f t="shared" si="311"/>
        <v>0</v>
      </c>
      <c r="AD1760" s="93">
        <f t="shared" si="312"/>
        <v>0</v>
      </c>
      <c r="AE1760" s="93">
        <f t="shared" si="313"/>
        <v>0</v>
      </c>
      <c r="AF1760" s="93">
        <f t="shared" si="314"/>
        <v>0</v>
      </c>
      <c r="AG1760" s="93">
        <f t="shared" si="315"/>
        <v>0</v>
      </c>
      <c r="AH1760" s="93">
        <f t="shared" si="316"/>
        <v>0</v>
      </c>
      <c r="AI1760" s="88" t="s">
        <v>55</v>
      </c>
      <c r="AJ1760" s="93">
        <f t="shared" si="317"/>
        <v>0</v>
      </c>
      <c r="AK1760" s="93">
        <f t="shared" si="318"/>
        <v>0</v>
      </c>
      <c r="AL1760" s="93">
        <f t="shared" si="319"/>
        <v>0</v>
      </c>
      <c r="AN1760" s="93">
        <v>21</v>
      </c>
      <c r="AO1760" s="93">
        <f t="shared" si="330"/>
        <v>0</v>
      </c>
      <c r="AP1760" s="93">
        <f t="shared" si="331"/>
        <v>0</v>
      </c>
      <c r="AQ1760" s="94" t="s">
        <v>148</v>
      </c>
      <c r="AV1760" s="93">
        <f t="shared" si="320"/>
        <v>0</v>
      </c>
      <c r="AW1760" s="93">
        <f t="shared" si="321"/>
        <v>0</v>
      </c>
      <c r="AX1760" s="93">
        <f t="shared" si="322"/>
        <v>0</v>
      </c>
      <c r="AY1760" s="94" t="s">
        <v>2141</v>
      </c>
      <c r="AZ1760" s="94" t="s">
        <v>1920</v>
      </c>
      <c r="BA1760" s="88" t="s">
        <v>67</v>
      </c>
      <c r="BC1760" s="93">
        <f t="shared" si="323"/>
        <v>0</v>
      </c>
      <c r="BD1760" s="93">
        <f t="shared" si="324"/>
        <v>0</v>
      </c>
      <c r="BE1760" s="93">
        <v>0</v>
      </c>
      <c r="BF1760" s="93">
        <f t="shared" si="325"/>
        <v>0</v>
      </c>
      <c r="BH1760" s="93">
        <f t="shared" si="326"/>
        <v>0</v>
      </c>
      <c r="BI1760" s="93">
        <f t="shared" si="327"/>
        <v>0</v>
      </c>
      <c r="BJ1760" s="93">
        <f t="shared" si="328"/>
        <v>0</v>
      </c>
      <c r="BK1760" s="93"/>
      <c r="BL1760" s="93">
        <v>735</v>
      </c>
      <c r="BW1760" s="93" t="str">
        <f t="shared" si="329"/>
        <v>21</v>
      </c>
      <c r="BX1760" s="2" t="s">
        <v>2227</v>
      </c>
    </row>
    <row r="1761" spans="1:76" s="81" customFormat="1" ht="25.5" x14ac:dyDescent="0.25">
      <c r="A1761" s="72" t="s">
        <v>2228</v>
      </c>
      <c r="B1761" s="72" t="s">
        <v>55</v>
      </c>
      <c r="C1761" s="72" t="s">
        <v>2229</v>
      </c>
      <c r="D1761" s="175" t="s">
        <v>2230</v>
      </c>
      <c r="E1761" s="175"/>
      <c r="F1761" s="72" t="s">
        <v>203</v>
      </c>
      <c r="G1761" s="90">
        <v>5</v>
      </c>
      <c r="H1761" s="91"/>
      <c r="I1761" s="92" t="s">
        <v>63</v>
      </c>
      <c r="J1761" s="90">
        <f t="shared" si="304"/>
        <v>0</v>
      </c>
      <c r="K1761" s="90">
        <f t="shared" si="305"/>
        <v>0</v>
      </c>
      <c r="L1761" s="90">
        <f t="shared" si="306"/>
        <v>0</v>
      </c>
      <c r="M1761" s="90">
        <f t="shared" si="307"/>
        <v>0</v>
      </c>
      <c r="N1761" s="90">
        <v>0</v>
      </c>
      <c r="O1761" s="90">
        <f t="shared" si="308"/>
        <v>0</v>
      </c>
      <c r="P1761" s="92" t="s">
        <v>578</v>
      </c>
      <c r="Z1761" s="93">
        <f t="shared" si="309"/>
        <v>0</v>
      </c>
      <c r="AB1761" s="93">
        <f t="shared" si="310"/>
        <v>0</v>
      </c>
      <c r="AC1761" s="93">
        <f t="shared" si="311"/>
        <v>0</v>
      </c>
      <c r="AD1761" s="93">
        <f t="shared" si="312"/>
        <v>0</v>
      </c>
      <c r="AE1761" s="93">
        <f t="shared" si="313"/>
        <v>0</v>
      </c>
      <c r="AF1761" s="93">
        <f t="shared" si="314"/>
        <v>0</v>
      </c>
      <c r="AG1761" s="93">
        <f t="shared" si="315"/>
        <v>0</v>
      </c>
      <c r="AH1761" s="93">
        <f t="shared" si="316"/>
        <v>0</v>
      </c>
      <c r="AI1761" s="88" t="s">
        <v>55</v>
      </c>
      <c r="AJ1761" s="93">
        <f t="shared" si="317"/>
        <v>0</v>
      </c>
      <c r="AK1761" s="93">
        <f t="shared" si="318"/>
        <v>0</v>
      </c>
      <c r="AL1761" s="93">
        <f t="shared" si="319"/>
        <v>0</v>
      </c>
      <c r="AN1761" s="93">
        <v>21</v>
      </c>
      <c r="AO1761" s="93">
        <f t="shared" si="330"/>
        <v>0</v>
      </c>
      <c r="AP1761" s="93">
        <f t="shared" si="331"/>
        <v>0</v>
      </c>
      <c r="AQ1761" s="94" t="s">
        <v>148</v>
      </c>
      <c r="AV1761" s="93">
        <f t="shared" si="320"/>
        <v>0</v>
      </c>
      <c r="AW1761" s="93">
        <f t="shared" si="321"/>
        <v>0</v>
      </c>
      <c r="AX1761" s="93">
        <f t="shared" si="322"/>
        <v>0</v>
      </c>
      <c r="AY1761" s="94" t="s">
        <v>2141</v>
      </c>
      <c r="AZ1761" s="94" t="s">
        <v>1920</v>
      </c>
      <c r="BA1761" s="88" t="s">
        <v>67</v>
      </c>
      <c r="BC1761" s="93">
        <f t="shared" si="323"/>
        <v>0</v>
      </c>
      <c r="BD1761" s="93">
        <f t="shared" si="324"/>
        <v>0</v>
      </c>
      <c r="BE1761" s="93">
        <v>0</v>
      </c>
      <c r="BF1761" s="93">
        <f t="shared" si="325"/>
        <v>0</v>
      </c>
      <c r="BH1761" s="93">
        <f t="shared" si="326"/>
        <v>0</v>
      </c>
      <c r="BI1761" s="93">
        <f t="shared" si="327"/>
        <v>0</v>
      </c>
      <c r="BJ1761" s="93">
        <f t="shared" si="328"/>
        <v>0</v>
      </c>
      <c r="BK1761" s="93"/>
      <c r="BL1761" s="93">
        <v>735</v>
      </c>
      <c r="BW1761" s="93" t="str">
        <f t="shared" si="329"/>
        <v>21</v>
      </c>
      <c r="BX1761" s="2" t="s">
        <v>2230</v>
      </c>
    </row>
    <row r="1762" spans="1:76" s="81" customFormat="1" ht="25.5" x14ac:dyDescent="0.25">
      <c r="A1762" s="72" t="s">
        <v>2231</v>
      </c>
      <c r="B1762" s="72" t="s">
        <v>55</v>
      </c>
      <c r="C1762" s="72" t="s">
        <v>2232</v>
      </c>
      <c r="D1762" s="175" t="s">
        <v>2233</v>
      </c>
      <c r="E1762" s="175"/>
      <c r="F1762" s="72" t="s">
        <v>203</v>
      </c>
      <c r="G1762" s="90">
        <v>1</v>
      </c>
      <c r="H1762" s="91"/>
      <c r="I1762" s="92" t="s">
        <v>63</v>
      </c>
      <c r="J1762" s="90">
        <f t="shared" si="304"/>
        <v>0</v>
      </c>
      <c r="K1762" s="90">
        <f t="shared" si="305"/>
        <v>0</v>
      </c>
      <c r="L1762" s="90">
        <f t="shared" si="306"/>
        <v>0</v>
      </c>
      <c r="M1762" s="90">
        <f t="shared" si="307"/>
        <v>0</v>
      </c>
      <c r="N1762" s="90">
        <v>0</v>
      </c>
      <c r="O1762" s="90">
        <f t="shared" si="308"/>
        <v>0</v>
      </c>
      <c r="P1762" s="92" t="s">
        <v>578</v>
      </c>
      <c r="Z1762" s="93">
        <f t="shared" si="309"/>
        <v>0</v>
      </c>
      <c r="AB1762" s="93">
        <f t="shared" si="310"/>
        <v>0</v>
      </c>
      <c r="AC1762" s="93">
        <f t="shared" si="311"/>
        <v>0</v>
      </c>
      <c r="AD1762" s="93">
        <f t="shared" si="312"/>
        <v>0</v>
      </c>
      <c r="AE1762" s="93">
        <f t="shared" si="313"/>
        <v>0</v>
      </c>
      <c r="AF1762" s="93">
        <f t="shared" si="314"/>
        <v>0</v>
      </c>
      <c r="AG1762" s="93">
        <f t="shared" si="315"/>
        <v>0</v>
      </c>
      <c r="AH1762" s="93">
        <f t="shared" si="316"/>
        <v>0</v>
      </c>
      <c r="AI1762" s="88" t="s">
        <v>55</v>
      </c>
      <c r="AJ1762" s="93">
        <f t="shared" si="317"/>
        <v>0</v>
      </c>
      <c r="AK1762" s="93">
        <f t="shared" si="318"/>
        <v>0</v>
      </c>
      <c r="AL1762" s="93">
        <f t="shared" si="319"/>
        <v>0</v>
      </c>
      <c r="AN1762" s="93">
        <v>21</v>
      </c>
      <c r="AO1762" s="93">
        <f t="shared" si="330"/>
        <v>0</v>
      </c>
      <c r="AP1762" s="93">
        <f t="shared" si="331"/>
        <v>0</v>
      </c>
      <c r="AQ1762" s="94" t="s">
        <v>148</v>
      </c>
      <c r="AV1762" s="93">
        <f t="shared" si="320"/>
        <v>0</v>
      </c>
      <c r="AW1762" s="93">
        <f t="shared" si="321"/>
        <v>0</v>
      </c>
      <c r="AX1762" s="93">
        <f t="shared" si="322"/>
        <v>0</v>
      </c>
      <c r="AY1762" s="94" t="s">
        <v>2141</v>
      </c>
      <c r="AZ1762" s="94" t="s">
        <v>1920</v>
      </c>
      <c r="BA1762" s="88" t="s">
        <v>67</v>
      </c>
      <c r="BC1762" s="93">
        <f t="shared" si="323"/>
        <v>0</v>
      </c>
      <c r="BD1762" s="93">
        <f t="shared" si="324"/>
        <v>0</v>
      </c>
      <c r="BE1762" s="93">
        <v>0</v>
      </c>
      <c r="BF1762" s="93">
        <f t="shared" si="325"/>
        <v>0</v>
      </c>
      <c r="BH1762" s="93">
        <f t="shared" si="326"/>
        <v>0</v>
      </c>
      <c r="BI1762" s="93">
        <f t="shared" si="327"/>
        <v>0</v>
      </c>
      <c r="BJ1762" s="93">
        <f t="shared" si="328"/>
        <v>0</v>
      </c>
      <c r="BK1762" s="93"/>
      <c r="BL1762" s="93">
        <v>735</v>
      </c>
      <c r="BW1762" s="93" t="str">
        <f t="shared" si="329"/>
        <v>21</v>
      </c>
      <c r="BX1762" s="2" t="s">
        <v>2233</v>
      </c>
    </row>
    <row r="1763" spans="1:76" s="81" customFormat="1" ht="25.5" x14ac:dyDescent="0.25">
      <c r="A1763" s="72" t="s">
        <v>2234</v>
      </c>
      <c r="B1763" s="72" t="s">
        <v>55</v>
      </c>
      <c r="C1763" s="72" t="s">
        <v>2235</v>
      </c>
      <c r="D1763" s="175" t="s">
        <v>2236</v>
      </c>
      <c r="E1763" s="175"/>
      <c r="F1763" s="72" t="s">
        <v>203</v>
      </c>
      <c r="G1763" s="90">
        <v>2</v>
      </c>
      <c r="H1763" s="91"/>
      <c r="I1763" s="92" t="s">
        <v>63</v>
      </c>
      <c r="J1763" s="90">
        <f t="shared" si="304"/>
        <v>0</v>
      </c>
      <c r="K1763" s="90">
        <f t="shared" si="305"/>
        <v>0</v>
      </c>
      <c r="L1763" s="90">
        <f t="shared" si="306"/>
        <v>0</v>
      </c>
      <c r="M1763" s="90">
        <f t="shared" si="307"/>
        <v>0</v>
      </c>
      <c r="N1763" s="90">
        <v>0</v>
      </c>
      <c r="O1763" s="90">
        <f t="shared" si="308"/>
        <v>0</v>
      </c>
      <c r="P1763" s="92" t="s">
        <v>578</v>
      </c>
      <c r="Z1763" s="93">
        <f t="shared" si="309"/>
        <v>0</v>
      </c>
      <c r="AB1763" s="93">
        <f t="shared" si="310"/>
        <v>0</v>
      </c>
      <c r="AC1763" s="93">
        <f t="shared" si="311"/>
        <v>0</v>
      </c>
      <c r="AD1763" s="93">
        <f t="shared" si="312"/>
        <v>0</v>
      </c>
      <c r="AE1763" s="93">
        <f t="shared" si="313"/>
        <v>0</v>
      </c>
      <c r="AF1763" s="93">
        <f t="shared" si="314"/>
        <v>0</v>
      </c>
      <c r="AG1763" s="93">
        <f t="shared" si="315"/>
        <v>0</v>
      </c>
      <c r="AH1763" s="93">
        <f t="shared" si="316"/>
        <v>0</v>
      </c>
      <c r="AI1763" s="88" t="s">
        <v>55</v>
      </c>
      <c r="AJ1763" s="93">
        <f t="shared" si="317"/>
        <v>0</v>
      </c>
      <c r="AK1763" s="93">
        <f t="shared" si="318"/>
        <v>0</v>
      </c>
      <c r="AL1763" s="93">
        <f t="shared" si="319"/>
        <v>0</v>
      </c>
      <c r="AN1763" s="93">
        <v>21</v>
      </c>
      <c r="AO1763" s="93">
        <f t="shared" si="330"/>
        <v>0</v>
      </c>
      <c r="AP1763" s="93">
        <f t="shared" si="331"/>
        <v>0</v>
      </c>
      <c r="AQ1763" s="94" t="s">
        <v>148</v>
      </c>
      <c r="AV1763" s="93">
        <f t="shared" si="320"/>
        <v>0</v>
      </c>
      <c r="AW1763" s="93">
        <f t="shared" si="321"/>
        <v>0</v>
      </c>
      <c r="AX1763" s="93">
        <f t="shared" si="322"/>
        <v>0</v>
      </c>
      <c r="AY1763" s="94" t="s">
        <v>2141</v>
      </c>
      <c r="AZ1763" s="94" t="s">
        <v>1920</v>
      </c>
      <c r="BA1763" s="88" t="s">
        <v>67</v>
      </c>
      <c r="BC1763" s="93">
        <f t="shared" si="323"/>
        <v>0</v>
      </c>
      <c r="BD1763" s="93">
        <f t="shared" si="324"/>
        <v>0</v>
      </c>
      <c r="BE1763" s="93">
        <v>0</v>
      </c>
      <c r="BF1763" s="93">
        <f t="shared" si="325"/>
        <v>0</v>
      </c>
      <c r="BH1763" s="93">
        <f t="shared" si="326"/>
        <v>0</v>
      </c>
      <c r="BI1763" s="93">
        <f t="shared" si="327"/>
        <v>0</v>
      </c>
      <c r="BJ1763" s="93">
        <f t="shared" si="328"/>
        <v>0</v>
      </c>
      <c r="BK1763" s="93"/>
      <c r="BL1763" s="93">
        <v>735</v>
      </c>
      <c r="BW1763" s="93" t="str">
        <f t="shared" si="329"/>
        <v>21</v>
      </c>
      <c r="BX1763" s="2" t="s">
        <v>2236</v>
      </c>
    </row>
    <row r="1764" spans="1:76" s="81" customFormat="1" ht="25.5" x14ac:dyDescent="0.25">
      <c r="A1764" s="72" t="s">
        <v>2237</v>
      </c>
      <c r="B1764" s="72" t="s">
        <v>55</v>
      </c>
      <c r="C1764" s="72" t="s">
        <v>2238</v>
      </c>
      <c r="D1764" s="175" t="s">
        <v>2239</v>
      </c>
      <c r="E1764" s="175"/>
      <c r="F1764" s="72" t="s">
        <v>203</v>
      </c>
      <c r="G1764" s="90">
        <v>2</v>
      </c>
      <c r="H1764" s="91"/>
      <c r="I1764" s="92" t="s">
        <v>63</v>
      </c>
      <c r="J1764" s="90">
        <f t="shared" si="304"/>
        <v>0</v>
      </c>
      <c r="K1764" s="90">
        <f t="shared" si="305"/>
        <v>0</v>
      </c>
      <c r="L1764" s="90">
        <f t="shared" si="306"/>
        <v>0</v>
      </c>
      <c r="M1764" s="90">
        <f t="shared" si="307"/>
        <v>0</v>
      </c>
      <c r="N1764" s="90">
        <v>0</v>
      </c>
      <c r="O1764" s="90">
        <f t="shared" si="308"/>
        <v>0</v>
      </c>
      <c r="P1764" s="92" t="s">
        <v>578</v>
      </c>
      <c r="Z1764" s="93">
        <f t="shared" si="309"/>
        <v>0</v>
      </c>
      <c r="AB1764" s="93">
        <f t="shared" si="310"/>
        <v>0</v>
      </c>
      <c r="AC1764" s="93">
        <f t="shared" si="311"/>
        <v>0</v>
      </c>
      <c r="AD1764" s="93">
        <f t="shared" si="312"/>
        <v>0</v>
      </c>
      <c r="AE1764" s="93">
        <f t="shared" si="313"/>
        <v>0</v>
      </c>
      <c r="AF1764" s="93">
        <f t="shared" si="314"/>
        <v>0</v>
      </c>
      <c r="AG1764" s="93">
        <f t="shared" si="315"/>
        <v>0</v>
      </c>
      <c r="AH1764" s="93">
        <f t="shared" si="316"/>
        <v>0</v>
      </c>
      <c r="AI1764" s="88" t="s">
        <v>55</v>
      </c>
      <c r="AJ1764" s="93">
        <f t="shared" si="317"/>
        <v>0</v>
      </c>
      <c r="AK1764" s="93">
        <f t="shared" si="318"/>
        <v>0</v>
      </c>
      <c r="AL1764" s="93">
        <f t="shared" si="319"/>
        <v>0</v>
      </c>
      <c r="AN1764" s="93">
        <v>21</v>
      </c>
      <c r="AO1764" s="93">
        <f t="shared" si="330"/>
        <v>0</v>
      </c>
      <c r="AP1764" s="93">
        <f t="shared" si="331"/>
        <v>0</v>
      </c>
      <c r="AQ1764" s="94" t="s">
        <v>148</v>
      </c>
      <c r="AV1764" s="93">
        <f t="shared" si="320"/>
        <v>0</v>
      </c>
      <c r="AW1764" s="93">
        <f t="shared" si="321"/>
        <v>0</v>
      </c>
      <c r="AX1764" s="93">
        <f t="shared" si="322"/>
        <v>0</v>
      </c>
      <c r="AY1764" s="94" t="s">
        <v>2141</v>
      </c>
      <c r="AZ1764" s="94" t="s">
        <v>1920</v>
      </c>
      <c r="BA1764" s="88" t="s">
        <v>67</v>
      </c>
      <c r="BC1764" s="93">
        <f t="shared" si="323"/>
        <v>0</v>
      </c>
      <c r="BD1764" s="93">
        <f t="shared" si="324"/>
        <v>0</v>
      </c>
      <c r="BE1764" s="93">
        <v>0</v>
      </c>
      <c r="BF1764" s="93">
        <f t="shared" si="325"/>
        <v>0</v>
      </c>
      <c r="BH1764" s="93">
        <f t="shared" si="326"/>
        <v>0</v>
      </c>
      <c r="BI1764" s="93">
        <f t="shared" si="327"/>
        <v>0</v>
      </c>
      <c r="BJ1764" s="93">
        <f t="shared" si="328"/>
        <v>0</v>
      </c>
      <c r="BK1764" s="93"/>
      <c r="BL1764" s="93">
        <v>735</v>
      </c>
      <c r="BW1764" s="93" t="str">
        <f t="shared" si="329"/>
        <v>21</v>
      </c>
      <c r="BX1764" s="2" t="s">
        <v>2239</v>
      </c>
    </row>
    <row r="1765" spans="1:76" s="81" customFormat="1" ht="25.5" x14ac:dyDescent="0.25">
      <c r="A1765" s="72" t="s">
        <v>2240</v>
      </c>
      <c r="B1765" s="72" t="s">
        <v>55</v>
      </c>
      <c r="C1765" s="72" t="s">
        <v>2241</v>
      </c>
      <c r="D1765" s="175" t="s">
        <v>2242</v>
      </c>
      <c r="E1765" s="175"/>
      <c r="F1765" s="72" t="s">
        <v>203</v>
      </c>
      <c r="G1765" s="90">
        <v>8</v>
      </c>
      <c r="H1765" s="91"/>
      <c r="I1765" s="92" t="s">
        <v>63</v>
      </c>
      <c r="J1765" s="90">
        <f t="shared" si="304"/>
        <v>0</v>
      </c>
      <c r="K1765" s="90">
        <f t="shared" si="305"/>
        <v>0</v>
      </c>
      <c r="L1765" s="90">
        <f t="shared" si="306"/>
        <v>0</v>
      </c>
      <c r="M1765" s="90">
        <f t="shared" si="307"/>
        <v>0</v>
      </c>
      <c r="N1765" s="90">
        <v>0</v>
      </c>
      <c r="O1765" s="90">
        <f t="shared" si="308"/>
        <v>0</v>
      </c>
      <c r="P1765" s="92" t="s">
        <v>578</v>
      </c>
      <c r="Z1765" s="93">
        <f t="shared" si="309"/>
        <v>0</v>
      </c>
      <c r="AB1765" s="93">
        <f t="shared" si="310"/>
        <v>0</v>
      </c>
      <c r="AC1765" s="93">
        <f t="shared" si="311"/>
        <v>0</v>
      </c>
      <c r="AD1765" s="93">
        <f t="shared" si="312"/>
        <v>0</v>
      </c>
      <c r="AE1765" s="93">
        <f t="shared" si="313"/>
        <v>0</v>
      </c>
      <c r="AF1765" s="93">
        <f t="shared" si="314"/>
        <v>0</v>
      </c>
      <c r="AG1765" s="93">
        <f t="shared" si="315"/>
        <v>0</v>
      </c>
      <c r="AH1765" s="93">
        <f t="shared" si="316"/>
        <v>0</v>
      </c>
      <c r="AI1765" s="88" t="s">
        <v>55</v>
      </c>
      <c r="AJ1765" s="93">
        <f t="shared" si="317"/>
        <v>0</v>
      </c>
      <c r="AK1765" s="93">
        <f t="shared" si="318"/>
        <v>0</v>
      </c>
      <c r="AL1765" s="93">
        <f t="shared" si="319"/>
        <v>0</v>
      </c>
      <c r="AN1765" s="93">
        <v>21</v>
      </c>
      <c r="AO1765" s="93">
        <f t="shared" si="330"/>
        <v>0</v>
      </c>
      <c r="AP1765" s="93">
        <f t="shared" si="331"/>
        <v>0</v>
      </c>
      <c r="AQ1765" s="94" t="s">
        <v>148</v>
      </c>
      <c r="AV1765" s="93">
        <f t="shared" si="320"/>
        <v>0</v>
      </c>
      <c r="AW1765" s="93">
        <f t="shared" si="321"/>
        <v>0</v>
      </c>
      <c r="AX1765" s="93">
        <f t="shared" si="322"/>
        <v>0</v>
      </c>
      <c r="AY1765" s="94" t="s">
        <v>2141</v>
      </c>
      <c r="AZ1765" s="94" t="s">
        <v>1920</v>
      </c>
      <c r="BA1765" s="88" t="s">
        <v>67</v>
      </c>
      <c r="BC1765" s="93">
        <f t="shared" si="323"/>
        <v>0</v>
      </c>
      <c r="BD1765" s="93">
        <f t="shared" si="324"/>
        <v>0</v>
      </c>
      <c r="BE1765" s="93">
        <v>0</v>
      </c>
      <c r="BF1765" s="93">
        <f t="shared" si="325"/>
        <v>0</v>
      </c>
      <c r="BH1765" s="93">
        <f t="shared" si="326"/>
        <v>0</v>
      </c>
      <c r="BI1765" s="93">
        <f t="shared" si="327"/>
        <v>0</v>
      </c>
      <c r="BJ1765" s="93">
        <f t="shared" si="328"/>
        <v>0</v>
      </c>
      <c r="BK1765" s="93"/>
      <c r="BL1765" s="93">
        <v>735</v>
      </c>
      <c r="BW1765" s="93" t="str">
        <f t="shared" si="329"/>
        <v>21</v>
      </c>
      <c r="BX1765" s="2" t="s">
        <v>2242</v>
      </c>
    </row>
    <row r="1766" spans="1:76" s="81" customFormat="1" ht="25.5" x14ac:dyDescent="0.25">
      <c r="A1766" s="72" t="s">
        <v>2243</v>
      </c>
      <c r="B1766" s="72" t="s">
        <v>55</v>
      </c>
      <c r="C1766" s="72" t="s">
        <v>2244</v>
      </c>
      <c r="D1766" s="175" t="s">
        <v>2245</v>
      </c>
      <c r="E1766" s="175"/>
      <c r="F1766" s="72" t="s">
        <v>1449</v>
      </c>
      <c r="G1766" s="91"/>
      <c r="H1766" s="91"/>
      <c r="I1766" s="92" t="s">
        <v>63</v>
      </c>
      <c r="J1766" s="90">
        <f t="shared" si="304"/>
        <v>0</v>
      </c>
      <c r="K1766" s="90">
        <f t="shared" si="305"/>
        <v>0</v>
      </c>
      <c r="L1766" s="90">
        <f t="shared" si="306"/>
        <v>0</v>
      </c>
      <c r="M1766" s="90">
        <f t="shared" si="307"/>
        <v>0</v>
      </c>
      <c r="N1766" s="90">
        <v>0</v>
      </c>
      <c r="O1766" s="90">
        <f t="shared" si="308"/>
        <v>0</v>
      </c>
      <c r="P1766" s="92" t="s">
        <v>64</v>
      </c>
      <c r="Z1766" s="93">
        <f t="shared" si="309"/>
        <v>0</v>
      </c>
      <c r="AB1766" s="93">
        <f t="shared" si="310"/>
        <v>0</v>
      </c>
      <c r="AC1766" s="93">
        <f t="shared" si="311"/>
        <v>0</v>
      </c>
      <c r="AD1766" s="93">
        <f t="shared" si="312"/>
        <v>0</v>
      </c>
      <c r="AE1766" s="93">
        <f t="shared" si="313"/>
        <v>0</v>
      </c>
      <c r="AF1766" s="93">
        <f t="shared" si="314"/>
        <v>0</v>
      </c>
      <c r="AG1766" s="93">
        <f t="shared" si="315"/>
        <v>0</v>
      </c>
      <c r="AH1766" s="93">
        <f t="shared" si="316"/>
        <v>0</v>
      </c>
      <c r="AI1766" s="88" t="s">
        <v>55</v>
      </c>
      <c r="AJ1766" s="93">
        <f t="shared" si="317"/>
        <v>0</v>
      </c>
      <c r="AK1766" s="93">
        <f t="shared" si="318"/>
        <v>0</v>
      </c>
      <c r="AL1766" s="93">
        <f t="shared" si="319"/>
        <v>0</v>
      </c>
      <c r="AN1766" s="93">
        <v>21</v>
      </c>
      <c r="AO1766" s="93">
        <f>H1766*0</f>
        <v>0</v>
      </c>
      <c r="AP1766" s="93">
        <f>H1766*(1-0)</f>
        <v>0</v>
      </c>
      <c r="AQ1766" s="94" t="s">
        <v>136</v>
      </c>
      <c r="AV1766" s="93">
        <f t="shared" si="320"/>
        <v>0</v>
      </c>
      <c r="AW1766" s="93">
        <f t="shared" si="321"/>
        <v>0</v>
      </c>
      <c r="AX1766" s="93">
        <f t="shared" si="322"/>
        <v>0</v>
      </c>
      <c r="AY1766" s="94" t="s">
        <v>2141</v>
      </c>
      <c r="AZ1766" s="94" t="s">
        <v>1920</v>
      </c>
      <c r="BA1766" s="88" t="s">
        <v>67</v>
      </c>
      <c r="BC1766" s="93">
        <f t="shared" si="323"/>
        <v>0</v>
      </c>
      <c r="BD1766" s="93">
        <f t="shared" si="324"/>
        <v>0</v>
      </c>
      <c r="BE1766" s="93">
        <v>0</v>
      </c>
      <c r="BF1766" s="93">
        <f t="shared" si="325"/>
        <v>0</v>
      </c>
      <c r="BH1766" s="93">
        <f t="shared" si="326"/>
        <v>0</v>
      </c>
      <c r="BI1766" s="93">
        <f t="shared" si="327"/>
        <v>0</v>
      </c>
      <c r="BJ1766" s="93">
        <f t="shared" si="328"/>
        <v>0</v>
      </c>
      <c r="BK1766" s="93"/>
      <c r="BL1766" s="93">
        <v>735</v>
      </c>
      <c r="BW1766" s="93" t="str">
        <f t="shared" si="329"/>
        <v>21</v>
      </c>
      <c r="BX1766" s="2" t="s">
        <v>2245</v>
      </c>
    </row>
    <row r="1767" spans="1:76" s="81" customFormat="1" x14ac:dyDescent="0.25">
      <c r="A1767" s="85" t="s">
        <v>54</v>
      </c>
      <c r="B1767" s="74" t="s">
        <v>55</v>
      </c>
      <c r="C1767" s="74" t="s">
        <v>2246</v>
      </c>
      <c r="D1767" s="176" t="s">
        <v>2247</v>
      </c>
      <c r="E1767" s="176"/>
      <c r="F1767" s="85" t="s">
        <v>4</v>
      </c>
      <c r="G1767" s="85" t="s">
        <v>4</v>
      </c>
      <c r="H1767" s="98"/>
      <c r="I1767" s="85" t="s">
        <v>4</v>
      </c>
      <c r="J1767" s="86">
        <f>SUM(J1768:J1776)</f>
        <v>0</v>
      </c>
      <c r="K1767" s="86">
        <f>SUM(K1768:K1776)</f>
        <v>0</v>
      </c>
      <c r="L1767" s="86">
        <f>SUM(L1768:L1776)</f>
        <v>0</v>
      </c>
      <c r="M1767" s="86">
        <f>SUM(M1768:M1776)</f>
        <v>0</v>
      </c>
      <c r="N1767" s="87" t="s">
        <v>54</v>
      </c>
      <c r="O1767" s="86">
        <f>SUM(O1768:O1776)</f>
        <v>1.97575794</v>
      </c>
      <c r="P1767" s="87" t="s">
        <v>54</v>
      </c>
      <c r="AI1767" s="88" t="s">
        <v>55</v>
      </c>
      <c r="AS1767" s="89">
        <f>SUM(AJ1768:AJ1776)</f>
        <v>0</v>
      </c>
      <c r="AT1767" s="89">
        <f>SUM(AK1768:AK1776)</f>
        <v>0</v>
      </c>
      <c r="AU1767" s="89">
        <f>SUM(AL1768:AL1776)</f>
        <v>0</v>
      </c>
    </row>
    <row r="1768" spans="1:76" s="81" customFormat="1" ht="25.5" x14ac:dyDescent="0.25">
      <c r="A1768" s="72" t="s">
        <v>2248</v>
      </c>
      <c r="B1768" s="72" t="s">
        <v>55</v>
      </c>
      <c r="C1768" s="72" t="s">
        <v>2249</v>
      </c>
      <c r="D1768" s="175" t="s">
        <v>2250</v>
      </c>
      <c r="E1768" s="175"/>
      <c r="F1768" s="72" t="s">
        <v>192</v>
      </c>
      <c r="G1768" s="90">
        <v>140.7235</v>
      </c>
      <c r="H1768" s="91"/>
      <c r="I1768" s="92" t="s">
        <v>63</v>
      </c>
      <c r="J1768" s="90">
        <f>G1768*AO1768</f>
        <v>0</v>
      </c>
      <c r="K1768" s="90">
        <f>G1768*AP1768</f>
        <v>0</v>
      </c>
      <c r="L1768" s="90">
        <f>G1768*H1768</f>
        <v>0</v>
      </c>
      <c r="M1768" s="90">
        <f>L1768*(1+BW1768/100)</f>
        <v>0</v>
      </c>
      <c r="N1768" s="90">
        <v>1.404E-2</v>
      </c>
      <c r="O1768" s="90">
        <f>G1768*N1768</f>
        <v>1.97575794</v>
      </c>
      <c r="P1768" s="92" t="s">
        <v>64</v>
      </c>
      <c r="Z1768" s="93">
        <f>IF(AQ1768="5",BJ1768,0)</f>
        <v>0</v>
      </c>
      <c r="AB1768" s="93">
        <f>IF(AQ1768="1",BH1768,0)</f>
        <v>0</v>
      </c>
      <c r="AC1768" s="93">
        <f>IF(AQ1768="1",BI1768,0)</f>
        <v>0</v>
      </c>
      <c r="AD1768" s="93">
        <f>IF(AQ1768="7",BH1768,0)</f>
        <v>0</v>
      </c>
      <c r="AE1768" s="93">
        <f>IF(AQ1768="7",BI1768,0)</f>
        <v>0</v>
      </c>
      <c r="AF1768" s="93">
        <f>IF(AQ1768="2",BH1768,0)</f>
        <v>0</v>
      </c>
      <c r="AG1768" s="93">
        <f>IF(AQ1768="2",BI1768,0)</f>
        <v>0</v>
      </c>
      <c r="AH1768" s="93">
        <f>IF(AQ1768="0",BJ1768,0)</f>
        <v>0</v>
      </c>
      <c r="AI1768" s="88" t="s">
        <v>55</v>
      </c>
      <c r="AJ1768" s="93">
        <f>IF(AN1768=0,L1768,0)</f>
        <v>0</v>
      </c>
      <c r="AK1768" s="93">
        <f>IF(AN1768=12,L1768,0)</f>
        <v>0</v>
      </c>
      <c r="AL1768" s="93">
        <f>IF(AN1768=21,L1768,0)</f>
        <v>0</v>
      </c>
      <c r="AN1768" s="93">
        <v>21</v>
      </c>
      <c r="AO1768" s="93">
        <f>H1768*0.639624301</f>
        <v>0</v>
      </c>
      <c r="AP1768" s="93">
        <f>H1768*(1-0.639624301)</f>
        <v>0</v>
      </c>
      <c r="AQ1768" s="94" t="s">
        <v>148</v>
      </c>
      <c r="AV1768" s="93">
        <f>AW1768+AX1768</f>
        <v>0</v>
      </c>
      <c r="AW1768" s="93">
        <f>G1768*AO1768</f>
        <v>0</v>
      </c>
      <c r="AX1768" s="93">
        <f>G1768*AP1768</f>
        <v>0</v>
      </c>
      <c r="AY1768" s="94" t="s">
        <v>2251</v>
      </c>
      <c r="AZ1768" s="94" t="s">
        <v>2252</v>
      </c>
      <c r="BA1768" s="88" t="s">
        <v>67</v>
      </c>
      <c r="BC1768" s="93">
        <f>AW1768+AX1768</f>
        <v>0</v>
      </c>
      <c r="BD1768" s="93">
        <f>H1768/(100-BE1768)*100</f>
        <v>0</v>
      </c>
      <c r="BE1768" s="93">
        <v>0</v>
      </c>
      <c r="BF1768" s="93">
        <f>O1768</f>
        <v>1.97575794</v>
      </c>
      <c r="BH1768" s="93">
        <f>G1768*AO1768</f>
        <v>0</v>
      </c>
      <c r="BI1768" s="93">
        <f>G1768*AP1768</f>
        <v>0</v>
      </c>
      <c r="BJ1768" s="93">
        <f>G1768*H1768</f>
        <v>0</v>
      </c>
      <c r="BK1768" s="93"/>
      <c r="BL1768" s="93">
        <v>762</v>
      </c>
      <c r="BW1768" s="93" t="str">
        <f>I1768</f>
        <v>21</v>
      </c>
      <c r="BX1768" s="2" t="s">
        <v>2250</v>
      </c>
    </row>
    <row r="1769" spans="1:76" s="81" customFormat="1" ht="13.5" customHeight="1" x14ac:dyDescent="0.25">
      <c r="A1769" s="95"/>
      <c r="B1769" s="95"/>
      <c r="C1769" s="95"/>
      <c r="D1769" s="182" t="s">
        <v>2253</v>
      </c>
      <c r="E1769" s="182"/>
      <c r="F1769" s="182"/>
      <c r="G1769" s="182"/>
      <c r="H1769" s="182"/>
      <c r="I1769" s="182"/>
      <c r="J1769" s="182"/>
      <c r="K1769" s="182"/>
      <c r="L1769" s="182"/>
      <c r="M1769" s="182"/>
      <c r="N1769" s="182"/>
      <c r="O1769" s="182"/>
      <c r="P1769" s="182"/>
    </row>
    <row r="1770" spans="1:76" s="81" customFormat="1" x14ac:dyDescent="0.25">
      <c r="A1770" s="95"/>
      <c r="B1770" s="95"/>
      <c r="C1770" s="95"/>
      <c r="D1770" s="76" t="s">
        <v>54</v>
      </c>
      <c r="E1770" s="76" t="s">
        <v>831</v>
      </c>
      <c r="F1770" s="95"/>
      <c r="G1770" s="96">
        <v>0</v>
      </c>
      <c r="H1770" s="95"/>
      <c r="I1770" s="95"/>
      <c r="J1770" s="95"/>
      <c r="K1770" s="95"/>
      <c r="L1770" s="95"/>
      <c r="M1770" s="95"/>
      <c r="N1770" s="95"/>
      <c r="O1770" s="95"/>
      <c r="P1770" s="95"/>
    </row>
    <row r="1771" spans="1:76" s="81" customFormat="1" x14ac:dyDescent="0.25">
      <c r="A1771" s="95"/>
      <c r="B1771" s="95"/>
      <c r="C1771" s="95"/>
      <c r="D1771" s="76" t="s">
        <v>54</v>
      </c>
      <c r="E1771" s="76" t="s">
        <v>832</v>
      </c>
      <c r="F1771" s="95"/>
      <c r="G1771" s="96">
        <v>0</v>
      </c>
      <c r="H1771" s="95"/>
      <c r="I1771" s="95"/>
      <c r="J1771" s="95"/>
      <c r="K1771" s="95"/>
      <c r="L1771" s="95"/>
      <c r="M1771" s="95"/>
      <c r="N1771" s="95"/>
      <c r="O1771" s="95"/>
      <c r="P1771" s="95"/>
    </row>
    <row r="1772" spans="1:76" s="81" customFormat="1" x14ac:dyDescent="0.25">
      <c r="A1772" s="95"/>
      <c r="B1772" s="95"/>
      <c r="C1772" s="95"/>
      <c r="D1772" s="76" t="s">
        <v>1498</v>
      </c>
      <c r="E1772" s="76" t="s">
        <v>54</v>
      </c>
      <c r="F1772" s="95"/>
      <c r="G1772" s="96">
        <v>16.266749999999998</v>
      </c>
      <c r="H1772" s="95"/>
      <c r="I1772" s="95"/>
      <c r="J1772" s="95"/>
      <c r="K1772" s="95"/>
      <c r="L1772" s="95"/>
      <c r="M1772" s="95"/>
      <c r="N1772" s="95"/>
      <c r="O1772" s="95"/>
      <c r="P1772" s="95"/>
    </row>
    <row r="1773" spans="1:76" s="81" customFormat="1" x14ac:dyDescent="0.25">
      <c r="A1773" s="95"/>
      <c r="B1773" s="95"/>
      <c r="C1773" s="95"/>
      <c r="D1773" s="76" t="s">
        <v>1602</v>
      </c>
      <c r="E1773" s="76" t="s">
        <v>54</v>
      </c>
      <c r="F1773" s="95"/>
      <c r="G1773" s="96">
        <v>104.367</v>
      </c>
      <c r="H1773" s="95"/>
      <c r="I1773" s="95"/>
      <c r="J1773" s="95"/>
      <c r="K1773" s="95"/>
      <c r="L1773" s="95"/>
      <c r="M1773" s="95"/>
      <c r="N1773" s="95"/>
      <c r="O1773" s="95"/>
      <c r="P1773" s="95"/>
    </row>
    <row r="1774" spans="1:76" s="81" customFormat="1" x14ac:dyDescent="0.25">
      <c r="A1774" s="95"/>
      <c r="B1774" s="95"/>
      <c r="C1774" s="95"/>
      <c r="D1774" s="76" t="s">
        <v>54</v>
      </c>
      <c r="E1774" s="76" t="s">
        <v>837</v>
      </c>
      <c r="F1774" s="95"/>
      <c r="G1774" s="96">
        <v>0</v>
      </c>
      <c r="H1774" s="95"/>
      <c r="I1774" s="95"/>
      <c r="J1774" s="95"/>
      <c r="K1774" s="95"/>
      <c r="L1774" s="95"/>
      <c r="M1774" s="95"/>
      <c r="N1774" s="95"/>
      <c r="O1774" s="95"/>
      <c r="P1774" s="95"/>
    </row>
    <row r="1775" spans="1:76" s="81" customFormat="1" x14ac:dyDescent="0.25">
      <c r="A1775" s="95"/>
      <c r="B1775" s="95"/>
      <c r="C1775" s="95"/>
      <c r="D1775" s="76" t="s">
        <v>1603</v>
      </c>
      <c r="E1775" s="76" t="s">
        <v>54</v>
      </c>
      <c r="F1775" s="95"/>
      <c r="G1775" s="96">
        <v>20.089749999999999</v>
      </c>
      <c r="H1775" s="95"/>
      <c r="I1775" s="95"/>
      <c r="J1775" s="95"/>
      <c r="K1775" s="95"/>
      <c r="L1775" s="95"/>
      <c r="M1775" s="95"/>
      <c r="N1775" s="95"/>
      <c r="O1775" s="95"/>
      <c r="P1775" s="95"/>
    </row>
    <row r="1776" spans="1:76" s="81" customFormat="1" ht="25.5" x14ac:dyDescent="0.25">
      <c r="A1776" s="72" t="s">
        <v>2254</v>
      </c>
      <c r="B1776" s="72" t="s">
        <v>55</v>
      </c>
      <c r="C1776" s="72" t="s">
        <v>2255</v>
      </c>
      <c r="D1776" s="175" t="s">
        <v>2256</v>
      </c>
      <c r="E1776" s="175"/>
      <c r="F1776" s="72" t="s">
        <v>1449</v>
      </c>
      <c r="G1776" s="91"/>
      <c r="H1776" s="91"/>
      <c r="I1776" s="92" t="s">
        <v>63</v>
      </c>
      <c r="J1776" s="90">
        <f>G1776*AO1776</f>
        <v>0</v>
      </c>
      <c r="K1776" s="90">
        <f>G1776*AP1776</f>
        <v>0</v>
      </c>
      <c r="L1776" s="90">
        <f>G1776*H1776</f>
        <v>0</v>
      </c>
      <c r="M1776" s="90">
        <f>L1776*(1+BW1776/100)</f>
        <v>0</v>
      </c>
      <c r="N1776" s="90">
        <v>0</v>
      </c>
      <c r="O1776" s="90">
        <f>G1776*N1776</f>
        <v>0</v>
      </c>
      <c r="P1776" s="92" t="s">
        <v>64</v>
      </c>
      <c r="Z1776" s="93">
        <f>IF(AQ1776="5",BJ1776,0)</f>
        <v>0</v>
      </c>
      <c r="AB1776" s="93">
        <f>IF(AQ1776="1",BH1776,0)</f>
        <v>0</v>
      </c>
      <c r="AC1776" s="93">
        <f>IF(AQ1776="1",BI1776,0)</f>
        <v>0</v>
      </c>
      <c r="AD1776" s="93">
        <f>IF(AQ1776="7",BH1776,0)</f>
        <v>0</v>
      </c>
      <c r="AE1776" s="93">
        <f>IF(AQ1776="7",BI1776,0)</f>
        <v>0</v>
      </c>
      <c r="AF1776" s="93">
        <f>IF(AQ1776="2",BH1776,0)</f>
        <v>0</v>
      </c>
      <c r="AG1776" s="93">
        <f>IF(AQ1776="2",BI1776,0)</f>
        <v>0</v>
      </c>
      <c r="AH1776" s="93">
        <f>IF(AQ1776="0",BJ1776,0)</f>
        <v>0</v>
      </c>
      <c r="AI1776" s="88" t="s">
        <v>55</v>
      </c>
      <c r="AJ1776" s="93">
        <f>IF(AN1776=0,L1776,0)</f>
        <v>0</v>
      </c>
      <c r="AK1776" s="93">
        <f>IF(AN1776=12,L1776,0)</f>
        <v>0</v>
      </c>
      <c r="AL1776" s="93">
        <f>IF(AN1776=21,L1776,0)</f>
        <v>0</v>
      </c>
      <c r="AN1776" s="93">
        <v>21</v>
      </c>
      <c r="AO1776" s="93">
        <f>H1776*0</f>
        <v>0</v>
      </c>
      <c r="AP1776" s="93">
        <f>H1776*(1-0)</f>
        <v>0</v>
      </c>
      <c r="AQ1776" s="94" t="s">
        <v>136</v>
      </c>
      <c r="AV1776" s="93">
        <f>AW1776+AX1776</f>
        <v>0</v>
      </c>
      <c r="AW1776" s="93">
        <f>G1776*AO1776</f>
        <v>0</v>
      </c>
      <c r="AX1776" s="93">
        <f>G1776*AP1776</f>
        <v>0</v>
      </c>
      <c r="AY1776" s="94" t="s">
        <v>2251</v>
      </c>
      <c r="AZ1776" s="94" t="s">
        <v>2252</v>
      </c>
      <c r="BA1776" s="88" t="s">
        <v>67</v>
      </c>
      <c r="BC1776" s="93">
        <f>AW1776+AX1776</f>
        <v>0</v>
      </c>
      <c r="BD1776" s="93">
        <f>H1776/(100-BE1776)*100</f>
        <v>0</v>
      </c>
      <c r="BE1776" s="93">
        <v>0</v>
      </c>
      <c r="BF1776" s="93">
        <f>O1776</f>
        <v>0</v>
      </c>
      <c r="BH1776" s="93">
        <f>G1776*AO1776</f>
        <v>0</v>
      </c>
      <c r="BI1776" s="93">
        <f>G1776*AP1776</f>
        <v>0</v>
      </c>
      <c r="BJ1776" s="93">
        <f>G1776*H1776</f>
        <v>0</v>
      </c>
      <c r="BK1776" s="93"/>
      <c r="BL1776" s="93">
        <v>762</v>
      </c>
      <c r="BW1776" s="93" t="str">
        <f>I1776</f>
        <v>21</v>
      </c>
      <c r="BX1776" s="2" t="s">
        <v>2256</v>
      </c>
    </row>
    <row r="1777" spans="1:76" s="81" customFormat="1" x14ac:dyDescent="0.25">
      <c r="A1777" s="85" t="s">
        <v>54</v>
      </c>
      <c r="B1777" s="74" t="s">
        <v>55</v>
      </c>
      <c r="C1777" s="74" t="s">
        <v>2257</v>
      </c>
      <c r="D1777" s="176" t="s">
        <v>2258</v>
      </c>
      <c r="E1777" s="176"/>
      <c r="F1777" s="85" t="s">
        <v>4</v>
      </c>
      <c r="G1777" s="85" t="s">
        <v>4</v>
      </c>
      <c r="H1777" s="85" t="s">
        <v>4</v>
      </c>
      <c r="I1777" s="85" t="s">
        <v>4</v>
      </c>
      <c r="J1777" s="86">
        <f>SUM(J1778:J1812)</f>
        <v>0</v>
      </c>
      <c r="K1777" s="86">
        <f>SUM(K1778:K1812)</f>
        <v>0</v>
      </c>
      <c r="L1777" s="86">
        <f>SUM(L1778:L1812)</f>
        <v>0</v>
      </c>
      <c r="M1777" s="86">
        <f>SUM(M1778:M1812)</f>
        <v>0</v>
      </c>
      <c r="N1777" s="87" t="s">
        <v>54</v>
      </c>
      <c r="O1777" s="86">
        <f>SUM(O1778:O1812)</f>
        <v>1.8279856000000001</v>
      </c>
      <c r="P1777" s="87" t="s">
        <v>54</v>
      </c>
      <c r="AI1777" s="88" t="s">
        <v>55</v>
      </c>
      <c r="AS1777" s="89">
        <f>SUM(AJ1778:AJ1812)</f>
        <v>0</v>
      </c>
      <c r="AT1777" s="89">
        <f>SUM(AK1778:AK1812)</f>
        <v>0</v>
      </c>
      <c r="AU1777" s="89">
        <f>SUM(AL1778:AL1812)</f>
        <v>0</v>
      </c>
    </row>
    <row r="1778" spans="1:76" s="81" customFormat="1" ht="25.5" x14ac:dyDescent="0.25">
      <c r="A1778" s="72" t="s">
        <v>2259</v>
      </c>
      <c r="B1778" s="72" t="s">
        <v>55</v>
      </c>
      <c r="C1778" s="72" t="s">
        <v>2260</v>
      </c>
      <c r="D1778" s="175" t="s">
        <v>2261</v>
      </c>
      <c r="E1778" s="175"/>
      <c r="F1778" s="72" t="s">
        <v>213</v>
      </c>
      <c r="G1778" s="90">
        <v>71.790000000000006</v>
      </c>
      <c r="H1778" s="91"/>
      <c r="I1778" s="92" t="s">
        <v>63</v>
      </c>
      <c r="J1778" s="90">
        <f>G1778*AO1778</f>
        <v>0</v>
      </c>
      <c r="K1778" s="90">
        <f>G1778*AP1778</f>
        <v>0</v>
      </c>
      <c r="L1778" s="90">
        <f>G1778*H1778</f>
        <v>0</v>
      </c>
      <c r="M1778" s="90">
        <f>L1778*(1+BW1778/100)</f>
        <v>0</v>
      </c>
      <c r="N1778" s="90">
        <v>2.4399999999999999E-3</v>
      </c>
      <c r="O1778" s="90">
        <f>G1778*N1778</f>
        <v>0.17516760000000001</v>
      </c>
      <c r="P1778" s="92" t="s">
        <v>64</v>
      </c>
      <c r="Z1778" s="93">
        <f>IF(AQ1778="5",BJ1778,0)</f>
        <v>0</v>
      </c>
      <c r="AB1778" s="93">
        <f>IF(AQ1778="1",BH1778,0)</f>
        <v>0</v>
      </c>
      <c r="AC1778" s="93">
        <f>IF(AQ1778="1",BI1778,0)</f>
        <v>0</v>
      </c>
      <c r="AD1778" s="93">
        <f>IF(AQ1778="7",BH1778,0)</f>
        <v>0</v>
      </c>
      <c r="AE1778" s="93">
        <f>IF(AQ1778="7",BI1778,0)</f>
        <v>0</v>
      </c>
      <c r="AF1778" s="93">
        <f>IF(AQ1778="2",BH1778,0)</f>
        <v>0</v>
      </c>
      <c r="AG1778" s="93">
        <f>IF(AQ1778="2",BI1778,0)</f>
        <v>0</v>
      </c>
      <c r="AH1778" s="93">
        <f>IF(AQ1778="0",BJ1778,0)</f>
        <v>0</v>
      </c>
      <c r="AI1778" s="88" t="s">
        <v>55</v>
      </c>
      <c r="AJ1778" s="93">
        <f>IF(AN1778=0,L1778,0)</f>
        <v>0</v>
      </c>
      <c r="AK1778" s="93">
        <f>IF(AN1778=12,L1778,0)</f>
        <v>0</v>
      </c>
      <c r="AL1778" s="93">
        <f>IF(AN1778=21,L1778,0)</f>
        <v>0</v>
      </c>
      <c r="AN1778" s="93">
        <v>21</v>
      </c>
      <c r="AO1778" s="93">
        <f>H1778*0.372093023</f>
        <v>0</v>
      </c>
      <c r="AP1778" s="93">
        <f>H1778*(1-0.372093023)</f>
        <v>0</v>
      </c>
      <c r="AQ1778" s="94" t="s">
        <v>148</v>
      </c>
      <c r="AV1778" s="93">
        <f>AW1778+AX1778</f>
        <v>0</v>
      </c>
      <c r="AW1778" s="93">
        <f>G1778*AO1778</f>
        <v>0</v>
      </c>
      <c r="AX1778" s="93">
        <f>G1778*AP1778</f>
        <v>0</v>
      </c>
      <c r="AY1778" s="94" t="s">
        <v>2262</v>
      </c>
      <c r="AZ1778" s="94" t="s">
        <v>2252</v>
      </c>
      <c r="BA1778" s="88" t="s">
        <v>67</v>
      </c>
      <c r="BC1778" s="93">
        <f>AW1778+AX1778</f>
        <v>0</v>
      </c>
      <c r="BD1778" s="93">
        <f>H1778/(100-BE1778)*100</f>
        <v>0</v>
      </c>
      <c r="BE1778" s="93">
        <v>0</v>
      </c>
      <c r="BF1778" s="93">
        <f>O1778</f>
        <v>0.17516760000000001</v>
      </c>
      <c r="BH1778" s="93">
        <f>G1778*AO1778</f>
        <v>0</v>
      </c>
      <c r="BI1778" s="93">
        <f>G1778*AP1778</f>
        <v>0</v>
      </c>
      <c r="BJ1778" s="93">
        <f>G1778*H1778</f>
        <v>0</v>
      </c>
      <c r="BK1778" s="93"/>
      <c r="BL1778" s="93">
        <v>764</v>
      </c>
      <c r="BW1778" s="93" t="str">
        <f>I1778</f>
        <v>21</v>
      </c>
      <c r="BX1778" s="2" t="s">
        <v>2261</v>
      </c>
    </row>
    <row r="1779" spans="1:76" s="81" customFormat="1" x14ac:dyDescent="0.25">
      <c r="A1779" s="95"/>
      <c r="B1779" s="95"/>
      <c r="C1779" s="95"/>
      <c r="D1779" s="76" t="s">
        <v>54</v>
      </c>
      <c r="E1779" s="76" t="s">
        <v>2263</v>
      </c>
      <c r="F1779" s="95"/>
      <c r="G1779" s="96">
        <v>0</v>
      </c>
      <c r="H1779" s="97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95"/>
      <c r="B1780" s="95"/>
      <c r="C1780" s="95"/>
      <c r="D1780" s="76" t="s">
        <v>2264</v>
      </c>
      <c r="E1780" s="76" t="s">
        <v>2265</v>
      </c>
      <c r="F1780" s="95"/>
      <c r="G1780" s="96">
        <v>12.3</v>
      </c>
      <c r="H1780" s="97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x14ac:dyDescent="0.25">
      <c r="A1781" s="95"/>
      <c r="B1781" s="95"/>
      <c r="C1781" s="95"/>
      <c r="D1781" s="76" t="s">
        <v>2266</v>
      </c>
      <c r="E1781" s="76" t="s">
        <v>2267</v>
      </c>
      <c r="F1781" s="95"/>
      <c r="G1781" s="96">
        <v>4.9000000000000004</v>
      </c>
      <c r="H1781" s="97"/>
      <c r="I1781" s="95"/>
      <c r="J1781" s="95"/>
      <c r="K1781" s="95"/>
      <c r="L1781" s="95"/>
      <c r="M1781" s="95"/>
      <c r="N1781" s="95"/>
      <c r="O1781" s="95"/>
      <c r="P1781" s="95"/>
    </row>
    <row r="1782" spans="1:76" s="81" customFormat="1" x14ac:dyDescent="0.25">
      <c r="A1782" s="95"/>
      <c r="B1782" s="95"/>
      <c r="C1782" s="95"/>
      <c r="D1782" s="76" t="s">
        <v>2268</v>
      </c>
      <c r="E1782" s="76" t="s">
        <v>2269</v>
      </c>
      <c r="F1782" s="95"/>
      <c r="G1782" s="96">
        <v>1.5</v>
      </c>
      <c r="H1782" s="97"/>
      <c r="I1782" s="95"/>
      <c r="J1782" s="95"/>
      <c r="K1782" s="95"/>
      <c r="L1782" s="95"/>
      <c r="M1782" s="95"/>
      <c r="N1782" s="95"/>
      <c r="O1782" s="95"/>
      <c r="P1782" s="95"/>
    </row>
    <row r="1783" spans="1:76" s="81" customFormat="1" x14ac:dyDescent="0.25">
      <c r="A1783" s="95"/>
      <c r="B1783" s="95"/>
      <c r="C1783" s="95"/>
      <c r="D1783" s="76" t="s">
        <v>2270</v>
      </c>
      <c r="E1783" s="76" t="s">
        <v>2271</v>
      </c>
      <c r="F1783" s="95"/>
      <c r="G1783" s="96">
        <v>7.92</v>
      </c>
      <c r="H1783" s="97"/>
      <c r="I1783" s="95"/>
      <c r="J1783" s="95"/>
      <c r="K1783" s="95"/>
      <c r="L1783" s="95"/>
      <c r="M1783" s="95"/>
      <c r="N1783" s="95"/>
      <c r="O1783" s="95"/>
      <c r="P1783" s="95"/>
    </row>
    <row r="1784" spans="1:76" s="81" customFormat="1" x14ac:dyDescent="0.25">
      <c r="A1784" s="95"/>
      <c r="B1784" s="95"/>
      <c r="C1784" s="95"/>
      <c r="D1784" s="76" t="s">
        <v>2272</v>
      </c>
      <c r="E1784" s="76" t="s">
        <v>2273</v>
      </c>
      <c r="F1784" s="95"/>
      <c r="G1784" s="96">
        <v>1.9</v>
      </c>
      <c r="H1784" s="97"/>
      <c r="I1784" s="95"/>
      <c r="J1784" s="95"/>
      <c r="K1784" s="95"/>
      <c r="L1784" s="95"/>
      <c r="M1784" s="95"/>
      <c r="N1784" s="95"/>
      <c r="O1784" s="95"/>
      <c r="P1784" s="95"/>
    </row>
    <row r="1785" spans="1:76" s="81" customFormat="1" x14ac:dyDescent="0.25">
      <c r="A1785" s="95"/>
      <c r="B1785" s="95"/>
      <c r="C1785" s="95"/>
      <c r="D1785" s="76" t="s">
        <v>2274</v>
      </c>
      <c r="E1785" s="76" t="s">
        <v>2275</v>
      </c>
      <c r="F1785" s="95"/>
      <c r="G1785" s="96">
        <v>3.68</v>
      </c>
      <c r="H1785" s="97"/>
      <c r="I1785" s="95"/>
      <c r="J1785" s="95"/>
      <c r="K1785" s="95"/>
      <c r="L1785" s="95"/>
      <c r="M1785" s="95"/>
      <c r="N1785" s="95"/>
      <c r="O1785" s="95"/>
      <c r="P1785" s="95"/>
    </row>
    <row r="1786" spans="1:76" s="81" customFormat="1" x14ac:dyDescent="0.25">
      <c r="A1786" s="95"/>
      <c r="B1786" s="95"/>
      <c r="C1786" s="95"/>
      <c r="D1786" s="76" t="s">
        <v>2276</v>
      </c>
      <c r="E1786" s="76" t="s">
        <v>2277</v>
      </c>
      <c r="F1786" s="95"/>
      <c r="G1786" s="96">
        <v>7.2</v>
      </c>
      <c r="H1786" s="97"/>
      <c r="I1786" s="95"/>
      <c r="J1786" s="95"/>
      <c r="K1786" s="95"/>
      <c r="L1786" s="95"/>
      <c r="M1786" s="95"/>
      <c r="N1786" s="95"/>
      <c r="O1786" s="95"/>
      <c r="P1786" s="95"/>
    </row>
    <row r="1787" spans="1:76" s="81" customFormat="1" x14ac:dyDescent="0.25">
      <c r="A1787" s="95"/>
      <c r="B1787" s="95"/>
      <c r="C1787" s="95"/>
      <c r="D1787" s="76" t="s">
        <v>2278</v>
      </c>
      <c r="E1787" s="76" t="s">
        <v>2279</v>
      </c>
      <c r="F1787" s="95"/>
      <c r="G1787" s="96">
        <v>4.7249999999999996</v>
      </c>
      <c r="H1787" s="97"/>
      <c r="I1787" s="95"/>
      <c r="J1787" s="95"/>
      <c r="K1787" s="95"/>
      <c r="L1787" s="95"/>
      <c r="M1787" s="95"/>
      <c r="N1787" s="95"/>
      <c r="O1787" s="95"/>
      <c r="P1787" s="95"/>
    </row>
    <row r="1788" spans="1:76" s="81" customFormat="1" x14ac:dyDescent="0.25">
      <c r="A1788" s="95"/>
      <c r="B1788" s="95"/>
      <c r="C1788" s="95"/>
      <c r="D1788" s="76" t="s">
        <v>2280</v>
      </c>
      <c r="E1788" s="76" t="s">
        <v>2281</v>
      </c>
      <c r="F1788" s="95"/>
      <c r="G1788" s="96">
        <v>2.3199999999999998</v>
      </c>
      <c r="H1788" s="97"/>
      <c r="I1788" s="95"/>
      <c r="J1788" s="95"/>
      <c r="K1788" s="95"/>
      <c r="L1788" s="95"/>
      <c r="M1788" s="95"/>
      <c r="N1788" s="95"/>
      <c r="O1788" s="95"/>
      <c r="P1788" s="95"/>
    </row>
    <row r="1789" spans="1:76" s="81" customFormat="1" x14ac:dyDescent="0.25">
      <c r="A1789" s="95"/>
      <c r="B1789" s="95"/>
      <c r="C1789" s="95"/>
      <c r="D1789" s="76" t="s">
        <v>2282</v>
      </c>
      <c r="E1789" s="76" t="s">
        <v>2283</v>
      </c>
      <c r="F1789" s="95"/>
      <c r="G1789" s="96">
        <v>2.04</v>
      </c>
      <c r="H1789" s="97"/>
      <c r="I1789" s="95"/>
      <c r="J1789" s="95"/>
      <c r="K1789" s="95"/>
      <c r="L1789" s="95"/>
      <c r="M1789" s="95"/>
      <c r="N1789" s="95"/>
      <c r="O1789" s="95"/>
      <c r="P1789" s="95"/>
    </row>
    <row r="1790" spans="1:76" s="81" customFormat="1" x14ac:dyDescent="0.25">
      <c r="A1790" s="95"/>
      <c r="B1790" s="95"/>
      <c r="C1790" s="95"/>
      <c r="D1790" s="76" t="s">
        <v>2284</v>
      </c>
      <c r="E1790" s="76" t="s">
        <v>2285</v>
      </c>
      <c r="F1790" s="95"/>
      <c r="G1790" s="96">
        <v>13.425000000000001</v>
      </c>
      <c r="H1790" s="97"/>
      <c r="I1790" s="95"/>
      <c r="J1790" s="95"/>
      <c r="K1790" s="95"/>
      <c r="L1790" s="95"/>
      <c r="M1790" s="95"/>
      <c r="N1790" s="95"/>
      <c r="O1790" s="95"/>
      <c r="P1790" s="95"/>
    </row>
    <row r="1791" spans="1:76" s="81" customFormat="1" x14ac:dyDescent="0.25">
      <c r="A1791" s="95"/>
      <c r="B1791" s="95"/>
      <c r="C1791" s="95"/>
      <c r="D1791" s="76" t="s">
        <v>2286</v>
      </c>
      <c r="E1791" s="76" t="s">
        <v>2287</v>
      </c>
      <c r="F1791" s="95"/>
      <c r="G1791" s="96">
        <v>5.28</v>
      </c>
      <c r="H1791" s="97"/>
      <c r="I1791" s="95"/>
      <c r="J1791" s="95"/>
      <c r="K1791" s="95"/>
      <c r="L1791" s="95"/>
      <c r="M1791" s="95"/>
      <c r="N1791" s="95"/>
      <c r="O1791" s="95"/>
      <c r="P1791" s="95"/>
    </row>
    <row r="1792" spans="1:76" s="81" customFormat="1" x14ac:dyDescent="0.25">
      <c r="A1792" s="95"/>
      <c r="B1792" s="95"/>
      <c r="C1792" s="95"/>
      <c r="D1792" s="76" t="s">
        <v>2288</v>
      </c>
      <c r="E1792" s="76" t="s">
        <v>2289</v>
      </c>
      <c r="F1792" s="95"/>
      <c r="G1792" s="96">
        <v>2.36</v>
      </c>
      <c r="H1792" s="97"/>
      <c r="I1792" s="95"/>
      <c r="J1792" s="95"/>
      <c r="K1792" s="95"/>
      <c r="L1792" s="95"/>
      <c r="M1792" s="95"/>
      <c r="N1792" s="95"/>
      <c r="O1792" s="95"/>
      <c r="P1792" s="95"/>
    </row>
    <row r="1793" spans="1:76" s="81" customFormat="1" x14ac:dyDescent="0.25">
      <c r="A1793" s="95"/>
      <c r="B1793" s="95"/>
      <c r="C1793" s="95"/>
      <c r="D1793" s="76" t="s">
        <v>2290</v>
      </c>
      <c r="E1793" s="76" t="s">
        <v>2291</v>
      </c>
      <c r="F1793" s="95"/>
      <c r="G1793" s="96">
        <v>2.2400000000000002</v>
      </c>
      <c r="H1793" s="97"/>
      <c r="I1793" s="95"/>
      <c r="J1793" s="95"/>
      <c r="K1793" s="95"/>
      <c r="L1793" s="95"/>
      <c r="M1793" s="95"/>
      <c r="N1793" s="95"/>
      <c r="O1793" s="95"/>
      <c r="P1793" s="95"/>
    </row>
    <row r="1794" spans="1:76" s="81" customFormat="1" ht="25.5" x14ac:dyDescent="0.25">
      <c r="A1794" s="72" t="s">
        <v>2292</v>
      </c>
      <c r="B1794" s="72" t="s">
        <v>55</v>
      </c>
      <c r="C1794" s="72" t="s">
        <v>2293</v>
      </c>
      <c r="D1794" s="175" t="s">
        <v>2294</v>
      </c>
      <c r="E1794" s="175"/>
      <c r="F1794" s="72" t="s">
        <v>213</v>
      </c>
      <c r="G1794" s="90">
        <v>9.1999999999999993</v>
      </c>
      <c r="H1794" s="91"/>
      <c r="I1794" s="92" t="s">
        <v>63</v>
      </c>
      <c r="J1794" s="90">
        <f>G1794*AO1794</f>
        <v>0</v>
      </c>
      <c r="K1794" s="90">
        <f>G1794*AP1794</f>
        <v>0</v>
      </c>
      <c r="L1794" s="90">
        <f>G1794*H1794</f>
        <v>0</v>
      </c>
      <c r="M1794" s="90">
        <f>L1794*(1+BW1794/100)</f>
        <v>0</v>
      </c>
      <c r="N1794" s="90">
        <v>3.6700000000000001E-3</v>
      </c>
      <c r="O1794" s="90">
        <f>G1794*N1794</f>
        <v>3.3763999999999995E-2</v>
      </c>
      <c r="P1794" s="92" t="s">
        <v>64</v>
      </c>
      <c r="Z1794" s="93">
        <f>IF(AQ1794="5",BJ1794,0)</f>
        <v>0</v>
      </c>
      <c r="AB1794" s="93">
        <f>IF(AQ1794="1",BH1794,0)</f>
        <v>0</v>
      </c>
      <c r="AC1794" s="93">
        <f>IF(AQ1794="1",BI1794,0)</f>
        <v>0</v>
      </c>
      <c r="AD1794" s="93">
        <f>IF(AQ1794="7",BH1794,0)</f>
        <v>0</v>
      </c>
      <c r="AE1794" s="93">
        <f>IF(AQ1794="7",BI1794,0)</f>
        <v>0</v>
      </c>
      <c r="AF1794" s="93">
        <f>IF(AQ1794="2",BH1794,0)</f>
        <v>0</v>
      </c>
      <c r="AG1794" s="93">
        <f>IF(AQ1794="2",BI1794,0)</f>
        <v>0</v>
      </c>
      <c r="AH1794" s="93">
        <f>IF(AQ1794="0",BJ1794,0)</f>
        <v>0</v>
      </c>
      <c r="AI1794" s="88" t="s">
        <v>55</v>
      </c>
      <c r="AJ1794" s="93">
        <f>IF(AN1794=0,L1794,0)</f>
        <v>0</v>
      </c>
      <c r="AK1794" s="93">
        <f>IF(AN1794=12,L1794,0)</f>
        <v>0</v>
      </c>
      <c r="AL1794" s="93">
        <f>IF(AN1794=21,L1794,0)</f>
        <v>0</v>
      </c>
      <c r="AN1794" s="93">
        <v>21</v>
      </c>
      <c r="AO1794" s="93">
        <f>H1794*0.426362438</f>
        <v>0</v>
      </c>
      <c r="AP1794" s="93">
        <f>H1794*(1-0.426362438)</f>
        <v>0</v>
      </c>
      <c r="AQ1794" s="94" t="s">
        <v>148</v>
      </c>
      <c r="AV1794" s="93">
        <f>AW1794+AX1794</f>
        <v>0</v>
      </c>
      <c r="AW1794" s="93">
        <f>G1794*AO1794</f>
        <v>0</v>
      </c>
      <c r="AX1794" s="93">
        <f>G1794*AP1794</f>
        <v>0</v>
      </c>
      <c r="AY1794" s="94" t="s">
        <v>2262</v>
      </c>
      <c r="AZ1794" s="94" t="s">
        <v>2252</v>
      </c>
      <c r="BA1794" s="88" t="s">
        <v>67</v>
      </c>
      <c r="BC1794" s="93">
        <f>AW1794+AX1794</f>
        <v>0</v>
      </c>
      <c r="BD1794" s="93">
        <f>H1794/(100-BE1794)*100</f>
        <v>0</v>
      </c>
      <c r="BE1794" s="93">
        <v>0</v>
      </c>
      <c r="BF1794" s="93">
        <f>O1794</f>
        <v>3.3763999999999995E-2</v>
      </c>
      <c r="BH1794" s="93">
        <f>G1794*AO1794</f>
        <v>0</v>
      </c>
      <c r="BI1794" s="93">
        <f>G1794*AP1794</f>
        <v>0</v>
      </c>
      <c r="BJ1794" s="93">
        <f>G1794*H1794</f>
        <v>0</v>
      </c>
      <c r="BK1794" s="93"/>
      <c r="BL1794" s="93">
        <v>764</v>
      </c>
      <c r="BW1794" s="93" t="str">
        <f>I1794</f>
        <v>21</v>
      </c>
      <c r="BX1794" s="2" t="s">
        <v>2294</v>
      </c>
    </row>
    <row r="1795" spans="1:76" s="81" customFormat="1" x14ac:dyDescent="0.25">
      <c r="A1795" s="95"/>
      <c r="B1795" s="95"/>
      <c r="C1795" s="95"/>
      <c r="D1795" s="76" t="s">
        <v>54</v>
      </c>
      <c r="E1795" s="76" t="s">
        <v>2263</v>
      </c>
      <c r="F1795" s="95"/>
      <c r="G1795" s="96">
        <v>0</v>
      </c>
      <c r="H1795" s="97"/>
      <c r="I1795" s="95"/>
      <c r="J1795" s="95"/>
      <c r="K1795" s="95"/>
      <c r="L1795" s="95"/>
      <c r="M1795" s="95"/>
      <c r="N1795" s="95"/>
      <c r="O1795" s="95"/>
      <c r="P1795" s="95"/>
    </row>
    <row r="1796" spans="1:76" s="81" customFormat="1" x14ac:dyDescent="0.25">
      <c r="A1796" s="95"/>
      <c r="B1796" s="95"/>
      <c r="C1796" s="95"/>
      <c r="D1796" s="76" t="s">
        <v>2295</v>
      </c>
      <c r="E1796" s="76" t="s">
        <v>2296</v>
      </c>
      <c r="F1796" s="95"/>
      <c r="G1796" s="96">
        <v>9.1999999999999993</v>
      </c>
      <c r="H1796" s="97"/>
      <c r="I1796" s="95"/>
      <c r="J1796" s="95"/>
      <c r="K1796" s="95"/>
      <c r="L1796" s="95"/>
      <c r="M1796" s="95"/>
      <c r="N1796" s="95"/>
      <c r="O1796" s="95"/>
      <c r="P1796" s="95"/>
    </row>
    <row r="1797" spans="1:76" s="81" customFormat="1" ht="25.5" x14ac:dyDescent="0.25">
      <c r="A1797" s="72" t="s">
        <v>2297</v>
      </c>
      <c r="B1797" s="72" t="s">
        <v>55</v>
      </c>
      <c r="C1797" s="72" t="s">
        <v>2298</v>
      </c>
      <c r="D1797" s="175" t="s">
        <v>2299</v>
      </c>
      <c r="E1797" s="175"/>
      <c r="F1797" s="72" t="s">
        <v>213</v>
      </c>
      <c r="G1797" s="90">
        <v>14</v>
      </c>
      <c r="H1797" s="91"/>
      <c r="I1797" s="92" t="s">
        <v>63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3.7499999999999999E-3</v>
      </c>
      <c r="O1797" s="90">
        <f>G1797*N1797</f>
        <v>5.2499999999999998E-2</v>
      </c>
      <c r="P1797" s="92" t="s">
        <v>371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55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H1797*0.459615844</f>
        <v>0</v>
      </c>
      <c r="AP1797" s="93">
        <f>H1797*(1-0.459615844)</f>
        <v>0</v>
      </c>
      <c r="AQ1797" s="94" t="s">
        <v>148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2262</v>
      </c>
      <c r="AZ1797" s="94" t="s">
        <v>2252</v>
      </c>
      <c r="BA1797" s="88" t="s">
        <v>67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5.2499999999999998E-2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2299</v>
      </c>
    </row>
    <row r="1798" spans="1:76" s="81" customFormat="1" x14ac:dyDescent="0.25">
      <c r="A1798" s="95"/>
      <c r="B1798" s="95"/>
      <c r="C1798" s="95"/>
      <c r="D1798" s="76" t="s">
        <v>54</v>
      </c>
      <c r="E1798" s="76" t="s">
        <v>2263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95"/>
      <c r="B1799" s="95"/>
      <c r="C1799" s="95"/>
      <c r="D1799" s="76" t="s">
        <v>210</v>
      </c>
      <c r="E1799" s="76" t="s">
        <v>2300</v>
      </c>
      <c r="F1799" s="95"/>
      <c r="G1799" s="96">
        <v>14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ht="25.5" x14ac:dyDescent="0.25">
      <c r="A1800" s="72" t="s">
        <v>2301</v>
      </c>
      <c r="B1800" s="72" t="s">
        <v>55</v>
      </c>
      <c r="C1800" s="72" t="s">
        <v>2302</v>
      </c>
      <c r="D1800" s="175" t="s">
        <v>2303</v>
      </c>
      <c r="E1800" s="175"/>
      <c r="F1800" s="72" t="s">
        <v>213</v>
      </c>
      <c r="G1800" s="90">
        <v>3.4</v>
      </c>
      <c r="H1800" s="91"/>
      <c r="I1800" s="92" t="s">
        <v>63</v>
      </c>
      <c r="J1800" s="90">
        <f>G1800*AO1800</f>
        <v>0</v>
      </c>
      <c r="K1800" s="90">
        <f>G1800*AP1800</f>
        <v>0</v>
      </c>
      <c r="L1800" s="90">
        <f>G1800*H1800</f>
        <v>0</v>
      </c>
      <c r="M1800" s="90">
        <f>L1800*(1+BW1800/100)</f>
        <v>0</v>
      </c>
      <c r="N1800" s="90">
        <v>3.1199999999999999E-3</v>
      </c>
      <c r="O1800" s="90">
        <f>G1800*N1800</f>
        <v>1.0607999999999999E-2</v>
      </c>
      <c r="P1800" s="92" t="s">
        <v>64</v>
      </c>
      <c r="Z1800" s="93">
        <f>IF(AQ1800="5",BJ1800,0)</f>
        <v>0</v>
      </c>
      <c r="AB1800" s="93">
        <f>IF(AQ1800="1",BH1800,0)</f>
        <v>0</v>
      </c>
      <c r="AC1800" s="93">
        <f>IF(AQ1800="1",BI1800,0)</f>
        <v>0</v>
      </c>
      <c r="AD1800" s="93">
        <f>IF(AQ1800="7",BH1800,0)</f>
        <v>0</v>
      </c>
      <c r="AE1800" s="93">
        <f>IF(AQ1800="7",BI1800,0)</f>
        <v>0</v>
      </c>
      <c r="AF1800" s="93">
        <f>IF(AQ1800="2",BH1800,0)</f>
        <v>0</v>
      </c>
      <c r="AG1800" s="93">
        <f>IF(AQ1800="2",BI1800,0)</f>
        <v>0</v>
      </c>
      <c r="AH1800" s="93">
        <f>IF(AQ1800="0",BJ1800,0)</f>
        <v>0</v>
      </c>
      <c r="AI1800" s="88" t="s">
        <v>55</v>
      </c>
      <c r="AJ1800" s="93">
        <f>IF(AN1800=0,L1800,0)</f>
        <v>0</v>
      </c>
      <c r="AK1800" s="93">
        <f>IF(AN1800=12,L1800,0)</f>
        <v>0</v>
      </c>
      <c r="AL1800" s="93">
        <f>IF(AN1800=21,L1800,0)</f>
        <v>0</v>
      </c>
      <c r="AN1800" s="93">
        <v>21</v>
      </c>
      <c r="AO1800" s="93">
        <f>H1800*0.827378128</f>
        <v>0</v>
      </c>
      <c r="AP1800" s="93">
        <f>H1800*(1-0.827378128)</f>
        <v>0</v>
      </c>
      <c r="AQ1800" s="94" t="s">
        <v>148</v>
      </c>
      <c r="AV1800" s="93">
        <f>AW1800+AX1800</f>
        <v>0</v>
      </c>
      <c r="AW1800" s="93">
        <f>G1800*AO1800</f>
        <v>0</v>
      </c>
      <c r="AX1800" s="93">
        <f>G1800*AP1800</f>
        <v>0</v>
      </c>
      <c r="AY1800" s="94" t="s">
        <v>2262</v>
      </c>
      <c r="AZ1800" s="94" t="s">
        <v>2252</v>
      </c>
      <c r="BA1800" s="88" t="s">
        <v>67</v>
      </c>
      <c r="BC1800" s="93">
        <f>AW1800+AX1800</f>
        <v>0</v>
      </c>
      <c r="BD1800" s="93">
        <f>H1800/(100-BE1800)*100</f>
        <v>0</v>
      </c>
      <c r="BE1800" s="93">
        <v>0</v>
      </c>
      <c r="BF1800" s="93">
        <f>O1800</f>
        <v>1.0607999999999999E-2</v>
      </c>
      <c r="BH1800" s="93">
        <f>G1800*AO1800</f>
        <v>0</v>
      </c>
      <c r="BI1800" s="93">
        <f>G1800*AP1800</f>
        <v>0</v>
      </c>
      <c r="BJ1800" s="93">
        <f>G1800*H1800</f>
        <v>0</v>
      </c>
      <c r="BK1800" s="93"/>
      <c r="BL1800" s="93">
        <v>764</v>
      </c>
      <c r="BW1800" s="93" t="str">
        <f>I1800</f>
        <v>21</v>
      </c>
      <c r="BX1800" s="2" t="s">
        <v>2303</v>
      </c>
    </row>
    <row r="1801" spans="1:76" s="81" customFormat="1" x14ac:dyDescent="0.25">
      <c r="A1801" s="95"/>
      <c r="B1801" s="95"/>
      <c r="C1801" s="95"/>
      <c r="D1801" s="76" t="s">
        <v>54</v>
      </c>
      <c r="E1801" s="76" t="s">
        <v>2263</v>
      </c>
      <c r="F1801" s="95"/>
      <c r="G1801" s="96">
        <v>0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95"/>
      <c r="B1802" s="95"/>
      <c r="C1802" s="95"/>
      <c r="D1802" s="76" t="s">
        <v>2304</v>
      </c>
      <c r="E1802" s="76" t="s">
        <v>2305</v>
      </c>
      <c r="F1802" s="95"/>
      <c r="G1802" s="96">
        <v>3.4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ht="25.5" x14ac:dyDescent="0.25">
      <c r="A1803" s="72" t="s">
        <v>2306</v>
      </c>
      <c r="B1803" s="72" t="s">
        <v>55</v>
      </c>
      <c r="C1803" s="72" t="s">
        <v>2307</v>
      </c>
      <c r="D1803" s="175" t="s">
        <v>2308</v>
      </c>
      <c r="E1803" s="175"/>
      <c r="F1803" s="72" t="s">
        <v>213</v>
      </c>
      <c r="G1803" s="90">
        <v>30.2</v>
      </c>
      <c r="H1803" s="91"/>
      <c r="I1803" s="92" t="s">
        <v>63</v>
      </c>
      <c r="J1803" s="90">
        <f>G1803*AO1803</f>
        <v>0</v>
      </c>
      <c r="K1803" s="90">
        <f>G1803*AP1803</f>
        <v>0</v>
      </c>
      <c r="L1803" s="90">
        <f>G1803*H1803</f>
        <v>0</v>
      </c>
      <c r="M1803" s="90">
        <f>L1803*(1+BW1803/100)</f>
        <v>0</v>
      </c>
      <c r="N1803" s="90">
        <v>4.2100000000000002E-3</v>
      </c>
      <c r="O1803" s="90">
        <f>G1803*N1803</f>
        <v>0.12714200000000001</v>
      </c>
      <c r="P1803" s="92" t="s">
        <v>64</v>
      </c>
      <c r="Z1803" s="93">
        <f>IF(AQ1803="5",BJ1803,0)</f>
        <v>0</v>
      </c>
      <c r="AB1803" s="93">
        <f>IF(AQ1803="1",BH1803,0)</f>
        <v>0</v>
      </c>
      <c r="AC1803" s="93">
        <f>IF(AQ1803="1",BI1803,0)</f>
        <v>0</v>
      </c>
      <c r="AD1803" s="93">
        <f>IF(AQ1803="7",BH1803,0)</f>
        <v>0</v>
      </c>
      <c r="AE1803" s="93">
        <f>IF(AQ1803="7",BI1803,0)</f>
        <v>0</v>
      </c>
      <c r="AF1803" s="93">
        <f>IF(AQ1803="2",BH1803,0)</f>
        <v>0</v>
      </c>
      <c r="AG1803" s="93">
        <f>IF(AQ1803="2",BI1803,0)</f>
        <v>0</v>
      </c>
      <c r="AH1803" s="93">
        <f>IF(AQ1803="0",BJ1803,0)</f>
        <v>0</v>
      </c>
      <c r="AI1803" s="88" t="s">
        <v>55</v>
      </c>
      <c r="AJ1803" s="93">
        <f>IF(AN1803=0,L1803,0)</f>
        <v>0</v>
      </c>
      <c r="AK1803" s="93">
        <f>IF(AN1803=12,L1803,0)</f>
        <v>0</v>
      </c>
      <c r="AL1803" s="93">
        <f>IF(AN1803=21,L1803,0)</f>
        <v>0</v>
      </c>
      <c r="AN1803" s="93">
        <v>21</v>
      </c>
      <c r="AO1803" s="93">
        <f>H1803*0.659608166</f>
        <v>0</v>
      </c>
      <c r="AP1803" s="93">
        <f>H1803*(1-0.659608166)</f>
        <v>0</v>
      </c>
      <c r="AQ1803" s="94" t="s">
        <v>148</v>
      </c>
      <c r="AV1803" s="93">
        <f>AW1803+AX1803</f>
        <v>0</v>
      </c>
      <c r="AW1803" s="93">
        <f>G1803*AO1803</f>
        <v>0</v>
      </c>
      <c r="AX1803" s="93">
        <f>G1803*AP1803</f>
        <v>0</v>
      </c>
      <c r="AY1803" s="94" t="s">
        <v>2262</v>
      </c>
      <c r="AZ1803" s="94" t="s">
        <v>2252</v>
      </c>
      <c r="BA1803" s="88" t="s">
        <v>67</v>
      </c>
      <c r="BC1803" s="93">
        <f>AW1803+AX1803</f>
        <v>0</v>
      </c>
      <c r="BD1803" s="93">
        <f>H1803/(100-BE1803)*100</f>
        <v>0</v>
      </c>
      <c r="BE1803" s="93">
        <v>0</v>
      </c>
      <c r="BF1803" s="93">
        <f>O1803</f>
        <v>0.12714200000000001</v>
      </c>
      <c r="BH1803" s="93">
        <f>G1803*AO1803</f>
        <v>0</v>
      </c>
      <c r="BI1803" s="93">
        <f>G1803*AP1803</f>
        <v>0</v>
      </c>
      <c r="BJ1803" s="93">
        <f>G1803*H1803</f>
        <v>0</v>
      </c>
      <c r="BK1803" s="93"/>
      <c r="BL1803" s="93">
        <v>764</v>
      </c>
      <c r="BW1803" s="93" t="str">
        <f>I1803</f>
        <v>21</v>
      </c>
      <c r="BX1803" s="2" t="s">
        <v>2308</v>
      </c>
    </row>
    <row r="1804" spans="1:76" s="81" customFormat="1" x14ac:dyDescent="0.25">
      <c r="A1804" s="95"/>
      <c r="B1804" s="95"/>
      <c r="C1804" s="95"/>
      <c r="D1804" s="76" t="s">
        <v>54</v>
      </c>
      <c r="E1804" s="76" t="s">
        <v>2309</v>
      </c>
      <c r="F1804" s="95"/>
      <c r="G1804" s="96">
        <v>0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95"/>
      <c r="B1805" s="95"/>
      <c r="C1805" s="95"/>
      <c r="D1805" s="76" t="s">
        <v>2310</v>
      </c>
      <c r="E1805" s="76" t="s">
        <v>2311</v>
      </c>
      <c r="F1805" s="95"/>
      <c r="G1805" s="96">
        <v>30.2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ht="25.5" x14ac:dyDescent="0.25">
      <c r="A1806" s="72" t="s">
        <v>2312</v>
      </c>
      <c r="B1806" s="72" t="s">
        <v>55</v>
      </c>
      <c r="C1806" s="72" t="s">
        <v>2313</v>
      </c>
      <c r="D1806" s="175" t="s">
        <v>2314</v>
      </c>
      <c r="E1806" s="175"/>
      <c r="F1806" s="72" t="s">
        <v>213</v>
      </c>
      <c r="G1806" s="90">
        <v>212.1</v>
      </c>
      <c r="H1806" s="91"/>
      <c r="I1806" s="92" t="s">
        <v>63</v>
      </c>
      <c r="J1806" s="90">
        <f>G1806*AO1806</f>
        <v>0</v>
      </c>
      <c r="K1806" s="90">
        <f>G1806*AP1806</f>
        <v>0</v>
      </c>
      <c r="L1806" s="90">
        <f>G1806*H1806</f>
        <v>0</v>
      </c>
      <c r="M1806" s="90">
        <f>L1806*(1+BW1806/100)</f>
        <v>0</v>
      </c>
      <c r="N1806" s="90">
        <v>6.3899999999999998E-3</v>
      </c>
      <c r="O1806" s="90">
        <f>G1806*N1806</f>
        <v>1.3553189999999999</v>
      </c>
      <c r="P1806" s="92" t="s">
        <v>371</v>
      </c>
      <c r="Z1806" s="93">
        <f>IF(AQ1806="5",BJ1806,0)</f>
        <v>0</v>
      </c>
      <c r="AB1806" s="93">
        <f>IF(AQ1806="1",BH1806,0)</f>
        <v>0</v>
      </c>
      <c r="AC1806" s="93">
        <f>IF(AQ1806="1",BI1806,0)</f>
        <v>0</v>
      </c>
      <c r="AD1806" s="93">
        <f>IF(AQ1806="7",BH1806,0)</f>
        <v>0</v>
      </c>
      <c r="AE1806" s="93">
        <f>IF(AQ1806="7",BI1806,0)</f>
        <v>0</v>
      </c>
      <c r="AF1806" s="93">
        <f>IF(AQ1806="2",BH1806,0)</f>
        <v>0</v>
      </c>
      <c r="AG1806" s="93">
        <f>IF(AQ1806="2",BI1806,0)</f>
        <v>0</v>
      </c>
      <c r="AH1806" s="93">
        <f>IF(AQ1806="0",BJ1806,0)</f>
        <v>0</v>
      </c>
      <c r="AI1806" s="88" t="s">
        <v>55</v>
      </c>
      <c r="AJ1806" s="93">
        <f>IF(AN1806=0,L1806,0)</f>
        <v>0</v>
      </c>
      <c r="AK1806" s="93">
        <f>IF(AN1806=12,L1806,0)</f>
        <v>0</v>
      </c>
      <c r="AL1806" s="93">
        <f>IF(AN1806=21,L1806,0)</f>
        <v>0</v>
      </c>
      <c r="AN1806" s="93">
        <v>21</v>
      </c>
      <c r="AO1806" s="93">
        <f>H1806*0.642734899</f>
        <v>0</v>
      </c>
      <c r="AP1806" s="93">
        <f>H1806*(1-0.642734899)</f>
        <v>0</v>
      </c>
      <c r="AQ1806" s="94" t="s">
        <v>148</v>
      </c>
      <c r="AV1806" s="93">
        <f>AW1806+AX1806</f>
        <v>0</v>
      </c>
      <c r="AW1806" s="93">
        <f>G1806*AO1806</f>
        <v>0</v>
      </c>
      <c r="AX1806" s="93">
        <f>G1806*AP1806</f>
        <v>0</v>
      </c>
      <c r="AY1806" s="94" t="s">
        <v>2262</v>
      </c>
      <c r="AZ1806" s="94" t="s">
        <v>2252</v>
      </c>
      <c r="BA1806" s="88" t="s">
        <v>67</v>
      </c>
      <c r="BC1806" s="93">
        <f>AW1806+AX1806</f>
        <v>0</v>
      </c>
      <c r="BD1806" s="93">
        <f>H1806/(100-BE1806)*100</f>
        <v>0</v>
      </c>
      <c r="BE1806" s="93">
        <v>0</v>
      </c>
      <c r="BF1806" s="93">
        <f>O1806</f>
        <v>1.3553189999999999</v>
      </c>
      <c r="BH1806" s="93">
        <f>G1806*AO1806</f>
        <v>0</v>
      </c>
      <c r="BI1806" s="93">
        <f>G1806*AP1806</f>
        <v>0</v>
      </c>
      <c r="BJ1806" s="93">
        <f>G1806*H1806</f>
        <v>0</v>
      </c>
      <c r="BK1806" s="93"/>
      <c r="BL1806" s="93">
        <v>764</v>
      </c>
      <c r="BW1806" s="93" t="str">
        <f>I1806</f>
        <v>21</v>
      </c>
      <c r="BX1806" s="2" t="s">
        <v>2314</v>
      </c>
    </row>
    <row r="1807" spans="1:76" s="81" customFormat="1" x14ac:dyDescent="0.25">
      <c r="A1807" s="95"/>
      <c r="B1807" s="95"/>
      <c r="C1807" s="95"/>
      <c r="D1807" s="76" t="s">
        <v>54</v>
      </c>
      <c r="E1807" s="76" t="s">
        <v>2309</v>
      </c>
      <c r="F1807" s="95"/>
      <c r="G1807" s="96">
        <v>0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95"/>
      <c r="B1808" s="95"/>
      <c r="C1808" s="95"/>
      <c r="D1808" s="76" t="s">
        <v>2315</v>
      </c>
      <c r="E1808" s="76" t="s">
        <v>2316</v>
      </c>
      <c r="F1808" s="95"/>
      <c r="G1808" s="96">
        <v>212.1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ht="25.5" x14ac:dyDescent="0.25">
      <c r="A1809" s="72" t="s">
        <v>2317</v>
      </c>
      <c r="B1809" s="72" t="s">
        <v>55</v>
      </c>
      <c r="C1809" s="72" t="s">
        <v>2318</v>
      </c>
      <c r="D1809" s="175" t="s">
        <v>2319</v>
      </c>
      <c r="E1809" s="175"/>
      <c r="F1809" s="72" t="s">
        <v>213</v>
      </c>
      <c r="G1809" s="90">
        <v>11.5</v>
      </c>
      <c r="H1809" s="91"/>
      <c r="I1809" s="92" t="s">
        <v>63</v>
      </c>
      <c r="J1809" s="90">
        <f>G1809*AO1809</f>
        <v>0</v>
      </c>
      <c r="K1809" s="90">
        <f>G1809*AP1809</f>
        <v>0</v>
      </c>
      <c r="L1809" s="90">
        <f>G1809*H1809</f>
        <v>0</v>
      </c>
      <c r="M1809" s="90">
        <f>L1809*(1+BW1809/100)</f>
        <v>0</v>
      </c>
      <c r="N1809" s="90">
        <v>6.3899999999999998E-3</v>
      </c>
      <c r="O1809" s="90">
        <f>G1809*N1809</f>
        <v>7.3484999999999995E-2</v>
      </c>
      <c r="P1809" s="92" t="s">
        <v>371</v>
      </c>
      <c r="Z1809" s="93">
        <f>IF(AQ1809="5",BJ1809,0)</f>
        <v>0</v>
      </c>
      <c r="AB1809" s="93">
        <f>IF(AQ1809="1",BH1809,0)</f>
        <v>0</v>
      </c>
      <c r="AC1809" s="93">
        <f>IF(AQ1809="1",BI1809,0)</f>
        <v>0</v>
      </c>
      <c r="AD1809" s="93">
        <f>IF(AQ1809="7",BH1809,0)</f>
        <v>0</v>
      </c>
      <c r="AE1809" s="93">
        <f>IF(AQ1809="7",BI1809,0)</f>
        <v>0</v>
      </c>
      <c r="AF1809" s="93">
        <f>IF(AQ1809="2",BH1809,0)</f>
        <v>0</v>
      </c>
      <c r="AG1809" s="93">
        <f>IF(AQ1809="2",BI1809,0)</f>
        <v>0</v>
      </c>
      <c r="AH1809" s="93">
        <f>IF(AQ1809="0",BJ1809,0)</f>
        <v>0</v>
      </c>
      <c r="AI1809" s="88" t="s">
        <v>55</v>
      </c>
      <c r="AJ1809" s="93">
        <f>IF(AN1809=0,L1809,0)</f>
        <v>0</v>
      </c>
      <c r="AK1809" s="93">
        <f>IF(AN1809=12,L1809,0)</f>
        <v>0</v>
      </c>
      <c r="AL1809" s="93">
        <f>IF(AN1809=21,L1809,0)</f>
        <v>0</v>
      </c>
      <c r="AN1809" s="93">
        <v>21</v>
      </c>
      <c r="AO1809" s="93">
        <f>H1809*0.642734437</f>
        <v>0</v>
      </c>
      <c r="AP1809" s="93">
        <f>H1809*(1-0.642734437)</f>
        <v>0</v>
      </c>
      <c r="AQ1809" s="94" t="s">
        <v>148</v>
      </c>
      <c r="AV1809" s="93">
        <f>AW1809+AX1809</f>
        <v>0</v>
      </c>
      <c r="AW1809" s="93">
        <f>G1809*AO1809</f>
        <v>0</v>
      </c>
      <c r="AX1809" s="93">
        <f>G1809*AP1809</f>
        <v>0</v>
      </c>
      <c r="AY1809" s="94" t="s">
        <v>2262</v>
      </c>
      <c r="AZ1809" s="94" t="s">
        <v>2252</v>
      </c>
      <c r="BA1809" s="88" t="s">
        <v>67</v>
      </c>
      <c r="BC1809" s="93">
        <f>AW1809+AX1809</f>
        <v>0</v>
      </c>
      <c r="BD1809" s="93">
        <f>H1809/(100-BE1809)*100</f>
        <v>0</v>
      </c>
      <c r="BE1809" s="93">
        <v>0</v>
      </c>
      <c r="BF1809" s="93">
        <f>O1809</f>
        <v>7.3484999999999995E-2</v>
      </c>
      <c r="BH1809" s="93">
        <f>G1809*AO1809</f>
        <v>0</v>
      </c>
      <c r="BI1809" s="93">
        <f>G1809*AP1809</f>
        <v>0</v>
      </c>
      <c r="BJ1809" s="93">
        <f>G1809*H1809</f>
        <v>0</v>
      </c>
      <c r="BK1809" s="93"/>
      <c r="BL1809" s="93">
        <v>764</v>
      </c>
      <c r="BW1809" s="93" t="str">
        <f>I1809</f>
        <v>21</v>
      </c>
      <c r="BX1809" s="2" t="s">
        <v>2319</v>
      </c>
    </row>
    <row r="1810" spans="1:76" s="81" customFormat="1" x14ac:dyDescent="0.25">
      <c r="A1810" s="95"/>
      <c r="B1810" s="95"/>
      <c r="C1810" s="95"/>
      <c r="D1810" s="76" t="s">
        <v>54</v>
      </c>
      <c r="E1810" s="76" t="s">
        <v>2309</v>
      </c>
      <c r="F1810" s="95"/>
      <c r="G1810" s="96">
        <v>0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95"/>
      <c r="B1811" s="95"/>
      <c r="C1811" s="95"/>
      <c r="D1811" s="76" t="s">
        <v>2320</v>
      </c>
      <c r="E1811" s="76" t="s">
        <v>2321</v>
      </c>
      <c r="F1811" s="95"/>
      <c r="G1811" s="96">
        <v>11.5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ht="25.5" x14ac:dyDescent="0.25">
      <c r="A1812" s="72" t="s">
        <v>2322</v>
      </c>
      <c r="B1812" s="72" t="s">
        <v>55</v>
      </c>
      <c r="C1812" s="72" t="s">
        <v>2255</v>
      </c>
      <c r="D1812" s="175" t="s">
        <v>2256</v>
      </c>
      <c r="E1812" s="175"/>
      <c r="F1812" s="72" t="s">
        <v>1449</v>
      </c>
      <c r="G1812" s="91"/>
      <c r="H1812" s="91"/>
      <c r="I1812" s="92" t="s">
        <v>63</v>
      </c>
      <c r="J1812" s="90">
        <f>G1812*AO1812</f>
        <v>0</v>
      </c>
      <c r="K1812" s="90">
        <f>G1812*AP1812</f>
        <v>0</v>
      </c>
      <c r="L1812" s="90">
        <f>G1812*H1812</f>
        <v>0</v>
      </c>
      <c r="M1812" s="90">
        <f>L1812*(1+BW1812/100)</f>
        <v>0</v>
      </c>
      <c r="N1812" s="90">
        <v>0</v>
      </c>
      <c r="O1812" s="90">
        <f>G1812*N1812</f>
        <v>0</v>
      </c>
      <c r="P1812" s="92" t="s">
        <v>64</v>
      </c>
      <c r="Z1812" s="93">
        <f>IF(AQ1812="5",BJ1812,0)</f>
        <v>0</v>
      </c>
      <c r="AB1812" s="93">
        <f>IF(AQ1812="1",BH1812,0)</f>
        <v>0</v>
      </c>
      <c r="AC1812" s="93">
        <f>IF(AQ1812="1",BI1812,0)</f>
        <v>0</v>
      </c>
      <c r="AD1812" s="93">
        <f>IF(AQ1812="7",BH1812,0)</f>
        <v>0</v>
      </c>
      <c r="AE1812" s="93">
        <f>IF(AQ1812="7",BI1812,0)</f>
        <v>0</v>
      </c>
      <c r="AF1812" s="93">
        <f>IF(AQ1812="2",BH1812,0)</f>
        <v>0</v>
      </c>
      <c r="AG1812" s="93">
        <f>IF(AQ1812="2",BI1812,0)</f>
        <v>0</v>
      </c>
      <c r="AH1812" s="93">
        <f>IF(AQ1812="0",BJ1812,0)</f>
        <v>0</v>
      </c>
      <c r="AI1812" s="88" t="s">
        <v>55</v>
      </c>
      <c r="AJ1812" s="93">
        <f>IF(AN1812=0,L1812,0)</f>
        <v>0</v>
      </c>
      <c r="AK1812" s="93">
        <f>IF(AN1812=12,L1812,0)</f>
        <v>0</v>
      </c>
      <c r="AL1812" s="93">
        <f>IF(AN1812=21,L1812,0)</f>
        <v>0</v>
      </c>
      <c r="AN1812" s="93">
        <v>21</v>
      </c>
      <c r="AO1812" s="93">
        <f>H1812*0</f>
        <v>0</v>
      </c>
      <c r="AP1812" s="93">
        <f>H1812*(1-0)</f>
        <v>0</v>
      </c>
      <c r="AQ1812" s="94" t="s">
        <v>136</v>
      </c>
      <c r="AV1812" s="93">
        <f>AW1812+AX1812</f>
        <v>0</v>
      </c>
      <c r="AW1812" s="93">
        <f>G1812*AO1812</f>
        <v>0</v>
      </c>
      <c r="AX1812" s="93">
        <f>G1812*AP1812</f>
        <v>0</v>
      </c>
      <c r="AY1812" s="94" t="s">
        <v>2262</v>
      </c>
      <c r="AZ1812" s="94" t="s">
        <v>2252</v>
      </c>
      <c r="BA1812" s="88" t="s">
        <v>67</v>
      </c>
      <c r="BC1812" s="93">
        <f>AW1812+AX1812</f>
        <v>0</v>
      </c>
      <c r="BD1812" s="93">
        <f>H1812/(100-BE1812)*100</f>
        <v>0</v>
      </c>
      <c r="BE1812" s="93">
        <v>0</v>
      </c>
      <c r="BF1812" s="93">
        <f>O1812</f>
        <v>0</v>
      </c>
      <c r="BH1812" s="93">
        <f>G1812*AO1812</f>
        <v>0</v>
      </c>
      <c r="BI1812" s="93">
        <f>G1812*AP1812</f>
        <v>0</v>
      </c>
      <c r="BJ1812" s="93">
        <f>G1812*H1812</f>
        <v>0</v>
      </c>
      <c r="BK1812" s="93"/>
      <c r="BL1812" s="93">
        <v>764</v>
      </c>
      <c r="BW1812" s="93" t="str">
        <f>I1812</f>
        <v>21</v>
      </c>
      <c r="BX1812" s="2" t="s">
        <v>2256</v>
      </c>
    </row>
    <row r="1813" spans="1:76" s="81" customFormat="1" x14ac:dyDescent="0.25">
      <c r="A1813" s="85" t="s">
        <v>54</v>
      </c>
      <c r="B1813" s="74" t="s">
        <v>55</v>
      </c>
      <c r="C1813" s="74" t="s">
        <v>2323</v>
      </c>
      <c r="D1813" s="176" t="s">
        <v>2324</v>
      </c>
      <c r="E1813" s="176"/>
      <c r="F1813" s="85" t="s">
        <v>4</v>
      </c>
      <c r="G1813" s="85" t="s">
        <v>4</v>
      </c>
      <c r="H1813" s="98"/>
      <c r="I1813" s="85" t="s">
        <v>4</v>
      </c>
      <c r="J1813" s="86">
        <f>SUM(J1814:J1888)</f>
        <v>0</v>
      </c>
      <c r="K1813" s="86">
        <f>SUM(K1814:K1888)</f>
        <v>0</v>
      </c>
      <c r="L1813" s="86">
        <f>SUM(L1814:L1888)</f>
        <v>0</v>
      </c>
      <c r="M1813" s="86">
        <f>SUM(M1814:M1888)</f>
        <v>0</v>
      </c>
      <c r="N1813" s="87" t="s">
        <v>54</v>
      </c>
      <c r="O1813" s="86">
        <f>SUM(O1814:O1888)</f>
        <v>1.3749999999999998</v>
      </c>
      <c r="P1813" s="87" t="s">
        <v>54</v>
      </c>
      <c r="AI1813" s="88" t="s">
        <v>55</v>
      </c>
      <c r="AS1813" s="89">
        <f>SUM(AJ1814:AJ1888)</f>
        <v>0</v>
      </c>
      <c r="AT1813" s="89">
        <f>SUM(AK1814:AK1888)</f>
        <v>0</v>
      </c>
      <c r="AU1813" s="89">
        <f>SUM(AL1814:AL1888)</f>
        <v>0</v>
      </c>
    </row>
    <row r="1814" spans="1:76" s="81" customFormat="1" ht="25.5" x14ac:dyDescent="0.25">
      <c r="A1814" s="72" t="s">
        <v>2325</v>
      </c>
      <c r="B1814" s="72" t="s">
        <v>55</v>
      </c>
      <c r="C1814" s="72" t="s">
        <v>2326</v>
      </c>
      <c r="D1814" s="175" t="s">
        <v>2327</v>
      </c>
      <c r="E1814" s="175"/>
      <c r="F1814" s="72" t="s">
        <v>203</v>
      </c>
      <c r="G1814" s="90">
        <v>1</v>
      </c>
      <c r="H1814" s="91"/>
      <c r="I1814" s="92" t="s">
        <v>63</v>
      </c>
      <c r="J1814" s="90">
        <f t="shared" ref="J1814:J1859" si="332">G1814*AO1814</f>
        <v>0</v>
      </c>
      <c r="K1814" s="90">
        <f t="shared" ref="K1814:K1859" si="333">G1814*AP1814</f>
        <v>0</v>
      </c>
      <c r="L1814" s="90">
        <f t="shared" ref="L1814:L1859" si="334">G1814*H1814</f>
        <v>0</v>
      </c>
      <c r="M1814" s="90">
        <f t="shared" ref="M1814:M1859" si="335">L1814*(1+BW1814/100)</f>
        <v>0</v>
      </c>
      <c r="N1814" s="90">
        <v>0</v>
      </c>
      <c r="O1814" s="90">
        <f t="shared" ref="O1814:O1859" si="336">G1814*N1814</f>
        <v>0</v>
      </c>
      <c r="P1814" s="92" t="s">
        <v>578</v>
      </c>
      <c r="Z1814" s="93">
        <f t="shared" ref="Z1814:Z1859" si="337">IF(AQ1814="5",BJ1814,0)</f>
        <v>0</v>
      </c>
      <c r="AB1814" s="93">
        <f t="shared" ref="AB1814:AB1859" si="338">IF(AQ1814="1",BH1814,0)</f>
        <v>0</v>
      </c>
      <c r="AC1814" s="93">
        <f t="shared" ref="AC1814:AC1859" si="339">IF(AQ1814="1",BI1814,0)</f>
        <v>0</v>
      </c>
      <c r="AD1814" s="93">
        <f t="shared" ref="AD1814:AD1859" si="340">IF(AQ1814="7",BH1814,0)</f>
        <v>0</v>
      </c>
      <c r="AE1814" s="93">
        <f t="shared" ref="AE1814:AE1859" si="341">IF(AQ1814="7",BI1814,0)</f>
        <v>0</v>
      </c>
      <c r="AF1814" s="93">
        <f t="shared" ref="AF1814:AF1859" si="342">IF(AQ1814="2",BH1814,0)</f>
        <v>0</v>
      </c>
      <c r="AG1814" s="93">
        <f t="shared" ref="AG1814:AG1859" si="343">IF(AQ1814="2",BI1814,0)</f>
        <v>0</v>
      </c>
      <c r="AH1814" s="93">
        <f t="shared" ref="AH1814:AH1859" si="344">IF(AQ1814="0",BJ1814,0)</f>
        <v>0</v>
      </c>
      <c r="AI1814" s="88" t="s">
        <v>55</v>
      </c>
      <c r="AJ1814" s="93">
        <f t="shared" ref="AJ1814:AJ1859" si="345">IF(AN1814=0,L1814,0)</f>
        <v>0</v>
      </c>
      <c r="AK1814" s="93">
        <f t="shared" ref="AK1814:AK1859" si="346">IF(AN1814=12,L1814,0)</f>
        <v>0</v>
      </c>
      <c r="AL1814" s="93">
        <f t="shared" ref="AL1814:AL1859" si="347">IF(AN1814=21,L1814,0)</f>
        <v>0</v>
      </c>
      <c r="AN1814" s="93">
        <v>21</v>
      </c>
      <c r="AO1814" s="93">
        <f>H1814*0.851470848</f>
        <v>0</v>
      </c>
      <c r="AP1814" s="93">
        <f>H1814*(1-0.851470848)</f>
        <v>0</v>
      </c>
      <c r="AQ1814" s="94" t="s">
        <v>148</v>
      </c>
      <c r="AV1814" s="93">
        <f t="shared" ref="AV1814:AV1859" si="348">AW1814+AX1814</f>
        <v>0</v>
      </c>
      <c r="AW1814" s="93">
        <f t="shared" ref="AW1814:AW1859" si="349">G1814*AO1814</f>
        <v>0</v>
      </c>
      <c r="AX1814" s="93">
        <f t="shared" ref="AX1814:AX1859" si="350">G1814*AP1814</f>
        <v>0</v>
      </c>
      <c r="AY1814" s="94" t="s">
        <v>2328</v>
      </c>
      <c r="AZ1814" s="94" t="s">
        <v>2252</v>
      </c>
      <c r="BA1814" s="88" t="s">
        <v>67</v>
      </c>
      <c r="BC1814" s="93">
        <f t="shared" ref="BC1814:BC1859" si="351">AW1814+AX1814</f>
        <v>0</v>
      </c>
      <c r="BD1814" s="93">
        <f t="shared" ref="BD1814:BD1859" si="352">H1814/(100-BE1814)*100</f>
        <v>0</v>
      </c>
      <c r="BE1814" s="93">
        <v>0</v>
      </c>
      <c r="BF1814" s="93">
        <f t="shared" ref="BF1814:BF1859" si="353">O1814</f>
        <v>0</v>
      </c>
      <c r="BH1814" s="93">
        <f t="shared" ref="BH1814:BH1859" si="354">G1814*AO1814</f>
        <v>0</v>
      </c>
      <c r="BI1814" s="93">
        <f t="shared" ref="BI1814:BI1859" si="355">G1814*AP1814</f>
        <v>0</v>
      </c>
      <c r="BJ1814" s="93">
        <f t="shared" ref="BJ1814:BJ1859" si="356">G1814*H1814</f>
        <v>0</v>
      </c>
      <c r="BK1814" s="93"/>
      <c r="BL1814" s="93">
        <v>766</v>
      </c>
      <c r="BW1814" s="93" t="str">
        <f t="shared" ref="BW1814:BW1859" si="357">I1814</f>
        <v>21</v>
      </c>
      <c r="BX1814" s="2" t="s">
        <v>2327</v>
      </c>
    </row>
    <row r="1815" spans="1:76" s="81" customFormat="1" ht="25.5" x14ac:dyDescent="0.25">
      <c r="A1815" s="72" t="s">
        <v>2329</v>
      </c>
      <c r="B1815" s="72" t="s">
        <v>55</v>
      </c>
      <c r="C1815" s="72" t="s">
        <v>2330</v>
      </c>
      <c r="D1815" s="175" t="s">
        <v>2331</v>
      </c>
      <c r="E1815" s="175"/>
      <c r="F1815" s="72" t="s">
        <v>203</v>
      </c>
      <c r="G1815" s="90">
        <v>2</v>
      </c>
      <c r="H1815" s="91"/>
      <c r="I1815" s="92" t="s">
        <v>63</v>
      </c>
      <c r="J1815" s="90">
        <f t="shared" si="332"/>
        <v>0</v>
      </c>
      <c r="K1815" s="90">
        <f t="shared" si="333"/>
        <v>0</v>
      </c>
      <c r="L1815" s="90">
        <f t="shared" si="334"/>
        <v>0</v>
      </c>
      <c r="M1815" s="90">
        <f t="shared" si="335"/>
        <v>0</v>
      </c>
      <c r="N1815" s="90">
        <v>0</v>
      </c>
      <c r="O1815" s="90">
        <f t="shared" si="336"/>
        <v>0</v>
      </c>
      <c r="P1815" s="92" t="s">
        <v>578</v>
      </c>
      <c r="Z1815" s="93">
        <f t="shared" si="337"/>
        <v>0</v>
      </c>
      <c r="AB1815" s="93">
        <f t="shared" si="338"/>
        <v>0</v>
      </c>
      <c r="AC1815" s="93">
        <f t="shared" si="339"/>
        <v>0</v>
      </c>
      <c r="AD1815" s="93">
        <f t="shared" si="340"/>
        <v>0</v>
      </c>
      <c r="AE1815" s="93">
        <f t="shared" si="341"/>
        <v>0</v>
      </c>
      <c r="AF1815" s="93">
        <f t="shared" si="342"/>
        <v>0</v>
      </c>
      <c r="AG1815" s="93">
        <f t="shared" si="343"/>
        <v>0</v>
      </c>
      <c r="AH1815" s="93">
        <f t="shared" si="344"/>
        <v>0</v>
      </c>
      <c r="AI1815" s="88" t="s">
        <v>55</v>
      </c>
      <c r="AJ1815" s="93">
        <f t="shared" si="345"/>
        <v>0</v>
      </c>
      <c r="AK1815" s="93">
        <f t="shared" si="346"/>
        <v>0</v>
      </c>
      <c r="AL1815" s="93">
        <f t="shared" si="347"/>
        <v>0</v>
      </c>
      <c r="AN1815" s="93">
        <v>21</v>
      </c>
      <c r="AO1815" s="93">
        <f>H1815*0.851471305</f>
        <v>0</v>
      </c>
      <c r="AP1815" s="93">
        <f>H1815*(1-0.851471305)</f>
        <v>0</v>
      </c>
      <c r="AQ1815" s="94" t="s">
        <v>148</v>
      </c>
      <c r="AV1815" s="93">
        <f t="shared" si="348"/>
        <v>0</v>
      </c>
      <c r="AW1815" s="93">
        <f t="shared" si="349"/>
        <v>0</v>
      </c>
      <c r="AX1815" s="93">
        <f t="shared" si="350"/>
        <v>0</v>
      </c>
      <c r="AY1815" s="94" t="s">
        <v>2328</v>
      </c>
      <c r="AZ1815" s="94" t="s">
        <v>2252</v>
      </c>
      <c r="BA1815" s="88" t="s">
        <v>67</v>
      </c>
      <c r="BC1815" s="93">
        <f t="shared" si="351"/>
        <v>0</v>
      </c>
      <c r="BD1815" s="93">
        <f t="shared" si="352"/>
        <v>0</v>
      </c>
      <c r="BE1815" s="93">
        <v>0</v>
      </c>
      <c r="BF1815" s="93">
        <f t="shared" si="353"/>
        <v>0</v>
      </c>
      <c r="BH1815" s="93">
        <f t="shared" si="354"/>
        <v>0</v>
      </c>
      <c r="BI1815" s="93">
        <f t="shared" si="355"/>
        <v>0</v>
      </c>
      <c r="BJ1815" s="93">
        <f t="shared" si="356"/>
        <v>0</v>
      </c>
      <c r="BK1815" s="93"/>
      <c r="BL1815" s="93">
        <v>766</v>
      </c>
      <c r="BW1815" s="93" t="str">
        <f t="shared" si="357"/>
        <v>21</v>
      </c>
      <c r="BX1815" s="2" t="s">
        <v>2331</v>
      </c>
    </row>
    <row r="1816" spans="1:76" s="81" customFormat="1" ht="25.5" x14ac:dyDescent="0.25">
      <c r="A1816" s="72" t="s">
        <v>2332</v>
      </c>
      <c r="B1816" s="72" t="s">
        <v>55</v>
      </c>
      <c r="C1816" s="72" t="s">
        <v>2333</v>
      </c>
      <c r="D1816" s="175" t="s">
        <v>2334</v>
      </c>
      <c r="E1816" s="175"/>
      <c r="F1816" s="72" t="s">
        <v>203</v>
      </c>
      <c r="G1816" s="90">
        <v>1</v>
      </c>
      <c r="H1816" s="91"/>
      <c r="I1816" s="92" t="s">
        <v>63</v>
      </c>
      <c r="J1816" s="90">
        <f t="shared" si="332"/>
        <v>0</v>
      </c>
      <c r="K1816" s="90">
        <f t="shared" si="333"/>
        <v>0</v>
      </c>
      <c r="L1816" s="90">
        <f t="shared" si="334"/>
        <v>0</v>
      </c>
      <c r="M1816" s="90">
        <f t="shared" si="335"/>
        <v>0</v>
      </c>
      <c r="N1816" s="90">
        <v>0</v>
      </c>
      <c r="O1816" s="90">
        <f t="shared" si="336"/>
        <v>0</v>
      </c>
      <c r="P1816" s="92" t="s">
        <v>578</v>
      </c>
      <c r="Z1816" s="93">
        <f t="shared" si="337"/>
        <v>0</v>
      </c>
      <c r="AB1816" s="93">
        <f t="shared" si="338"/>
        <v>0</v>
      </c>
      <c r="AC1816" s="93">
        <f t="shared" si="339"/>
        <v>0</v>
      </c>
      <c r="AD1816" s="93">
        <f t="shared" si="340"/>
        <v>0</v>
      </c>
      <c r="AE1816" s="93">
        <f t="shared" si="341"/>
        <v>0</v>
      </c>
      <c r="AF1816" s="93">
        <f t="shared" si="342"/>
        <v>0</v>
      </c>
      <c r="AG1816" s="93">
        <f t="shared" si="343"/>
        <v>0</v>
      </c>
      <c r="AH1816" s="93">
        <f t="shared" si="344"/>
        <v>0</v>
      </c>
      <c r="AI1816" s="88" t="s">
        <v>55</v>
      </c>
      <c r="AJ1816" s="93">
        <f t="shared" si="345"/>
        <v>0</v>
      </c>
      <c r="AK1816" s="93">
        <f t="shared" si="346"/>
        <v>0</v>
      </c>
      <c r="AL1816" s="93">
        <f t="shared" si="347"/>
        <v>0</v>
      </c>
      <c r="AN1816" s="93">
        <v>21</v>
      </c>
      <c r="AO1816" s="93">
        <f>H1816*0.851471474</f>
        <v>0</v>
      </c>
      <c r="AP1816" s="93">
        <f>H1816*(1-0.851471474)</f>
        <v>0</v>
      </c>
      <c r="AQ1816" s="94" t="s">
        <v>148</v>
      </c>
      <c r="AV1816" s="93">
        <f t="shared" si="348"/>
        <v>0</v>
      </c>
      <c r="AW1816" s="93">
        <f t="shared" si="349"/>
        <v>0</v>
      </c>
      <c r="AX1816" s="93">
        <f t="shared" si="350"/>
        <v>0</v>
      </c>
      <c r="AY1816" s="94" t="s">
        <v>2328</v>
      </c>
      <c r="AZ1816" s="94" t="s">
        <v>2252</v>
      </c>
      <c r="BA1816" s="88" t="s">
        <v>67</v>
      </c>
      <c r="BC1816" s="93">
        <f t="shared" si="351"/>
        <v>0</v>
      </c>
      <c r="BD1816" s="93">
        <f t="shared" si="352"/>
        <v>0</v>
      </c>
      <c r="BE1816" s="93">
        <v>0</v>
      </c>
      <c r="BF1816" s="93">
        <f t="shared" si="353"/>
        <v>0</v>
      </c>
      <c r="BH1816" s="93">
        <f t="shared" si="354"/>
        <v>0</v>
      </c>
      <c r="BI1816" s="93">
        <f t="shared" si="355"/>
        <v>0</v>
      </c>
      <c r="BJ1816" s="93">
        <f t="shared" si="356"/>
        <v>0</v>
      </c>
      <c r="BK1816" s="93"/>
      <c r="BL1816" s="93">
        <v>766</v>
      </c>
      <c r="BW1816" s="93" t="str">
        <f t="shared" si="357"/>
        <v>21</v>
      </c>
      <c r="BX1816" s="2" t="s">
        <v>2334</v>
      </c>
    </row>
    <row r="1817" spans="1:76" s="81" customFormat="1" ht="25.5" x14ac:dyDescent="0.25">
      <c r="A1817" s="72" t="s">
        <v>2335</v>
      </c>
      <c r="B1817" s="72" t="s">
        <v>55</v>
      </c>
      <c r="C1817" s="72" t="s">
        <v>2336</v>
      </c>
      <c r="D1817" s="175" t="s">
        <v>2337</v>
      </c>
      <c r="E1817" s="175"/>
      <c r="F1817" s="72" t="s">
        <v>203</v>
      </c>
      <c r="G1817" s="90">
        <v>1</v>
      </c>
      <c r="H1817" s="91"/>
      <c r="I1817" s="92" t="s">
        <v>63</v>
      </c>
      <c r="J1817" s="90">
        <f t="shared" si="332"/>
        <v>0</v>
      </c>
      <c r="K1817" s="90">
        <f t="shared" si="333"/>
        <v>0</v>
      </c>
      <c r="L1817" s="90">
        <f t="shared" si="334"/>
        <v>0</v>
      </c>
      <c r="M1817" s="90">
        <f t="shared" si="335"/>
        <v>0</v>
      </c>
      <c r="N1817" s="90">
        <v>0</v>
      </c>
      <c r="O1817" s="90">
        <f t="shared" si="336"/>
        <v>0</v>
      </c>
      <c r="P1817" s="92" t="s">
        <v>578</v>
      </c>
      <c r="Z1817" s="93">
        <f t="shared" si="337"/>
        <v>0</v>
      </c>
      <c r="AB1817" s="93">
        <f t="shared" si="338"/>
        <v>0</v>
      </c>
      <c r="AC1817" s="93">
        <f t="shared" si="339"/>
        <v>0</v>
      </c>
      <c r="AD1817" s="93">
        <f t="shared" si="340"/>
        <v>0</v>
      </c>
      <c r="AE1817" s="93">
        <f t="shared" si="341"/>
        <v>0</v>
      </c>
      <c r="AF1817" s="93">
        <f t="shared" si="342"/>
        <v>0</v>
      </c>
      <c r="AG1817" s="93">
        <f t="shared" si="343"/>
        <v>0</v>
      </c>
      <c r="AH1817" s="93">
        <f t="shared" si="344"/>
        <v>0</v>
      </c>
      <c r="AI1817" s="88" t="s">
        <v>55</v>
      </c>
      <c r="AJ1817" s="93">
        <f t="shared" si="345"/>
        <v>0</v>
      </c>
      <c r="AK1817" s="93">
        <f t="shared" si="346"/>
        <v>0</v>
      </c>
      <c r="AL1817" s="93">
        <f t="shared" si="347"/>
        <v>0</v>
      </c>
      <c r="AN1817" s="93">
        <v>21</v>
      </c>
      <c r="AO1817" s="93">
        <f>H1817*0.851471601</f>
        <v>0</v>
      </c>
      <c r="AP1817" s="93">
        <f>H1817*(1-0.851471601)</f>
        <v>0</v>
      </c>
      <c r="AQ1817" s="94" t="s">
        <v>148</v>
      </c>
      <c r="AV1817" s="93">
        <f t="shared" si="348"/>
        <v>0</v>
      </c>
      <c r="AW1817" s="93">
        <f t="shared" si="349"/>
        <v>0</v>
      </c>
      <c r="AX1817" s="93">
        <f t="shared" si="350"/>
        <v>0</v>
      </c>
      <c r="AY1817" s="94" t="s">
        <v>2328</v>
      </c>
      <c r="AZ1817" s="94" t="s">
        <v>2252</v>
      </c>
      <c r="BA1817" s="88" t="s">
        <v>67</v>
      </c>
      <c r="BC1817" s="93">
        <f t="shared" si="351"/>
        <v>0</v>
      </c>
      <c r="BD1817" s="93">
        <f t="shared" si="352"/>
        <v>0</v>
      </c>
      <c r="BE1817" s="93">
        <v>0</v>
      </c>
      <c r="BF1817" s="93">
        <f t="shared" si="353"/>
        <v>0</v>
      </c>
      <c r="BH1817" s="93">
        <f t="shared" si="354"/>
        <v>0</v>
      </c>
      <c r="BI1817" s="93">
        <f t="shared" si="355"/>
        <v>0</v>
      </c>
      <c r="BJ1817" s="93">
        <f t="shared" si="356"/>
        <v>0</v>
      </c>
      <c r="BK1817" s="93"/>
      <c r="BL1817" s="93">
        <v>766</v>
      </c>
      <c r="BW1817" s="93" t="str">
        <f t="shared" si="357"/>
        <v>21</v>
      </c>
      <c r="BX1817" s="2" t="s">
        <v>2337</v>
      </c>
    </row>
    <row r="1818" spans="1:76" s="81" customFormat="1" ht="25.5" x14ac:dyDescent="0.25">
      <c r="A1818" s="72" t="s">
        <v>2338</v>
      </c>
      <c r="B1818" s="72" t="s">
        <v>55</v>
      </c>
      <c r="C1818" s="72" t="s">
        <v>2339</v>
      </c>
      <c r="D1818" s="175" t="s">
        <v>2340</v>
      </c>
      <c r="E1818" s="175"/>
      <c r="F1818" s="72" t="s">
        <v>203</v>
      </c>
      <c r="G1818" s="90">
        <v>1</v>
      </c>
      <c r="H1818" s="91"/>
      <c r="I1818" s="92" t="s">
        <v>63</v>
      </c>
      <c r="J1818" s="90">
        <f t="shared" si="332"/>
        <v>0</v>
      </c>
      <c r="K1818" s="90">
        <f t="shared" si="333"/>
        <v>0</v>
      </c>
      <c r="L1818" s="90">
        <f t="shared" si="334"/>
        <v>0</v>
      </c>
      <c r="M1818" s="90">
        <f t="shared" si="335"/>
        <v>0</v>
      </c>
      <c r="N1818" s="90">
        <v>0</v>
      </c>
      <c r="O1818" s="90">
        <f t="shared" si="336"/>
        <v>0</v>
      </c>
      <c r="P1818" s="92" t="s">
        <v>578</v>
      </c>
      <c r="Z1818" s="93">
        <f t="shared" si="337"/>
        <v>0</v>
      </c>
      <c r="AB1818" s="93">
        <f t="shared" si="338"/>
        <v>0</v>
      </c>
      <c r="AC1818" s="93">
        <f t="shared" si="339"/>
        <v>0</v>
      </c>
      <c r="AD1818" s="93">
        <f t="shared" si="340"/>
        <v>0</v>
      </c>
      <c r="AE1818" s="93">
        <f t="shared" si="341"/>
        <v>0</v>
      </c>
      <c r="AF1818" s="93">
        <f t="shared" si="342"/>
        <v>0</v>
      </c>
      <c r="AG1818" s="93">
        <f t="shared" si="343"/>
        <v>0</v>
      </c>
      <c r="AH1818" s="93">
        <f t="shared" si="344"/>
        <v>0</v>
      </c>
      <c r="AI1818" s="88" t="s">
        <v>55</v>
      </c>
      <c r="AJ1818" s="93">
        <f t="shared" si="345"/>
        <v>0</v>
      </c>
      <c r="AK1818" s="93">
        <f t="shared" si="346"/>
        <v>0</v>
      </c>
      <c r="AL1818" s="93">
        <f t="shared" si="347"/>
        <v>0</v>
      </c>
      <c r="AN1818" s="93">
        <v>21</v>
      </c>
      <c r="AO1818" s="93">
        <f>H1818*0.851473015</f>
        <v>0</v>
      </c>
      <c r="AP1818" s="93">
        <f>H1818*(1-0.851473015)</f>
        <v>0</v>
      </c>
      <c r="AQ1818" s="94" t="s">
        <v>148</v>
      </c>
      <c r="AV1818" s="93">
        <f t="shared" si="348"/>
        <v>0</v>
      </c>
      <c r="AW1818" s="93">
        <f t="shared" si="349"/>
        <v>0</v>
      </c>
      <c r="AX1818" s="93">
        <f t="shared" si="350"/>
        <v>0</v>
      </c>
      <c r="AY1818" s="94" t="s">
        <v>2328</v>
      </c>
      <c r="AZ1818" s="94" t="s">
        <v>2252</v>
      </c>
      <c r="BA1818" s="88" t="s">
        <v>67</v>
      </c>
      <c r="BC1818" s="93">
        <f t="shared" si="351"/>
        <v>0</v>
      </c>
      <c r="BD1818" s="93">
        <f t="shared" si="352"/>
        <v>0</v>
      </c>
      <c r="BE1818" s="93">
        <v>0</v>
      </c>
      <c r="BF1818" s="93">
        <f t="shared" si="353"/>
        <v>0</v>
      </c>
      <c r="BH1818" s="93">
        <f t="shared" si="354"/>
        <v>0</v>
      </c>
      <c r="BI1818" s="93">
        <f t="shared" si="355"/>
        <v>0</v>
      </c>
      <c r="BJ1818" s="93">
        <f t="shared" si="356"/>
        <v>0</v>
      </c>
      <c r="BK1818" s="93"/>
      <c r="BL1818" s="93">
        <v>766</v>
      </c>
      <c r="BW1818" s="93" t="str">
        <f t="shared" si="357"/>
        <v>21</v>
      </c>
      <c r="BX1818" s="2" t="s">
        <v>2340</v>
      </c>
    </row>
    <row r="1819" spans="1:76" s="81" customFormat="1" ht="25.5" x14ac:dyDescent="0.25">
      <c r="A1819" s="72" t="s">
        <v>2341</v>
      </c>
      <c r="B1819" s="72" t="s">
        <v>55</v>
      </c>
      <c r="C1819" s="72" t="s">
        <v>2342</v>
      </c>
      <c r="D1819" s="175" t="s">
        <v>2343</v>
      </c>
      <c r="E1819" s="175"/>
      <c r="F1819" s="72" t="s">
        <v>203</v>
      </c>
      <c r="G1819" s="90">
        <v>3</v>
      </c>
      <c r="H1819" s="91"/>
      <c r="I1819" s="92" t="s">
        <v>63</v>
      </c>
      <c r="J1819" s="90">
        <f t="shared" si="332"/>
        <v>0</v>
      </c>
      <c r="K1819" s="90">
        <f t="shared" si="333"/>
        <v>0</v>
      </c>
      <c r="L1819" s="90">
        <f t="shared" si="334"/>
        <v>0</v>
      </c>
      <c r="M1819" s="90">
        <f t="shared" si="335"/>
        <v>0</v>
      </c>
      <c r="N1819" s="90">
        <v>0</v>
      </c>
      <c r="O1819" s="90">
        <f t="shared" si="336"/>
        <v>0</v>
      </c>
      <c r="P1819" s="92" t="s">
        <v>578</v>
      </c>
      <c r="Z1819" s="93">
        <f t="shared" si="337"/>
        <v>0</v>
      </c>
      <c r="AB1819" s="93">
        <f t="shared" si="338"/>
        <v>0</v>
      </c>
      <c r="AC1819" s="93">
        <f t="shared" si="339"/>
        <v>0</v>
      </c>
      <c r="AD1819" s="93">
        <f t="shared" si="340"/>
        <v>0</v>
      </c>
      <c r="AE1819" s="93">
        <f t="shared" si="341"/>
        <v>0</v>
      </c>
      <c r="AF1819" s="93">
        <f t="shared" si="342"/>
        <v>0</v>
      </c>
      <c r="AG1819" s="93">
        <f t="shared" si="343"/>
        <v>0</v>
      </c>
      <c r="AH1819" s="93">
        <f t="shared" si="344"/>
        <v>0</v>
      </c>
      <c r="AI1819" s="88" t="s">
        <v>55</v>
      </c>
      <c r="AJ1819" s="93">
        <f t="shared" si="345"/>
        <v>0</v>
      </c>
      <c r="AK1819" s="93">
        <f t="shared" si="346"/>
        <v>0</v>
      </c>
      <c r="AL1819" s="93">
        <f t="shared" si="347"/>
        <v>0</v>
      </c>
      <c r="AN1819" s="93">
        <v>21</v>
      </c>
      <c r="AO1819" s="93">
        <f>H1819*0.851472911</f>
        <v>0</v>
      </c>
      <c r="AP1819" s="93">
        <f>H1819*(1-0.851472911)</f>
        <v>0</v>
      </c>
      <c r="AQ1819" s="94" t="s">
        <v>148</v>
      </c>
      <c r="AV1819" s="93">
        <f t="shared" si="348"/>
        <v>0</v>
      </c>
      <c r="AW1819" s="93">
        <f t="shared" si="349"/>
        <v>0</v>
      </c>
      <c r="AX1819" s="93">
        <f t="shared" si="350"/>
        <v>0</v>
      </c>
      <c r="AY1819" s="94" t="s">
        <v>2328</v>
      </c>
      <c r="AZ1819" s="94" t="s">
        <v>2252</v>
      </c>
      <c r="BA1819" s="88" t="s">
        <v>67</v>
      </c>
      <c r="BC1819" s="93">
        <f t="shared" si="351"/>
        <v>0</v>
      </c>
      <c r="BD1819" s="93">
        <f t="shared" si="352"/>
        <v>0</v>
      </c>
      <c r="BE1819" s="93">
        <v>0</v>
      </c>
      <c r="BF1819" s="93">
        <f t="shared" si="353"/>
        <v>0</v>
      </c>
      <c r="BH1819" s="93">
        <f t="shared" si="354"/>
        <v>0</v>
      </c>
      <c r="BI1819" s="93">
        <f t="shared" si="355"/>
        <v>0</v>
      </c>
      <c r="BJ1819" s="93">
        <f t="shared" si="356"/>
        <v>0</v>
      </c>
      <c r="BK1819" s="93"/>
      <c r="BL1819" s="93">
        <v>766</v>
      </c>
      <c r="BW1819" s="93" t="str">
        <f t="shared" si="357"/>
        <v>21</v>
      </c>
      <c r="BX1819" s="2" t="s">
        <v>2343</v>
      </c>
    </row>
    <row r="1820" spans="1:76" s="81" customFormat="1" ht="25.5" x14ac:dyDescent="0.25">
      <c r="A1820" s="72" t="s">
        <v>2344</v>
      </c>
      <c r="B1820" s="72" t="s">
        <v>55</v>
      </c>
      <c r="C1820" s="72" t="s">
        <v>2345</v>
      </c>
      <c r="D1820" s="175" t="s">
        <v>2346</v>
      </c>
      <c r="E1820" s="175"/>
      <c r="F1820" s="72" t="s">
        <v>203</v>
      </c>
      <c r="G1820" s="90">
        <v>1</v>
      </c>
      <c r="H1820" s="91"/>
      <c r="I1820" s="92" t="s">
        <v>63</v>
      </c>
      <c r="J1820" s="90">
        <f t="shared" si="332"/>
        <v>0</v>
      </c>
      <c r="K1820" s="90">
        <f t="shared" si="333"/>
        <v>0</v>
      </c>
      <c r="L1820" s="90">
        <f t="shared" si="334"/>
        <v>0</v>
      </c>
      <c r="M1820" s="90">
        <f t="shared" si="335"/>
        <v>0</v>
      </c>
      <c r="N1820" s="90">
        <v>0</v>
      </c>
      <c r="O1820" s="90">
        <f t="shared" si="336"/>
        <v>0</v>
      </c>
      <c r="P1820" s="92" t="s">
        <v>578</v>
      </c>
      <c r="Z1820" s="93">
        <f t="shared" si="337"/>
        <v>0</v>
      </c>
      <c r="AB1820" s="93">
        <f t="shared" si="338"/>
        <v>0</v>
      </c>
      <c r="AC1820" s="93">
        <f t="shared" si="339"/>
        <v>0</v>
      </c>
      <c r="AD1820" s="93">
        <f t="shared" si="340"/>
        <v>0</v>
      </c>
      <c r="AE1820" s="93">
        <f t="shared" si="341"/>
        <v>0</v>
      </c>
      <c r="AF1820" s="93">
        <f t="shared" si="342"/>
        <v>0</v>
      </c>
      <c r="AG1820" s="93">
        <f t="shared" si="343"/>
        <v>0</v>
      </c>
      <c r="AH1820" s="93">
        <f t="shared" si="344"/>
        <v>0</v>
      </c>
      <c r="AI1820" s="88" t="s">
        <v>55</v>
      </c>
      <c r="AJ1820" s="93">
        <f t="shared" si="345"/>
        <v>0</v>
      </c>
      <c r="AK1820" s="93">
        <f t="shared" si="346"/>
        <v>0</v>
      </c>
      <c r="AL1820" s="93">
        <f t="shared" si="347"/>
        <v>0</v>
      </c>
      <c r="AN1820" s="93">
        <v>21</v>
      </c>
      <c r="AO1820" s="93">
        <f>H1820*0.851472443</f>
        <v>0</v>
      </c>
      <c r="AP1820" s="93">
        <f>H1820*(1-0.851472443)</f>
        <v>0</v>
      </c>
      <c r="AQ1820" s="94" t="s">
        <v>148</v>
      </c>
      <c r="AV1820" s="93">
        <f t="shared" si="348"/>
        <v>0</v>
      </c>
      <c r="AW1820" s="93">
        <f t="shared" si="349"/>
        <v>0</v>
      </c>
      <c r="AX1820" s="93">
        <f t="shared" si="350"/>
        <v>0</v>
      </c>
      <c r="AY1820" s="94" t="s">
        <v>2328</v>
      </c>
      <c r="AZ1820" s="94" t="s">
        <v>2252</v>
      </c>
      <c r="BA1820" s="88" t="s">
        <v>67</v>
      </c>
      <c r="BC1820" s="93">
        <f t="shared" si="351"/>
        <v>0</v>
      </c>
      <c r="BD1820" s="93">
        <f t="shared" si="352"/>
        <v>0</v>
      </c>
      <c r="BE1820" s="93">
        <v>0</v>
      </c>
      <c r="BF1820" s="93">
        <f t="shared" si="353"/>
        <v>0</v>
      </c>
      <c r="BH1820" s="93">
        <f t="shared" si="354"/>
        <v>0</v>
      </c>
      <c r="BI1820" s="93">
        <f t="shared" si="355"/>
        <v>0</v>
      </c>
      <c r="BJ1820" s="93">
        <f t="shared" si="356"/>
        <v>0</v>
      </c>
      <c r="BK1820" s="93"/>
      <c r="BL1820" s="93">
        <v>766</v>
      </c>
      <c r="BW1820" s="93" t="str">
        <f t="shared" si="357"/>
        <v>21</v>
      </c>
      <c r="BX1820" s="2" t="s">
        <v>2346</v>
      </c>
    </row>
    <row r="1821" spans="1:76" s="81" customFormat="1" ht="25.5" x14ac:dyDescent="0.25">
      <c r="A1821" s="72" t="s">
        <v>2347</v>
      </c>
      <c r="B1821" s="72" t="s">
        <v>55</v>
      </c>
      <c r="C1821" s="72" t="s">
        <v>2348</v>
      </c>
      <c r="D1821" s="175" t="s">
        <v>2349</v>
      </c>
      <c r="E1821" s="175"/>
      <c r="F1821" s="72" t="s">
        <v>203</v>
      </c>
      <c r="G1821" s="90">
        <v>1</v>
      </c>
      <c r="H1821" s="91"/>
      <c r="I1821" s="92" t="s">
        <v>63</v>
      </c>
      <c r="J1821" s="90">
        <f t="shared" si="332"/>
        <v>0</v>
      </c>
      <c r="K1821" s="90">
        <f t="shared" si="333"/>
        <v>0</v>
      </c>
      <c r="L1821" s="90">
        <f t="shared" si="334"/>
        <v>0</v>
      </c>
      <c r="M1821" s="90">
        <f t="shared" si="335"/>
        <v>0</v>
      </c>
      <c r="N1821" s="90">
        <v>0</v>
      </c>
      <c r="O1821" s="90">
        <f t="shared" si="336"/>
        <v>0</v>
      </c>
      <c r="P1821" s="92" t="s">
        <v>578</v>
      </c>
      <c r="Z1821" s="93">
        <f t="shared" si="337"/>
        <v>0</v>
      </c>
      <c r="AB1821" s="93">
        <f t="shared" si="338"/>
        <v>0</v>
      </c>
      <c r="AC1821" s="93">
        <f t="shared" si="339"/>
        <v>0</v>
      </c>
      <c r="AD1821" s="93">
        <f t="shared" si="340"/>
        <v>0</v>
      </c>
      <c r="AE1821" s="93">
        <f t="shared" si="341"/>
        <v>0</v>
      </c>
      <c r="AF1821" s="93">
        <f t="shared" si="342"/>
        <v>0</v>
      </c>
      <c r="AG1821" s="93">
        <f t="shared" si="343"/>
        <v>0</v>
      </c>
      <c r="AH1821" s="93">
        <f t="shared" si="344"/>
        <v>0</v>
      </c>
      <c r="AI1821" s="88" t="s">
        <v>55</v>
      </c>
      <c r="AJ1821" s="93">
        <f t="shared" si="345"/>
        <v>0</v>
      </c>
      <c r="AK1821" s="93">
        <f t="shared" si="346"/>
        <v>0</v>
      </c>
      <c r="AL1821" s="93">
        <f t="shared" si="347"/>
        <v>0</v>
      </c>
      <c r="AN1821" s="93">
        <v>21</v>
      </c>
      <c r="AO1821" s="93">
        <f>H1821*0.851471917</f>
        <v>0</v>
      </c>
      <c r="AP1821" s="93">
        <f>H1821*(1-0.851471917)</f>
        <v>0</v>
      </c>
      <c r="AQ1821" s="94" t="s">
        <v>148</v>
      </c>
      <c r="AV1821" s="93">
        <f t="shared" si="348"/>
        <v>0</v>
      </c>
      <c r="AW1821" s="93">
        <f t="shared" si="349"/>
        <v>0</v>
      </c>
      <c r="AX1821" s="93">
        <f t="shared" si="350"/>
        <v>0</v>
      </c>
      <c r="AY1821" s="94" t="s">
        <v>2328</v>
      </c>
      <c r="AZ1821" s="94" t="s">
        <v>2252</v>
      </c>
      <c r="BA1821" s="88" t="s">
        <v>67</v>
      </c>
      <c r="BC1821" s="93">
        <f t="shared" si="351"/>
        <v>0</v>
      </c>
      <c r="BD1821" s="93">
        <f t="shared" si="352"/>
        <v>0</v>
      </c>
      <c r="BE1821" s="93">
        <v>0</v>
      </c>
      <c r="BF1821" s="93">
        <f t="shared" si="353"/>
        <v>0</v>
      </c>
      <c r="BH1821" s="93">
        <f t="shared" si="354"/>
        <v>0</v>
      </c>
      <c r="BI1821" s="93">
        <f t="shared" si="355"/>
        <v>0</v>
      </c>
      <c r="BJ1821" s="93">
        <f t="shared" si="356"/>
        <v>0</v>
      </c>
      <c r="BK1821" s="93"/>
      <c r="BL1821" s="93">
        <v>766</v>
      </c>
      <c r="BW1821" s="93" t="str">
        <f t="shared" si="357"/>
        <v>21</v>
      </c>
      <c r="BX1821" s="2" t="s">
        <v>2349</v>
      </c>
    </row>
    <row r="1822" spans="1:76" s="81" customFormat="1" ht="25.5" x14ac:dyDescent="0.25">
      <c r="A1822" s="72" t="s">
        <v>2350</v>
      </c>
      <c r="B1822" s="72" t="s">
        <v>55</v>
      </c>
      <c r="C1822" s="72" t="s">
        <v>2351</v>
      </c>
      <c r="D1822" s="175" t="s">
        <v>2352</v>
      </c>
      <c r="E1822" s="175"/>
      <c r="F1822" s="72" t="s">
        <v>203</v>
      </c>
      <c r="G1822" s="90">
        <v>2</v>
      </c>
      <c r="H1822" s="91"/>
      <c r="I1822" s="92" t="s">
        <v>63</v>
      </c>
      <c r="J1822" s="90">
        <f t="shared" si="332"/>
        <v>0</v>
      </c>
      <c r="K1822" s="90">
        <f t="shared" si="333"/>
        <v>0</v>
      </c>
      <c r="L1822" s="90">
        <f t="shared" si="334"/>
        <v>0</v>
      </c>
      <c r="M1822" s="90">
        <f t="shared" si="335"/>
        <v>0</v>
      </c>
      <c r="N1822" s="90">
        <v>0</v>
      </c>
      <c r="O1822" s="90">
        <f t="shared" si="336"/>
        <v>0</v>
      </c>
      <c r="P1822" s="92" t="s">
        <v>578</v>
      </c>
      <c r="Z1822" s="93">
        <f t="shared" si="337"/>
        <v>0</v>
      </c>
      <c r="AB1822" s="93">
        <f t="shared" si="338"/>
        <v>0</v>
      </c>
      <c r="AC1822" s="93">
        <f t="shared" si="339"/>
        <v>0</v>
      </c>
      <c r="AD1822" s="93">
        <f t="shared" si="340"/>
        <v>0</v>
      </c>
      <c r="AE1822" s="93">
        <f t="shared" si="341"/>
        <v>0</v>
      </c>
      <c r="AF1822" s="93">
        <f t="shared" si="342"/>
        <v>0</v>
      </c>
      <c r="AG1822" s="93">
        <f t="shared" si="343"/>
        <v>0</v>
      </c>
      <c r="AH1822" s="93">
        <f t="shared" si="344"/>
        <v>0</v>
      </c>
      <c r="AI1822" s="88" t="s">
        <v>55</v>
      </c>
      <c r="AJ1822" s="93">
        <f t="shared" si="345"/>
        <v>0</v>
      </c>
      <c r="AK1822" s="93">
        <f t="shared" si="346"/>
        <v>0</v>
      </c>
      <c r="AL1822" s="93">
        <f t="shared" si="347"/>
        <v>0</v>
      </c>
      <c r="AN1822" s="93">
        <v>21</v>
      </c>
      <c r="AO1822" s="93">
        <f>H1822*0.882197417</f>
        <v>0</v>
      </c>
      <c r="AP1822" s="93">
        <f>H1822*(1-0.882197417)</f>
        <v>0</v>
      </c>
      <c r="AQ1822" s="94" t="s">
        <v>148</v>
      </c>
      <c r="AV1822" s="93">
        <f t="shared" si="348"/>
        <v>0</v>
      </c>
      <c r="AW1822" s="93">
        <f t="shared" si="349"/>
        <v>0</v>
      </c>
      <c r="AX1822" s="93">
        <f t="shared" si="350"/>
        <v>0</v>
      </c>
      <c r="AY1822" s="94" t="s">
        <v>2328</v>
      </c>
      <c r="AZ1822" s="94" t="s">
        <v>2252</v>
      </c>
      <c r="BA1822" s="88" t="s">
        <v>67</v>
      </c>
      <c r="BC1822" s="93">
        <f t="shared" si="351"/>
        <v>0</v>
      </c>
      <c r="BD1822" s="93">
        <f t="shared" si="352"/>
        <v>0</v>
      </c>
      <c r="BE1822" s="93">
        <v>0</v>
      </c>
      <c r="BF1822" s="93">
        <f t="shared" si="353"/>
        <v>0</v>
      </c>
      <c r="BH1822" s="93">
        <f t="shared" si="354"/>
        <v>0</v>
      </c>
      <c r="BI1822" s="93">
        <f t="shared" si="355"/>
        <v>0</v>
      </c>
      <c r="BJ1822" s="93">
        <f t="shared" si="356"/>
        <v>0</v>
      </c>
      <c r="BK1822" s="93"/>
      <c r="BL1822" s="93">
        <v>766</v>
      </c>
      <c r="BW1822" s="93" t="str">
        <f t="shared" si="357"/>
        <v>21</v>
      </c>
      <c r="BX1822" s="2" t="s">
        <v>2352</v>
      </c>
    </row>
    <row r="1823" spans="1:76" s="81" customFormat="1" ht="25.5" x14ac:dyDescent="0.25">
      <c r="A1823" s="72" t="s">
        <v>2353</v>
      </c>
      <c r="B1823" s="72" t="s">
        <v>55</v>
      </c>
      <c r="C1823" s="72" t="s">
        <v>2354</v>
      </c>
      <c r="D1823" s="175" t="s">
        <v>2355</v>
      </c>
      <c r="E1823" s="175"/>
      <c r="F1823" s="72" t="s">
        <v>203</v>
      </c>
      <c r="G1823" s="90">
        <v>1</v>
      </c>
      <c r="H1823" s="91"/>
      <c r="I1823" s="92" t="s">
        <v>63</v>
      </c>
      <c r="J1823" s="90">
        <f t="shared" si="332"/>
        <v>0</v>
      </c>
      <c r="K1823" s="90">
        <f t="shared" si="333"/>
        <v>0</v>
      </c>
      <c r="L1823" s="90">
        <f t="shared" si="334"/>
        <v>0</v>
      </c>
      <c r="M1823" s="90">
        <f t="shared" si="335"/>
        <v>0</v>
      </c>
      <c r="N1823" s="90">
        <v>0</v>
      </c>
      <c r="O1823" s="90">
        <f t="shared" si="336"/>
        <v>0</v>
      </c>
      <c r="P1823" s="92" t="s">
        <v>578</v>
      </c>
      <c r="Z1823" s="93">
        <f t="shared" si="337"/>
        <v>0</v>
      </c>
      <c r="AB1823" s="93">
        <f t="shared" si="338"/>
        <v>0</v>
      </c>
      <c r="AC1823" s="93">
        <f t="shared" si="339"/>
        <v>0</v>
      </c>
      <c r="AD1823" s="93">
        <f t="shared" si="340"/>
        <v>0</v>
      </c>
      <c r="AE1823" s="93">
        <f t="shared" si="341"/>
        <v>0</v>
      </c>
      <c r="AF1823" s="93">
        <f t="shared" si="342"/>
        <v>0</v>
      </c>
      <c r="AG1823" s="93">
        <f t="shared" si="343"/>
        <v>0</v>
      </c>
      <c r="AH1823" s="93">
        <f t="shared" si="344"/>
        <v>0</v>
      </c>
      <c r="AI1823" s="88" t="s">
        <v>55</v>
      </c>
      <c r="AJ1823" s="93">
        <f t="shared" si="345"/>
        <v>0</v>
      </c>
      <c r="AK1823" s="93">
        <f t="shared" si="346"/>
        <v>0</v>
      </c>
      <c r="AL1823" s="93">
        <f t="shared" si="347"/>
        <v>0</v>
      </c>
      <c r="AN1823" s="93">
        <v>21</v>
      </c>
      <c r="AO1823" s="93">
        <f>H1823*0.851473176</f>
        <v>0</v>
      </c>
      <c r="AP1823" s="93">
        <f>H1823*(1-0.851473176)</f>
        <v>0</v>
      </c>
      <c r="AQ1823" s="94" t="s">
        <v>148</v>
      </c>
      <c r="AV1823" s="93">
        <f t="shared" si="348"/>
        <v>0</v>
      </c>
      <c r="AW1823" s="93">
        <f t="shared" si="349"/>
        <v>0</v>
      </c>
      <c r="AX1823" s="93">
        <f t="shared" si="350"/>
        <v>0</v>
      </c>
      <c r="AY1823" s="94" t="s">
        <v>2328</v>
      </c>
      <c r="AZ1823" s="94" t="s">
        <v>2252</v>
      </c>
      <c r="BA1823" s="88" t="s">
        <v>67</v>
      </c>
      <c r="BC1823" s="93">
        <f t="shared" si="351"/>
        <v>0</v>
      </c>
      <c r="BD1823" s="93">
        <f t="shared" si="352"/>
        <v>0</v>
      </c>
      <c r="BE1823" s="93">
        <v>0</v>
      </c>
      <c r="BF1823" s="93">
        <f t="shared" si="353"/>
        <v>0</v>
      </c>
      <c r="BH1823" s="93">
        <f t="shared" si="354"/>
        <v>0</v>
      </c>
      <c r="BI1823" s="93">
        <f t="shared" si="355"/>
        <v>0</v>
      </c>
      <c r="BJ1823" s="93">
        <f t="shared" si="356"/>
        <v>0</v>
      </c>
      <c r="BK1823" s="93"/>
      <c r="BL1823" s="93">
        <v>766</v>
      </c>
      <c r="BW1823" s="93" t="str">
        <f t="shared" si="357"/>
        <v>21</v>
      </c>
      <c r="BX1823" s="2" t="s">
        <v>2355</v>
      </c>
    </row>
    <row r="1824" spans="1:76" s="81" customFormat="1" ht="25.5" x14ac:dyDescent="0.25">
      <c r="A1824" s="72" t="s">
        <v>2356</v>
      </c>
      <c r="B1824" s="72" t="s">
        <v>55</v>
      </c>
      <c r="C1824" s="72" t="s">
        <v>2357</v>
      </c>
      <c r="D1824" s="175" t="s">
        <v>2358</v>
      </c>
      <c r="E1824" s="175"/>
      <c r="F1824" s="72" t="s">
        <v>203</v>
      </c>
      <c r="G1824" s="90">
        <v>3</v>
      </c>
      <c r="H1824" s="91"/>
      <c r="I1824" s="92" t="s">
        <v>63</v>
      </c>
      <c r="J1824" s="90">
        <f t="shared" si="332"/>
        <v>0</v>
      </c>
      <c r="K1824" s="90">
        <f t="shared" si="333"/>
        <v>0</v>
      </c>
      <c r="L1824" s="90">
        <f t="shared" si="334"/>
        <v>0</v>
      </c>
      <c r="M1824" s="90">
        <f t="shared" si="335"/>
        <v>0</v>
      </c>
      <c r="N1824" s="90">
        <v>0</v>
      </c>
      <c r="O1824" s="90">
        <f t="shared" si="336"/>
        <v>0</v>
      </c>
      <c r="P1824" s="92" t="s">
        <v>578</v>
      </c>
      <c r="Z1824" s="93">
        <f t="shared" si="337"/>
        <v>0</v>
      </c>
      <c r="AB1824" s="93">
        <f t="shared" si="338"/>
        <v>0</v>
      </c>
      <c r="AC1824" s="93">
        <f t="shared" si="339"/>
        <v>0</v>
      </c>
      <c r="AD1824" s="93">
        <f t="shared" si="340"/>
        <v>0</v>
      </c>
      <c r="AE1824" s="93">
        <f t="shared" si="341"/>
        <v>0</v>
      </c>
      <c r="AF1824" s="93">
        <f t="shared" si="342"/>
        <v>0</v>
      </c>
      <c r="AG1824" s="93">
        <f t="shared" si="343"/>
        <v>0</v>
      </c>
      <c r="AH1824" s="93">
        <f t="shared" si="344"/>
        <v>0</v>
      </c>
      <c r="AI1824" s="88" t="s">
        <v>55</v>
      </c>
      <c r="AJ1824" s="93">
        <f t="shared" si="345"/>
        <v>0</v>
      </c>
      <c r="AK1824" s="93">
        <f t="shared" si="346"/>
        <v>0</v>
      </c>
      <c r="AL1824" s="93">
        <f t="shared" si="347"/>
        <v>0</v>
      </c>
      <c r="AN1824" s="93">
        <v>21</v>
      </c>
      <c r="AO1824" s="93">
        <f>H1824*0.851472231</f>
        <v>0</v>
      </c>
      <c r="AP1824" s="93">
        <f>H1824*(1-0.851472231)</f>
        <v>0</v>
      </c>
      <c r="AQ1824" s="94" t="s">
        <v>148</v>
      </c>
      <c r="AV1824" s="93">
        <f t="shared" si="348"/>
        <v>0</v>
      </c>
      <c r="AW1824" s="93">
        <f t="shared" si="349"/>
        <v>0</v>
      </c>
      <c r="AX1824" s="93">
        <f t="shared" si="350"/>
        <v>0</v>
      </c>
      <c r="AY1824" s="94" t="s">
        <v>2328</v>
      </c>
      <c r="AZ1824" s="94" t="s">
        <v>2252</v>
      </c>
      <c r="BA1824" s="88" t="s">
        <v>67</v>
      </c>
      <c r="BC1824" s="93">
        <f t="shared" si="351"/>
        <v>0</v>
      </c>
      <c r="BD1824" s="93">
        <f t="shared" si="352"/>
        <v>0</v>
      </c>
      <c r="BE1824" s="93">
        <v>0</v>
      </c>
      <c r="BF1824" s="93">
        <f t="shared" si="353"/>
        <v>0</v>
      </c>
      <c r="BH1824" s="93">
        <f t="shared" si="354"/>
        <v>0</v>
      </c>
      <c r="BI1824" s="93">
        <f t="shared" si="355"/>
        <v>0</v>
      </c>
      <c r="BJ1824" s="93">
        <f t="shared" si="356"/>
        <v>0</v>
      </c>
      <c r="BK1824" s="93"/>
      <c r="BL1824" s="93">
        <v>766</v>
      </c>
      <c r="BW1824" s="93" t="str">
        <f t="shared" si="357"/>
        <v>21</v>
      </c>
      <c r="BX1824" s="2" t="s">
        <v>2358</v>
      </c>
    </row>
    <row r="1825" spans="1:76" s="81" customFormat="1" ht="25.5" x14ac:dyDescent="0.25">
      <c r="A1825" s="72" t="s">
        <v>2359</v>
      </c>
      <c r="B1825" s="72" t="s">
        <v>55</v>
      </c>
      <c r="C1825" s="72" t="s">
        <v>2360</v>
      </c>
      <c r="D1825" s="175" t="s">
        <v>2361</v>
      </c>
      <c r="E1825" s="175"/>
      <c r="F1825" s="72" t="s">
        <v>203</v>
      </c>
      <c r="G1825" s="90">
        <v>3</v>
      </c>
      <c r="H1825" s="91"/>
      <c r="I1825" s="92" t="s">
        <v>63</v>
      </c>
      <c r="J1825" s="90">
        <f t="shared" si="332"/>
        <v>0</v>
      </c>
      <c r="K1825" s="90">
        <f t="shared" si="333"/>
        <v>0</v>
      </c>
      <c r="L1825" s="90">
        <f t="shared" si="334"/>
        <v>0</v>
      </c>
      <c r="M1825" s="90">
        <f t="shared" si="335"/>
        <v>0</v>
      </c>
      <c r="N1825" s="90">
        <v>0</v>
      </c>
      <c r="O1825" s="90">
        <f t="shared" si="336"/>
        <v>0</v>
      </c>
      <c r="P1825" s="92" t="s">
        <v>578</v>
      </c>
      <c r="Z1825" s="93">
        <f t="shared" si="337"/>
        <v>0</v>
      </c>
      <c r="AB1825" s="93">
        <f t="shared" si="338"/>
        <v>0</v>
      </c>
      <c r="AC1825" s="93">
        <f t="shared" si="339"/>
        <v>0</v>
      </c>
      <c r="AD1825" s="93">
        <f t="shared" si="340"/>
        <v>0</v>
      </c>
      <c r="AE1825" s="93">
        <f t="shared" si="341"/>
        <v>0</v>
      </c>
      <c r="AF1825" s="93">
        <f t="shared" si="342"/>
        <v>0</v>
      </c>
      <c r="AG1825" s="93">
        <f t="shared" si="343"/>
        <v>0</v>
      </c>
      <c r="AH1825" s="93">
        <f t="shared" si="344"/>
        <v>0</v>
      </c>
      <c r="AI1825" s="88" t="s">
        <v>55</v>
      </c>
      <c r="AJ1825" s="93">
        <f t="shared" si="345"/>
        <v>0</v>
      </c>
      <c r="AK1825" s="93">
        <f t="shared" si="346"/>
        <v>0</v>
      </c>
      <c r="AL1825" s="93">
        <f t="shared" si="347"/>
        <v>0</v>
      </c>
      <c r="AN1825" s="93">
        <v>21</v>
      </c>
      <c r="AO1825" s="93">
        <f>H1825*0.851472231</f>
        <v>0</v>
      </c>
      <c r="AP1825" s="93">
        <f>H1825*(1-0.851472231)</f>
        <v>0</v>
      </c>
      <c r="AQ1825" s="94" t="s">
        <v>148</v>
      </c>
      <c r="AV1825" s="93">
        <f t="shared" si="348"/>
        <v>0</v>
      </c>
      <c r="AW1825" s="93">
        <f t="shared" si="349"/>
        <v>0</v>
      </c>
      <c r="AX1825" s="93">
        <f t="shared" si="350"/>
        <v>0</v>
      </c>
      <c r="AY1825" s="94" t="s">
        <v>2328</v>
      </c>
      <c r="AZ1825" s="94" t="s">
        <v>2252</v>
      </c>
      <c r="BA1825" s="88" t="s">
        <v>67</v>
      </c>
      <c r="BC1825" s="93">
        <f t="shared" si="351"/>
        <v>0</v>
      </c>
      <c r="BD1825" s="93">
        <f t="shared" si="352"/>
        <v>0</v>
      </c>
      <c r="BE1825" s="93">
        <v>0</v>
      </c>
      <c r="BF1825" s="93">
        <f t="shared" si="353"/>
        <v>0</v>
      </c>
      <c r="BH1825" s="93">
        <f t="shared" si="354"/>
        <v>0</v>
      </c>
      <c r="BI1825" s="93">
        <f t="shared" si="355"/>
        <v>0</v>
      </c>
      <c r="BJ1825" s="93">
        <f t="shared" si="356"/>
        <v>0</v>
      </c>
      <c r="BK1825" s="93"/>
      <c r="BL1825" s="93">
        <v>766</v>
      </c>
      <c r="BW1825" s="93" t="str">
        <f t="shared" si="357"/>
        <v>21</v>
      </c>
      <c r="BX1825" s="2" t="s">
        <v>2361</v>
      </c>
    </row>
    <row r="1826" spans="1:76" s="81" customFormat="1" ht="25.5" x14ac:dyDescent="0.25">
      <c r="A1826" s="72" t="s">
        <v>2362</v>
      </c>
      <c r="B1826" s="72" t="s">
        <v>55</v>
      </c>
      <c r="C1826" s="72" t="s">
        <v>2363</v>
      </c>
      <c r="D1826" s="175" t="s">
        <v>2364</v>
      </c>
      <c r="E1826" s="175"/>
      <c r="F1826" s="72" t="s">
        <v>203</v>
      </c>
      <c r="G1826" s="90">
        <v>1</v>
      </c>
      <c r="H1826" s="91"/>
      <c r="I1826" s="92" t="s">
        <v>63</v>
      </c>
      <c r="J1826" s="90">
        <f t="shared" si="332"/>
        <v>0</v>
      </c>
      <c r="K1826" s="90">
        <f t="shared" si="333"/>
        <v>0</v>
      </c>
      <c r="L1826" s="90">
        <f t="shared" si="334"/>
        <v>0</v>
      </c>
      <c r="M1826" s="90">
        <f t="shared" si="335"/>
        <v>0</v>
      </c>
      <c r="N1826" s="90">
        <v>0</v>
      </c>
      <c r="O1826" s="90">
        <f t="shared" si="336"/>
        <v>0</v>
      </c>
      <c r="P1826" s="92" t="s">
        <v>578</v>
      </c>
      <c r="Z1826" s="93">
        <f t="shared" si="337"/>
        <v>0</v>
      </c>
      <c r="AB1826" s="93">
        <f t="shared" si="338"/>
        <v>0</v>
      </c>
      <c r="AC1826" s="93">
        <f t="shared" si="339"/>
        <v>0</v>
      </c>
      <c r="AD1826" s="93">
        <f t="shared" si="340"/>
        <v>0</v>
      </c>
      <c r="AE1826" s="93">
        <f t="shared" si="341"/>
        <v>0</v>
      </c>
      <c r="AF1826" s="93">
        <f t="shared" si="342"/>
        <v>0</v>
      </c>
      <c r="AG1826" s="93">
        <f t="shared" si="343"/>
        <v>0</v>
      </c>
      <c r="AH1826" s="93">
        <f t="shared" si="344"/>
        <v>0</v>
      </c>
      <c r="AI1826" s="88" t="s">
        <v>55</v>
      </c>
      <c r="AJ1826" s="93">
        <f t="shared" si="345"/>
        <v>0</v>
      </c>
      <c r="AK1826" s="93">
        <f t="shared" si="346"/>
        <v>0</v>
      </c>
      <c r="AL1826" s="93">
        <f t="shared" si="347"/>
        <v>0</v>
      </c>
      <c r="AN1826" s="93">
        <v>21</v>
      </c>
      <c r="AO1826" s="93">
        <f>H1826*0.851471645</f>
        <v>0</v>
      </c>
      <c r="AP1826" s="93">
        <f>H1826*(1-0.851471645)</f>
        <v>0</v>
      </c>
      <c r="AQ1826" s="94" t="s">
        <v>148</v>
      </c>
      <c r="AV1826" s="93">
        <f t="shared" si="348"/>
        <v>0</v>
      </c>
      <c r="AW1826" s="93">
        <f t="shared" si="349"/>
        <v>0</v>
      </c>
      <c r="AX1826" s="93">
        <f t="shared" si="350"/>
        <v>0</v>
      </c>
      <c r="AY1826" s="94" t="s">
        <v>2328</v>
      </c>
      <c r="AZ1826" s="94" t="s">
        <v>2252</v>
      </c>
      <c r="BA1826" s="88" t="s">
        <v>67</v>
      </c>
      <c r="BC1826" s="93">
        <f t="shared" si="351"/>
        <v>0</v>
      </c>
      <c r="BD1826" s="93">
        <f t="shared" si="352"/>
        <v>0</v>
      </c>
      <c r="BE1826" s="93">
        <v>0</v>
      </c>
      <c r="BF1826" s="93">
        <f t="shared" si="353"/>
        <v>0</v>
      </c>
      <c r="BH1826" s="93">
        <f t="shared" si="354"/>
        <v>0</v>
      </c>
      <c r="BI1826" s="93">
        <f t="shared" si="355"/>
        <v>0</v>
      </c>
      <c r="BJ1826" s="93">
        <f t="shared" si="356"/>
        <v>0</v>
      </c>
      <c r="BK1826" s="93"/>
      <c r="BL1826" s="93">
        <v>766</v>
      </c>
      <c r="BW1826" s="93" t="str">
        <f t="shared" si="357"/>
        <v>21</v>
      </c>
      <c r="BX1826" s="2" t="s">
        <v>2364</v>
      </c>
    </row>
    <row r="1827" spans="1:76" s="81" customFormat="1" ht="25.5" x14ac:dyDescent="0.25">
      <c r="A1827" s="72" t="s">
        <v>2365</v>
      </c>
      <c r="B1827" s="72" t="s">
        <v>55</v>
      </c>
      <c r="C1827" s="72" t="s">
        <v>2366</v>
      </c>
      <c r="D1827" s="175" t="s">
        <v>2367</v>
      </c>
      <c r="E1827" s="175"/>
      <c r="F1827" s="72" t="s">
        <v>203</v>
      </c>
      <c r="G1827" s="90">
        <v>8</v>
      </c>
      <c r="H1827" s="91"/>
      <c r="I1827" s="92" t="s">
        <v>63</v>
      </c>
      <c r="J1827" s="90">
        <f t="shared" si="332"/>
        <v>0</v>
      </c>
      <c r="K1827" s="90">
        <f t="shared" si="333"/>
        <v>0</v>
      </c>
      <c r="L1827" s="90">
        <f t="shared" si="334"/>
        <v>0</v>
      </c>
      <c r="M1827" s="90">
        <f t="shared" si="335"/>
        <v>0</v>
      </c>
      <c r="N1827" s="90">
        <v>0</v>
      </c>
      <c r="O1827" s="90">
        <f t="shared" si="336"/>
        <v>0</v>
      </c>
      <c r="P1827" s="92" t="s">
        <v>578</v>
      </c>
      <c r="Z1827" s="93">
        <f t="shared" si="337"/>
        <v>0</v>
      </c>
      <c r="AB1827" s="93">
        <f t="shared" si="338"/>
        <v>0</v>
      </c>
      <c r="AC1827" s="93">
        <f t="shared" si="339"/>
        <v>0</v>
      </c>
      <c r="AD1827" s="93">
        <f t="shared" si="340"/>
        <v>0</v>
      </c>
      <c r="AE1827" s="93">
        <f t="shared" si="341"/>
        <v>0</v>
      </c>
      <c r="AF1827" s="93">
        <f t="shared" si="342"/>
        <v>0</v>
      </c>
      <c r="AG1827" s="93">
        <f t="shared" si="343"/>
        <v>0</v>
      </c>
      <c r="AH1827" s="93">
        <f t="shared" si="344"/>
        <v>0</v>
      </c>
      <c r="AI1827" s="88" t="s">
        <v>55</v>
      </c>
      <c r="AJ1827" s="93">
        <f t="shared" si="345"/>
        <v>0</v>
      </c>
      <c r="AK1827" s="93">
        <f t="shared" si="346"/>
        <v>0</v>
      </c>
      <c r="AL1827" s="93">
        <f t="shared" si="347"/>
        <v>0</v>
      </c>
      <c r="AN1827" s="93">
        <v>21</v>
      </c>
      <c r="AO1827" s="93">
        <f>H1827*0.851465184</f>
        <v>0</v>
      </c>
      <c r="AP1827" s="93">
        <f>H1827*(1-0.851465184)</f>
        <v>0</v>
      </c>
      <c r="AQ1827" s="94" t="s">
        <v>148</v>
      </c>
      <c r="AV1827" s="93">
        <f t="shared" si="348"/>
        <v>0</v>
      </c>
      <c r="AW1827" s="93">
        <f t="shared" si="349"/>
        <v>0</v>
      </c>
      <c r="AX1827" s="93">
        <f t="shared" si="350"/>
        <v>0</v>
      </c>
      <c r="AY1827" s="94" t="s">
        <v>2328</v>
      </c>
      <c r="AZ1827" s="94" t="s">
        <v>2252</v>
      </c>
      <c r="BA1827" s="88" t="s">
        <v>67</v>
      </c>
      <c r="BC1827" s="93">
        <f t="shared" si="351"/>
        <v>0</v>
      </c>
      <c r="BD1827" s="93">
        <f t="shared" si="352"/>
        <v>0</v>
      </c>
      <c r="BE1827" s="93">
        <v>0</v>
      </c>
      <c r="BF1827" s="93">
        <f t="shared" si="353"/>
        <v>0</v>
      </c>
      <c r="BH1827" s="93">
        <f t="shared" si="354"/>
        <v>0</v>
      </c>
      <c r="BI1827" s="93">
        <f t="shared" si="355"/>
        <v>0</v>
      </c>
      <c r="BJ1827" s="93">
        <f t="shared" si="356"/>
        <v>0</v>
      </c>
      <c r="BK1827" s="93"/>
      <c r="BL1827" s="93">
        <v>766</v>
      </c>
      <c r="BW1827" s="93" t="str">
        <f t="shared" si="357"/>
        <v>21</v>
      </c>
      <c r="BX1827" s="2" t="s">
        <v>2367</v>
      </c>
    </row>
    <row r="1828" spans="1:76" s="81" customFormat="1" ht="25.5" x14ac:dyDescent="0.25">
      <c r="A1828" s="72" t="s">
        <v>2368</v>
      </c>
      <c r="B1828" s="72" t="s">
        <v>55</v>
      </c>
      <c r="C1828" s="72" t="s">
        <v>2369</v>
      </c>
      <c r="D1828" s="175" t="s">
        <v>2370</v>
      </c>
      <c r="E1828" s="175"/>
      <c r="F1828" s="72" t="s">
        <v>203</v>
      </c>
      <c r="G1828" s="90">
        <v>2</v>
      </c>
      <c r="H1828" s="91"/>
      <c r="I1828" s="92" t="s">
        <v>63</v>
      </c>
      <c r="J1828" s="90">
        <f t="shared" si="332"/>
        <v>0</v>
      </c>
      <c r="K1828" s="90">
        <f t="shared" si="333"/>
        <v>0</v>
      </c>
      <c r="L1828" s="90">
        <f t="shared" si="334"/>
        <v>0</v>
      </c>
      <c r="M1828" s="90">
        <f t="shared" si="335"/>
        <v>0</v>
      </c>
      <c r="N1828" s="90">
        <v>0</v>
      </c>
      <c r="O1828" s="90">
        <f t="shared" si="336"/>
        <v>0</v>
      </c>
      <c r="P1828" s="92" t="s">
        <v>578</v>
      </c>
      <c r="Z1828" s="93">
        <f t="shared" si="337"/>
        <v>0</v>
      </c>
      <c r="AB1828" s="93">
        <f t="shared" si="338"/>
        <v>0</v>
      </c>
      <c r="AC1828" s="93">
        <f t="shared" si="339"/>
        <v>0</v>
      </c>
      <c r="AD1828" s="93">
        <f t="shared" si="340"/>
        <v>0</v>
      </c>
      <c r="AE1828" s="93">
        <f t="shared" si="341"/>
        <v>0</v>
      </c>
      <c r="AF1828" s="93">
        <f t="shared" si="342"/>
        <v>0</v>
      </c>
      <c r="AG1828" s="93">
        <f t="shared" si="343"/>
        <v>0</v>
      </c>
      <c r="AH1828" s="93">
        <f t="shared" si="344"/>
        <v>0</v>
      </c>
      <c r="AI1828" s="88" t="s">
        <v>55</v>
      </c>
      <c r="AJ1828" s="93">
        <f t="shared" si="345"/>
        <v>0</v>
      </c>
      <c r="AK1828" s="93">
        <f t="shared" si="346"/>
        <v>0</v>
      </c>
      <c r="AL1828" s="93">
        <f t="shared" si="347"/>
        <v>0</v>
      </c>
      <c r="AN1828" s="93">
        <v>21</v>
      </c>
      <c r="AO1828" s="93">
        <f>H1828*0.851471212</f>
        <v>0</v>
      </c>
      <c r="AP1828" s="93">
        <f>H1828*(1-0.851471212)</f>
        <v>0</v>
      </c>
      <c r="AQ1828" s="94" t="s">
        <v>148</v>
      </c>
      <c r="AV1828" s="93">
        <f t="shared" si="348"/>
        <v>0</v>
      </c>
      <c r="AW1828" s="93">
        <f t="shared" si="349"/>
        <v>0</v>
      </c>
      <c r="AX1828" s="93">
        <f t="shared" si="350"/>
        <v>0</v>
      </c>
      <c r="AY1828" s="94" t="s">
        <v>2328</v>
      </c>
      <c r="AZ1828" s="94" t="s">
        <v>2252</v>
      </c>
      <c r="BA1828" s="88" t="s">
        <v>67</v>
      </c>
      <c r="BC1828" s="93">
        <f t="shared" si="351"/>
        <v>0</v>
      </c>
      <c r="BD1828" s="93">
        <f t="shared" si="352"/>
        <v>0</v>
      </c>
      <c r="BE1828" s="93">
        <v>0</v>
      </c>
      <c r="BF1828" s="93">
        <f t="shared" si="353"/>
        <v>0</v>
      </c>
      <c r="BH1828" s="93">
        <f t="shared" si="354"/>
        <v>0</v>
      </c>
      <c r="BI1828" s="93">
        <f t="shared" si="355"/>
        <v>0</v>
      </c>
      <c r="BJ1828" s="93">
        <f t="shared" si="356"/>
        <v>0</v>
      </c>
      <c r="BK1828" s="93"/>
      <c r="BL1828" s="93">
        <v>766</v>
      </c>
      <c r="BW1828" s="93" t="str">
        <f t="shared" si="357"/>
        <v>21</v>
      </c>
      <c r="BX1828" s="2" t="s">
        <v>2370</v>
      </c>
    </row>
    <row r="1829" spans="1:76" s="81" customFormat="1" ht="25.5" x14ac:dyDescent="0.25">
      <c r="A1829" s="72" t="s">
        <v>2371</v>
      </c>
      <c r="B1829" s="72" t="s">
        <v>55</v>
      </c>
      <c r="C1829" s="72" t="s">
        <v>2372</v>
      </c>
      <c r="D1829" s="175" t="s">
        <v>2373</v>
      </c>
      <c r="E1829" s="175"/>
      <c r="F1829" s="72" t="s">
        <v>203</v>
      </c>
      <c r="G1829" s="90">
        <v>1</v>
      </c>
      <c r="H1829" s="91"/>
      <c r="I1829" s="92" t="s">
        <v>63</v>
      </c>
      <c r="J1829" s="90">
        <f t="shared" si="332"/>
        <v>0</v>
      </c>
      <c r="K1829" s="90">
        <f t="shared" si="333"/>
        <v>0</v>
      </c>
      <c r="L1829" s="90">
        <f t="shared" si="334"/>
        <v>0</v>
      </c>
      <c r="M1829" s="90">
        <f t="shared" si="335"/>
        <v>0</v>
      </c>
      <c r="N1829" s="90">
        <v>0</v>
      </c>
      <c r="O1829" s="90">
        <f t="shared" si="336"/>
        <v>0</v>
      </c>
      <c r="P1829" s="92" t="s">
        <v>578</v>
      </c>
      <c r="Z1829" s="93">
        <f t="shared" si="337"/>
        <v>0</v>
      </c>
      <c r="AB1829" s="93">
        <f t="shared" si="338"/>
        <v>0</v>
      </c>
      <c r="AC1829" s="93">
        <f t="shared" si="339"/>
        <v>0</v>
      </c>
      <c r="AD1829" s="93">
        <f t="shared" si="340"/>
        <v>0</v>
      </c>
      <c r="AE1829" s="93">
        <f t="shared" si="341"/>
        <v>0</v>
      </c>
      <c r="AF1829" s="93">
        <f t="shared" si="342"/>
        <v>0</v>
      </c>
      <c r="AG1829" s="93">
        <f t="shared" si="343"/>
        <v>0</v>
      </c>
      <c r="AH1829" s="93">
        <f t="shared" si="344"/>
        <v>0</v>
      </c>
      <c r="AI1829" s="88" t="s">
        <v>55</v>
      </c>
      <c r="AJ1829" s="93">
        <f t="shared" si="345"/>
        <v>0</v>
      </c>
      <c r="AK1829" s="93">
        <f t="shared" si="346"/>
        <v>0</v>
      </c>
      <c r="AL1829" s="93">
        <f t="shared" si="347"/>
        <v>0</v>
      </c>
      <c r="AN1829" s="93">
        <v>21</v>
      </c>
      <c r="AO1829" s="93">
        <f>H1829*0.851471212</f>
        <v>0</v>
      </c>
      <c r="AP1829" s="93">
        <f>H1829*(1-0.851471212)</f>
        <v>0</v>
      </c>
      <c r="AQ1829" s="94" t="s">
        <v>148</v>
      </c>
      <c r="AV1829" s="93">
        <f t="shared" si="348"/>
        <v>0</v>
      </c>
      <c r="AW1829" s="93">
        <f t="shared" si="349"/>
        <v>0</v>
      </c>
      <c r="AX1829" s="93">
        <f t="shared" si="350"/>
        <v>0</v>
      </c>
      <c r="AY1829" s="94" t="s">
        <v>2328</v>
      </c>
      <c r="AZ1829" s="94" t="s">
        <v>2252</v>
      </c>
      <c r="BA1829" s="88" t="s">
        <v>67</v>
      </c>
      <c r="BC1829" s="93">
        <f t="shared" si="351"/>
        <v>0</v>
      </c>
      <c r="BD1829" s="93">
        <f t="shared" si="352"/>
        <v>0</v>
      </c>
      <c r="BE1829" s="93">
        <v>0</v>
      </c>
      <c r="BF1829" s="93">
        <f t="shared" si="353"/>
        <v>0</v>
      </c>
      <c r="BH1829" s="93">
        <f t="shared" si="354"/>
        <v>0</v>
      </c>
      <c r="BI1829" s="93">
        <f t="shared" si="355"/>
        <v>0</v>
      </c>
      <c r="BJ1829" s="93">
        <f t="shared" si="356"/>
        <v>0</v>
      </c>
      <c r="BK1829" s="93"/>
      <c r="BL1829" s="93">
        <v>766</v>
      </c>
      <c r="BW1829" s="93" t="str">
        <f t="shared" si="357"/>
        <v>21</v>
      </c>
      <c r="BX1829" s="2" t="s">
        <v>2373</v>
      </c>
    </row>
    <row r="1830" spans="1:76" s="81" customFormat="1" ht="25.5" x14ac:dyDescent="0.25">
      <c r="A1830" s="72" t="s">
        <v>2374</v>
      </c>
      <c r="B1830" s="72" t="s">
        <v>55</v>
      </c>
      <c r="C1830" s="72" t="s">
        <v>2375</v>
      </c>
      <c r="D1830" s="175" t="s">
        <v>2376</v>
      </c>
      <c r="E1830" s="175"/>
      <c r="F1830" s="72" t="s">
        <v>203</v>
      </c>
      <c r="G1830" s="90">
        <v>1</v>
      </c>
      <c r="H1830" s="91"/>
      <c r="I1830" s="92" t="s">
        <v>63</v>
      </c>
      <c r="J1830" s="90">
        <f t="shared" si="332"/>
        <v>0</v>
      </c>
      <c r="K1830" s="90">
        <f t="shared" si="333"/>
        <v>0</v>
      </c>
      <c r="L1830" s="90">
        <f t="shared" si="334"/>
        <v>0</v>
      </c>
      <c r="M1830" s="90">
        <f t="shared" si="335"/>
        <v>0</v>
      </c>
      <c r="N1830" s="90">
        <v>0</v>
      </c>
      <c r="O1830" s="90">
        <f t="shared" si="336"/>
        <v>0</v>
      </c>
      <c r="P1830" s="92" t="s">
        <v>578</v>
      </c>
      <c r="Z1830" s="93">
        <f t="shared" si="337"/>
        <v>0</v>
      </c>
      <c r="AB1830" s="93">
        <f t="shared" si="338"/>
        <v>0</v>
      </c>
      <c r="AC1830" s="93">
        <f t="shared" si="339"/>
        <v>0</v>
      </c>
      <c r="AD1830" s="93">
        <f t="shared" si="340"/>
        <v>0</v>
      </c>
      <c r="AE1830" s="93">
        <f t="shared" si="341"/>
        <v>0</v>
      </c>
      <c r="AF1830" s="93">
        <f t="shared" si="342"/>
        <v>0</v>
      </c>
      <c r="AG1830" s="93">
        <f t="shared" si="343"/>
        <v>0</v>
      </c>
      <c r="AH1830" s="93">
        <f t="shared" si="344"/>
        <v>0</v>
      </c>
      <c r="AI1830" s="88" t="s">
        <v>55</v>
      </c>
      <c r="AJ1830" s="93">
        <f t="shared" si="345"/>
        <v>0</v>
      </c>
      <c r="AK1830" s="93">
        <f t="shared" si="346"/>
        <v>0</v>
      </c>
      <c r="AL1830" s="93">
        <f t="shared" si="347"/>
        <v>0</v>
      </c>
      <c r="AN1830" s="93">
        <v>21</v>
      </c>
      <c r="AO1830" s="93">
        <f>H1830*0.851471615</f>
        <v>0</v>
      </c>
      <c r="AP1830" s="93">
        <f>H1830*(1-0.851471615)</f>
        <v>0</v>
      </c>
      <c r="AQ1830" s="94" t="s">
        <v>148</v>
      </c>
      <c r="AV1830" s="93">
        <f t="shared" si="348"/>
        <v>0</v>
      </c>
      <c r="AW1830" s="93">
        <f t="shared" si="349"/>
        <v>0</v>
      </c>
      <c r="AX1830" s="93">
        <f t="shared" si="350"/>
        <v>0</v>
      </c>
      <c r="AY1830" s="94" t="s">
        <v>2328</v>
      </c>
      <c r="AZ1830" s="94" t="s">
        <v>2252</v>
      </c>
      <c r="BA1830" s="88" t="s">
        <v>67</v>
      </c>
      <c r="BC1830" s="93">
        <f t="shared" si="351"/>
        <v>0</v>
      </c>
      <c r="BD1830" s="93">
        <f t="shared" si="352"/>
        <v>0</v>
      </c>
      <c r="BE1830" s="93">
        <v>0</v>
      </c>
      <c r="BF1830" s="93">
        <f t="shared" si="353"/>
        <v>0</v>
      </c>
      <c r="BH1830" s="93">
        <f t="shared" si="354"/>
        <v>0</v>
      </c>
      <c r="BI1830" s="93">
        <f t="shared" si="355"/>
        <v>0</v>
      </c>
      <c r="BJ1830" s="93">
        <f t="shared" si="356"/>
        <v>0</v>
      </c>
      <c r="BK1830" s="93"/>
      <c r="BL1830" s="93">
        <v>766</v>
      </c>
      <c r="BW1830" s="93" t="str">
        <f t="shared" si="357"/>
        <v>21</v>
      </c>
      <c r="BX1830" s="2" t="s">
        <v>2376</v>
      </c>
    </row>
    <row r="1831" spans="1:76" s="81" customFormat="1" ht="25.5" x14ac:dyDescent="0.25">
      <c r="A1831" s="72" t="s">
        <v>2377</v>
      </c>
      <c r="B1831" s="72" t="s">
        <v>55</v>
      </c>
      <c r="C1831" s="72" t="s">
        <v>2378</v>
      </c>
      <c r="D1831" s="175" t="s">
        <v>2379</v>
      </c>
      <c r="E1831" s="175"/>
      <c r="F1831" s="72" t="s">
        <v>203</v>
      </c>
      <c r="G1831" s="90">
        <v>1</v>
      </c>
      <c r="H1831" s="91"/>
      <c r="I1831" s="92" t="s">
        <v>63</v>
      </c>
      <c r="J1831" s="90">
        <f t="shared" si="332"/>
        <v>0</v>
      </c>
      <c r="K1831" s="90">
        <f t="shared" si="333"/>
        <v>0</v>
      </c>
      <c r="L1831" s="90">
        <f t="shared" si="334"/>
        <v>0</v>
      </c>
      <c r="M1831" s="90">
        <f t="shared" si="335"/>
        <v>0</v>
      </c>
      <c r="N1831" s="90">
        <v>0</v>
      </c>
      <c r="O1831" s="90">
        <f t="shared" si="336"/>
        <v>0</v>
      </c>
      <c r="P1831" s="92" t="s">
        <v>578</v>
      </c>
      <c r="Z1831" s="93">
        <f t="shared" si="337"/>
        <v>0</v>
      </c>
      <c r="AB1831" s="93">
        <f t="shared" si="338"/>
        <v>0</v>
      </c>
      <c r="AC1831" s="93">
        <f t="shared" si="339"/>
        <v>0</v>
      </c>
      <c r="AD1831" s="93">
        <f t="shared" si="340"/>
        <v>0</v>
      </c>
      <c r="AE1831" s="93">
        <f t="shared" si="341"/>
        <v>0</v>
      </c>
      <c r="AF1831" s="93">
        <f t="shared" si="342"/>
        <v>0</v>
      </c>
      <c r="AG1831" s="93">
        <f t="shared" si="343"/>
        <v>0</v>
      </c>
      <c r="AH1831" s="93">
        <f t="shared" si="344"/>
        <v>0</v>
      </c>
      <c r="AI1831" s="88" t="s">
        <v>55</v>
      </c>
      <c r="AJ1831" s="93">
        <f t="shared" si="345"/>
        <v>0</v>
      </c>
      <c r="AK1831" s="93">
        <f t="shared" si="346"/>
        <v>0</v>
      </c>
      <c r="AL1831" s="93">
        <f t="shared" si="347"/>
        <v>0</v>
      </c>
      <c r="AN1831" s="93">
        <v>21</v>
      </c>
      <c r="AO1831" s="93">
        <f>H1831*0.851471628</f>
        <v>0</v>
      </c>
      <c r="AP1831" s="93">
        <f>H1831*(1-0.851471628)</f>
        <v>0</v>
      </c>
      <c r="AQ1831" s="94" t="s">
        <v>148</v>
      </c>
      <c r="AV1831" s="93">
        <f t="shared" si="348"/>
        <v>0</v>
      </c>
      <c r="AW1831" s="93">
        <f t="shared" si="349"/>
        <v>0</v>
      </c>
      <c r="AX1831" s="93">
        <f t="shared" si="350"/>
        <v>0</v>
      </c>
      <c r="AY1831" s="94" t="s">
        <v>2328</v>
      </c>
      <c r="AZ1831" s="94" t="s">
        <v>2252</v>
      </c>
      <c r="BA1831" s="88" t="s">
        <v>67</v>
      </c>
      <c r="BC1831" s="93">
        <f t="shared" si="351"/>
        <v>0</v>
      </c>
      <c r="BD1831" s="93">
        <f t="shared" si="352"/>
        <v>0</v>
      </c>
      <c r="BE1831" s="93">
        <v>0</v>
      </c>
      <c r="BF1831" s="93">
        <f t="shared" si="353"/>
        <v>0</v>
      </c>
      <c r="BH1831" s="93">
        <f t="shared" si="354"/>
        <v>0</v>
      </c>
      <c r="BI1831" s="93">
        <f t="shared" si="355"/>
        <v>0</v>
      </c>
      <c r="BJ1831" s="93">
        <f t="shared" si="356"/>
        <v>0</v>
      </c>
      <c r="BK1831" s="93"/>
      <c r="BL1831" s="93">
        <v>766</v>
      </c>
      <c r="BW1831" s="93" t="str">
        <f t="shared" si="357"/>
        <v>21</v>
      </c>
      <c r="BX1831" s="2" t="s">
        <v>2379</v>
      </c>
    </row>
    <row r="1832" spans="1:76" s="81" customFormat="1" ht="25.5" x14ac:dyDescent="0.25">
      <c r="A1832" s="72" t="s">
        <v>2380</v>
      </c>
      <c r="B1832" s="72" t="s">
        <v>55</v>
      </c>
      <c r="C1832" s="72" t="s">
        <v>2381</v>
      </c>
      <c r="D1832" s="175" t="s">
        <v>2382</v>
      </c>
      <c r="E1832" s="175"/>
      <c r="F1832" s="72" t="s">
        <v>203</v>
      </c>
      <c r="G1832" s="90">
        <v>1</v>
      </c>
      <c r="H1832" s="91"/>
      <c r="I1832" s="92" t="s">
        <v>63</v>
      </c>
      <c r="J1832" s="90">
        <f t="shared" si="332"/>
        <v>0</v>
      </c>
      <c r="K1832" s="90">
        <f t="shared" si="333"/>
        <v>0</v>
      </c>
      <c r="L1832" s="90">
        <f t="shared" si="334"/>
        <v>0</v>
      </c>
      <c r="M1832" s="90">
        <f t="shared" si="335"/>
        <v>0</v>
      </c>
      <c r="N1832" s="90">
        <v>0</v>
      </c>
      <c r="O1832" s="90">
        <f t="shared" si="336"/>
        <v>0</v>
      </c>
      <c r="P1832" s="92" t="s">
        <v>578</v>
      </c>
      <c r="Z1832" s="93">
        <f t="shared" si="337"/>
        <v>0</v>
      </c>
      <c r="AB1832" s="93">
        <f t="shared" si="338"/>
        <v>0</v>
      </c>
      <c r="AC1832" s="93">
        <f t="shared" si="339"/>
        <v>0</v>
      </c>
      <c r="AD1832" s="93">
        <f t="shared" si="340"/>
        <v>0</v>
      </c>
      <c r="AE1832" s="93">
        <f t="shared" si="341"/>
        <v>0</v>
      </c>
      <c r="AF1832" s="93">
        <f t="shared" si="342"/>
        <v>0</v>
      </c>
      <c r="AG1832" s="93">
        <f t="shared" si="343"/>
        <v>0</v>
      </c>
      <c r="AH1832" s="93">
        <f t="shared" si="344"/>
        <v>0</v>
      </c>
      <c r="AI1832" s="88" t="s">
        <v>55</v>
      </c>
      <c r="AJ1832" s="93">
        <f t="shared" si="345"/>
        <v>0</v>
      </c>
      <c r="AK1832" s="93">
        <f t="shared" si="346"/>
        <v>0</v>
      </c>
      <c r="AL1832" s="93">
        <f t="shared" si="347"/>
        <v>0</v>
      </c>
      <c r="AN1832" s="93">
        <v>21</v>
      </c>
      <c r="AO1832" s="93">
        <f>H1832*0.851472403</f>
        <v>0</v>
      </c>
      <c r="AP1832" s="93">
        <f>H1832*(1-0.851472403)</f>
        <v>0</v>
      </c>
      <c r="AQ1832" s="94" t="s">
        <v>148</v>
      </c>
      <c r="AV1832" s="93">
        <f t="shared" si="348"/>
        <v>0</v>
      </c>
      <c r="AW1832" s="93">
        <f t="shared" si="349"/>
        <v>0</v>
      </c>
      <c r="AX1832" s="93">
        <f t="shared" si="350"/>
        <v>0</v>
      </c>
      <c r="AY1832" s="94" t="s">
        <v>2328</v>
      </c>
      <c r="AZ1832" s="94" t="s">
        <v>2252</v>
      </c>
      <c r="BA1832" s="88" t="s">
        <v>67</v>
      </c>
      <c r="BC1832" s="93">
        <f t="shared" si="351"/>
        <v>0</v>
      </c>
      <c r="BD1832" s="93">
        <f t="shared" si="352"/>
        <v>0</v>
      </c>
      <c r="BE1832" s="93">
        <v>0</v>
      </c>
      <c r="BF1832" s="93">
        <f t="shared" si="353"/>
        <v>0</v>
      </c>
      <c r="BH1832" s="93">
        <f t="shared" si="354"/>
        <v>0</v>
      </c>
      <c r="BI1832" s="93">
        <f t="shared" si="355"/>
        <v>0</v>
      </c>
      <c r="BJ1832" s="93">
        <f t="shared" si="356"/>
        <v>0</v>
      </c>
      <c r="BK1832" s="93"/>
      <c r="BL1832" s="93">
        <v>766</v>
      </c>
      <c r="BW1832" s="93" t="str">
        <f t="shared" si="357"/>
        <v>21</v>
      </c>
      <c r="BX1832" s="2" t="s">
        <v>2382</v>
      </c>
    </row>
    <row r="1833" spans="1:76" s="81" customFormat="1" ht="25.5" x14ac:dyDescent="0.25">
      <c r="A1833" s="72" t="s">
        <v>2383</v>
      </c>
      <c r="B1833" s="72" t="s">
        <v>55</v>
      </c>
      <c r="C1833" s="72" t="s">
        <v>2384</v>
      </c>
      <c r="D1833" s="175" t="s">
        <v>2385</v>
      </c>
      <c r="E1833" s="175"/>
      <c r="F1833" s="72" t="s">
        <v>203</v>
      </c>
      <c r="G1833" s="90">
        <v>1</v>
      </c>
      <c r="H1833" s="91"/>
      <c r="I1833" s="92" t="s">
        <v>63</v>
      </c>
      <c r="J1833" s="90">
        <f t="shared" si="332"/>
        <v>0</v>
      </c>
      <c r="K1833" s="90">
        <f t="shared" si="333"/>
        <v>0</v>
      </c>
      <c r="L1833" s="90">
        <f t="shared" si="334"/>
        <v>0</v>
      </c>
      <c r="M1833" s="90">
        <f t="shared" si="335"/>
        <v>0</v>
      </c>
      <c r="N1833" s="90">
        <v>0</v>
      </c>
      <c r="O1833" s="90">
        <f t="shared" si="336"/>
        <v>0</v>
      </c>
      <c r="P1833" s="92" t="s">
        <v>578</v>
      </c>
      <c r="Z1833" s="93">
        <f t="shared" si="337"/>
        <v>0</v>
      </c>
      <c r="AB1833" s="93">
        <f t="shared" si="338"/>
        <v>0</v>
      </c>
      <c r="AC1833" s="93">
        <f t="shared" si="339"/>
        <v>0</v>
      </c>
      <c r="AD1833" s="93">
        <f t="shared" si="340"/>
        <v>0</v>
      </c>
      <c r="AE1833" s="93">
        <f t="shared" si="341"/>
        <v>0</v>
      </c>
      <c r="AF1833" s="93">
        <f t="shared" si="342"/>
        <v>0</v>
      </c>
      <c r="AG1833" s="93">
        <f t="shared" si="343"/>
        <v>0</v>
      </c>
      <c r="AH1833" s="93">
        <f t="shared" si="344"/>
        <v>0</v>
      </c>
      <c r="AI1833" s="88" t="s">
        <v>55</v>
      </c>
      <c r="AJ1833" s="93">
        <f t="shared" si="345"/>
        <v>0</v>
      </c>
      <c r="AK1833" s="93">
        <f t="shared" si="346"/>
        <v>0</v>
      </c>
      <c r="AL1833" s="93">
        <f t="shared" si="347"/>
        <v>0</v>
      </c>
      <c r="AN1833" s="93">
        <v>21</v>
      </c>
      <c r="AO1833" s="93">
        <f>H1833*0.851475096</f>
        <v>0</v>
      </c>
      <c r="AP1833" s="93">
        <f>H1833*(1-0.851475096)</f>
        <v>0</v>
      </c>
      <c r="AQ1833" s="94" t="s">
        <v>148</v>
      </c>
      <c r="AV1833" s="93">
        <f t="shared" si="348"/>
        <v>0</v>
      </c>
      <c r="AW1833" s="93">
        <f t="shared" si="349"/>
        <v>0</v>
      </c>
      <c r="AX1833" s="93">
        <f t="shared" si="350"/>
        <v>0</v>
      </c>
      <c r="AY1833" s="94" t="s">
        <v>2328</v>
      </c>
      <c r="AZ1833" s="94" t="s">
        <v>2252</v>
      </c>
      <c r="BA1833" s="88" t="s">
        <v>67</v>
      </c>
      <c r="BC1833" s="93">
        <f t="shared" si="351"/>
        <v>0</v>
      </c>
      <c r="BD1833" s="93">
        <f t="shared" si="352"/>
        <v>0</v>
      </c>
      <c r="BE1833" s="93">
        <v>0</v>
      </c>
      <c r="BF1833" s="93">
        <f t="shared" si="353"/>
        <v>0</v>
      </c>
      <c r="BH1833" s="93">
        <f t="shared" si="354"/>
        <v>0</v>
      </c>
      <c r="BI1833" s="93">
        <f t="shared" si="355"/>
        <v>0</v>
      </c>
      <c r="BJ1833" s="93">
        <f t="shared" si="356"/>
        <v>0</v>
      </c>
      <c r="BK1833" s="93"/>
      <c r="BL1833" s="93">
        <v>766</v>
      </c>
      <c r="BW1833" s="93" t="str">
        <f t="shared" si="357"/>
        <v>21</v>
      </c>
      <c r="BX1833" s="2" t="s">
        <v>2385</v>
      </c>
    </row>
    <row r="1834" spans="1:76" s="81" customFormat="1" ht="25.5" x14ac:dyDescent="0.25">
      <c r="A1834" s="72" t="s">
        <v>2386</v>
      </c>
      <c r="B1834" s="72" t="s">
        <v>55</v>
      </c>
      <c r="C1834" s="72" t="s">
        <v>2387</v>
      </c>
      <c r="D1834" s="175" t="s">
        <v>2388</v>
      </c>
      <c r="E1834" s="175"/>
      <c r="F1834" s="72" t="s">
        <v>203</v>
      </c>
      <c r="G1834" s="90">
        <v>1</v>
      </c>
      <c r="H1834" s="91"/>
      <c r="I1834" s="92" t="s">
        <v>63</v>
      </c>
      <c r="J1834" s="90">
        <f t="shared" si="332"/>
        <v>0</v>
      </c>
      <c r="K1834" s="90">
        <f t="shared" si="333"/>
        <v>0</v>
      </c>
      <c r="L1834" s="90">
        <f t="shared" si="334"/>
        <v>0</v>
      </c>
      <c r="M1834" s="90">
        <f t="shared" si="335"/>
        <v>0</v>
      </c>
      <c r="N1834" s="90">
        <v>0</v>
      </c>
      <c r="O1834" s="90">
        <f t="shared" si="336"/>
        <v>0</v>
      </c>
      <c r="P1834" s="92" t="s">
        <v>578</v>
      </c>
      <c r="Z1834" s="93">
        <f t="shared" si="337"/>
        <v>0</v>
      </c>
      <c r="AB1834" s="93">
        <f t="shared" si="338"/>
        <v>0</v>
      </c>
      <c r="AC1834" s="93">
        <f t="shared" si="339"/>
        <v>0</v>
      </c>
      <c r="AD1834" s="93">
        <f t="shared" si="340"/>
        <v>0</v>
      </c>
      <c r="AE1834" s="93">
        <f t="shared" si="341"/>
        <v>0</v>
      </c>
      <c r="AF1834" s="93">
        <f t="shared" si="342"/>
        <v>0</v>
      </c>
      <c r="AG1834" s="93">
        <f t="shared" si="343"/>
        <v>0</v>
      </c>
      <c r="AH1834" s="93">
        <f t="shared" si="344"/>
        <v>0</v>
      </c>
      <c r="AI1834" s="88" t="s">
        <v>55</v>
      </c>
      <c r="AJ1834" s="93">
        <f t="shared" si="345"/>
        <v>0</v>
      </c>
      <c r="AK1834" s="93">
        <f t="shared" si="346"/>
        <v>0</v>
      </c>
      <c r="AL1834" s="93">
        <f t="shared" si="347"/>
        <v>0</v>
      </c>
      <c r="AN1834" s="93">
        <v>21</v>
      </c>
      <c r="AO1834" s="93">
        <f>H1834*0.851473584</f>
        <v>0</v>
      </c>
      <c r="AP1834" s="93">
        <f>H1834*(1-0.851473584)</f>
        <v>0</v>
      </c>
      <c r="AQ1834" s="94" t="s">
        <v>148</v>
      </c>
      <c r="AV1834" s="93">
        <f t="shared" si="348"/>
        <v>0</v>
      </c>
      <c r="AW1834" s="93">
        <f t="shared" si="349"/>
        <v>0</v>
      </c>
      <c r="AX1834" s="93">
        <f t="shared" si="350"/>
        <v>0</v>
      </c>
      <c r="AY1834" s="94" t="s">
        <v>2328</v>
      </c>
      <c r="AZ1834" s="94" t="s">
        <v>2252</v>
      </c>
      <c r="BA1834" s="88" t="s">
        <v>67</v>
      </c>
      <c r="BC1834" s="93">
        <f t="shared" si="351"/>
        <v>0</v>
      </c>
      <c r="BD1834" s="93">
        <f t="shared" si="352"/>
        <v>0</v>
      </c>
      <c r="BE1834" s="93">
        <v>0</v>
      </c>
      <c r="BF1834" s="93">
        <f t="shared" si="353"/>
        <v>0</v>
      </c>
      <c r="BH1834" s="93">
        <f t="shared" si="354"/>
        <v>0</v>
      </c>
      <c r="BI1834" s="93">
        <f t="shared" si="355"/>
        <v>0</v>
      </c>
      <c r="BJ1834" s="93">
        <f t="shared" si="356"/>
        <v>0</v>
      </c>
      <c r="BK1834" s="93"/>
      <c r="BL1834" s="93">
        <v>766</v>
      </c>
      <c r="BW1834" s="93" t="str">
        <f t="shared" si="357"/>
        <v>21</v>
      </c>
      <c r="BX1834" s="2" t="s">
        <v>2388</v>
      </c>
    </row>
    <row r="1835" spans="1:76" s="81" customFormat="1" ht="25.5" x14ac:dyDescent="0.25">
      <c r="A1835" s="72" t="s">
        <v>2389</v>
      </c>
      <c r="B1835" s="72" t="s">
        <v>55</v>
      </c>
      <c r="C1835" s="72" t="s">
        <v>2390</v>
      </c>
      <c r="D1835" s="175" t="s">
        <v>2391</v>
      </c>
      <c r="E1835" s="175"/>
      <c r="F1835" s="72" t="s">
        <v>203</v>
      </c>
      <c r="G1835" s="90">
        <v>1</v>
      </c>
      <c r="H1835" s="91"/>
      <c r="I1835" s="92" t="s">
        <v>63</v>
      </c>
      <c r="J1835" s="90">
        <f t="shared" si="332"/>
        <v>0</v>
      </c>
      <c r="K1835" s="90">
        <f t="shared" si="333"/>
        <v>0</v>
      </c>
      <c r="L1835" s="90">
        <f t="shared" si="334"/>
        <v>0</v>
      </c>
      <c r="M1835" s="90">
        <f t="shared" si="335"/>
        <v>0</v>
      </c>
      <c r="N1835" s="90">
        <v>0</v>
      </c>
      <c r="O1835" s="90">
        <f t="shared" si="336"/>
        <v>0</v>
      </c>
      <c r="P1835" s="92" t="s">
        <v>578</v>
      </c>
      <c r="Z1835" s="93">
        <f t="shared" si="337"/>
        <v>0</v>
      </c>
      <c r="AB1835" s="93">
        <f t="shared" si="338"/>
        <v>0</v>
      </c>
      <c r="AC1835" s="93">
        <f t="shared" si="339"/>
        <v>0</v>
      </c>
      <c r="AD1835" s="93">
        <f t="shared" si="340"/>
        <v>0</v>
      </c>
      <c r="AE1835" s="93">
        <f t="shared" si="341"/>
        <v>0</v>
      </c>
      <c r="AF1835" s="93">
        <f t="shared" si="342"/>
        <v>0</v>
      </c>
      <c r="AG1835" s="93">
        <f t="shared" si="343"/>
        <v>0</v>
      </c>
      <c r="AH1835" s="93">
        <f t="shared" si="344"/>
        <v>0</v>
      </c>
      <c r="AI1835" s="88" t="s">
        <v>55</v>
      </c>
      <c r="AJ1835" s="93">
        <f t="shared" si="345"/>
        <v>0</v>
      </c>
      <c r="AK1835" s="93">
        <f t="shared" si="346"/>
        <v>0</v>
      </c>
      <c r="AL1835" s="93">
        <f t="shared" si="347"/>
        <v>0</v>
      </c>
      <c r="AN1835" s="93">
        <v>21</v>
      </c>
      <c r="AO1835" s="93">
        <f>H1835*0.851472126</f>
        <v>0</v>
      </c>
      <c r="AP1835" s="93">
        <f>H1835*(1-0.851472126)</f>
        <v>0</v>
      </c>
      <c r="AQ1835" s="94" t="s">
        <v>148</v>
      </c>
      <c r="AV1835" s="93">
        <f t="shared" si="348"/>
        <v>0</v>
      </c>
      <c r="AW1835" s="93">
        <f t="shared" si="349"/>
        <v>0</v>
      </c>
      <c r="AX1835" s="93">
        <f t="shared" si="350"/>
        <v>0</v>
      </c>
      <c r="AY1835" s="94" t="s">
        <v>2328</v>
      </c>
      <c r="AZ1835" s="94" t="s">
        <v>2252</v>
      </c>
      <c r="BA1835" s="88" t="s">
        <v>67</v>
      </c>
      <c r="BC1835" s="93">
        <f t="shared" si="351"/>
        <v>0</v>
      </c>
      <c r="BD1835" s="93">
        <f t="shared" si="352"/>
        <v>0</v>
      </c>
      <c r="BE1835" s="93">
        <v>0</v>
      </c>
      <c r="BF1835" s="93">
        <f t="shared" si="353"/>
        <v>0</v>
      </c>
      <c r="BH1835" s="93">
        <f t="shared" si="354"/>
        <v>0</v>
      </c>
      <c r="BI1835" s="93">
        <f t="shared" si="355"/>
        <v>0</v>
      </c>
      <c r="BJ1835" s="93">
        <f t="shared" si="356"/>
        <v>0</v>
      </c>
      <c r="BK1835" s="93"/>
      <c r="BL1835" s="93">
        <v>766</v>
      </c>
      <c r="BW1835" s="93" t="str">
        <f t="shared" si="357"/>
        <v>21</v>
      </c>
      <c r="BX1835" s="2" t="s">
        <v>2391</v>
      </c>
    </row>
    <row r="1836" spans="1:76" s="81" customFormat="1" ht="25.5" x14ac:dyDescent="0.25">
      <c r="A1836" s="72" t="s">
        <v>2392</v>
      </c>
      <c r="B1836" s="72" t="s">
        <v>55</v>
      </c>
      <c r="C1836" s="72" t="s">
        <v>2393</v>
      </c>
      <c r="D1836" s="175" t="s">
        <v>2394</v>
      </c>
      <c r="E1836" s="175"/>
      <c r="F1836" s="72" t="s">
        <v>203</v>
      </c>
      <c r="G1836" s="90">
        <v>1</v>
      </c>
      <c r="H1836" s="91"/>
      <c r="I1836" s="92" t="s">
        <v>63</v>
      </c>
      <c r="J1836" s="90">
        <f t="shared" si="332"/>
        <v>0</v>
      </c>
      <c r="K1836" s="90">
        <f t="shared" si="333"/>
        <v>0</v>
      </c>
      <c r="L1836" s="90">
        <f t="shared" si="334"/>
        <v>0</v>
      </c>
      <c r="M1836" s="90">
        <f t="shared" si="335"/>
        <v>0</v>
      </c>
      <c r="N1836" s="90">
        <v>0</v>
      </c>
      <c r="O1836" s="90">
        <f t="shared" si="336"/>
        <v>0</v>
      </c>
      <c r="P1836" s="92" t="s">
        <v>578</v>
      </c>
      <c r="Z1836" s="93">
        <f t="shared" si="337"/>
        <v>0</v>
      </c>
      <c r="AB1836" s="93">
        <f t="shared" si="338"/>
        <v>0</v>
      </c>
      <c r="AC1836" s="93">
        <f t="shared" si="339"/>
        <v>0</v>
      </c>
      <c r="AD1836" s="93">
        <f t="shared" si="340"/>
        <v>0</v>
      </c>
      <c r="AE1836" s="93">
        <f t="shared" si="341"/>
        <v>0</v>
      </c>
      <c r="AF1836" s="93">
        <f t="shared" si="342"/>
        <v>0</v>
      </c>
      <c r="AG1836" s="93">
        <f t="shared" si="343"/>
        <v>0</v>
      </c>
      <c r="AH1836" s="93">
        <f t="shared" si="344"/>
        <v>0</v>
      </c>
      <c r="AI1836" s="88" t="s">
        <v>55</v>
      </c>
      <c r="AJ1836" s="93">
        <f t="shared" si="345"/>
        <v>0</v>
      </c>
      <c r="AK1836" s="93">
        <f t="shared" si="346"/>
        <v>0</v>
      </c>
      <c r="AL1836" s="93">
        <f t="shared" si="347"/>
        <v>0</v>
      </c>
      <c r="AN1836" s="93">
        <v>21</v>
      </c>
      <c r="AO1836" s="93">
        <f>H1836*0.851472544</f>
        <v>0</v>
      </c>
      <c r="AP1836" s="93">
        <f>H1836*(1-0.851472544)</f>
        <v>0</v>
      </c>
      <c r="AQ1836" s="94" t="s">
        <v>148</v>
      </c>
      <c r="AV1836" s="93">
        <f t="shared" si="348"/>
        <v>0</v>
      </c>
      <c r="AW1836" s="93">
        <f t="shared" si="349"/>
        <v>0</v>
      </c>
      <c r="AX1836" s="93">
        <f t="shared" si="350"/>
        <v>0</v>
      </c>
      <c r="AY1836" s="94" t="s">
        <v>2328</v>
      </c>
      <c r="AZ1836" s="94" t="s">
        <v>2252</v>
      </c>
      <c r="BA1836" s="88" t="s">
        <v>67</v>
      </c>
      <c r="BC1836" s="93">
        <f t="shared" si="351"/>
        <v>0</v>
      </c>
      <c r="BD1836" s="93">
        <f t="shared" si="352"/>
        <v>0</v>
      </c>
      <c r="BE1836" s="93">
        <v>0</v>
      </c>
      <c r="BF1836" s="93">
        <f t="shared" si="353"/>
        <v>0</v>
      </c>
      <c r="BH1836" s="93">
        <f t="shared" si="354"/>
        <v>0</v>
      </c>
      <c r="BI1836" s="93">
        <f t="shared" si="355"/>
        <v>0</v>
      </c>
      <c r="BJ1836" s="93">
        <f t="shared" si="356"/>
        <v>0</v>
      </c>
      <c r="BK1836" s="93"/>
      <c r="BL1836" s="93">
        <v>766</v>
      </c>
      <c r="BW1836" s="93" t="str">
        <f t="shared" si="357"/>
        <v>21</v>
      </c>
      <c r="BX1836" s="2" t="s">
        <v>2394</v>
      </c>
    </row>
    <row r="1837" spans="1:76" s="81" customFormat="1" ht="25.5" x14ac:dyDescent="0.25">
      <c r="A1837" s="72" t="s">
        <v>2395</v>
      </c>
      <c r="B1837" s="72" t="s">
        <v>55</v>
      </c>
      <c r="C1837" s="72" t="s">
        <v>2396</v>
      </c>
      <c r="D1837" s="175" t="s">
        <v>2397</v>
      </c>
      <c r="E1837" s="175"/>
      <c r="F1837" s="72" t="s">
        <v>203</v>
      </c>
      <c r="G1837" s="90">
        <v>3</v>
      </c>
      <c r="H1837" s="91"/>
      <c r="I1837" s="92" t="s">
        <v>63</v>
      </c>
      <c r="J1837" s="90">
        <f t="shared" si="332"/>
        <v>0</v>
      </c>
      <c r="K1837" s="90">
        <f t="shared" si="333"/>
        <v>0</v>
      </c>
      <c r="L1837" s="90">
        <f t="shared" si="334"/>
        <v>0</v>
      </c>
      <c r="M1837" s="90">
        <f t="shared" si="335"/>
        <v>0</v>
      </c>
      <c r="N1837" s="90">
        <v>0</v>
      </c>
      <c r="O1837" s="90">
        <f t="shared" si="336"/>
        <v>0</v>
      </c>
      <c r="P1837" s="92" t="s">
        <v>578</v>
      </c>
      <c r="Z1837" s="93">
        <f t="shared" si="337"/>
        <v>0</v>
      </c>
      <c r="AB1837" s="93">
        <f t="shared" si="338"/>
        <v>0</v>
      </c>
      <c r="AC1837" s="93">
        <f t="shared" si="339"/>
        <v>0</v>
      </c>
      <c r="AD1837" s="93">
        <f t="shared" si="340"/>
        <v>0</v>
      </c>
      <c r="AE1837" s="93">
        <f t="shared" si="341"/>
        <v>0</v>
      </c>
      <c r="AF1837" s="93">
        <f t="shared" si="342"/>
        <v>0</v>
      </c>
      <c r="AG1837" s="93">
        <f t="shared" si="343"/>
        <v>0</v>
      </c>
      <c r="AH1837" s="93">
        <f t="shared" si="344"/>
        <v>0</v>
      </c>
      <c r="AI1837" s="88" t="s">
        <v>55</v>
      </c>
      <c r="AJ1837" s="93">
        <f t="shared" si="345"/>
        <v>0</v>
      </c>
      <c r="AK1837" s="93">
        <f t="shared" si="346"/>
        <v>0</v>
      </c>
      <c r="AL1837" s="93">
        <f t="shared" si="347"/>
        <v>0</v>
      </c>
      <c r="AN1837" s="93">
        <v>21</v>
      </c>
      <c r="AO1837" s="93">
        <f>H1837*0.851472311</f>
        <v>0</v>
      </c>
      <c r="AP1837" s="93">
        <f>H1837*(1-0.851472311)</f>
        <v>0</v>
      </c>
      <c r="AQ1837" s="94" t="s">
        <v>148</v>
      </c>
      <c r="AV1837" s="93">
        <f t="shared" si="348"/>
        <v>0</v>
      </c>
      <c r="AW1837" s="93">
        <f t="shared" si="349"/>
        <v>0</v>
      </c>
      <c r="AX1837" s="93">
        <f t="shared" si="350"/>
        <v>0</v>
      </c>
      <c r="AY1837" s="94" t="s">
        <v>2328</v>
      </c>
      <c r="AZ1837" s="94" t="s">
        <v>2252</v>
      </c>
      <c r="BA1837" s="88" t="s">
        <v>67</v>
      </c>
      <c r="BC1837" s="93">
        <f t="shared" si="351"/>
        <v>0</v>
      </c>
      <c r="BD1837" s="93">
        <f t="shared" si="352"/>
        <v>0</v>
      </c>
      <c r="BE1837" s="93">
        <v>0</v>
      </c>
      <c r="BF1837" s="93">
        <f t="shared" si="353"/>
        <v>0</v>
      </c>
      <c r="BH1837" s="93">
        <f t="shared" si="354"/>
        <v>0</v>
      </c>
      <c r="BI1837" s="93">
        <f t="shared" si="355"/>
        <v>0</v>
      </c>
      <c r="BJ1837" s="93">
        <f t="shared" si="356"/>
        <v>0</v>
      </c>
      <c r="BK1837" s="93"/>
      <c r="BL1837" s="93">
        <v>766</v>
      </c>
      <c r="BW1837" s="93" t="str">
        <f t="shared" si="357"/>
        <v>21</v>
      </c>
      <c r="BX1837" s="2" t="s">
        <v>2397</v>
      </c>
    </row>
    <row r="1838" spans="1:76" s="81" customFormat="1" ht="25.5" x14ac:dyDescent="0.25">
      <c r="A1838" s="72" t="s">
        <v>2398</v>
      </c>
      <c r="B1838" s="72" t="s">
        <v>55</v>
      </c>
      <c r="C1838" s="72" t="s">
        <v>2399</v>
      </c>
      <c r="D1838" s="175" t="s">
        <v>2400</v>
      </c>
      <c r="E1838" s="175"/>
      <c r="F1838" s="72" t="s">
        <v>203</v>
      </c>
      <c r="G1838" s="90">
        <v>1</v>
      </c>
      <c r="H1838" s="91"/>
      <c r="I1838" s="92" t="s">
        <v>63</v>
      </c>
      <c r="J1838" s="90">
        <f t="shared" si="332"/>
        <v>0</v>
      </c>
      <c r="K1838" s="90">
        <f t="shared" si="333"/>
        <v>0</v>
      </c>
      <c r="L1838" s="90">
        <f t="shared" si="334"/>
        <v>0</v>
      </c>
      <c r="M1838" s="90">
        <f t="shared" si="335"/>
        <v>0</v>
      </c>
      <c r="N1838" s="90">
        <v>0</v>
      </c>
      <c r="O1838" s="90">
        <f t="shared" si="336"/>
        <v>0</v>
      </c>
      <c r="P1838" s="92" t="s">
        <v>578</v>
      </c>
      <c r="Z1838" s="93">
        <f t="shared" si="337"/>
        <v>0</v>
      </c>
      <c r="AB1838" s="93">
        <f t="shared" si="338"/>
        <v>0</v>
      </c>
      <c r="AC1838" s="93">
        <f t="shared" si="339"/>
        <v>0</v>
      </c>
      <c r="AD1838" s="93">
        <f t="shared" si="340"/>
        <v>0</v>
      </c>
      <c r="AE1838" s="93">
        <f t="shared" si="341"/>
        <v>0</v>
      </c>
      <c r="AF1838" s="93">
        <f t="shared" si="342"/>
        <v>0</v>
      </c>
      <c r="AG1838" s="93">
        <f t="shared" si="343"/>
        <v>0</v>
      </c>
      <c r="AH1838" s="93">
        <f t="shared" si="344"/>
        <v>0</v>
      </c>
      <c r="AI1838" s="88" t="s">
        <v>55</v>
      </c>
      <c r="AJ1838" s="93">
        <f t="shared" si="345"/>
        <v>0</v>
      </c>
      <c r="AK1838" s="93">
        <f t="shared" si="346"/>
        <v>0</v>
      </c>
      <c r="AL1838" s="93">
        <f t="shared" si="347"/>
        <v>0</v>
      </c>
      <c r="AN1838" s="93">
        <v>21</v>
      </c>
      <c r="AO1838" s="93">
        <f>H1838*0.851472418</f>
        <v>0</v>
      </c>
      <c r="AP1838" s="93">
        <f>H1838*(1-0.851472418)</f>
        <v>0</v>
      </c>
      <c r="AQ1838" s="94" t="s">
        <v>148</v>
      </c>
      <c r="AV1838" s="93">
        <f t="shared" si="348"/>
        <v>0</v>
      </c>
      <c r="AW1838" s="93">
        <f t="shared" si="349"/>
        <v>0</v>
      </c>
      <c r="AX1838" s="93">
        <f t="shared" si="350"/>
        <v>0</v>
      </c>
      <c r="AY1838" s="94" t="s">
        <v>2328</v>
      </c>
      <c r="AZ1838" s="94" t="s">
        <v>2252</v>
      </c>
      <c r="BA1838" s="88" t="s">
        <v>67</v>
      </c>
      <c r="BC1838" s="93">
        <f t="shared" si="351"/>
        <v>0</v>
      </c>
      <c r="BD1838" s="93">
        <f t="shared" si="352"/>
        <v>0</v>
      </c>
      <c r="BE1838" s="93">
        <v>0</v>
      </c>
      <c r="BF1838" s="93">
        <f t="shared" si="353"/>
        <v>0</v>
      </c>
      <c r="BH1838" s="93">
        <f t="shared" si="354"/>
        <v>0</v>
      </c>
      <c r="BI1838" s="93">
        <f t="shared" si="355"/>
        <v>0</v>
      </c>
      <c r="BJ1838" s="93">
        <f t="shared" si="356"/>
        <v>0</v>
      </c>
      <c r="BK1838" s="93"/>
      <c r="BL1838" s="93">
        <v>766</v>
      </c>
      <c r="BW1838" s="93" t="str">
        <f t="shared" si="357"/>
        <v>21</v>
      </c>
      <c r="BX1838" s="2" t="s">
        <v>2400</v>
      </c>
    </row>
    <row r="1839" spans="1:76" s="81" customFormat="1" ht="25.5" x14ac:dyDescent="0.25">
      <c r="A1839" s="72" t="s">
        <v>2401</v>
      </c>
      <c r="B1839" s="72" t="s">
        <v>55</v>
      </c>
      <c r="C1839" s="72" t="s">
        <v>2402</v>
      </c>
      <c r="D1839" s="175" t="s">
        <v>2403</v>
      </c>
      <c r="E1839" s="175"/>
      <c r="F1839" s="72" t="s">
        <v>203</v>
      </c>
      <c r="G1839" s="90">
        <v>8</v>
      </c>
      <c r="H1839" s="91"/>
      <c r="I1839" s="92" t="s">
        <v>63</v>
      </c>
      <c r="J1839" s="90">
        <f t="shared" si="332"/>
        <v>0</v>
      </c>
      <c r="K1839" s="90">
        <f t="shared" si="333"/>
        <v>0</v>
      </c>
      <c r="L1839" s="90">
        <f t="shared" si="334"/>
        <v>0</v>
      </c>
      <c r="M1839" s="90">
        <f t="shared" si="335"/>
        <v>0</v>
      </c>
      <c r="N1839" s="90">
        <v>0</v>
      </c>
      <c r="O1839" s="90">
        <f t="shared" si="336"/>
        <v>0</v>
      </c>
      <c r="P1839" s="92" t="s">
        <v>578</v>
      </c>
      <c r="Z1839" s="93">
        <f t="shared" si="337"/>
        <v>0</v>
      </c>
      <c r="AB1839" s="93">
        <f t="shared" si="338"/>
        <v>0</v>
      </c>
      <c r="AC1839" s="93">
        <f t="shared" si="339"/>
        <v>0</v>
      </c>
      <c r="AD1839" s="93">
        <f t="shared" si="340"/>
        <v>0</v>
      </c>
      <c r="AE1839" s="93">
        <f t="shared" si="341"/>
        <v>0</v>
      </c>
      <c r="AF1839" s="93">
        <f t="shared" si="342"/>
        <v>0</v>
      </c>
      <c r="AG1839" s="93">
        <f t="shared" si="343"/>
        <v>0</v>
      </c>
      <c r="AH1839" s="93">
        <f t="shared" si="344"/>
        <v>0</v>
      </c>
      <c r="AI1839" s="88" t="s">
        <v>55</v>
      </c>
      <c r="AJ1839" s="93">
        <f t="shared" si="345"/>
        <v>0</v>
      </c>
      <c r="AK1839" s="93">
        <f t="shared" si="346"/>
        <v>0</v>
      </c>
      <c r="AL1839" s="93">
        <f t="shared" si="347"/>
        <v>0</v>
      </c>
      <c r="AN1839" s="93">
        <v>21</v>
      </c>
      <c r="AO1839" s="93">
        <f>H1839*0.851472389</f>
        <v>0</v>
      </c>
      <c r="AP1839" s="93">
        <f>H1839*(1-0.851472389)</f>
        <v>0</v>
      </c>
      <c r="AQ1839" s="94" t="s">
        <v>148</v>
      </c>
      <c r="AV1839" s="93">
        <f t="shared" si="348"/>
        <v>0</v>
      </c>
      <c r="AW1839" s="93">
        <f t="shared" si="349"/>
        <v>0</v>
      </c>
      <c r="AX1839" s="93">
        <f t="shared" si="350"/>
        <v>0</v>
      </c>
      <c r="AY1839" s="94" t="s">
        <v>2328</v>
      </c>
      <c r="AZ1839" s="94" t="s">
        <v>2252</v>
      </c>
      <c r="BA1839" s="88" t="s">
        <v>67</v>
      </c>
      <c r="BC1839" s="93">
        <f t="shared" si="351"/>
        <v>0</v>
      </c>
      <c r="BD1839" s="93">
        <f t="shared" si="352"/>
        <v>0</v>
      </c>
      <c r="BE1839" s="93">
        <v>0</v>
      </c>
      <c r="BF1839" s="93">
        <f t="shared" si="353"/>
        <v>0</v>
      </c>
      <c r="BH1839" s="93">
        <f t="shared" si="354"/>
        <v>0</v>
      </c>
      <c r="BI1839" s="93">
        <f t="shared" si="355"/>
        <v>0</v>
      </c>
      <c r="BJ1839" s="93">
        <f t="shared" si="356"/>
        <v>0</v>
      </c>
      <c r="BK1839" s="93"/>
      <c r="BL1839" s="93">
        <v>766</v>
      </c>
      <c r="BW1839" s="93" t="str">
        <f t="shared" si="357"/>
        <v>21</v>
      </c>
      <c r="BX1839" s="2" t="s">
        <v>2403</v>
      </c>
    </row>
    <row r="1840" spans="1:76" s="81" customFormat="1" ht="25.5" x14ac:dyDescent="0.25">
      <c r="A1840" s="72" t="s">
        <v>2404</v>
      </c>
      <c r="B1840" s="72" t="s">
        <v>55</v>
      </c>
      <c r="C1840" s="72" t="s">
        <v>2405</v>
      </c>
      <c r="D1840" s="175" t="s">
        <v>2406</v>
      </c>
      <c r="E1840" s="175"/>
      <c r="F1840" s="72" t="s">
        <v>203</v>
      </c>
      <c r="G1840" s="90">
        <v>9</v>
      </c>
      <c r="H1840" s="91"/>
      <c r="I1840" s="92" t="s">
        <v>63</v>
      </c>
      <c r="J1840" s="90">
        <f t="shared" si="332"/>
        <v>0</v>
      </c>
      <c r="K1840" s="90">
        <f t="shared" si="333"/>
        <v>0</v>
      </c>
      <c r="L1840" s="90">
        <f t="shared" si="334"/>
        <v>0</v>
      </c>
      <c r="M1840" s="90">
        <f t="shared" si="335"/>
        <v>0</v>
      </c>
      <c r="N1840" s="90">
        <v>0</v>
      </c>
      <c r="O1840" s="90">
        <f t="shared" si="336"/>
        <v>0</v>
      </c>
      <c r="P1840" s="92" t="s">
        <v>578</v>
      </c>
      <c r="Z1840" s="93">
        <f t="shared" si="337"/>
        <v>0</v>
      </c>
      <c r="AB1840" s="93">
        <f t="shared" si="338"/>
        <v>0</v>
      </c>
      <c r="AC1840" s="93">
        <f t="shared" si="339"/>
        <v>0</v>
      </c>
      <c r="AD1840" s="93">
        <f t="shared" si="340"/>
        <v>0</v>
      </c>
      <c r="AE1840" s="93">
        <f t="shared" si="341"/>
        <v>0</v>
      </c>
      <c r="AF1840" s="93">
        <f t="shared" si="342"/>
        <v>0</v>
      </c>
      <c r="AG1840" s="93">
        <f t="shared" si="343"/>
        <v>0</v>
      </c>
      <c r="AH1840" s="93">
        <f t="shared" si="344"/>
        <v>0</v>
      </c>
      <c r="AI1840" s="88" t="s">
        <v>55</v>
      </c>
      <c r="AJ1840" s="93">
        <f t="shared" si="345"/>
        <v>0</v>
      </c>
      <c r="AK1840" s="93">
        <f t="shared" si="346"/>
        <v>0</v>
      </c>
      <c r="AL1840" s="93">
        <f t="shared" si="347"/>
        <v>0</v>
      </c>
      <c r="AN1840" s="93">
        <v>21</v>
      </c>
      <c r="AO1840" s="93">
        <f>H1840*0.851472389</f>
        <v>0</v>
      </c>
      <c r="AP1840" s="93">
        <f>H1840*(1-0.851472389)</f>
        <v>0</v>
      </c>
      <c r="AQ1840" s="94" t="s">
        <v>148</v>
      </c>
      <c r="AV1840" s="93">
        <f t="shared" si="348"/>
        <v>0</v>
      </c>
      <c r="AW1840" s="93">
        <f t="shared" si="349"/>
        <v>0</v>
      </c>
      <c r="AX1840" s="93">
        <f t="shared" si="350"/>
        <v>0</v>
      </c>
      <c r="AY1840" s="94" t="s">
        <v>2328</v>
      </c>
      <c r="AZ1840" s="94" t="s">
        <v>2252</v>
      </c>
      <c r="BA1840" s="88" t="s">
        <v>67</v>
      </c>
      <c r="BC1840" s="93">
        <f t="shared" si="351"/>
        <v>0</v>
      </c>
      <c r="BD1840" s="93">
        <f t="shared" si="352"/>
        <v>0</v>
      </c>
      <c r="BE1840" s="93">
        <v>0</v>
      </c>
      <c r="BF1840" s="93">
        <f t="shared" si="353"/>
        <v>0</v>
      </c>
      <c r="BH1840" s="93">
        <f t="shared" si="354"/>
        <v>0</v>
      </c>
      <c r="BI1840" s="93">
        <f t="shared" si="355"/>
        <v>0</v>
      </c>
      <c r="BJ1840" s="93">
        <f t="shared" si="356"/>
        <v>0</v>
      </c>
      <c r="BK1840" s="93"/>
      <c r="BL1840" s="93">
        <v>766</v>
      </c>
      <c r="BW1840" s="93" t="str">
        <f t="shared" si="357"/>
        <v>21</v>
      </c>
      <c r="BX1840" s="2" t="s">
        <v>2406</v>
      </c>
    </row>
    <row r="1841" spans="1:76" s="81" customFormat="1" ht="25.5" x14ac:dyDescent="0.25">
      <c r="A1841" s="72" t="s">
        <v>2407</v>
      </c>
      <c r="B1841" s="72" t="s">
        <v>55</v>
      </c>
      <c r="C1841" s="72" t="s">
        <v>2408</v>
      </c>
      <c r="D1841" s="175" t="s">
        <v>2409</v>
      </c>
      <c r="E1841" s="175"/>
      <c r="F1841" s="72" t="s">
        <v>203</v>
      </c>
      <c r="G1841" s="90">
        <v>1</v>
      </c>
      <c r="H1841" s="91"/>
      <c r="I1841" s="92" t="s">
        <v>63</v>
      </c>
      <c r="J1841" s="90">
        <f t="shared" si="332"/>
        <v>0</v>
      </c>
      <c r="K1841" s="90">
        <f t="shared" si="333"/>
        <v>0</v>
      </c>
      <c r="L1841" s="90">
        <f t="shared" si="334"/>
        <v>0</v>
      </c>
      <c r="M1841" s="90">
        <f t="shared" si="335"/>
        <v>0</v>
      </c>
      <c r="N1841" s="90">
        <v>0</v>
      </c>
      <c r="O1841" s="90">
        <f t="shared" si="336"/>
        <v>0</v>
      </c>
      <c r="P1841" s="92" t="s">
        <v>578</v>
      </c>
      <c r="Z1841" s="93">
        <f t="shared" si="337"/>
        <v>0</v>
      </c>
      <c r="AB1841" s="93">
        <f t="shared" si="338"/>
        <v>0</v>
      </c>
      <c r="AC1841" s="93">
        <f t="shared" si="339"/>
        <v>0</v>
      </c>
      <c r="AD1841" s="93">
        <f t="shared" si="340"/>
        <v>0</v>
      </c>
      <c r="AE1841" s="93">
        <f t="shared" si="341"/>
        <v>0</v>
      </c>
      <c r="AF1841" s="93">
        <f t="shared" si="342"/>
        <v>0</v>
      </c>
      <c r="AG1841" s="93">
        <f t="shared" si="343"/>
        <v>0</v>
      </c>
      <c r="AH1841" s="93">
        <f t="shared" si="344"/>
        <v>0</v>
      </c>
      <c r="AI1841" s="88" t="s">
        <v>55</v>
      </c>
      <c r="AJ1841" s="93">
        <f t="shared" si="345"/>
        <v>0</v>
      </c>
      <c r="AK1841" s="93">
        <f t="shared" si="346"/>
        <v>0</v>
      </c>
      <c r="AL1841" s="93">
        <f t="shared" si="347"/>
        <v>0</v>
      </c>
      <c r="AN1841" s="93">
        <v>21</v>
      </c>
      <c r="AO1841" s="93">
        <f>H1841*0.851472389</f>
        <v>0</v>
      </c>
      <c r="AP1841" s="93">
        <f>H1841*(1-0.851472389)</f>
        <v>0</v>
      </c>
      <c r="AQ1841" s="94" t="s">
        <v>148</v>
      </c>
      <c r="AV1841" s="93">
        <f t="shared" si="348"/>
        <v>0</v>
      </c>
      <c r="AW1841" s="93">
        <f t="shared" si="349"/>
        <v>0</v>
      </c>
      <c r="AX1841" s="93">
        <f t="shared" si="350"/>
        <v>0</v>
      </c>
      <c r="AY1841" s="94" t="s">
        <v>2328</v>
      </c>
      <c r="AZ1841" s="94" t="s">
        <v>2252</v>
      </c>
      <c r="BA1841" s="88" t="s">
        <v>67</v>
      </c>
      <c r="BC1841" s="93">
        <f t="shared" si="351"/>
        <v>0</v>
      </c>
      <c r="BD1841" s="93">
        <f t="shared" si="352"/>
        <v>0</v>
      </c>
      <c r="BE1841" s="93">
        <v>0</v>
      </c>
      <c r="BF1841" s="93">
        <f t="shared" si="353"/>
        <v>0</v>
      </c>
      <c r="BH1841" s="93">
        <f t="shared" si="354"/>
        <v>0</v>
      </c>
      <c r="BI1841" s="93">
        <f t="shared" si="355"/>
        <v>0</v>
      </c>
      <c r="BJ1841" s="93">
        <f t="shared" si="356"/>
        <v>0</v>
      </c>
      <c r="BK1841" s="93"/>
      <c r="BL1841" s="93">
        <v>766</v>
      </c>
      <c r="BW1841" s="93" t="str">
        <f t="shared" si="357"/>
        <v>21</v>
      </c>
      <c r="BX1841" s="2" t="s">
        <v>2409</v>
      </c>
    </row>
    <row r="1842" spans="1:76" s="81" customFormat="1" ht="25.5" x14ac:dyDescent="0.25">
      <c r="A1842" s="72" t="s">
        <v>2410</v>
      </c>
      <c r="B1842" s="72" t="s">
        <v>55</v>
      </c>
      <c r="C1842" s="72" t="s">
        <v>2411</v>
      </c>
      <c r="D1842" s="175" t="s">
        <v>2412</v>
      </c>
      <c r="E1842" s="175"/>
      <c r="F1842" s="72" t="s">
        <v>203</v>
      </c>
      <c r="G1842" s="90">
        <v>1</v>
      </c>
      <c r="H1842" s="91"/>
      <c r="I1842" s="92" t="s">
        <v>63</v>
      </c>
      <c r="J1842" s="90">
        <f t="shared" si="332"/>
        <v>0</v>
      </c>
      <c r="K1842" s="90">
        <f t="shared" si="333"/>
        <v>0</v>
      </c>
      <c r="L1842" s="90">
        <f t="shared" si="334"/>
        <v>0</v>
      </c>
      <c r="M1842" s="90">
        <f t="shared" si="335"/>
        <v>0</v>
      </c>
      <c r="N1842" s="90">
        <v>0</v>
      </c>
      <c r="O1842" s="90">
        <f t="shared" si="336"/>
        <v>0</v>
      </c>
      <c r="P1842" s="92" t="s">
        <v>578</v>
      </c>
      <c r="Z1842" s="93">
        <f t="shared" si="337"/>
        <v>0</v>
      </c>
      <c r="AB1842" s="93">
        <f t="shared" si="338"/>
        <v>0</v>
      </c>
      <c r="AC1842" s="93">
        <f t="shared" si="339"/>
        <v>0</v>
      </c>
      <c r="AD1842" s="93">
        <f t="shared" si="340"/>
        <v>0</v>
      </c>
      <c r="AE1842" s="93">
        <f t="shared" si="341"/>
        <v>0</v>
      </c>
      <c r="AF1842" s="93">
        <f t="shared" si="342"/>
        <v>0</v>
      </c>
      <c r="AG1842" s="93">
        <f t="shared" si="343"/>
        <v>0</v>
      </c>
      <c r="AH1842" s="93">
        <f t="shared" si="344"/>
        <v>0</v>
      </c>
      <c r="AI1842" s="88" t="s">
        <v>55</v>
      </c>
      <c r="AJ1842" s="93">
        <f t="shared" si="345"/>
        <v>0</v>
      </c>
      <c r="AK1842" s="93">
        <f t="shared" si="346"/>
        <v>0</v>
      </c>
      <c r="AL1842" s="93">
        <f t="shared" si="347"/>
        <v>0</v>
      </c>
      <c r="AN1842" s="93">
        <v>21</v>
      </c>
      <c r="AO1842" s="93">
        <f>H1842*0.851472653</f>
        <v>0</v>
      </c>
      <c r="AP1842" s="93">
        <f>H1842*(1-0.851472653)</f>
        <v>0</v>
      </c>
      <c r="AQ1842" s="94" t="s">
        <v>148</v>
      </c>
      <c r="AV1842" s="93">
        <f t="shared" si="348"/>
        <v>0</v>
      </c>
      <c r="AW1842" s="93">
        <f t="shared" si="349"/>
        <v>0</v>
      </c>
      <c r="AX1842" s="93">
        <f t="shared" si="350"/>
        <v>0</v>
      </c>
      <c r="AY1842" s="94" t="s">
        <v>2328</v>
      </c>
      <c r="AZ1842" s="94" t="s">
        <v>2252</v>
      </c>
      <c r="BA1842" s="88" t="s">
        <v>67</v>
      </c>
      <c r="BC1842" s="93">
        <f t="shared" si="351"/>
        <v>0</v>
      </c>
      <c r="BD1842" s="93">
        <f t="shared" si="352"/>
        <v>0</v>
      </c>
      <c r="BE1842" s="93">
        <v>0</v>
      </c>
      <c r="BF1842" s="93">
        <f t="shared" si="353"/>
        <v>0</v>
      </c>
      <c r="BH1842" s="93">
        <f t="shared" si="354"/>
        <v>0</v>
      </c>
      <c r="BI1842" s="93">
        <f t="shared" si="355"/>
        <v>0</v>
      </c>
      <c r="BJ1842" s="93">
        <f t="shared" si="356"/>
        <v>0</v>
      </c>
      <c r="BK1842" s="93"/>
      <c r="BL1842" s="93">
        <v>766</v>
      </c>
      <c r="BW1842" s="93" t="str">
        <f t="shared" si="357"/>
        <v>21</v>
      </c>
      <c r="BX1842" s="2" t="s">
        <v>2412</v>
      </c>
    </row>
    <row r="1843" spans="1:76" s="81" customFormat="1" ht="25.5" x14ac:dyDescent="0.25">
      <c r="A1843" s="72" t="s">
        <v>2413</v>
      </c>
      <c r="B1843" s="72" t="s">
        <v>55</v>
      </c>
      <c r="C1843" s="72" t="s">
        <v>2414</v>
      </c>
      <c r="D1843" s="175" t="s">
        <v>2415</v>
      </c>
      <c r="E1843" s="175"/>
      <c r="F1843" s="72" t="s">
        <v>203</v>
      </c>
      <c r="G1843" s="90">
        <v>1</v>
      </c>
      <c r="H1843" s="91"/>
      <c r="I1843" s="92" t="s">
        <v>63</v>
      </c>
      <c r="J1843" s="90">
        <f t="shared" si="332"/>
        <v>0</v>
      </c>
      <c r="K1843" s="90">
        <f t="shared" si="333"/>
        <v>0</v>
      </c>
      <c r="L1843" s="90">
        <f t="shared" si="334"/>
        <v>0</v>
      </c>
      <c r="M1843" s="90">
        <f t="shared" si="335"/>
        <v>0</v>
      </c>
      <c r="N1843" s="90">
        <v>0</v>
      </c>
      <c r="O1843" s="90">
        <f t="shared" si="336"/>
        <v>0</v>
      </c>
      <c r="P1843" s="92" t="s">
        <v>578</v>
      </c>
      <c r="Z1843" s="93">
        <f t="shared" si="337"/>
        <v>0</v>
      </c>
      <c r="AB1843" s="93">
        <f t="shared" si="338"/>
        <v>0</v>
      </c>
      <c r="AC1843" s="93">
        <f t="shared" si="339"/>
        <v>0</v>
      </c>
      <c r="AD1843" s="93">
        <f t="shared" si="340"/>
        <v>0</v>
      </c>
      <c r="AE1843" s="93">
        <f t="shared" si="341"/>
        <v>0</v>
      </c>
      <c r="AF1843" s="93">
        <f t="shared" si="342"/>
        <v>0</v>
      </c>
      <c r="AG1843" s="93">
        <f t="shared" si="343"/>
        <v>0</v>
      </c>
      <c r="AH1843" s="93">
        <f t="shared" si="344"/>
        <v>0</v>
      </c>
      <c r="AI1843" s="88" t="s">
        <v>55</v>
      </c>
      <c r="AJ1843" s="93">
        <f t="shared" si="345"/>
        <v>0</v>
      </c>
      <c r="AK1843" s="93">
        <f t="shared" si="346"/>
        <v>0</v>
      </c>
      <c r="AL1843" s="93">
        <f t="shared" si="347"/>
        <v>0</v>
      </c>
      <c r="AN1843" s="93">
        <v>21</v>
      </c>
      <c r="AO1843" s="93">
        <f>H1843*0.851472395</f>
        <v>0</v>
      </c>
      <c r="AP1843" s="93">
        <f>H1843*(1-0.851472395)</f>
        <v>0</v>
      </c>
      <c r="AQ1843" s="94" t="s">
        <v>148</v>
      </c>
      <c r="AV1843" s="93">
        <f t="shared" si="348"/>
        <v>0</v>
      </c>
      <c r="AW1843" s="93">
        <f t="shared" si="349"/>
        <v>0</v>
      </c>
      <c r="AX1843" s="93">
        <f t="shared" si="350"/>
        <v>0</v>
      </c>
      <c r="AY1843" s="94" t="s">
        <v>2328</v>
      </c>
      <c r="AZ1843" s="94" t="s">
        <v>2252</v>
      </c>
      <c r="BA1843" s="88" t="s">
        <v>67</v>
      </c>
      <c r="BC1843" s="93">
        <f t="shared" si="351"/>
        <v>0</v>
      </c>
      <c r="BD1843" s="93">
        <f t="shared" si="352"/>
        <v>0</v>
      </c>
      <c r="BE1843" s="93">
        <v>0</v>
      </c>
      <c r="BF1843" s="93">
        <f t="shared" si="353"/>
        <v>0</v>
      </c>
      <c r="BH1843" s="93">
        <f t="shared" si="354"/>
        <v>0</v>
      </c>
      <c r="BI1843" s="93">
        <f t="shared" si="355"/>
        <v>0</v>
      </c>
      <c r="BJ1843" s="93">
        <f t="shared" si="356"/>
        <v>0</v>
      </c>
      <c r="BK1843" s="93"/>
      <c r="BL1843" s="93">
        <v>766</v>
      </c>
      <c r="BW1843" s="93" t="str">
        <f t="shared" si="357"/>
        <v>21</v>
      </c>
      <c r="BX1843" s="2" t="s">
        <v>2415</v>
      </c>
    </row>
    <row r="1844" spans="1:76" s="81" customFormat="1" ht="25.5" x14ac:dyDescent="0.25">
      <c r="A1844" s="72" t="s">
        <v>2416</v>
      </c>
      <c r="B1844" s="72" t="s">
        <v>55</v>
      </c>
      <c r="C1844" s="72" t="s">
        <v>2417</v>
      </c>
      <c r="D1844" s="175" t="s">
        <v>2418</v>
      </c>
      <c r="E1844" s="175"/>
      <c r="F1844" s="72" t="s">
        <v>203</v>
      </c>
      <c r="G1844" s="90">
        <v>1</v>
      </c>
      <c r="H1844" s="91"/>
      <c r="I1844" s="92" t="s">
        <v>63</v>
      </c>
      <c r="J1844" s="90">
        <f t="shared" si="332"/>
        <v>0</v>
      </c>
      <c r="K1844" s="90">
        <f t="shared" si="333"/>
        <v>0</v>
      </c>
      <c r="L1844" s="90">
        <f t="shared" si="334"/>
        <v>0</v>
      </c>
      <c r="M1844" s="90">
        <f t="shared" si="335"/>
        <v>0</v>
      </c>
      <c r="N1844" s="90">
        <v>0</v>
      </c>
      <c r="O1844" s="90">
        <f t="shared" si="336"/>
        <v>0</v>
      </c>
      <c r="P1844" s="92" t="s">
        <v>578</v>
      </c>
      <c r="Z1844" s="93">
        <f t="shared" si="337"/>
        <v>0</v>
      </c>
      <c r="AB1844" s="93">
        <f t="shared" si="338"/>
        <v>0</v>
      </c>
      <c r="AC1844" s="93">
        <f t="shared" si="339"/>
        <v>0</v>
      </c>
      <c r="AD1844" s="93">
        <f t="shared" si="340"/>
        <v>0</v>
      </c>
      <c r="AE1844" s="93">
        <f t="shared" si="341"/>
        <v>0</v>
      </c>
      <c r="AF1844" s="93">
        <f t="shared" si="342"/>
        <v>0</v>
      </c>
      <c r="AG1844" s="93">
        <f t="shared" si="343"/>
        <v>0</v>
      </c>
      <c r="AH1844" s="93">
        <f t="shared" si="344"/>
        <v>0</v>
      </c>
      <c r="AI1844" s="88" t="s">
        <v>55</v>
      </c>
      <c r="AJ1844" s="93">
        <f t="shared" si="345"/>
        <v>0</v>
      </c>
      <c r="AK1844" s="93">
        <f t="shared" si="346"/>
        <v>0</v>
      </c>
      <c r="AL1844" s="93">
        <f t="shared" si="347"/>
        <v>0</v>
      </c>
      <c r="AN1844" s="93">
        <v>21</v>
      </c>
      <c r="AO1844" s="93">
        <f>H1844*0.851471739</f>
        <v>0</v>
      </c>
      <c r="AP1844" s="93">
        <f>H1844*(1-0.851471739)</f>
        <v>0</v>
      </c>
      <c r="AQ1844" s="94" t="s">
        <v>148</v>
      </c>
      <c r="AV1844" s="93">
        <f t="shared" si="348"/>
        <v>0</v>
      </c>
      <c r="AW1844" s="93">
        <f t="shared" si="349"/>
        <v>0</v>
      </c>
      <c r="AX1844" s="93">
        <f t="shared" si="350"/>
        <v>0</v>
      </c>
      <c r="AY1844" s="94" t="s">
        <v>2328</v>
      </c>
      <c r="AZ1844" s="94" t="s">
        <v>2252</v>
      </c>
      <c r="BA1844" s="88" t="s">
        <v>67</v>
      </c>
      <c r="BC1844" s="93">
        <f t="shared" si="351"/>
        <v>0</v>
      </c>
      <c r="BD1844" s="93">
        <f t="shared" si="352"/>
        <v>0</v>
      </c>
      <c r="BE1844" s="93">
        <v>0</v>
      </c>
      <c r="BF1844" s="93">
        <f t="shared" si="353"/>
        <v>0</v>
      </c>
      <c r="BH1844" s="93">
        <f t="shared" si="354"/>
        <v>0</v>
      </c>
      <c r="BI1844" s="93">
        <f t="shared" si="355"/>
        <v>0</v>
      </c>
      <c r="BJ1844" s="93">
        <f t="shared" si="356"/>
        <v>0</v>
      </c>
      <c r="BK1844" s="93"/>
      <c r="BL1844" s="93">
        <v>766</v>
      </c>
      <c r="BW1844" s="93" t="str">
        <f t="shared" si="357"/>
        <v>21</v>
      </c>
      <c r="BX1844" s="2" t="s">
        <v>2418</v>
      </c>
    </row>
    <row r="1845" spans="1:76" s="81" customFormat="1" ht="25.5" x14ac:dyDescent="0.25">
      <c r="A1845" s="72" t="s">
        <v>2419</v>
      </c>
      <c r="B1845" s="72" t="s">
        <v>55</v>
      </c>
      <c r="C1845" s="72" t="s">
        <v>2420</v>
      </c>
      <c r="D1845" s="175" t="s">
        <v>2421</v>
      </c>
      <c r="E1845" s="175"/>
      <c r="F1845" s="72" t="s">
        <v>203</v>
      </c>
      <c r="G1845" s="90">
        <v>1</v>
      </c>
      <c r="H1845" s="91"/>
      <c r="I1845" s="92" t="s">
        <v>63</v>
      </c>
      <c r="J1845" s="90">
        <f t="shared" si="332"/>
        <v>0</v>
      </c>
      <c r="K1845" s="90">
        <f t="shared" si="333"/>
        <v>0</v>
      </c>
      <c r="L1845" s="90">
        <f t="shared" si="334"/>
        <v>0</v>
      </c>
      <c r="M1845" s="90">
        <f t="shared" si="335"/>
        <v>0</v>
      </c>
      <c r="N1845" s="90">
        <v>0</v>
      </c>
      <c r="O1845" s="90">
        <f t="shared" si="336"/>
        <v>0</v>
      </c>
      <c r="P1845" s="92" t="s">
        <v>578</v>
      </c>
      <c r="Z1845" s="93">
        <f t="shared" si="337"/>
        <v>0</v>
      </c>
      <c r="AB1845" s="93">
        <f t="shared" si="338"/>
        <v>0</v>
      </c>
      <c r="AC1845" s="93">
        <f t="shared" si="339"/>
        <v>0</v>
      </c>
      <c r="AD1845" s="93">
        <f t="shared" si="340"/>
        <v>0</v>
      </c>
      <c r="AE1845" s="93">
        <f t="shared" si="341"/>
        <v>0</v>
      </c>
      <c r="AF1845" s="93">
        <f t="shared" si="342"/>
        <v>0</v>
      </c>
      <c r="AG1845" s="93">
        <f t="shared" si="343"/>
        <v>0</v>
      </c>
      <c r="AH1845" s="93">
        <f t="shared" si="344"/>
        <v>0</v>
      </c>
      <c r="AI1845" s="88" t="s">
        <v>55</v>
      </c>
      <c r="AJ1845" s="93">
        <f t="shared" si="345"/>
        <v>0</v>
      </c>
      <c r="AK1845" s="93">
        <f t="shared" si="346"/>
        <v>0</v>
      </c>
      <c r="AL1845" s="93">
        <f t="shared" si="347"/>
        <v>0</v>
      </c>
      <c r="AN1845" s="93">
        <v>21</v>
      </c>
      <c r="AO1845" s="93">
        <f>H1845*0.851472315</f>
        <v>0</v>
      </c>
      <c r="AP1845" s="93">
        <f>H1845*(1-0.851472315)</f>
        <v>0</v>
      </c>
      <c r="AQ1845" s="94" t="s">
        <v>148</v>
      </c>
      <c r="AV1845" s="93">
        <f t="shared" si="348"/>
        <v>0</v>
      </c>
      <c r="AW1845" s="93">
        <f t="shared" si="349"/>
        <v>0</v>
      </c>
      <c r="AX1845" s="93">
        <f t="shared" si="350"/>
        <v>0</v>
      </c>
      <c r="AY1845" s="94" t="s">
        <v>2328</v>
      </c>
      <c r="AZ1845" s="94" t="s">
        <v>2252</v>
      </c>
      <c r="BA1845" s="88" t="s">
        <v>67</v>
      </c>
      <c r="BC1845" s="93">
        <f t="shared" si="351"/>
        <v>0</v>
      </c>
      <c r="BD1845" s="93">
        <f t="shared" si="352"/>
        <v>0</v>
      </c>
      <c r="BE1845" s="93">
        <v>0</v>
      </c>
      <c r="BF1845" s="93">
        <f t="shared" si="353"/>
        <v>0</v>
      </c>
      <c r="BH1845" s="93">
        <f t="shared" si="354"/>
        <v>0</v>
      </c>
      <c r="BI1845" s="93">
        <f t="shared" si="355"/>
        <v>0</v>
      </c>
      <c r="BJ1845" s="93">
        <f t="shared" si="356"/>
        <v>0</v>
      </c>
      <c r="BK1845" s="93"/>
      <c r="BL1845" s="93">
        <v>766</v>
      </c>
      <c r="BW1845" s="93" t="str">
        <f t="shared" si="357"/>
        <v>21</v>
      </c>
      <c r="BX1845" s="2" t="s">
        <v>2421</v>
      </c>
    </row>
    <row r="1846" spans="1:76" s="81" customFormat="1" ht="25.5" x14ac:dyDescent="0.25">
      <c r="A1846" s="72" t="s">
        <v>2422</v>
      </c>
      <c r="B1846" s="72" t="s">
        <v>55</v>
      </c>
      <c r="C1846" s="72" t="s">
        <v>2423</v>
      </c>
      <c r="D1846" s="175" t="s">
        <v>2424</v>
      </c>
      <c r="E1846" s="175"/>
      <c r="F1846" s="72" t="s">
        <v>203</v>
      </c>
      <c r="G1846" s="90">
        <v>1</v>
      </c>
      <c r="H1846" s="91"/>
      <c r="I1846" s="92" t="s">
        <v>63</v>
      </c>
      <c r="J1846" s="90">
        <f t="shared" si="332"/>
        <v>0</v>
      </c>
      <c r="K1846" s="90">
        <f t="shared" si="333"/>
        <v>0</v>
      </c>
      <c r="L1846" s="90">
        <f t="shared" si="334"/>
        <v>0</v>
      </c>
      <c r="M1846" s="90">
        <f t="shared" si="335"/>
        <v>0</v>
      </c>
      <c r="N1846" s="90">
        <v>0</v>
      </c>
      <c r="O1846" s="90">
        <f t="shared" si="336"/>
        <v>0</v>
      </c>
      <c r="P1846" s="92" t="s">
        <v>578</v>
      </c>
      <c r="Z1846" s="93">
        <f t="shared" si="337"/>
        <v>0</v>
      </c>
      <c r="AB1846" s="93">
        <f t="shared" si="338"/>
        <v>0</v>
      </c>
      <c r="AC1846" s="93">
        <f t="shared" si="339"/>
        <v>0</v>
      </c>
      <c r="AD1846" s="93">
        <f t="shared" si="340"/>
        <v>0</v>
      </c>
      <c r="AE1846" s="93">
        <f t="shared" si="341"/>
        <v>0</v>
      </c>
      <c r="AF1846" s="93">
        <f t="shared" si="342"/>
        <v>0</v>
      </c>
      <c r="AG1846" s="93">
        <f t="shared" si="343"/>
        <v>0</v>
      </c>
      <c r="AH1846" s="93">
        <f t="shared" si="344"/>
        <v>0</v>
      </c>
      <c r="AI1846" s="88" t="s">
        <v>55</v>
      </c>
      <c r="AJ1846" s="93">
        <f t="shared" si="345"/>
        <v>0</v>
      </c>
      <c r="AK1846" s="93">
        <f t="shared" si="346"/>
        <v>0</v>
      </c>
      <c r="AL1846" s="93">
        <f t="shared" si="347"/>
        <v>0</v>
      </c>
      <c r="AN1846" s="93">
        <v>21</v>
      </c>
      <c r="AO1846" s="93">
        <f>H1846*0.851472748</f>
        <v>0</v>
      </c>
      <c r="AP1846" s="93">
        <f>H1846*(1-0.851472748)</f>
        <v>0</v>
      </c>
      <c r="AQ1846" s="94" t="s">
        <v>148</v>
      </c>
      <c r="AV1846" s="93">
        <f t="shared" si="348"/>
        <v>0</v>
      </c>
      <c r="AW1846" s="93">
        <f t="shared" si="349"/>
        <v>0</v>
      </c>
      <c r="AX1846" s="93">
        <f t="shared" si="350"/>
        <v>0</v>
      </c>
      <c r="AY1846" s="94" t="s">
        <v>2328</v>
      </c>
      <c r="AZ1846" s="94" t="s">
        <v>2252</v>
      </c>
      <c r="BA1846" s="88" t="s">
        <v>67</v>
      </c>
      <c r="BC1846" s="93">
        <f t="shared" si="351"/>
        <v>0</v>
      </c>
      <c r="BD1846" s="93">
        <f t="shared" si="352"/>
        <v>0</v>
      </c>
      <c r="BE1846" s="93">
        <v>0</v>
      </c>
      <c r="BF1846" s="93">
        <f t="shared" si="353"/>
        <v>0</v>
      </c>
      <c r="BH1846" s="93">
        <f t="shared" si="354"/>
        <v>0</v>
      </c>
      <c r="BI1846" s="93">
        <f t="shared" si="355"/>
        <v>0</v>
      </c>
      <c r="BJ1846" s="93">
        <f t="shared" si="356"/>
        <v>0</v>
      </c>
      <c r="BK1846" s="93"/>
      <c r="BL1846" s="93">
        <v>766</v>
      </c>
      <c r="BW1846" s="93" t="str">
        <f t="shared" si="357"/>
        <v>21</v>
      </c>
      <c r="BX1846" s="2" t="s">
        <v>2424</v>
      </c>
    </row>
    <row r="1847" spans="1:76" s="81" customFormat="1" ht="25.5" x14ac:dyDescent="0.25">
      <c r="A1847" s="72" t="s">
        <v>2425</v>
      </c>
      <c r="B1847" s="72" t="s">
        <v>55</v>
      </c>
      <c r="C1847" s="72" t="s">
        <v>2426</v>
      </c>
      <c r="D1847" s="175" t="s">
        <v>2427</v>
      </c>
      <c r="E1847" s="175"/>
      <c r="F1847" s="72" t="s">
        <v>203</v>
      </c>
      <c r="G1847" s="90">
        <v>1</v>
      </c>
      <c r="H1847" s="91"/>
      <c r="I1847" s="92" t="s">
        <v>63</v>
      </c>
      <c r="J1847" s="90">
        <f t="shared" si="332"/>
        <v>0</v>
      </c>
      <c r="K1847" s="90">
        <f t="shared" si="333"/>
        <v>0</v>
      </c>
      <c r="L1847" s="90">
        <f t="shared" si="334"/>
        <v>0</v>
      </c>
      <c r="M1847" s="90">
        <f t="shared" si="335"/>
        <v>0</v>
      </c>
      <c r="N1847" s="90">
        <v>0</v>
      </c>
      <c r="O1847" s="90">
        <f t="shared" si="336"/>
        <v>0</v>
      </c>
      <c r="P1847" s="92" t="s">
        <v>578</v>
      </c>
      <c r="Z1847" s="93">
        <f t="shared" si="337"/>
        <v>0</v>
      </c>
      <c r="AB1847" s="93">
        <f t="shared" si="338"/>
        <v>0</v>
      </c>
      <c r="AC1847" s="93">
        <f t="shared" si="339"/>
        <v>0</v>
      </c>
      <c r="AD1847" s="93">
        <f t="shared" si="340"/>
        <v>0</v>
      </c>
      <c r="AE1847" s="93">
        <f t="shared" si="341"/>
        <v>0</v>
      </c>
      <c r="AF1847" s="93">
        <f t="shared" si="342"/>
        <v>0</v>
      </c>
      <c r="AG1847" s="93">
        <f t="shared" si="343"/>
        <v>0</v>
      </c>
      <c r="AH1847" s="93">
        <f t="shared" si="344"/>
        <v>0</v>
      </c>
      <c r="AI1847" s="88" t="s">
        <v>55</v>
      </c>
      <c r="AJ1847" s="93">
        <f t="shared" si="345"/>
        <v>0</v>
      </c>
      <c r="AK1847" s="93">
        <f t="shared" si="346"/>
        <v>0</v>
      </c>
      <c r="AL1847" s="93">
        <f t="shared" si="347"/>
        <v>0</v>
      </c>
      <c r="AN1847" s="93">
        <v>21</v>
      </c>
      <c r="AO1847" s="93">
        <f>H1847*0.851472537</f>
        <v>0</v>
      </c>
      <c r="AP1847" s="93">
        <f>H1847*(1-0.851472537)</f>
        <v>0</v>
      </c>
      <c r="AQ1847" s="94" t="s">
        <v>148</v>
      </c>
      <c r="AV1847" s="93">
        <f t="shared" si="348"/>
        <v>0</v>
      </c>
      <c r="AW1847" s="93">
        <f t="shared" si="349"/>
        <v>0</v>
      </c>
      <c r="AX1847" s="93">
        <f t="shared" si="350"/>
        <v>0</v>
      </c>
      <c r="AY1847" s="94" t="s">
        <v>2328</v>
      </c>
      <c r="AZ1847" s="94" t="s">
        <v>2252</v>
      </c>
      <c r="BA1847" s="88" t="s">
        <v>67</v>
      </c>
      <c r="BC1847" s="93">
        <f t="shared" si="351"/>
        <v>0</v>
      </c>
      <c r="BD1847" s="93">
        <f t="shared" si="352"/>
        <v>0</v>
      </c>
      <c r="BE1847" s="93">
        <v>0</v>
      </c>
      <c r="BF1847" s="93">
        <f t="shared" si="353"/>
        <v>0</v>
      </c>
      <c r="BH1847" s="93">
        <f t="shared" si="354"/>
        <v>0</v>
      </c>
      <c r="BI1847" s="93">
        <f t="shared" si="355"/>
        <v>0</v>
      </c>
      <c r="BJ1847" s="93">
        <f t="shared" si="356"/>
        <v>0</v>
      </c>
      <c r="BK1847" s="93"/>
      <c r="BL1847" s="93">
        <v>766</v>
      </c>
      <c r="BW1847" s="93" t="str">
        <f t="shared" si="357"/>
        <v>21</v>
      </c>
      <c r="BX1847" s="2" t="s">
        <v>2427</v>
      </c>
    </row>
    <row r="1848" spans="1:76" s="81" customFormat="1" ht="25.5" x14ac:dyDescent="0.25">
      <c r="A1848" s="72" t="s">
        <v>2428</v>
      </c>
      <c r="B1848" s="72" t="s">
        <v>55</v>
      </c>
      <c r="C1848" s="72" t="s">
        <v>2429</v>
      </c>
      <c r="D1848" s="175" t="s">
        <v>2430</v>
      </c>
      <c r="E1848" s="175"/>
      <c r="F1848" s="72" t="s">
        <v>203</v>
      </c>
      <c r="G1848" s="90">
        <v>1</v>
      </c>
      <c r="H1848" s="91"/>
      <c r="I1848" s="92" t="s">
        <v>63</v>
      </c>
      <c r="J1848" s="90">
        <f t="shared" si="332"/>
        <v>0</v>
      </c>
      <c r="K1848" s="90">
        <f t="shared" si="333"/>
        <v>0</v>
      </c>
      <c r="L1848" s="90">
        <f t="shared" si="334"/>
        <v>0</v>
      </c>
      <c r="M1848" s="90">
        <f t="shared" si="335"/>
        <v>0</v>
      </c>
      <c r="N1848" s="90">
        <v>0</v>
      </c>
      <c r="O1848" s="90">
        <f t="shared" si="336"/>
        <v>0</v>
      </c>
      <c r="P1848" s="92" t="s">
        <v>578</v>
      </c>
      <c r="Z1848" s="93">
        <f t="shared" si="337"/>
        <v>0</v>
      </c>
      <c r="AB1848" s="93">
        <f t="shared" si="338"/>
        <v>0</v>
      </c>
      <c r="AC1848" s="93">
        <f t="shared" si="339"/>
        <v>0</v>
      </c>
      <c r="AD1848" s="93">
        <f t="shared" si="340"/>
        <v>0</v>
      </c>
      <c r="AE1848" s="93">
        <f t="shared" si="341"/>
        <v>0</v>
      </c>
      <c r="AF1848" s="93">
        <f t="shared" si="342"/>
        <v>0</v>
      </c>
      <c r="AG1848" s="93">
        <f t="shared" si="343"/>
        <v>0</v>
      </c>
      <c r="AH1848" s="93">
        <f t="shared" si="344"/>
        <v>0</v>
      </c>
      <c r="AI1848" s="88" t="s">
        <v>55</v>
      </c>
      <c r="AJ1848" s="93">
        <f t="shared" si="345"/>
        <v>0</v>
      </c>
      <c r="AK1848" s="93">
        <f t="shared" si="346"/>
        <v>0</v>
      </c>
      <c r="AL1848" s="93">
        <f t="shared" si="347"/>
        <v>0</v>
      </c>
      <c r="AN1848" s="93">
        <v>21</v>
      </c>
      <c r="AO1848" s="93">
        <f>H1848*0.851472475</f>
        <v>0</v>
      </c>
      <c r="AP1848" s="93">
        <f>H1848*(1-0.851472475)</f>
        <v>0</v>
      </c>
      <c r="AQ1848" s="94" t="s">
        <v>148</v>
      </c>
      <c r="AV1848" s="93">
        <f t="shared" si="348"/>
        <v>0</v>
      </c>
      <c r="AW1848" s="93">
        <f t="shared" si="349"/>
        <v>0</v>
      </c>
      <c r="AX1848" s="93">
        <f t="shared" si="350"/>
        <v>0</v>
      </c>
      <c r="AY1848" s="94" t="s">
        <v>2328</v>
      </c>
      <c r="AZ1848" s="94" t="s">
        <v>2252</v>
      </c>
      <c r="BA1848" s="88" t="s">
        <v>67</v>
      </c>
      <c r="BC1848" s="93">
        <f t="shared" si="351"/>
        <v>0</v>
      </c>
      <c r="BD1848" s="93">
        <f t="shared" si="352"/>
        <v>0</v>
      </c>
      <c r="BE1848" s="93">
        <v>0</v>
      </c>
      <c r="BF1848" s="93">
        <f t="shared" si="353"/>
        <v>0</v>
      </c>
      <c r="BH1848" s="93">
        <f t="shared" si="354"/>
        <v>0</v>
      </c>
      <c r="BI1848" s="93">
        <f t="shared" si="355"/>
        <v>0</v>
      </c>
      <c r="BJ1848" s="93">
        <f t="shared" si="356"/>
        <v>0</v>
      </c>
      <c r="BK1848" s="93"/>
      <c r="BL1848" s="93">
        <v>766</v>
      </c>
      <c r="BW1848" s="93" t="str">
        <f t="shared" si="357"/>
        <v>21</v>
      </c>
      <c r="BX1848" s="2" t="s">
        <v>2430</v>
      </c>
    </row>
    <row r="1849" spans="1:76" s="81" customFormat="1" ht="25.5" x14ac:dyDescent="0.25">
      <c r="A1849" s="72" t="s">
        <v>2431</v>
      </c>
      <c r="B1849" s="72" t="s">
        <v>55</v>
      </c>
      <c r="C1849" s="72" t="s">
        <v>2432</v>
      </c>
      <c r="D1849" s="175" t="s">
        <v>2433</v>
      </c>
      <c r="E1849" s="175"/>
      <c r="F1849" s="72" t="s">
        <v>203</v>
      </c>
      <c r="G1849" s="90">
        <v>1</v>
      </c>
      <c r="H1849" s="91"/>
      <c r="I1849" s="92" t="s">
        <v>63</v>
      </c>
      <c r="J1849" s="90">
        <f t="shared" si="332"/>
        <v>0</v>
      </c>
      <c r="K1849" s="90">
        <f t="shared" si="333"/>
        <v>0</v>
      </c>
      <c r="L1849" s="90">
        <f t="shared" si="334"/>
        <v>0</v>
      </c>
      <c r="M1849" s="90">
        <f t="shared" si="335"/>
        <v>0</v>
      </c>
      <c r="N1849" s="90">
        <v>0</v>
      </c>
      <c r="O1849" s="90">
        <f t="shared" si="336"/>
        <v>0</v>
      </c>
      <c r="P1849" s="92" t="s">
        <v>578</v>
      </c>
      <c r="Z1849" s="93">
        <f t="shared" si="337"/>
        <v>0</v>
      </c>
      <c r="AB1849" s="93">
        <f t="shared" si="338"/>
        <v>0</v>
      </c>
      <c r="AC1849" s="93">
        <f t="shared" si="339"/>
        <v>0</v>
      </c>
      <c r="AD1849" s="93">
        <f t="shared" si="340"/>
        <v>0</v>
      </c>
      <c r="AE1849" s="93">
        <f t="shared" si="341"/>
        <v>0</v>
      </c>
      <c r="AF1849" s="93">
        <f t="shared" si="342"/>
        <v>0</v>
      </c>
      <c r="AG1849" s="93">
        <f t="shared" si="343"/>
        <v>0</v>
      </c>
      <c r="AH1849" s="93">
        <f t="shared" si="344"/>
        <v>0</v>
      </c>
      <c r="AI1849" s="88" t="s">
        <v>55</v>
      </c>
      <c r="AJ1849" s="93">
        <f t="shared" si="345"/>
        <v>0</v>
      </c>
      <c r="AK1849" s="93">
        <f t="shared" si="346"/>
        <v>0</v>
      </c>
      <c r="AL1849" s="93">
        <f t="shared" si="347"/>
        <v>0</v>
      </c>
      <c r="AN1849" s="93">
        <v>21</v>
      </c>
      <c r="AO1849" s="93">
        <f>H1849*0.851472376</f>
        <v>0</v>
      </c>
      <c r="AP1849" s="93">
        <f>H1849*(1-0.851472376)</f>
        <v>0</v>
      </c>
      <c r="AQ1849" s="94" t="s">
        <v>148</v>
      </c>
      <c r="AV1849" s="93">
        <f t="shared" si="348"/>
        <v>0</v>
      </c>
      <c r="AW1849" s="93">
        <f t="shared" si="349"/>
        <v>0</v>
      </c>
      <c r="AX1849" s="93">
        <f t="shared" si="350"/>
        <v>0</v>
      </c>
      <c r="AY1849" s="94" t="s">
        <v>2328</v>
      </c>
      <c r="AZ1849" s="94" t="s">
        <v>2252</v>
      </c>
      <c r="BA1849" s="88" t="s">
        <v>67</v>
      </c>
      <c r="BC1849" s="93">
        <f t="shared" si="351"/>
        <v>0</v>
      </c>
      <c r="BD1849" s="93">
        <f t="shared" si="352"/>
        <v>0</v>
      </c>
      <c r="BE1849" s="93">
        <v>0</v>
      </c>
      <c r="BF1849" s="93">
        <f t="shared" si="353"/>
        <v>0</v>
      </c>
      <c r="BH1849" s="93">
        <f t="shared" si="354"/>
        <v>0</v>
      </c>
      <c r="BI1849" s="93">
        <f t="shared" si="355"/>
        <v>0</v>
      </c>
      <c r="BJ1849" s="93">
        <f t="shared" si="356"/>
        <v>0</v>
      </c>
      <c r="BK1849" s="93"/>
      <c r="BL1849" s="93">
        <v>766</v>
      </c>
      <c r="BW1849" s="93" t="str">
        <f t="shared" si="357"/>
        <v>21</v>
      </c>
      <c r="BX1849" s="2" t="s">
        <v>2433</v>
      </c>
    </row>
    <row r="1850" spans="1:76" s="81" customFormat="1" ht="25.5" x14ac:dyDescent="0.25">
      <c r="A1850" s="72" t="s">
        <v>2434</v>
      </c>
      <c r="B1850" s="72" t="s">
        <v>55</v>
      </c>
      <c r="C1850" s="72" t="s">
        <v>2435</v>
      </c>
      <c r="D1850" s="175" t="s">
        <v>2436</v>
      </c>
      <c r="E1850" s="175"/>
      <c r="F1850" s="72" t="s">
        <v>203</v>
      </c>
      <c r="G1850" s="90">
        <v>2</v>
      </c>
      <c r="H1850" s="91"/>
      <c r="I1850" s="92" t="s">
        <v>63</v>
      </c>
      <c r="J1850" s="90">
        <f t="shared" si="332"/>
        <v>0</v>
      </c>
      <c r="K1850" s="90">
        <f t="shared" si="333"/>
        <v>0</v>
      </c>
      <c r="L1850" s="90">
        <f t="shared" si="334"/>
        <v>0</v>
      </c>
      <c r="M1850" s="90">
        <f t="shared" si="335"/>
        <v>0</v>
      </c>
      <c r="N1850" s="90">
        <v>0</v>
      </c>
      <c r="O1850" s="90">
        <f t="shared" si="336"/>
        <v>0</v>
      </c>
      <c r="P1850" s="92" t="s">
        <v>578</v>
      </c>
      <c r="Z1850" s="93">
        <f t="shared" si="337"/>
        <v>0</v>
      </c>
      <c r="AB1850" s="93">
        <f t="shared" si="338"/>
        <v>0</v>
      </c>
      <c r="AC1850" s="93">
        <f t="shared" si="339"/>
        <v>0</v>
      </c>
      <c r="AD1850" s="93">
        <f t="shared" si="340"/>
        <v>0</v>
      </c>
      <c r="AE1850" s="93">
        <f t="shared" si="341"/>
        <v>0</v>
      </c>
      <c r="AF1850" s="93">
        <f t="shared" si="342"/>
        <v>0</v>
      </c>
      <c r="AG1850" s="93">
        <f t="shared" si="343"/>
        <v>0</v>
      </c>
      <c r="AH1850" s="93">
        <f t="shared" si="344"/>
        <v>0</v>
      </c>
      <c r="AI1850" s="88" t="s">
        <v>55</v>
      </c>
      <c r="AJ1850" s="93">
        <f t="shared" si="345"/>
        <v>0</v>
      </c>
      <c r="AK1850" s="93">
        <f t="shared" si="346"/>
        <v>0</v>
      </c>
      <c r="AL1850" s="93">
        <f t="shared" si="347"/>
        <v>0</v>
      </c>
      <c r="AN1850" s="93">
        <v>21</v>
      </c>
      <c r="AO1850" s="93">
        <f>H1850*0.851472771</f>
        <v>0</v>
      </c>
      <c r="AP1850" s="93">
        <f>H1850*(1-0.851472771)</f>
        <v>0</v>
      </c>
      <c r="AQ1850" s="94" t="s">
        <v>148</v>
      </c>
      <c r="AV1850" s="93">
        <f t="shared" si="348"/>
        <v>0</v>
      </c>
      <c r="AW1850" s="93">
        <f t="shared" si="349"/>
        <v>0</v>
      </c>
      <c r="AX1850" s="93">
        <f t="shared" si="350"/>
        <v>0</v>
      </c>
      <c r="AY1850" s="94" t="s">
        <v>2328</v>
      </c>
      <c r="AZ1850" s="94" t="s">
        <v>2252</v>
      </c>
      <c r="BA1850" s="88" t="s">
        <v>67</v>
      </c>
      <c r="BC1850" s="93">
        <f t="shared" si="351"/>
        <v>0</v>
      </c>
      <c r="BD1850" s="93">
        <f t="shared" si="352"/>
        <v>0</v>
      </c>
      <c r="BE1850" s="93">
        <v>0</v>
      </c>
      <c r="BF1850" s="93">
        <f t="shared" si="353"/>
        <v>0</v>
      </c>
      <c r="BH1850" s="93">
        <f t="shared" si="354"/>
        <v>0</v>
      </c>
      <c r="BI1850" s="93">
        <f t="shared" si="355"/>
        <v>0</v>
      </c>
      <c r="BJ1850" s="93">
        <f t="shared" si="356"/>
        <v>0</v>
      </c>
      <c r="BK1850" s="93"/>
      <c r="BL1850" s="93">
        <v>766</v>
      </c>
      <c r="BW1850" s="93" t="str">
        <f t="shared" si="357"/>
        <v>21</v>
      </c>
      <c r="BX1850" s="2" t="s">
        <v>2436</v>
      </c>
    </row>
    <row r="1851" spans="1:76" s="81" customFormat="1" ht="25.5" x14ac:dyDescent="0.25">
      <c r="A1851" s="72" t="s">
        <v>2437</v>
      </c>
      <c r="B1851" s="72" t="s">
        <v>55</v>
      </c>
      <c r="C1851" s="72" t="s">
        <v>2438</v>
      </c>
      <c r="D1851" s="175" t="s">
        <v>2439</v>
      </c>
      <c r="E1851" s="175"/>
      <c r="F1851" s="72" t="s">
        <v>203</v>
      </c>
      <c r="G1851" s="90">
        <v>1</v>
      </c>
      <c r="H1851" s="91"/>
      <c r="I1851" s="92" t="s">
        <v>63</v>
      </c>
      <c r="J1851" s="90">
        <f t="shared" si="332"/>
        <v>0</v>
      </c>
      <c r="K1851" s="90">
        <f t="shared" si="333"/>
        <v>0</v>
      </c>
      <c r="L1851" s="90">
        <f t="shared" si="334"/>
        <v>0</v>
      </c>
      <c r="M1851" s="90">
        <f t="shared" si="335"/>
        <v>0</v>
      </c>
      <c r="N1851" s="90">
        <v>0</v>
      </c>
      <c r="O1851" s="90">
        <f t="shared" si="336"/>
        <v>0</v>
      </c>
      <c r="P1851" s="92" t="s">
        <v>578</v>
      </c>
      <c r="Z1851" s="93">
        <f t="shared" si="337"/>
        <v>0</v>
      </c>
      <c r="AB1851" s="93">
        <f t="shared" si="338"/>
        <v>0</v>
      </c>
      <c r="AC1851" s="93">
        <f t="shared" si="339"/>
        <v>0</v>
      </c>
      <c r="AD1851" s="93">
        <f t="shared" si="340"/>
        <v>0</v>
      </c>
      <c r="AE1851" s="93">
        <f t="shared" si="341"/>
        <v>0</v>
      </c>
      <c r="AF1851" s="93">
        <f t="shared" si="342"/>
        <v>0</v>
      </c>
      <c r="AG1851" s="93">
        <f t="shared" si="343"/>
        <v>0</v>
      </c>
      <c r="AH1851" s="93">
        <f t="shared" si="344"/>
        <v>0</v>
      </c>
      <c r="AI1851" s="88" t="s">
        <v>55</v>
      </c>
      <c r="AJ1851" s="93">
        <f t="shared" si="345"/>
        <v>0</v>
      </c>
      <c r="AK1851" s="93">
        <f t="shared" si="346"/>
        <v>0</v>
      </c>
      <c r="AL1851" s="93">
        <f t="shared" si="347"/>
        <v>0</v>
      </c>
      <c r="AN1851" s="93">
        <v>21</v>
      </c>
      <c r="AO1851" s="93">
        <f>H1851*0.851472751</f>
        <v>0</v>
      </c>
      <c r="AP1851" s="93">
        <f>H1851*(1-0.851472751)</f>
        <v>0</v>
      </c>
      <c r="AQ1851" s="94" t="s">
        <v>148</v>
      </c>
      <c r="AV1851" s="93">
        <f t="shared" si="348"/>
        <v>0</v>
      </c>
      <c r="AW1851" s="93">
        <f t="shared" si="349"/>
        <v>0</v>
      </c>
      <c r="AX1851" s="93">
        <f t="shared" si="350"/>
        <v>0</v>
      </c>
      <c r="AY1851" s="94" t="s">
        <v>2328</v>
      </c>
      <c r="AZ1851" s="94" t="s">
        <v>2252</v>
      </c>
      <c r="BA1851" s="88" t="s">
        <v>67</v>
      </c>
      <c r="BC1851" s="93">
        <f t="shared" si="351"/>
        <v>0</v>
      </c>
      <c r="BD1851" s="93">
        <f t="shared" si="352"/>
        <v>0</v>
      </c>
      <c r="BE1851" s="93">
        <v>0</v>
      </c>
      <c r="BF1851" s="93">
        <f t="shared" si="353"/>
        <v>0</v>
      </c>
      <c r="BH1851" s="93">
        <f t="shared" si="354"/>
        <v>0</v>
      </c>
      <c r="BI1851" s="93">
        <f t="shared" si="355"/>
        <v>0</v>
      </c>
      <c r="BJ1851" s="93">
        <f t="shared" si="356"/>
        <v>0</v>
      </c>
      <c r="BK1851" s="93"/>
      <c r="BL1851" s="93">
        <v>766</v>
      </c>
      <c r="BW1851" s="93" t="str">
        <f t="shared" si="357"/>
        <v>21</v>
      </c>
      <c r="BX1851" s="2" t="s">
        <v>2439</v>
      </c>
    </row>
    <row r="1852" spans="1:76" s="81" customFormat="1" ht="25.5" x14ac:dyDescent="0.25">
      <c r="A1852" s="72" t="s">
        <v>2440</v>
      </c>
      <c r="B1852" s="72" t="s">
        <v>55</v>
      </c>
      <c r="C1852" s="72" t="s">
        <v>2441</v>
      </c>
      <c r="D1852" s="175" t="s">
        <v>2442</v>
      </c>
      <c r="E1852" s="175"/>
      <c r="F1852" s="72" t="s">
        <v>203</v>
      </c>
      <c r="G1852" s="90">
        <v>1</v>
      </c>
      <c r="H1852" s="91"/>
      <c r="I1852" s="92" t="s">
        <v>63</v>
      </c>
      <c r="J1852" s="90">
        <f t="shared" si="332"/>
        <v>0</v>
      </c>
      <c r="K1852" s="90">
        <f t="shared" si="333"/>
        <v>0</v>
      </c>
      <c r="L1852" s="90">
        <f t="shared" si="334"/>
        <v>0</v>
      </c>
      <c r="M1852" s="90">
        <f t="shared" si="335"/>
        <v>0</v>
      </c>
      <c r="N1852" s="90">
        <v>0</v>
      </c>
      <c r="O1852" s="90">
        <f t="shared" si="336"/>
        <v>0</v>
      </c>
      <c r="P1852" s="92" t="s">
        <v>578</v>
      </c>
      <c r="Z1852" s="93">
        <f t="shared" si="337"/>
        <v>0</v>
      </c>
      <c r="AB1852" s="93">
        <f t="shared" si="338"/>
        <v>0</v>
      </c>
      <c r="AC1852" s="93">
        <f t="shared" si="339"/>
        <v>0</v>
      </c>
      <c r="AD1852" s="93">
        <f t="shared" si="340"/>
        <v>0</v>
      </c>
      <c r="AE1852" s="93">
        <f t="shared" si="341"/>
        <v>0</v>
      </c>
      <c r="AF1852" s="93">
        <f t="shared" si="342"/>
        <v>0</v>
      </c>
      <c r="AG1852" s="93">
        <f t="shared" si="343"/>
        <v>0</v>
      </c>
      <c r="AH1852" s="93">
        <f t="shared" si="344"/>
        <v>0</v>
      </c>
      <c r="AI1852" s="88" t="s">
        <v>55</v>
      </c>
      <c r="AJ1852" s="93">
        <f t="shared" si="345"/>
        <v>0</v>
      </c>
      <c r="AK1852" s="93">
        <f t="shared" si="346"/>
        <v>0</v>
      </c>
      <c r="AL1852" s="93">
        <f t="shared" si="347"/>
        <v>0</v>
      </c>
      <c r="AN1852" s="93">
        <v>21</v>
      </c>
      <c r="AO1852" s="93">
        <f>H1852*0.8514733</f>
        <v>0</v>
      </c>
      <c r="AP1852" s="93">
        <f>H1852*(1-0.8514733)</f>
        <v>0</v>
      </c>
      <c r="AQ1852" s="94" t="s">
        <v>148</v>
      </c>
      <c r="AV1852" s="93">
        <f t="shared" si="348"/>
        <v>0</v>
      </c>
      <c r="AW1852" s="93">
        <f t="shared" si="349"/>
        <v>0</v>
      </c>
      <c r="AX1852" s="93">
        <f t="shared" si="350"/>
        <v>0</v>
      </c>
      <c r="AY1852" s="94" t="s">
        <v>2328</v>
      </c>
      <c r="AZ1852" s="94" t="s">
        <v>2252</v>
      </c>
      <c r="BA1852" s="88" t="s">
        <v>67</v>
      </c>
      <c r="BC1852" s="93">
        <f t="shared" si="351"/>
        <v>0</v>
      </c>
      <c r="BD1852" s="93">
        <f t="shared" si="352"/>
        <v>0</v>
      </c>
      <c r="BE1852" s="93">
        <v>0</v>
      </c>
      <c r="BF1852" s="93">
        <f t="shared" si="353"/>
        <v>0</v>
      </c>
      <c r="BH1852" s="93">
        <f t="shared" si="354"/>
        <v>0</v>
      </c>
      <c r="BI1852" s="93">
        <f t="shared" si="355"/>
        <v>0</v>
      </c>
      <c r="BJ1852" s="93">
        <f t="shared" si="356"/>
        <v>0</v>
      </c>
      <c r="BK1852" s="93"/>
      <c r="BL1852" s="93">
        <v>766</v>
      </c>
      <c r="BW1852" s="93" t="str">
        <f t="shared" si="357"/>
        <v>21</v>
      </c>
      <c r="BX1852" s="2" t="s">
        <v>2442</v>
      </c>
    </row>
    <row r="1853" spans="1:76" s="81" customFormat="1" ht="25.5" x14ac:dyDescent="0.25">
      <c r="A1853" s="72" t="s">
        <v>2443</v>
      </c>
      <c r="B1853" s="72" t="s">
        <v>55</v>
      </c>
      <c r="C1853" s="72" t="s">
        <v>2444</v>
      </c>
      <c r="D1853" s="175" t="s">
        <v>2445</v>
      </c>
      <c r="E1853" s="175"/>
      <c r="F1853" s="72" t="s">
        <v>203</v>
      </c>
      <c r="G1853" s="90">
        <v>6</v>
      </c>
      <c r="H1853" s="91"/>
      <c r="I1853" s="92" t="s">
        <v>63</v>
      </c>
      <c r="J1853" s="90">
        <f t="shared" si="332"/>
        <v>0</v>
      </c>
      <c r="K1853" s="90">
        <f t="shared" si="333"/>
        <v>0</v>
      </c>
      <c r="L1853" s="90">
        <f t="shared" si="334"/>
        <v>0</v>
      </c>
      <c r="M1853" s="90">
        <f t="shared" si="335"/>
        <v>0</v>
      </c>
      <c r="N1853" s="90">
        <v>0</v>
      </c>
      <c r="O1853" s="90">
        <f t="shared" si="336"/>
        <v>0</v>
      </c>
      <c r="P1853" s="92" t="s">
        <v>578</v>
      </c>
      <c r="Z1853" s="93">
        <f t="shared" si="337"/>
        <v>0</v>
      </c>
      <c r="AB1853" s="93">
        <f t="shared" si="338"/>
        <v>0</v>
      </c>
      <c r="AC1853" s="93">
        <f t="shared" si="339"/>
        <v>0</v>
      </c>
      <c r="AD1853" s="93">
        <f t="shared" si="340"/>
        <v>0</v>
      </c>
      <c r="AE1853" s="93">
        <f t="shared" si="341"/>
        <v>0</v>
      </c>
      <c r="AF1853" s="93">
        <f t="shared" si="342"/>
        <v>0</v>
      </c>
      <c r="AG1853" s="93">
        <f t="shared" si="343"/>
        <v>0</v>
      </c>
      <c r="AH1853" s="93">
        <f t="shared" si="344"/>
        <v>0</v>
      </c>
      <c r="AI1853" s="88" t="s">
        <v>55</v>
      </c>
      <c r="AJ1853" s="93">
        <f t="shared" si="345"/>
        <v>0</v>
      </c>
      <c r="AK1853" s="93">
        <f t="shared" si="346"/>
        <v>0</v>
      </c>
      <c r="AL1853" s="93">
        <f t="shared" si="347"/>
        <v>0</v>
      </c>
      <c r="AN1853" s="93">
        <v>21</v>
      </c>
      <c r="AO1853" s="93">
        <f>H1853*0.8514733</f>
        <v>0</v>
      </c>
      <c r="AP1853" s="93">
        <f>H1853*(1-0.8514733)</f>
        <v>0</v>
      </c>
      <c r="AQ1853" s="94" t="s">
        <v>148</v>
      </c>
      <c r="AV1853" s="93">
        <f t="shared" si="348"/>
        <v>0</v>
      </c>
      <c r="AW1853" s="93">
        <f t="shared" si="349"/>
        <v>0</v>
      </c>
      <c r="AX1853" s="93">
        <f t="shared" si="350"/>
        <v>0</v>
      </c>
      <c r="AY1853" s="94" t="s">
        <v>2328</v>
      </c>
      <c r="AZ1853" s="94" t="s">
        <v>2252</v>
      </c>
      <c r="BA1853" s="88" t="s">
        <v>67</v>
      </c>
      <c r="BC1853" s="93">
        <f t="shared" si="351"/>
        <v>0</v>
      </c>
      <c r="BD1853" s="93">
        <f t="shared" si="352"/>
        <v>0</v>
      </c>
      <c r="BE1853" s="93">
        <v>0</v>
      </c>
      <c r="BF1853" s="93">
        <f t="shared" si="353"/>
        <v>0</v>
      </c>
      <c r="BH1853" s="93">
        <f t="shared" si="354"/>
        <v>0</v>
      </c>
      <c r="BI1853" s="93">
        <f t="shared" si="355"/>
        <v>0</v>
      </c>
      <c r="BJ1853" s="93">
        <f t="shared" si="356"/>
        <v>0</v>
      </c>
      <c r="BK1853" s="93"/>
      <c r="BL1853" s="93">
        <v>766</v>
      </c>
      <c r="BW1853" s="93" t="str">
        <f t="shared" si="357"/>
        <v>21</v>
      </c>
      <c r="BX1853" s="2" t="s">
        <v>2445</v>
      </c>
    </row>
    <row r="1854" spans="1:76" s="81" customFormat="1" ht="25.5" x14ac:dyDescent="0.25">
      <c r="A1854" s="72" t="s">
        <v>2446</v>
      </c>
      <c r="B1854" s="72" t="s">
        <v>55</v>
      </c>
      <c r="C1854" s="72" t="s">
        <v>2447</v>
      </c>
      <c r="D1854" s="175" t="s">
        <v>2448</v>
      </c>
      <c r="E1854" s="175"/>
      <c r="F1854" s="72" t="s">
        <v>203</v>
      </c>
      <c r="G1854" s="90">
        <v>1</v>
      </c>
      <c r="H1854" s="91"/>
      <c r="I1854" s="92" t="s">
        <v>63</v>
      </c>
      <c r="J1854" s="90">
        <f t="shared" si="332"/>
        <v>0</v>
      </c>
      <c r="K1854" s="90">
        <f t="shared" si="333"/>
        <v>0</v>
      </c>
      <c r="L1854" s="90">
        <f t="shared" si="334"/>
        <v>0</v>
      </c>
      <c r="M1854" s="90">
        <f t="shared" si="335"/>
        <v>0</v>
      </c>
      <c r="N1854" s="90">
        <v>0</v>
      </c>
      <c r="O1854" s="90">
        <f t="shared" si="336"/>
        <v>0</v>
      </c>
      <c r="P1854" s="92" t="s">
        <v>578</v>
      </c>
      <c r="Z1854" s="93">
        <f t="shared" si="337"/>
        <v>0</v>
      </c>
      <c r="AB1854" s="93">
        <f t="shared" si="338"/>
        <v>0</v>
      </c>
      <c r="AC1854" s="93">
        <f t="shared" si="339"/>
        <v>0</v>
      </c>
      <c r="AD1854" s="93">
        <f t="shared" si="340"/>
        <v>0</v>
      </c>
      <c r="AE1854" s="93">
        <f t="shared" si="341"/>
        <v>0</v>
      </c>
      <c r="AF1854" s="93">
        <f t="shared" si="342"/>
        <v>0</v>
      </c>
      <c r="AG1854" s="93">
        <f t="shared" si="343"/>
        <v>0</v>
      </c>
      <c r="AH1854" s="93">
        <f t="shared" si="344"/>
        <v>0</v>
      </c>
      <c r="AI1854" s="88" t="s">
        <v>55</v>
      </c>
      <c r="AJ1854" s="93">
        <f t="shared" si="345"/>
        <v>0</v>
      </c>
      <c r="AK1854" s="93">
        <f t="shared" si="346"/>
        <v>0</v>
      </c>
      <c r="AL1854" s="93">
        <f t="shared" si="347"/>
        <v>0</v>
      </c>
      <c r="AN1854" s="93">
        <v>21</v>
      </c>
      <c r="AO1854" s="93">
        <f>H1854*0.851473285</f>
        <v>0</v>
      </c>
      <c r="AP1854" s="93">
        <f>H1854*(1-0.851473285)</f>
        <v>0</v>
      </c>
      <c r="AQ1854" s="94" t="s">
        <v>148</v>
      </c>
      <c r="AV1854" s="93">
        <f t="shared" si="348"/>
        <v>0</v>
      </c>
      <c r="AW1854" s="93">
        <f t="shared" si="349"/>
        <v>0</v>
      </c>
      <c r="AX1854" s="93">
        <f t="shared" si="350"/>
        <v>0</v>
      </c>
      <c r="AY1854" s="94" t="s">
        <v>2328</v>
      </c>
      <c r="AZ1854" s="94" t="s">
        <v>2252</v>
      </c>
      <c r="BA1854" s="88" t="s">
        <v>67</v>
      </c>
      <c r="BC1854" s="93">
        <f t="shared" si="351"/>
        <v>0</v>
      </c>
      <c r="BD1854" s="93">
        <f t="shared" si="352"/>
        <v>0</v>
      </c>
      <c r="BE1854" s="93">
        <v>0</v>
      </c>
      <c r="BF1854" s="93">
        <f t="shared" si="353"/>
        <v>0</v>
      </c>
      <c r="BH1854" s="93">
        <f t="shared" si="354"/>
        <v>0</v>
      </c>
      <c r="BI1854" s="93">
        <f t="shared" si="355"/>
        <v>0</v>
      </c>
      <c r="BJ1854" s="93">
        <f t="shared" si="356"/>
        <v>0</v>
      </c>
      <c r="BK1854" s="93"/>
      <c r="BL1854" s="93">
        <v>766</v>
      </c>
      <c r="BW1854" s="93" t="str">
        <f t="shared" si="357"/>
        <v>21</v>
      </c>
      <c r="BX1854" s="2" t="s">
        <v>2448</v>
      </c>
    </row>
    <row r="1855" spans="1:76" s="81" customFormat="1" ht="25.5" x14ac:dyDescent="0.25">
      <c r="A1855" s="72" t="s">
        <v>2449</v>
      </c>
      <c r="B1855" s="72" t="s">
        <v>55</v>
      </c>
      <c r="C1855" s="72" t="s">
        <v>2450</v>
      </c>
      <c r="D1855" s="175" t="s">
        <v>2451</v>
      </c>
      <c r="E1855" s="175"/>
      <c r="F1855" s="72" t="s">
        <v>203</v>
      </c>
      <c r="G1855" s="90">
        <v>2</v>
      </c>
      <c r="H1855" s="91"/>
      <c r="I1855" s="92" t="s">
        <v>63</v>
      </c>
      <c r="J1855" s="90">
        <f t="shared" si="332"/>
        <v>0</v>
      </c>
      <c r="K1855" s="90">
        <f t="shared" si="333"/>
        <v>0</v>
      </c>
      <c r="L1855" s="90">
        <f t="shared" si="334"/>
        <v>0</v>
      </c>
      <c r="M1855" s="90">
        <f t="shared" si="335"/>
        <v>0</v>
      </c>
      <c r="N1855" s="90">
        <v>0</v>
      </c>
      <c r="O1855" s="90">
        <f t="shared" si="336"/>
        <v>0</v>
      </c>
      <c r="P1855" s="92" t="s">
        <v>578</v>
      </c>
      <c r="Z1855" s="93">
        <f t="shared" si="337"/>
        <v>0</v>
      </c>
      <c r="AB1855" s="93">
        <f t="shared" si="338"/>
        <v>0</v>
      </c>
      <c r="AC1855" s="93">
        <f t="shared" si="339"/>
        <v>0</v>
      </c>
      <c r="AD1855" s="93">
        <f t="shared" si="340"/>
        <v>0</v>
      </c>
      <c r="AE1855" s="93">
        <f t="shared" si="341"/>
        <v>0</v>
      </c>
      <c r="AF1855" s="93">
        <f t="shared" si="342"/>
        <v>0</v>
      </c>
      <c r="AG1855" s="93">
        <f t="shared" si="343"/>
        <v>0</v>
      </c>
      <c r="AH1855" s="93">
        <f t="shared" si="344"/>
        <v>0</v>
      </c>
      <c r="AI1855" s="88" t="s">
        <v>55</v>
      </c>
      <c r="AJ1855" s="93">
        <f t="shared" si="345"/>
        <v>0</v>
      </c>
      <c r="AK1855" s="93">
        <f t="shared" si="346"/>
        <v>0</v>
      </c>
      <c r="AL1855" s="93">
        <f t="shared" si="347"/>
        <v>0</v>
      </c>
      <c r="AN1855" s="93">
        <v>21</v>
      </c>
      <c r="AO1855" s="93">
        <f>H1855*0.851473419</f>
        <v>0</v>
      </c>
      <c r="AP1855" s="93">
        <f>H1855*(1-0.851473419)</f>
        <v>0</v>
      </c>
      <c r="AQ1855" s="94" t="s">
        <v>148</v>
      </c>
      <c r="AV1855" s="93">
        <f t="shared" si="348"/>
        <v>0</v>
      </c>
      <c r="AW1855" s="93">
        <f t="shared" si="349"/>
        <v>0</v>
      </c>
      <c r="AX1855" s="93">
        <f t="shared" si="350"/>
        <v>0</v>
      </c>
      <c r="AY1855" s="94" t="s">
        <v>2328</v>
      </c>
      <c r="AZ1855" s="94" t="s">
        <v>2252</v>
      </c>
      <c r="BA1855" s="88" t="s">
        <v>67</v>
      </c>
      <c r="BC1855" s="93">
        <f t="shared" si="351"/>
        <v>0</v>
      </c>
      <c r="BD1855" s="93">
        <f t="shared" si="352"/>
        <v>0</v>
      </c>
      <c r="BE1855" s="93">
        <v>0</v>
      </c>
      <c r="BF1855" s="93">
        <f t="shared" si="353"/>
        <v>0</v>
      </c>
      <c r="BH1855" s="93">
        <f t="shared" si="354"/>
        <v>0</v>
      </c>
      <c r="BI1855" s="93">
        <f t="shared" si="355"/>
        <v>0</v>
      </c>
      <c r="BJ1855" s="93">
        <f t="shared" si="356"/>
        <v>0</v>
      </c>
      <c r="BK1855" s="93"/>
      <c r="BL1855" s="93">
        <v>766</v>
      </c>
      <c r="BW1855" s="93" t="str">
        <f t="shared" si="357"/>
        <v>21</v>
      </c>
      <c r="BX1855" s="2" t="s">
        <v>2451</v>
      </c>
    </row>
    <row r="1856" spans="1:76" s="81" customFormat="1" ht="25.5" x14ac:dyDescent="0.25">
      <c r="A1856" s="72" t="s">
        <v>2452</v>
      </c>
      <c r="B1856" s="72" t="s">
        <v>55</v>
      </c>
      <c r="C1856" s="72" t="s">
        <v>2453</v>
      </c>
      <c r="D1856" s="175" t="s">
        <v>2454</v>
      </c>
      <c r="E1856" s="175"/>
      <c r="F1856" s="72" t="s">
        <v>203</v>
      </c>
      <c r="G1856" s="90">
        <v>9</v>
      </c>
      <c r="H1856" s="91"/>
      <c r="I1856" s="92" t="s">
        <v>63</v>
      </c>
      <c r="J1856" s="90">
        <f t="shared" si="332"/>
        <v>0</v>
      </c>
      <c r="K1856" s="90">
        <f t="shared" si="333"/>
        <v>0</v>
      </c>
      <c r="L1856" s="90">
        <f t="shared" si="334"/>
        <v>0</v>
      </c>
      <c r="M1856" s="90">
        <f t="shared" si="335"/>
        <v>0</v>
      </c>
      <c r="N1856" s="90">
        <v>0</v>
      </c>
      <c r="O1856" s="90">
        <f t="shared" si="336"/>
        <v>0</v>
      </c>
      <c r="P1856" s="92" t="s">
        <v>578</v>
      </c>
      <c r="Z1856" s="93">
        <f t="shared" si="337"/>
        <v>0</v>
      </c>
      <c r="AB1856" s="93">
        <f t="shared" si="338"/>
        <v>0</v>
      </c>
      <c r="AC1856" s="93">
        <f t="shared" si="339"/>
        <v>0</v>
      </c>
      <c r="AD1856" s="93">
        <f t="shared" si="340"/>
        <v>0</v>
      </c>
      <c r="AE1856" s="93">
        <f t="shared" si="341"/>
        <v>0</v>
      </c>
      <c r="AF1856" s="93">
        <f t="shared" si="342"/>
        <v>0</v>
      </c>
      <c r="AG1856" s="93">
        <f t="shared" si="343"/>
        <v>0</v>
      </c>
      <c r="AH1856" s="93">
        <f t="shared" si="344"/>
        <v>0</v>
      </c>
      <c r="AI1856" s="88" t="s">
        <v>55</v>
      </c>
      <c r="AJ1856" s="93">
        <f t="shared" si="345"/>
        <v>0</v>
      </c>
      <c r="AK1856" s="93">
        <f t="shared" si="346"/>
        <v>0</v>
      </c>
      <c r="AL1856" s="93">
        <f t="shared" si="347"/>
        <v>0</v>
      </c>
      <c r="AN1856" s="93">
        <v>21</v>
      </c>
      <c r="AO1856" s="93">
        <f>H1856*0.851473375</f>
        <v>0</v>
      </c>
      <c r="AP1856" s="93">
        <f>H1856*(1-0.851473375)</f>
        <v>0</v>
      </c>
      <c r="AQ1856" s="94" t="s">
        <v>148</v>
      </c>
      <c r="AV1856" s="93">
        <f t="shared" si="348"/>
        <v>0</v>
      </c>
      <c r="AW1856" s="93">
        <f t="shared" si="349"/>
        <v>0</v>
      </c>
      <c r="AX1856" s="93">
        <f t="shared" si="350"/>
        <v>0</v>
      </c>
      <c r="AY1856" s="94" t="s">
        <v>2328</v>
      </c>
      <c r="AZ1856" s="94" t="s">
        <v>2252</v>
      </c>
      <c r="BA1856" s="88" t="s">
        <v>67</v>
      </c>
      <c r="BC1856" s="93">
        <f t="shared" si="351"/>
        <v>0</v>
      </c>
      <c r="BD1856" s="93">
        <f t="shared" si="352"/>
        <v>0</v>
      </c>
      <c r="BE1856" s="93">
        <v>0</v>
      </c>
      <c r="BF1856" s="93">
        <f t="shared" si="353"/>
        <v>0</v>
      </c>
      <c r="BH1856" s="93">
        <f t="shared" si="354"/>
        <v>0</v>
      </c>
      <c r="BI1856" s="93">
        <f t="shared" si="355"/>
        <v>0</v>
      </c>
      <c r="BJ1856" s="93">
        <f t="shared" si="356"/>
        <v>0</v>
      </c>
      <c r="BK1856" s="93"/>
      <c r="BL1856" s="93">
        <v>766</v>
      </c>
      <c r="BW1856" s="93" t="str">
        <f t="shared" si="357"/>
        <v>21</v>
      </c>
      <c r="BX1856" s="2" t="s">
        <v>2454</v>
      </c>
    </row>
    <row r="1857" spans="1:76" s="81" customFormat="1" ht="25.5" x14ac:dyDescent="0.25">
      <c r="A1857" s="72" t="s">
        <v>2455</v>
      </c>
      <c r="B1857" s="72" t="s">
        <v>55</v>
      </c>
      <c r="C1857" s="72" t="s">
        <v>2456</v>
      </c>
      <c r="D1857" s="175" t="s">
        <v>2457</v>
      </c>
      <c r="E1857" s="175"/>
      <c r="F1857" s="72" t="s">
        <v>203</v>
      </c>
      <c r="G1857" s="90">
        <v>1</v>
      </c>
      <c r="H1857" s="91"/>
      <c r="I1857" s="92" t="s">
        <v>63</v>
      </c>
      <c r="J1857" s="90">
        <f t="shared" si="332"/>
        <v>0</v>
      </c>
      <c r="K1857" s="90">
        <f t="shared" si="333"/>
        <v>0</v>
      </c>
      <c r="L1857" s="90">
        <f t="shared" si="334"/>
        <v>0</v>
      </c>
      <c r="M1857" s="90">
        <f t="shared" si="335"/>
        <v>0</v>
      </c>
      <c r="N1857" s="90">
        <v>0</v>
      </c>
      <c r="O1857" s="90">
        <f t="shared" si="336"/>
        <v>0</v>
      </c>
      <c r="P1857" s="92" t="s">
        <v>578</v>
      </c>
      <c r="Z1857" s="93">
        <f t="shared" si="337"/>
        <v>0</v>
      </c>
      <c r="AB1857" s="93">
        <f t="shared" si="338"/>
        <v>0</v>
      </c>
      <c r="AC1857" s="93">
        <f t="shared" si="339"/>
        <v>0</v>
      </c>
      <c r="AD1857" s="93">
        <f t="shared" si="340"/>
        <v>0</v>
      </c>
      <c r="AE1857" s="93">
        <f t="shared" si="341"/>
        <v>0</v>
      </c>
      <c r="AF1857" s="93">
        <f t="shared" si="342"/>
        <v>0</v>
      </c>
      <c r="AG1857" s="93">
        <f t="shared" si="343"/>
        <v>0</v>
      </c>
      <c r="AH1857" s="93">
        <f t="shared" si="344"/>
        <v>0</v>
      </c>
      <c r="AI1857" s="88" t="s">
        <v>55</v>
      </c>
      <c r="AJ1857" s="93">
        <f t="shared" si="345"/>
        <v>0</v>
      </c>
      <c r="AK1857" s="93">
        <f t="shared" si="346"/>
        <v>0</v>
      </c>
      <c r="AL1857" s="93">
        <f t="shared" si="347"/>
        <v>0</v>
      </c>
      <c r="AN1857" s="93">
        <v>21</v>
      </c>
      <c r="AO1857" s="93">
        <f>H1857*0.851473538</f>
        <v>0</v>
      </c>
      <c r="AP1857" s="93">
        <f>H1857*(1-0.851473538)</f>
        <v>0</v>
      </c>
      <c r="AQ1857" s="94" t="s">
        <v>148</v>
      </c>
      <c r="AV1857" s="93">
        <f t="shared" si="348"/>
        <v>0</v>
      </c>
      <c r="AW1857" s="93">
        <f t="shared" si="349"/>
        <v>0</v>
      </c>
      <c r="AX1857" s="93">
        <f t="shared" si="350"/>
        <v>0</v>
      </c>
      <c r="AY1857" s="94" t="s">
        <v>2328</v>
      </c>
      <c r="AZ1857" s="94" t="s">
        <v>2252</v>
      </c>
      <c r="BA1857" s="88" t="s">
        <v>67</v>
      </c>
      <c r="BC1857" s="93">
        <f t="shared" si="351"/>
        <v>0</v>
      </c>
      <c r="BD1857" s="93">
        <f t="shared" si="352"/>
        <v>0</v>
      </c>
      <c r="BE1857" s="93">
        <v>0</v>
      </c>
      <c r="BF1857" s="93">
        <f t="shared" si="353"/>
        <v>0</v>
      </c>
      <c r="BH1857" s="93">
        <f t="shared" si="354"/>
        <v>0</v>
      </c>
      <c r="BI1857" s="93">
        <f t="shared" si="355"/>
        <v>0</v>
      </c>
      <c r="BJ1857" s="93">
        <f t="shared" si="356"/>
        <v>0</v>
      </c>
      <c r="BK1857" s="93"/>
      <c r="BL1857" s="93">
        <v>766</v>
      </c>
      <c r="BW1857" s="93" t="str">
        <f t="shared" si="357"/>
        <v>21</v>
      </c>
      <c r="BX1857" s="2" t="s">
        <v>2457</v>
      </c>
    </row>
    <row r="1858" spans="1:76" s="81" customFormat="1" ht="25.5" x14ac:dyDescent="0.25">
      <c r="A1858" s="72" t="s">
        <v>2458</v>
      </c>
      <c r="B1858" s="72" t="s">
        <v>55</v>
      </c>
      <c r="C1858" s="72" t="s">
        <v>2459</v>
      </c>
      <c r="D1858" s="175" t="s">
        <v>2460</v>
      </c>
      <c r="E1858" s="175"/>
      <c r="F1858" s="72" t="s">
        <v>203</v>
      </c>
      <c r="G1858" s="90">
        <v>1</v>
      </c>
      <c r="H1858" s="91"/>
      <c r="I1858" s="92" t="s">
        <v>63</v>
      </c>
      <c r="J1858" s="90">
        <f t="shared" si="332"/>
        <v>0</v>
      </c>
      <c r="K1858" s="90">
        <f t="shared" si="333"/>
        <v>0</v>
      </c>
      <c r="L1858" s="90">
        <f t="shared" si="334"/>
        <v>0</v>
      </c>
      <c r="M1858" s="90">
        <f t="shared" si="335"/>
        <v>0</v>
      </c>
      <c r="N1858" s="90">
        <v>0</v>
      </c>
      <c r="O1858" s="90">
        <f t="shared" si="336"/>
        <v>0</v>
      </c>
      <c r="P1858" s="92" t="s">
        <v>578</v>
      </c>
      <c r="Z1858" s="93">
        <f t="shared" si="337"/>
        <v>0</v>
      </c>
      <c r="AB1858" s="93">
        <f t="shared" si="338"/>
        <v>0</v>
      </c>
      <c r="AC1858" s="93">
        <f t="shared" si="339"/>
        <v>0</v>
      </c>
      <c r="AD1858" s="93">
        <f t="shared" si="340"/>
        <v>0</v>
      </c>
      <c r="AE1858" s="93">
        <f t="shared" si="341"/>
        <v>0</v>
      </c>
      <c r="AF1858" s="93">
        <f t="shared" si="342"/>
        <v>0</v>
      </c>
      <c r="AG1858" s="93">
        <f t="shared" si="343"/>
        <v>0</v>
      </c>
      <c r="AH1858" s="93">
        <f t="shared" si="344"/>
        <v>0</v>
      </c>
      <c r="AI1858" s="88" t="s">
        <v>55</v>
      </c>
      <c r="AJ1858" s="93">
        <f t="shared" si="345"/>
        <v>0</v>
      </c>
      <c r="AK1858" s="93">
        <f t="shared" si="346"/>
        <v>0</v>
      </c>
      <c r="AL1858" s="93">
        <f t="shared" si="347"/>
        <v>0</v>
      </c>
      <c r="AN1858" s="93">
        <v>21</v>
      </c>
      <c r="AO1858" s="93">
        <f>H1858*0.851472464</f>
        <v>0</v>
      </c>
      <c r="AP1858" s="93">
        <f>H1858*(1-0.851472464)</f>
        <v>0</v>
      </c>
      <c r="AQ1858" s="94" t="s">
        <v>148</v>
      </c>
      <c r="AV1858" s="93">
        <f t="shared" si="348"/>
        <v>0</v>
      </c>
      <c r="AW1858" s="93">
        <f t="shared" si="349"/>
        <v>0</v>
      </c>
      <c r="AX1858" s="93">
        <f t="shared" si="350"/>
        <v>0</v>
      </c>
      <c r="AY1858" s="94" t="s">
        <v>2328</v>
      </c>
      <c r="AZ1858" s="94" t="s">
        <v>2252</v>
      </c>
      <c r="BA1858" s="88" t="s">
        <v>67</v>
      </c>
      <c r="BC1858" s="93">
        <f t="shared" si="351"/>
        <v>0</v>
      </c>
      <c r="BD1858" s="93">
        <f t="shared" si="352"/>
        <v>0</v>
      </c>
      <c r="BE1858" s="93">
        <v>0</v>
      </c>
      <c r="BF1858" s="93">
        <f t="shared" si="353"/>
        <v>0</v>
      </c>
      <c r="BH1858" s="93">
        <f t="shared" si="354"/>
        <v>0</v>
      </c>
      <c r="BI1858" s="93">
        <f t="shared" si="355"/>
        <v>0</v>
      </c>
      <c r="BJ1858" s="93">
        <f t="shared" si="356"/>
        <v>0</v>
      </c>
      <c r="BK1858" s="93"/>
      <c r="BL1858" s="93">
        <v>766</v>
      </c>
      <c r="BW1858" s="93" t="str">
        <f t="shared" si="357"/>
        <v>21</v>
      </c>
      <c r="BX1858" s="2" t="s">
        <v>2460</v>
      </c>
    </row>
    <row r="1859" spans="1:76" s="81" customFormat="1" ht="25.5" x14ac:dyDescent="0.25">
      <c r="A1859" s="72" t="s">
        <v>2461</v>
      </c>
      <c r="B1859" s="72" t="s">
        <v>55</v>
      </c>
      <c r="C1859" s="72" t="s">
        <v>2462</v>
      </c>
      <c r="D1859" s="175" t="s">
        <v>2463</v>
      </c>
      <c r="E1859" s="175"/>
      <c r="F1859" s="72" t="s">
        <v>203</v>
      </c>
      <c r="G1859" s="90">
        <v>1</v>
      </c>
      <c r="H1859" s="91"/>
      <c r="I1859" s="92" t="s">
        <v>63</v>
      </c>
      <c r="J1859" s="90">
        <f t="shared" si="332"/>
        <v>0</v>
      </c>
      <c r="K1859" s="90">
        <f t="shared" si="333"/>
        <v>0</v>
      </c>
      <c r="L1859" s="90">
        <f t="shared" si="334"/>
        <v>0</v>
      </c>
      <c r="M1859" s="90">
        <f t="shared" si="335"/>
        <v>0</v>
      </c>
      <c r="N1859" s="90">
        <v>2.5000000000000001E-2</v>
      </c>
      <c r="O1859" s="90">
        <f t="shared" si="336"/>
        <v>2.5000000000000001E-2</v>
      </c>
      <c r="P1859" s="92" t="s">
        <v>578</v>
      </c>
      <c r="Z1859" s="93">
        <f t="shared" si="337"/>
        <v>0</v>
      </c>
      <c r="AB1859" s="93">
        <f t="shared" si="338"/>
        <v>0</v>
      </c>
      <c r="AC1859" s="93">
        <f t="shared" si="339"/>
        <v>0</v>
      </c>
      <c r="AD1859" s="93">
        <f t="shared" si="340"/>
        <v>0</v>
      </c>
      <c r="AE1859" s="93">
        <f t="shared" si="341"/>
        <v>0</v>
      </c>
      <c r="AF1859" s="93">
        <f t="shared" si="342"/>
        <v>0</v>
      </c>
      <c r="AG1859" s="93">
        <f t="shared" si="343"/>
        <v>0</v>
      </c>
      <c r="AH1859" s="93">
        <f t="shared" si="344"/>
        <v>0</v>
      </c>
      <c r="AI1859" s="88" t="s">
        <v>55</v>
      </c>
      <c r="AJ1859" s="93">
        <f t="shared" si="345"/>
        <v>0</v>
      </c>
      <c r="AK1859" s="93">
        <f t="shared" si="346"/>
        <v>0</v>
      </c>
      <c r="AL1859" s="93">
        <f t="shared" si="347"/>
        <v>0</v>
      </c>
      <c r="AN1859" s="93">
        <v>21</v>
      </c>
      <c r="AO1859" s="93">
        <f>H1859*0.85</f>
        <v>0</v>
      </c>
      <c r="AP1859" s="93">
        <f>H1859*(1-0.85)</f>
        <v>0</v>
      </c>
      <c r="AQ1859" s="94" t="s">
        <v>148</v>
      </c>
      <c r="AV1859" s="93">
        <f t="shared" si="348"/>
        <v>0</v>
      </c>
      <c r="AW1859" s="93">
        <f t="shared" si="349"/>
        <v>0</v>
      </c>
      <c r="AX1859" s="93">
        <f t="shared" si="350"/>
        <v>0</v>
      </c>
      <c r="AY1859" s="94" t="s">
        <v>2328</v>
      </c>
      <c r="AZ1859" s="94" t="s">
        <v>2252</v>
      </c>
      <c r="BA1859" s="88" t="s">
        <v>67</v>
      </c>
      <c r="BC1859" s="93">
        <f t="shared" si="351"/>
        <v>0</v>
      </c>
      <c r="BD1859" s="93">
        <f t="shared" si="352"/>
        <v>0</v>
      </c>
      <c r="BE1859" s="93">
        <v>0</v>
      </c>
      <c r="BF1859" s="93">
        <f t="shared" si="353"/>
        <v>2.5000000000000001E-2</v>
      </c>
      <c r="BH1859" s="93">
        <f t="shared" si="354"/>
        <v>0</v>
      </c>
      <c r="BI1859" s="93">
        <f t="shared" si="355"/>
        <v>0</v>
      </c>
      <c r="BJ1859" s="93">
        <f t="shared" si="356"/>
        <v>0</v>
      </c>
      <c r="BK1859" s="93"/>
      <c r="BL1859" s="93">
        <v>766</v>
      </c>
      <c r="BW1859" s="93" t="str">
        <f t="shared" si="357"/>
        <v>21</v>
      </c>
      <c r="BX1859" s="2" t="s">
        <v>2463</v>
      </c>
    </row>
    <row r="1860" spans="1:76" s="81" customFormat="1" ht="13.5" customHeight="1" x14ac:dyDescent="0.25">
      <c r="A1860" s="95"/>
      <c r="B1860" s="95"/>
      <c r="C1860" s="95"/>
      <c r="D1860" s="182" t="s">
        <v>2464</v>
      </c>
      <c r="E1860" s="182"/>
      <c r="F1860" s="182"/>
      <c r="G1860" s="182"/>
      <c r="H1860" s="182"/>
      <c r="I1860" s="182"/>
      <c r="J1860" s="182"/>
      <c r="K1860" s="182"/>
      <c r="L1860" s="182"/>
      <c r="M1860" s="182"/>
      <c r="N1860" s="182"/>
      <c r="O1860" s="182"/>
      <c r="P1860" s="182"/>
    </row>
    <row r="1861" spans="1:76" s="81" customFormat="1" ht="25.5" x14ac:dyDescent="0.25">
      <c r="A1861" s="72" t="s">
        <v>2465</v>
      </c>
      <c r="B1861" s="72" t="s">
        <v>55</v>
      </c>
      <c r="C1861" s="72" t="s">
        <v>2466</v>
      </c>
      <c r="D1861" s="175" t="s">
        <v>2467</v>
      </c>
      <c r="E1861" s="175"/>
      <c r="F1861" s="72" t="s">
        <v>203</v>
      </c>
      <c r="G1861" s="90">
        <v>5</v>
      </c>
      <c r="H1861" s="91"/>
      <c r="I1861" s="92" t="s">
        <v>63</v>
      </c>
      <c r="J1861" s="90">
        <f>G1861*AO1861</f>
        <v>0</v>
      </c>
      <c r="K1861" s="90">
        <f>G1861*AP1861</f>
        <v>0</v>
      </c>
      <c r="L1861" s="90">
        <f>G1861*H1861</f>
        <v>0</v>
      </c>
      <c r="M1861" s="90">
        <f>L1861*(1+BW1861/100)</f>
        <v>0</v>
      </c>
      <c r="N1861" s="90">
        <v>2.5000000000000001E-2</v>
      </c>
      <c r="O1861" s="90">
        <f>G1861*N1861</f>
        <v>0.125</v>
      </c>
      <c r="P1861" s="92" t="s">
        <v>578</v>
      </c>
      <c r="Z1861" s="93">
        <f>IF(AQ1861="5",BJ1861,0)</f>
        <v>0</v>
      </c>
      <c r="AB1861" s="93">
        <f>IF(AQ1861="1",BH1861,0)</f>
        <v>0</v>
      </c>
      <c r="AC1861" s="93">
        <f>IF(AQ1861="1",BI1861,0)</f>
        <v>0</v>
      </c>
      <c r="AD1861" s="93">
        <f>IF(AQ1861="7",BH1861,0)</f>
        <v>0</v>
      </c>
      <c r="AE1861" s="93">
        <f>IF(AQ1861="7",BI1861,0)</f>
        <v>0</v>
      </c>
      <c r="AF1861" s="93">
        <f>IF(AQ1861="2",BH1861,0)</f>
        <v>0</v>
      </c>
      <c r="AG1861" s="93">
        <f>IF(AQ1861="2",BI1861,0)</f>
        <v>0</v>
      </c>
      <c r="AH1861" s="93">
        <f>IF(AQ1861="0",BJ1861,0)</f>
        <v>0</v>
      </c>
      <c r="AI1861" s="88" t="s">
        <v>55</v>
      </c>
      <c r="AJ1861" s="93">
        <f>IF(AN1861=0,L1861,0)</f>
        <v>0</v>
      </c>
      <c r="AK1861" s="93">
        <f>IF(AN1861=12,L1861,0)</f>
        <v>0</v>
      </c>
      <c r="AL1861" s="93">
        <f>IF(AN1861=21,L1861,0)</f>
        <v>0</v>
      </c>
      <c r="AN1861" s="93">
        <v>21</v>
      </c>
      <c r="AO1861" s="93">
        <f>H1861*0.85</f>
        <v>0</v>
      </c>
      <c r="AP1861" s="93">
        <f>H1861*(1-0.85)</f>
        <v>0</v>
      </c>
      <c r="AQ1861" s="94" t="s">
        <v>148</v>
      </c>
      <c r="AV1861" s="93">
        <f>AW1861+AX1861</f>
        <v>0</v>
      </c>
      <c r="AW1861" s="93">
        <f>G1861*AO1861</f>
        <v>0</v>
      </c>
      <c r="AX1861" s="93">
        <f>G1861*AP1861</f>
        <v>0</v>
      </c>
      <c r="AY1861" s="94" t="s">
        <v>2328</v>
      </c>
      <c r="AZ1861" s="94" t="s">
        <v>2252</v>
      </c>
      <c r="BA1861" s="88" t="s">
        <v>67</v>
      </c>
      <c r="BC1861" s="93">
        <f>AW1861+AX1861</f>
        <v>0</v>
      </c>
      <c r="BD1861" s="93">
        <f>H1861/(100-BE1861)*100</f>
        <v>0</v>
      </c>
      <c r="BE1861" s="93">
        <v>0</v>
      </c>
      <c r="BF1861" s="93">
        <f>O1861</f>
        <v>0.125</v>
      </c>
      <c r="BH1861" s="93">
        <f>G1861*AO1861</f>
        <v>0</v>
      </c>
      <c r="BI1861" s="93">
        <f>G1861*AP1861</f>
        <v>0</v>
      </c>
      <c r="BJ1861" s="93">
        <f>G1861*H1861</f>
        <v>0</v>
      </c>
      <c r="BK1861" s="93"/>
      <c r="BL1861" s="93">
        <v>766</v>
      </c>
      <c r="BW1861" s="93" t="str">
        <f>I1861</f>
        <v>21</v>
      </c>
      <c r="BX1861" s="2" t="s">
        <v>2467</v>
      </c>
    </row>
    <row r="1862" spans="1:76" s="81" customFormat="1" ht="13.5" customHeight="1" x14ac:dyDescent="0.25">
      <c r="A1862" s="95"/>
      <c r="B1862" s="95"/>
      <c r="C1862" s="95"/>
      <c r="D1862" s="182" t="s">
        <v>2464</v>
      </c>
      <c r="E1862" s="182"/>
      <c r="F1862" s="182"/>
      <c r="G1862" s="182"/>
      <c r="H1862" s="182"/>
      <c r="I1862" s="182"/>
      <c r="J1862" s="182"/>
      <c r="K1862" s="182"/>
      <c r="L1862" s="182"/>
      <c r="M1862" s="182"/>
      <c r="N1862" s="182"/>
      <c r="O1862" s="182"/>
      <c r="P1862" s="182"/>
    </row>
    <row r="1863" spans="1:76" s="81" customFormat="1" ht="25.5" x14ac:dyDescent="0.25">
      <c r="A1863" s="72" t="s">
        <v>2468</v>
      </c>
      <c r="B1863" s="72" t="s">
        <v>55</v>
      </c>
      <c r="C1863" s="72" t="s">
        <v>2469</v>
      </c>
      <c r="D1863" s="175" t="s">
        <v>2470</v>
      </c>
      <c r="E1863" s="175"/>
      <c r="F1863" s="72" t="s">
        <v>203</v>
      </c>
      <c r="G1863" s="90">
        <v>1</v>
      </c>
      <c r="H1863" s="91"/>
      <c r="I1863" s="92" t="s">
        <v>63</v>
      </c>
      <c r="J1863" s="90">
        <f>G1863*AO1863</f>
        <v>0</v>
      </c>
      <c r="K1863" s="90">
        <f>G1863*AP1863</f>
        <v>0</v>
      </c>
      <c r="L1863" s="90">
        <f>G1863*H1863</f>
        <v>0</v>
      </c>
      <c r="M1863" s="90">
        <f>L1863*(1+BW1863/100)</f>
        <v>0</v>
      </c>
      <c r="N1863" s="90">
        <v>2.5000000000000001E-2</v>
      </c>
      <c r="O1863" s="90">
        <f>G1863*N1863</f>
        <v>2.5000000000000001E-2</v>
      </c>
      <c r="P1863" s="92" t="s">
        <v>578</v>
      </c>
      <c r="Z1863" s="93">
        <f>IF(AQ1863="5",BJ1863,0)</f>
        <v>0</v>
      </c>
      <c r="AB1863" s="93">
        <f>IF(AQ1863="1",BH1863,0)</f>
        <v>0</v>
      </c>
      <c r="AC1863" s="93">
        <f>IF(AQ1863="1",BI1863,0)</f>
        <v>0</v>
      </c>
      <c r="AD1863" s="93">
        <f>IF(AQ1863="7",BH1863,0)</f>
        <v>0</v>
      </c>
      <c r="AE1863" s="93">
        <f>IF(AQ1863="7",BI1863,0)</f>
        <v>0</v>
      </c>
      <c r="AF1863" s="93">
        <f>IF(AQ1863="2",BH1863,0)</f>
        <v>0</v>
      </c>
      <c r="AG1863" s="93">
        <f>IF(AQ1863="2",BI1863,0)</f>
        <v>0</v>
      </c>
      <c r="AH1863" s="93">
        <f>IF(AQ1863="0",BJ1863,0)</f>
        <v>0</v>
      </c>
      <c r="AI1863" s="88" t="s">
        <v>55</v>
      </c>
      <c r="AJ1863" s="93">
        <f>IF(AN1863=0,L1863,0)</f>
        <v>0</v>
      </c>
      <c r="AK1863" s="93">
        <f>IF(AN1863=12,L1863,0)</f>
        <v>0</v>
      </c>
      <c r="AL1863" s="93">
        <f>IF(AN1863=21,L1863,0)</f>
        <v>0</v>
      </c>
      <c r="AN1863" s="93">
        <v>21</v>
      </c>
      <c r="AO1863" s="93">
        <f>H1863*0.86</f>
        <v>0</v>
      </c>
      <c r="AP1863" s="93">
        <f>H1863*(1-0.86)</f>
        <v>0</v>
      </c>
      <c r="AQ1863" s="94" t="s">
        <v>148</v>
      </c>
      <c r="AV1863" s="93">
        <f>AW1863+AX1863</f>
        <v>0</v>
      </c>
      <c r="AW1863" s="93">
        <f>G1863*AO1863</f>
        <v>0</v>
      </c>
      <c r="AX1863" s="93">
        <f>G1863*AP1863</f>
        <v>0</v>
      </c>
      <c r="AY1863" s="94" t="s">
        <v>2328</v>
      </c>
      <c r="AZ1863" s="94" t="s">
        <v>2252</v>
      </c>
      <c r="BA1863" s="88" t="s">
        <v>67</v>
      </c>
      <c r="BC1863" s="93">
        <f>AW1863+AX1863</f>
        <v>0</v>
      </c>
      <c r="BD1863" s="93">
        <f>H1863/(100-BE1863)*100</f>
        <v>0</v>
      </c>
      <c r="BE1863" s="93">
        <v>0</v>
      </c>
      <c r="BF1863" s="93">
        <f>O1863</f>
        <v>2.5000000000000001E-2</v>
      </c>
      <c r="BH1863" s="93">
        <f>G1863*AO1863</f>
        <v>0</v>
      </c>
      <c r="BI1863" s="93">
        <f>G1863*AP1863</f>
        <v>0</v>
      </c>
      <c r="BJ1863" s="93">
        <f>G1863*H1863</f>
        <v>0</v>
      </c>
      <c r="BK1863" s="93"/>
      <c r="BL1863" s="93">
        <v>766</v>
      </c>
      <c r="BW1863" s="93" t="str">
        <f>I1863</f>
        <v>21</v>
      </c>
      <c r="BX1863" s="2" t="s">
        <v>2470</v>
      </c>
    </row>
    <row r="1864" spans="1:76" s="81" customFormat="1" ht="13.5" customHeight="1" x14ac:dyDescent="0.25">
      <c r="A1864" s="95"/>
      <c r="B1864" s="95"/>
      <c r="C1864" s="95"/>
      <c r="D1864" s="182" t="s">
        <v>2464</v>
      </c>
      <c r="E1864" s="182"/>
      <c r="F1864" s="182"/>
      <c r="G1864" s="182"/>
      <c r="H1864" s="182"/>
      <c r="I1864" s="182"/>
      <c r="J1864" s="182"/>
      <c r="K1864" s="182"/>
      <c r="L1864" s="182"/>
      <c r="M1864" s="182"/>
      <c r="N1864" s="182"/>
      <c r="O1864" s="182"/>
      <c r="P1864" s="182"/>
    </row>
    <row r="1865" spans="1:76" s="81" customFormat="1" ht="25.5" x14ac:dyDescent="0.25">
      <c r="A1865" s="72" t="s">
        <v>2471</v>
      </c>
      <c r="B1865" s="72" t="s">
        <v>55</v>
      </c>
      <c r="C1865" s="72" t="s">
        <v>2472</v>
      </c>
      <c r="D1865" s="175" t="s">
        <v>2473</v>
      </c>
      <c r="E1865" s="175"/>
      <c r="F1865" s="72" t="s">
        <v>203</v>
      </c>
      <c r="G1865" s="90">
        <v>5</v>
      </c>
      <c r="H1865" s="91"/>
      <c r="I1865" s="92" t="s">
        <v>63</v>
      </c>
      <c r="J1865" s="90">
        <f>G1865*AO1865</f>
        <v>0</v>
      </c>
      <c r="K1865" s="90">
        <f>G1865*AP1865</f>
        <v>0</v>
      </c>
      <c r="L1865" s="90">
        <f>G1865*H1865</f>
        <v>0</v>
      </c>
      <c r="M1865" s="90">
        <f>L1865*(1+BW1865/100)</f>
        <v>0</v>
      </c>
      <c r="N1865" s="90">
        <v>2.5000000000000001E-2</v>
      </c>
      <c r="O1865" s="90">
        <f>G1865*N1865</f>
        <v>0.125</v>
      </c>
      <c r="P1865" s="92" t="s">
        <v>578</v>
      </c>
      <c r="Z1865" s="93">
        <f>IF(AQ1865="5",BJ1865,0)</f>
        <v>0</v>
      </c>
      <c r="AB1865" s="93">
        <f>IF(AQ1865="1",BH1865,0)</f>
        <v>0</v>
      </c>
      <c r="AC1865" s="93">
        <f>IF(AQ1865="1",BI1865,0)</f>
        <v>0</v>
      </c>
      <c r="AD1865" s="93">
        <f>IF(AQ1865="7",BH1865,0)</f>
        <v>0</v>
      </c>
      <c r="AE1865" s="93">
        <f>IF(AQ1865="7",BI1865,0)</f>
        <v>0</v>
      </c>
      <c r="AF1865" s="93">
        <f>IF(AQ1865="2",BH1865,0)</f>
        <v>0</v>
      </c>
      <c r="AG1865" s="93">
        <f>IF(AQ1865="2",BI1865,0)</f>
        <v>0</v>
      </c>
      <c r="AH1865" s="93">
        <f>IF(AQ1865="0",BJ1865,0)</f>
        <v>0</v>
      </c>
      <c r="AI1865" s="88" t="s">
        <v>55</v>
      </c>
      <c r="AJ1865" s="93">
        <f>IF(AN1865=0,L1865,0)</f>
        <v>0</v>
      </c>
      <c r="AK1865" s="93">
        <f>IF(AN1865=12,L1865,0)</f>
        <v>0</v>
      </c>
      <c r="AL1865" s="93">
        <f>IF(AN1865=21,L1865,0)</f>
        <v>0</v>
      </c>
      <c r="AN1865" s="93">
        <v>21</v>
      </c>
      <c r="AO1865" s="93">
        <f>H1865*0.82</f>
        <v>0</v>
      </c>
      <c r="AP1865" s="93">
        <f>H1865*(1-0.82)</f>
        <v>0</v>
      </c>
      <c r="AQ1865" s="94" t="s">
        <v>148</v>
      </c>
      <c r="AV1865" s="93">
        <f>AW1865+AX1865</f>
        <v>0</v>
      </c>
      <c r="AW1865" s="93">
        <f>G1865*AO1865</f>
        <v>0</v>
      </c>
      <c r="AX1865" s="93">
        <f>G1865*AP1865</f>
        <v>0</v>
      </c>
      <c r="AY1865" s="94" t="s">
        <v>2328</v>
      </c>
      <c r="AZ1865" s="94" t="s">
        <v>2252</v>
      </c>
      <c r="BA1865" s="88" t="s">
        <v>67</v>
      </c>
      <c r="BC1865" s="93">
        <f>AW1865+AX1865</f>
        <v>0</v>
      </c>
      <c r="BD1865" s="93">
        <f>H1865/(100-BE1865)*100</f>
        <v>0</v>
      </c>
      <c r="BE1865" s="93">
        <v>0</v>
      </c>
      <c r="BF1865" s="93">
        <f>O1865</f>
        <v>0.125</v>
      </c>
      <c r="BH1865" s="93">
        <f>G1865*AO1865</f>
        <v>0</v>
      </c>
      <c r="BI1865" s="93">
        <f>G1865*AP1865</f>
        <v>0</v>
      </c>
      <c r="BJ1865" s="93">
        <f>G1865*H1865</f>
        <v>0</v>
      </c>
      <c r="BK1865" s="93"/>
      <c r="BL1865" s="93">
        <v>766</v>
      </c>
      <c r="BW1865" s="93" t="str">
        <f>I1865</f>
        <v>21</v>
      </c>
      <c r="BX1865" s="2" t="s">
        <v>2473</v>
      </c>
    </row>
    <row r="1866" spans="1:76" s="81" customFormat="1" ht="13.5" customHeight="1" x14ac:dyDescent="0.25">
      <c r="A1866" s="95"/>
      <c r="B1866" s="95"/>
      <c r="C1866" s="95"/>
      <c r="D1866" s="182" t="s">
        <v>2464</v>
      </c>
      <c r="E1866" s="182"/>
      <c r="F1866" s="182"/>
      <c r="G1866" s="182"/>
      <c r="H1866" s="182"/>
      <c r="I1866" s="182"/>
      <c r="J1866" s="182"/>
      <c r="K1866" s="182"/>
      <c r="L1866" s="182"/>
      <c r="M1866" s="182"/>
      <c r="N1866" s="182"/>
      <c r="O1866" s="182"/>
      <c r="P1866" s="182"/>
    </row>
    <row r="1867" spans="1:76" s="81" customFormat="1" ht="25.5" x14ac:dyDescent="0.25">
      <c r="A1867" s="72" t="s">
        <v>2474</v>
      </c>
      <c r="B1867" s="72" t="s">
        <v>55</v>
      </c>
      <c r="C1867" s="72" t="s">
        <v>2475</v>
      </c>
      <c r="D1867" s="175" t="s">
        <v>2476</v>
      </c>
      <c r="E1867" s="175"/>
      <c r="F1867" s="72" t="s">
        <v>203</v>
      </c>
      <c r="G1867" s="90">
        <v>5</v>
      </c>
      <c r="H1867" s="91"/>
      <c r="I1867" s="92" t="s">
        <v>63</v>
      </c>
      <c r="J1867" s="90">
        <f>G1867*AO1867</f>
        <v>0</v>
      </c>
      <c r="K1867" s="90">
        <f>G1867*AP1867</f>
        <v>0</v>
      </c>
      <c r="L1867" s="90">
        <f>G1867*H1867</f>
        <v>0</v>
      </c>
      <c r="M1867" s="90">
        <f>L1867*(1+BW1867/100)</f>
        <v>0</v>
      </c>
      <c r="N1867" s="90">
        <v>2.5000000000000001E-2</v>
      </c>
      <c r="O1867" s="90">
        <f>G1867*N1867</f>
        <v>0.125</v>
      </c>
      <c r="P1867" s="92" t="s">
        <v>578</v>
      </c>
      <c r="Z1867" s="93">
        <f>IF(AQ1867="5",BJ1867,0)</f>
        <v>0</v>
      </c>
      <c r="AB1867" s="93">
        <f>IF(AQ1867="1",BH1867,0)</f>
        <v>0</v>
      </c>
      <c r="AC1867" s="93">
        <f>IF(AQ1867="1",BI1867,0)</f>
        <v>0</v>
      </c>
      <c r="AD1867" s="93">
        <f>IF(AQ1867="7",BH1867,0)</f>
        <v>0</v>
      </c>
      <c r="AE1867" s="93">
        <f>IF(AQ1867="7",BI1867,0)</f>
        <v>0</v>
      </c>
      <c r="AF1867" s="93">
        <f>IF(AQ1867="2",BH1867,0)</f>
        <v>0</v>
      </c>
      <c r="AG1867" s="93">
        <f>IF(AQ1867="2",BI1867,0)</f>
        <v>0</v>
      </c>
      <c r="AH1867" s="93">
        <f>IF(AQ1867="0",BJ1867,0)</f>
        <v>0</v>
      </c>
      <c r="AI1867" s="88" t="s">
        <v>55</v>
      </c>
      <c r="AJ1867" s="93">
        <f>IF(AN1867=0,L1867,0)</f>
        <v>0</v>
      </c>
      <c r="AK1867" s="93">
        <f>IF(AN1867=12,L1867,0)</f>
        <v>0</v>
      </c>
      <c r="AL1867" s="93">
        <f>IF(AN1867=21,L1867,0)</f>
        <v>0</v>
      </c>
      <c r="AN1867" s="93">
        <v>21</v>
      </c>
      <c r="AO1867" s="93">
        <f>H1867*0.805</f>
        <v>0</v>
      </c>
      <c r="AP1867" s="93">
        <f>H1867*(1-0.805)</f>
        <v>0</v>
      </c>
      <c r="AQ1867" s="94" t="s">
        <v>148</v>
      </c>
      <c r="AV1867" s="93">
        <f>AW1867+AX1867</f>
        <v>0</v>
      </c>
      <c r="AW1867" s="93">
        <f>G1867*AO1867</f>
        <v>0</v>
      </c>
      <c r="AX1867" s="93">
        <f>G1867*AP1867</f>
        <v>0</v>
      </c>
      <c r="AY1867" s="94" t="s">
        <v>2328</v>
      </c>
      <c r="AZ1867" s="94" t="s">
        <v>2252</v>
      </c>
      <c r="BA1867" s="88" t="s">
        <v>67</v>
      </c>
      <c r="BC1867" s="93">
        <f>AW1867+AX1867</f>
        <v>0</v>
      </c>
      <c r="BD1867" s="93">
        <f>H1867/(100-BE1867)*100</f>
        <v>0</v>
      </c>
      <c r="BE1867" s="93">
        <v>0</v>
      </c>
      <c r="BF1867" s="93">
        <f>O1867</f>
        <v>0.125</v>
      </c>
      <c r="BH1867" s="93">
        <f>G1867*AO1867</f>
        <v>0</v>
      </c>
      <c r="BI1867" s="93">
        <f>G1867*AP1867</f>
        <v>0</v>
      </c>
      <c r="BJ1867" s="93">
        <f>G1867*H1867</f>
        <v>0</v>
      </c>
      <c r="BK1867" s="93"/>
      <c r="BL1867" s="93">
        <v>766</v>
      </c>
      <c r="BW1867" s="93" t="str">
        <f>I1867</f>
        <v>21</v>
      </c>
      <c r="BX1867" s="2" t="s">
        <v>2476</v>
      </c>
    </row>
    <row r="1868" spans="1:76" s="81" customFormat="1" ht="13.5" customHeight="1" x14ac:dyDescent="0.25">
      <c r="A1868" s="95"/>
      <c r="B1868" s="95"/>
      <c r="C1868" s="95"/>
      <c r="D1868" s="182" t="s">
        <v>2464</v>
      </c>
      <c r="E1868" s="182"/>
      <c r="F1868" s="182"/>
      <c r="G1868" s="182"/>
      <c r="H1868" s="182"/>
      <c r="I1868" s="182"/>
      <c r="J1868" s="182"/>
      <c r="K1868" s="182"/>
      <c r="L1868" s="182"/>
      <c r="M1868" s="182"/>
      <c r="N1868" s="182"/>
      <c r="O1868" s="182"/>
      <c r="P1868" s="182"/>
    </row>
    <row r="1869" spans="1:76" s="81" customFormat="1" ht="25.5" x14ac:dyDescent="0.25">
      <c r="A1869" s="72" t="s">
        <v>2477</v>
      </c>
      <c r="B1869" s="72" t="s">
        <v>55</v>
      </c>
      <c r="C1869" s="72" t="s">
        <v>2478</v>
      </c>
      <c r="D1869" s="175" t="s">
        <v>2479</v>
      </c>
      <c r="E1869" s="175"/>
      <c r="F1869" s="72" t="s">
        <v>203</v>
      </c>
      <c r="G1869" s="90">
        <v>1</v>
      </c>
      <c r="H1869" s="91"/>
      <c r="I1869" s="92" t="s">
        <v>63</v>
      </c>
      <c r="J1869" s="90">
        <f>G1869*AO1869</f>
        <v>0</v>
      </c>
      <c r="K1869" s="90">
        <f>G1869*AP1869</f>
        <v>0</v>
      </c>
      <c r="L1869" s="90">
        <f>G1869*H1869</f>
        <v>0</v>
      </c>
      <c r="M1869" s="90">
        <f>L1869*(1+BW1869/100)</f>
        <v>0</v>
      </c>
      <c r="N1869" s="90">
        <v>2.5000000000000001E-2</v>
      </c>
      <c r="O1869" s="90">
        <f>G1869*N1869</f>
        <v>2.5000000000000001E-2</v>
      </c>
      <c r="P1869" s="92" t="s">
        <v>578</v>
      </c>
      <c r="Z1869" s="93">
        <f>IF(AQ1869="5",BJ1869,0)</f>
        <v>0</v>
      </c>
      <c r="AB1869" s="93">
        <f>IF(AQ1869="1",BH1869,0)</f>
        <v>0</v>
      </c>
      <c r="AC1869" s="93">
        <f>IF(AQ1869="1",BI1869,0)</f>
        <v>0</v>
      </c>
      <c r="AD1869" s="93">
        <f>IF(AQ1869="7",BH1869,0)</f>
        <v>0</v>
      </c>
      <c r="AE1869" s="93">
        <f>IF(AQ1869="7",BI1869,0)</f>
        <v>0</v>
      </c>
      <c r="AF1869" s="93">
        <f>IF(AQ1869="2",BH1869,0)</f>
        <v>0</v>
      </c>
      <c r="AG1869" s="93">
        <f>IF(AQ1869="2",BI1869,0)</f>
        <v>0</v>
      </c>
      <c r="AH1869" s="93">
        <f>IF(AQ1869="0",BJ1869,0)</f>
        <v>0</v>
      </c>
      <c r="AI1869" s="88" t="s">
        <v>55</v>
      </c>
      <c r="AJ1869" s="93">
        <f>IF(AN1869=0,L1869,0)</f>
        <v>0</v>
      </c>
      <c r="AK1869" s="93">
        <f>IF(AN1869=12,L1869,0)</f>
        <v>0</v>
      </c>
      <c r="AL1869" s="93">
        <f>IF(AN1869=21,L1869,0)</f>
        <v>0</v>
      </c>
      <c r="AN1869" s="93">
        <v>21</v>
      </c>
      <c r="AO1869" s="93">
        <f>H1869*0.8</f>
        <v>0</v>
      </c>
      <c r="AP1869" s="93">
        <f>H1869*(1-0.8)</f>
        <v>0</v>
      </c>
      <c r="AQ1869" s="94" t="s">
        <v>148</v>
      </c>
      <c r="AV1869" s="93">
        <f>AW1869+AX1869</f>
        <v>0</v>
      </c>
      <c r="AW1869" s="93">
        <f>G1869*AO1869</f>
        <v>0</v>
      </c>
      <c r="AX1869" s="93">
        <f>G1869*AP1869</f>
        <v>0</v>
      </c>
      <c r="AY1869" s="94" t="s">
        <v>2328</v>
      </c>
      <c r="AZ1869" s="94" t="s">
        <v>2252</v>
      </c>
      <c r="BA1869" s="88" t="s">
        <v>67</v>
      </c>
      <c r="BC1869" s="93">
        <f>AW1869+AX1869</f>
        <v>0</v>
      </c>
      <c r="BD1869" s="93">
        <f>H1869/(100-BE1869)*100</f>
        <v>0</v>
      </c>
      <c r="BE1869" s="93">
        <v>0</v>
      </c>
      <c r="BF1869" s="93">
        <f>O1869</f>
        <v>2.5000000000000001E-2</v>
      </c>
      <c r="BH1869" s="93">
        <f>G1869*AO1869</f>
        <v>0</v>
      </c>
      <c r="BI1869" s="93">
        <f>G1869*AP1869</f>
        <v>0</v>
      </c>
      <c r="BJ1869" s="93">
        <f>G1869*H1869</f>
        <v>0</v>
      </c>
      <c r="BK1869" s="93"/>
      <c r="BL1869" s="93">
        <v>766</v>
      </c>
      <c r="BW1869" s="93" t="str">
        <f>I1869</f>
        <v>21</v>
      </c>
      <c r="BX1869" s="2" t="s">
        <v>2479</v>
      </c>
    </row>
    <row r="1870" spans="1:76" s="81" customFormat="1" ht="13.5" customHeight="1" x14ac:dyDescent="0.25">
      <c r="A1870" s="95"/>
      <c r="B1870" s="95"/>
      <c r="C1870" s="95"/>
      <c r="D1870" s="182" t="s">
        <v>2464</v>
      </c>
      <c r="E1870" s="182"/>
      <c r="F1870" s="182"/>
      <c r="G1870" s="182"/>
      <c r="H1870" s="182"/>
      <c r="I1870" s="182"/>
      <c r="J1870" s="182"/>
      <c r="K1870" s="182"/>
      <c r="L1870" s="182"/>
      <c r="M1870" s="182"/>
      <c r="N1870" s="182"/>
      <c r="O1870" s="182"/>
      <c r="P1870" s="182"/>
    </row>
    <row r="1871" spans="1:76" s="81" customFormat="1" ht="25.5" x14ac:dyDescent="0.25">
      <c r="A1871" s="72" t="s">
        <v>2480</v>
      </c>
      <c r="B1871" s="72" t="s">
        <v>55</v>
      </c>
      <c r="C1871" s="72" t="s">
        <v>2481</v>
      </c>
      <c r="D1871" s="175" t="s">
        <v>2482</v>
      </c>
      <c r="E1871" s="175"/>
      <c r="F1871" s="72" t="s">
        <v>203</v>
      </c>
      <c r="G1871" s="90">
        <v>1</v>
      </c>
      <c r="H1871" s="91"/>
      <c r="I1871" s="92" t="s">
        <v>63</v>
      </c>
      <c r="J1871" s="90">
        <f>G1871*AO1871</f>
        <v>0</v>
      </c>
      <c r="K1871" s="90">
        <f>G1871*AP1871</f>
        <v>0</v>
      </c>
      <c r="L1871" s="90">
        <f>G1871*H1871</f>
        <v>0</v>
      </c>
      <c r="M1871" s="90">
        <f>L1871*(1+BW1871/100)</f>
        <v>0</v>
      </c>
      <c r="N1871" s="90">
        <v>2.5000000000000001E-2</v>
      </c>
      <c r="O1871" s="90">
        <f>G1871*N1871</f>
        <v>2.5000000000000001E-2</v>
      </c>
      <c r="P1871" s="92" t="s">
        <v>578</v>
      </c>
      <c r="Z1871" s="93">
        <f>IF(AQ1871="5",BJ1871,0)</f>
        <v>0</v>
      </c>
      <c r="AB1871" s="93">
        <f>IF(AQ1871="1",BH1871,0)</f>
        <v>0</v>
      </c>
      <c r="AC1871" s="93">
        <f>IF(AQ1871="1",BI1871,0)</f>
        <v>0</v>
      </c>
      <c r="AD1871" s="93">
        <f>IF(AQ1871="7",BH1871,0)</f>
        <v>0</v>
      </c>
      <c r="AE1871" s="93">
        <f>IF(AQ1871="7",BI1871,0)</f>
        <v>0</v>
      </c>
      <c r="AF1871" s="93">
        <f>IF(AQ1871="2",BH1871,0)</f>
        <v>0</v>
      </c>
      <c r="AG1871" s="93">
        <f>IF(AQ1871="2",BI1871,0)</f>
        <v>0</v>
      </c>
      <c r="AH1871" s="93">
        <f>IF(AQ1871="0",BJ1871,0)</f>
        <v>0</v>
      </c>
      <c r="AI1871" s="88" t="s">
        <v>55</v>
      </c>
      <c r="AJ1871" s="93">
        <f>IF(AN1871=0,L1871,0)</f>
        <v>0</v>
      </c>
      <c r="AK1871" s="93">
        <f>IF(AN1871=12,L1871,0)</f>
        <v>0</v>
      </c>
      <c r="AL1871" s="93">
        <f>IF(AN1871=21,L1871,0)</f>
        <v>0</v>
      </c>
      <c r="AN1871" s="93">
        <v>21</v>
      </c>
      <c r="AO1871" s="93">
        <f>H1871*0.7969</f>
        <v>0</v>
      </c>
      <c r="AP1871" s="93">
        <f>H1871*(1-0.7969)</f>
        <v>0</v>
      </c>
      <c r="AQ1871" s="94" t="s">
        <v>148</v>
      </c>
      <c r="AV1871" s="93">
        <f>AW1871+AX1871</f>
        <v>0</v>
      </c>
      <c r="AW1871" s="93">
        <f>G1871*AO1871</f>
        <v>0</v>
      </c>
      <c r="AX1871" s="93">
        <f>G1871*AP1871</f>
        <v>0</v>
      </c>
      <c r="AY1871" s="94" t="s">
        <v>2328</v>
      </c>
      <c r="AZ1871" s="94" t="s">
        <v>2252</v>
      </c>
      <c r="BA1871" s="88" t="s">
        <v>67</v>
      </c>
      <c r="BC1871" s="93">
        <f>AW1871+AX1871</f>
        <v>0</v>
      </c>
      <c r="BD1871" s="93">
        <f>H1871/(100-BE1871)*100</f>
        <v>0</v>
      </c>
      <c r="BE1871" s="93">
        <v>0</v>
      </c>
      <c r="BF1871" s="93">
        <f>O1871</f>
        <v>2.5000000000000001E-2</v>
      </c>
      <c r="BH1871" s="93">
        <f>G1871*AO1871</f>
        <v>0</v>
      </c>
      <c r="BI1871" s="93">
        <f>G1871*AP1871</f>
        <v>0</v>
      </c>
      <c r="BJ1871" s="93">
        <f>G1871*H1871</f>
        <v>0</v>
      </c>
      <c r="BK1871" s="93"/>
      <c r="BL1871" s="93">
        <v>766</v>
      </c>
      <c r="BW1871" s="93" t="str">
        <f>I1871</f>
        <v>21</v>
      </c>
      <c r="BX1871" s="2" t="s">
        <v>2482</v>
      </c>
    </row>
    <row r="1872" spans="1:76" s="81" customFormat="1" ht="13.5" customHeight="1" x14ac:dyDescent="0.25">
      <c r="A1872" s="95"/>
      <c r="B1872" s="95"/>
      <c r="C1872" s="95"/>
      <c r="D1872" s="182" t="s">
        <v>2464</v>
      </c>
      <c r="E1872" s="182"/>
      <c r="F1872" s="182"/>
      <c r="G1872" s="182"/>
      <c r="H1872" s="182"/>
      <c r="I1872" s="182"/>
      <c r="J1872" s="182"/>
      <c r="K1872" s="182"/>
      <c r="L1872" s="182"/>
      <c r="M1872" s="182"/>
      <c r="N1872" s="182"/>
      <c r="O1872" s="182"/>
      <c r="P1872" s="182"/>
    </row>
    <row r="1873" spans="1:76" s="81" customFormat="1" ht="25.5" x14ac:dyDescent="0.25">
      <c r="A1873" s="72" t="s">
        <v>2483</v>
      </c>
      <c r="B1873" s="72" t="s">
        <v>55</v>
      </c>
      <c r="C1873" s="72" t="s">
        <v>2484</v>
      </c>
      <c r="D1873" s="175" t="s">
        <v>2485</v>
      </c>
      <c r="E1873" s="175"/>
      <c r="F1873" s="72" t="s">
        <v>203</v>
      </c>
      <c r="G1873" s="90">
        <v>2</v>
      </c>
      <c r="H1873" s="91"/>
      <c r="I1873" s="92" t="s">
        <v>63</v>
      </c>
      <c r="J1873" s="90">
        <f>G1873*AO1873</f>
        <v>0</v>
      </c>
      <c r="K1873" s="90">
        <f>G1873*AP1873</f>
        <v>0</v>
      </c>
      <c r="L1873" s="90">
        <f>G1873*H1873</f>
        <v>0</v>
      </c>
      <c r="M1873" s="90">
        <f>L1873*(1+BW1873/100)</f>
        <v>0</v>
      </c>
      <c r="N1873" s="90">
        <v>2.5000000000000001E-2</v>
      </c>
      <c r="O1873" s="90">
        <f>G1873*N1873</f>
        <v>0.05</v>
      </c>
      <c r="P1873" s="92" t="s">
        <v>578</v>
      </c>
      <c r="Z1873" s="93">
        <f>IF(AQ1873="5",BJ1873,0)</f>
        <v>0</v>
      </c>
      <c r="AB1873" s="93">
        <f>IF(AQ1873="1",BH1873,0)</f>
        <v>0</v>
      </c>
      <c r="AC1873" s="93">
        <f>IF(AQ1873="1",BI1873,0)</f>
        <v>0</v>
      </c>
      <c r="AD1873" s="93">
        <f>IF(AQ1873="7",BH1873,0)</f>
        <v>0</v>
      </c>
      <c r="AE1873" s="93">
        <f>IF(AQ1873="7",BI1873,0)</f>
        <v>0</v>
      </c>
      <c r="AF1873" s="93">
        <f>IF(AQ1873="2",BH1873,0)</f>
        <v>0</v>
      </c>
      <c r="AG1873" s="93">
        <f>IF(AQ1873="2",BI1873,0)</f>
        <v>0</v>
      </c>
      <c r="AH1873" s="93">
        <f>IF(AQ1873="0",BJ1873,0)</f>
        <v>0</v>
      </c>
      <c r="AI1873" s="88" t="s">
        <v>55</v>
      </c>
      <c r="AJ1873" s="93">
        <f>IF(AN1873=0,L1873,0)</f>
        <v>0</v>
      </c>
      <c r="AK1873" s="93">
        <f>IF(AN1873=12,L1873,0)</f>
        <v>0</v>
      </c>
      <c r="AL1873" s="93">
        <f>IF(AN1873=21,L1873,0)</f>
        <v>0</v>
      </c>
      <c r="AN1873" s="93">
        <v>21</v>
      </c>
      <c r="AO1873" s="93">
        <f>H1873*0.7913</f>
        <v>0</v>
      </c>
      <c r="AP1873" s="93">
        <f>H1873*(1-0.7913)</f>
        <v>0</v>
      </c>
      <c r="AQ1873" s="94" t="s">
        <v>148</v>
      </c>
      <c r="AV1873" s="93">
        <f>AW1873+AX1873</f>
        <v>0</v>
      </c>
      <c r="AW1873" s="93">
        <f>G1873*AO1873</f>
        <v>0</v>
      </c>
      <c r="AX1873" s="93">
        <f>G1873*AP1873</f>
        <v>0</v>
      </c>
      <c r="AY1873" s="94" t="s">
        <v>2328</v>
      </c>
      <c r="AZ1873" s="94" t="s">
        <v>2252</v>
      </c>
      <c r="BA1873" s="88" t="s">
        <v>67</v>
      </c>
      <c r="BC1873" s="93">
        <f>AW1873+AX1873</f>
        <v>0</v>
      </c>
      <c r="BD1873" s="93">
        <f>H1873/(100-BE1873)*100</f>
        <v>0</v>
      </c>
      <c r="BE1873" s="93">
        <v>0</v>
      </c>
      <c r="BF1873" s="93">
        <f>O1873</f>
        <v>0.05</v>
      </c>
      <c r="BH1873" s="93">
        <f>G1873*AO1873</f>
        <v>0</v>
      </c>
      <c r="BI1873" s="93">
        <f>G1873*AP1873</f>
        <v>0</v>
      </c>
      <c r="BJ1873" s="93">
        <f>G1873*H1873</f>
        <v>0</v>
      </c>
      <c r="BK1873" s="93"/>
      <c r="BL1873" s="93">
        <v>766</v>
      </c>
      <c r="BW1873" s="93" t="str">
        <f>I1873</f>
        <v>21</v>
      </c>
      <c r="BX1873" s="2" t="s">
        <v>2485</v>
      </c>
    </row>
    <row r="1874" spans="1:76" s="81" customFormat="1" ht="13.5" customHeight="1" x14ac:dyDescent="0.25">
      <c r="A1874" s="95"/>
      <c r="B1874" s="95"/>
      <c r="C1874" s="95"/>
      <c r="D1874" s="182" t="s">
        <v>2464</v>
      </c>
      <c r="E1874" s="182"/>
      <c r="F1874" s="182"/>
      <c r="G1874" s="182"/>
      <c r="H1874" s="182"/>
      <c r="I1874" s="182"/>
      <c r="J1874" s="182"/>
      <c r="K1874" s="182"/>
      <c r="L1874" s="182"/>
      <c r="M1874" s="182"/>
      <c r="N1874" s="182"/>
      <c r="O1874" s="182"/>
      <c r="P1874" s="182"/>
    </row>
    <row r="1875" spans="1:76" s="81" customFormat="1" ht="25.5" x14ac:dyDescent="0.25">
      <c r="A1875" s="72" t="s">
        <v>2486</v>
      </c>
      <c r="B1875" s="72" t="s">
        <v>55</v>
      </c>
      <c r="C1875" s="72" t="s">
        <v>2487</v>
      </c>
      <c r="D1875" s="175" t="s">
        <v>2488</v>
      </c>
      <c r="E1875" s="175"/>
      <c r="F1875" s="72" t="s">
        <v>203</v>
      </c>
      <c r="G1875" s="90">
        <v>4</v>
      </c>
      <c r="H1875" s="91"/>
      <c r="I1875" s="92" t="s">
        <v>63</v>
      </c>
      <c r="J1875" s="90">
        <f>G1875*AO1875</f>
        <v>0</v>
      </c>
      <c r="K1875" s="90">
        <f>G1875*AP1875</f>
        <v>0</v>
      </c>
      <c r="L1875" s="90">
        <f>G1875*H1875</f>
        <v>0</v>
      </c>
      <c r="M1875" s="90">
        <f>L1875*(1+BW1875/100)</f>
        <v>0</v>
      </c>
      <c r="N1875" s="90">
        <v>2.5000000000000001E-2</v>
      </c>
      <c r="O1875" s="90">
        <f>G1875*N1875</f>
        <v>0.1</v>
      </c>
      <c r="P1875" s="92" t="s">
        <v>578</v>
      </c>
      <c r="Z1875" s="93">
        <f>IF(AQ1875="5",BJ1875,0)</f>
        <v>0</v>
      </c>
      <c r="AB1875" s="93">
        <f>IF(AQ1875="1",BH1875,0)</f>
        <v>0</v>
      </c>
      <c r="AC1875" s="93">
        <f>IF(AQ1875="1",BI1875,0)</f>
        <v>0</v>
      </c>
      <c r="AD1875" s="93">
        <f>IF(AQ1875="7",BH1875,0)</f>
        <v>0</v>
      </c>
      <c r="AE1875" s="93">
        <f>IF(AQ1875="7",BI1875,0)</f>
        <v>0</v>
      </c>
      <c r="AF1875" s="93">
        <f>IF(AQ1875="2",BH1875,0)</f>
        <v>0</v>
      </c>
      <c r="AG1875" s="93">
        <f>IF(AQ1875="2",BI1875,0)</f>
        <v>0</v>
      </c>
      <c r="AH1875" s="93">
        <f>IF(AQ1875="0",BJ1875,0)</f>
        <v>0</v>
      </c>
      <c r="AI1875" s="88" t="s">
        <v>55</v>
      </c>
      <c r="AJ1875" s="93">
        <f>IF(AN1875=0,L1875,0)</f>
        <v>0</v>
      </c>
      <c r="AK1875" s="93">
        <f>IF(AN1875=12,L1875,0)</f>
        <v>0</v>
      </c>
      <c r="AL1875" s="93">
        <f>IF(AN1875=21,L1875,0)</f>
        <v>0</v>
      </c>
      <c r="AN1875" s="93">
        <v>21</v>
      </c>
      <c r="AO1875" s="93">
        <f>H1875*0.7913</f>
        <v>0</v>
      </c>
      <c r="AP1875" s="93">
        <f>H1875*(1-0.7913)</f>
        <v>0</v>
      </c>
      <c r="AQ1875" s="94" t="s">
        <v>148</v>
      </c>
      <c r="AV1875" s="93">
        <f>AW1875+AX1875</f>
        <v>0</v>
      </c>
      <c r="AW1875" s="93">
        <f>G1875*AO1875</f>
        <v>0</v>
      </c>
      <c r="AX1875" s="93">
        <f>G1875*AP1875</f>
        <v>0</v>
      </c>
      <c r="AY1875" s="94" t="s">
        <v>2328</v>
      </c>
      <c r="AZ1875" s="94" t="s">
        <v>2252</v>
      </c>
      <c r="BA1875" s="88" t="s">
        <v>67</v>
      </c>
      <c r="BC1875" s="93">
        <f>AW1875+AX1875</f>
        <v>0</v>
      </c>
      <c r="BD1875" s="93">
        <f>H1875/(100-BE1875)*100</f>
        <v>0</v>
      </c>
      <c r="BE1875" s="93">
        <v>0</v>
      </c>
      <c r="BF1875" s="93">
        <f>O1875</f>
        <v>0.1</v>
      </c>
      <c r="BH1875" s="93">
        <f>G1875*AO1875</f>
        <v>0</v>
      </c>
      <c r="BI1875" s="93">
        <f>G1875*AP1875</f>
        <v>0</v>
      </c>
      <c r="BJ1875" s="93">
        <f>G1875*H1875</f>
        <v>0</v>
      </c>
      <c r="BK1875" s="93"/>
      <c r="BL1875" s="93">
        <v>766</v>
      </c>
      <c r="BW1875" s="93" t="str">
        <f>I1875</f>
        <v>21</v>
      </c>
      <c r="BX1875" s="2" t="s">
        <v>2488</v>
      </c>
    </row>
    <row r="1876" spans="1:76" s="81" customFormat="1" ht="13.5" customHeight="1" x14ac:dyDescent="0.25">
      <c r="A1876" s="95"/>
      <c r="B1876" s="95"/>
      <c r="C1876" s="95"/>
      <c r="D1876" s="182" t="s">
        <v>2464</v>
      </c>
      <c r="E1876" s="182"/>
      <c r="F1876" s="182"/>
      <c r="G1876" s="182"/>
      <c r="H1876" s="182"/>
      <c r="I1876" s="182"/>
      <c r="J1876" s="182"/>
      <c r="K1876" s="182"/>
      <c r="L1876" s="182"/>
      <c r="M1876" s="182"/>
      <c r="N1876" s="182"/>
      <c r="O1876" s="182"/>
      <c r="P1876" s="182"/>
    </row>
    <row r="1877" spans="1:76" s="81" customFormat="1" ht="25.5" x14ac:dyDescent="0.25">
      <c r="A1877" s="72" t="s">
        <v>2489</v>
      </c>
      <c r="B1877" s="72" t="s">
        <v>55</v>
      </c>
      <c r="C1877" s="72" t="s">
        <v>2490</v>
      </c>
      <c r="D1877" s="175" t="s">
        <v>2491</v>
      </c>
      <c r="E1877" s="175"/>
      <c r="F1877" s="72" t="s">
        <v>203</v>
      </c>
      <c r="G1877" s="90">
        <v>4</v>
      </c>
      <c r="H1877" s="91"/>
      <c r="I1877" s="92" t="s">
        <v>63</v>
      </c>
      <c r="J1877" s="90">
        <f>G1877*AO1877</f>
        <v>0</v>
      </c>
      <c r="K1877" s="90">
        <f>G1877*AP1877</f>
        <v>0</v>
      </c>
      <c r="L1877" s="90">
        <f>G1877*H1877</f>
        <v>0</v>
      </c>
      <c r="M1877" s="90">
        <f>L1877*(1+BW1877/100)</f>
        <v>0</v>
      </c>
      <c r="N1877" s="90">
        <v>2.5000000000000001E-2</v>
      </c>
      <c r="O1877" s="90">
        <f>G1877*N1877</f>
        <v>0.1</v>
      </c>
      <c r="P1877" s="92" t="s">
        <v>578</v>
      </c>
      <c r="Z1877" s="93">
        <f>IF(AQ1877="5",BJ1877,0)</f>
        <v>0</v>
      </c>
      <c r="AB1877" s="93">
        <f>IF(AQ1877="1",BH1877,0)</f>
        <v>0</v>
      </c>
      <c r="AC1877" s="93">
        <f>IF(AQ1877="1",BI1877,0)</f>
        <v>0</v>
      </c>
      <c r="AD1877" s="93">
        <f>IF(AQ1877="7",BH1877,0)</f>
        <v>0</v>
      </c>
      <c r="AE1877" s="93">
        <f>IF(AQ1877="7",BI1877,0)</f>
        <v>0</v>
      </c>
      <c r="AF1877" s="93">
        <f>IF(AQ1877="2",BH1877,0)</f>
        <v>0</v>
      </c>
      <c r="AG1877" s="93">
        <f>IF(AQ1877="2",BI1877,0)</f>
        <v>0</v>
      </c>
      <c r="AH1877" s="93">
        <f>IF(AQ1877="0",BJ1877,0)</f>
        <v>0</v>
      </c>
      <c r="AI1877" s="88" t="s">
        <v>55</v>
      </c>
      <c r="AJ1877" s="93">
        <f>IF(AN1877=0,L1877,0)</f>
        <v>0</v>
      </c>
      <c r="AK1877" s="93">
        <f>IF(AN1877=12,L1877,0)</f>
        <v>0</v>
      </c>
      <c r="AL1877" s="93">
        <f>IF(AN1877=21,L1877,0)</f>
        <v>0</v>
      </c>
      <c r="AN1877" s="93">
        <v>21</v>
      </c>
      <c r="AO1877" s="93">
        <f>H1877*0.7969</f>
        <v>0</v>
      </c>
      <c r="AP1877" s="93">
        <f>H1877*(1-0.7969)</f>
        <v>0</v>
      </c>
      <c r="AQ1877" s="94" t="s">
        <v>148</v>
      </c>
      <c r="AV1877" s="93">
        <f>AW1877+AX1877</f>
        <v>0</v>
      </c>
      <c r="AW1877" s="93">
        <f>G1877*AO1877</f>
        <v>0</v>
      </c>
      <c r="AX1877" s="93">
        <f>G1877*AP1877</f>
        <v>0</v>
      </c>
      <c r="AY1877" s="94" t="s">
        <v>2328</v>
      </c>
      <c r="AZ1877" s="94" t="s">
        <v>2252</v>
      </c>
      <c r="BA1877" s="88" t="s">
        <v>67</v>
      </c>
      <c r="BC1877" s="93">
        <f>AW1877+AX1877</f>
        <v>0</v>
      </c>
      <c r="BD1877" s="93">
        <f>H1877/(100-BE1877)*100</f>
        <v>0</v>
      </c>
      <c r="BE1877" s="93">
        <v>0</v>
      </c>
      <c r="BF1877" s="93">
        <f>O1877</f>
        <v>0.1</v>
      </c>
      <c r="BH1877" s="93">
        <f>G1877*AO1877</f>
        <v>0</v>
      </c>
      <c r="BI1877" s="93">
        <f>G1877*AP1877</f>
        <v>0</v>
      </c>
      <c r="BJ1877" s="93">
        <f>G1877*H1877</f>
        <v>0</v>
      </c>
      <c r="BK1877" s="93"/>
      <c r="BL1877" s="93">
        <v>766</v>
      </c>
      <c r="BW1877" s="93" t="str">
        <f>I1877</f>
        <v>21</v>
      </c>
      <c r="BX1877" s="2" t="s">
        <v>2491</v>
      </c>
    </row>
    <row r="1878" spans="1:76" s="81" customFormat="1" ht="13.5" customHeight="1" x14ac:dyDescent="0.25">
      <c r="A1878" s="95"/>
      <c r="B1878" s="95"/>
      <c r="C1878" s="95"/>
      <c r="D1878" s="182" t="s">
        <v>2464</v>
      </c>
      <c r="E1878" s="182"/>
      <c r="F1878" s="182"/>
      <c r="G1878" s="182"/>
      <c r="H1878" s="182"/>
      <c r="I1878" s="182"/>
      <c r="J1878" s="182"/>
      <c r="K1878" s="182"/>
      <c r="L1878" s="182"/>
      <c r="M1878" s="182"/>
      <c r="N1878" s="182"/>
      <c r="O1878" s="182"/>
      <c r="P1878" s="182"/>
    </row>
    <row r="1879" spans="1:76" s="81" customFormat="1" ht="25.5" x14ac:dyDescent="0.25">
      <c r="A1879" s="72" t="s">
        <v>2492</v>
      </c>
      <c r="B1879" s="72" t="s">
        <v>55</v>
      </c>
      <c r="C1879" s="72" t="s">
        <v>2493</v>
      </c>
      <c r="D1879" s="175" t="s">
        <v>2494</v>
      </c>
      <c r="E1879" s="175"/>
      <c r="F1879" s="72" t="s">
        <v>203</v>
      </c>
      <c r="G1879" s="90">
        <v>11</v>
      </c>
      <c r="H1879" s="91"/>
      <c r="I1879" s="92" t="s">
        <v>63</v>
      </c>
      <c r="J1879" s="90">
        <f>G1879*AO1879</f>
        <v>0</v>
      </c>
      <c r="K1879" s="90">
        <f>G1879*AP1879</f>
        <v>0</v>
      </c>
      <c r="L1879" s="90">
        <f>G1879*H1879</f>
        <v>0</v>
      </c>
      <c r="M1879" s="90">
        <f>L1879*(1+BW1879/100)</f>
        <v>0</v>
      </c>
      <c r="N1879" s="90">
        <v>2.5000000000000001E-2</v>
      </c>
      <c r="O1879" s="90">
        <f>G1879*N1879</f>
        <v>0.27500000000000002</v>
      </c>
      <c r="P1879" s="92" t="s">
        <v>578</v>
      </c>
      <c r="Z1879" s="93">
        <f>IF(AQ1879="5",BJ1879,0)</f>
        <v>0</v>
      </c>
      <c r="AB1879" s="93">
        <f>IF(AQ1879="1",BH1879,0)</f>
        <v>0</v>
      </c>
      <c r="AC1879" s="93">
        <f>IF(AQ1879="1",BI1879,0)</f>
        <v>0</v>
      </c>
      <c r="AD1879" s="93">
        <f>IF(AQ1879="7",BH1879,0)</f>
        <v>0</v>
      </c>
      <c r="AE1879" s="93">
        <f>IF(AQ1879="7",BI1879,0)</f>
        <v>0</v>
      </c>
      <c r="AF1879" s="93">
        <f>IF(AQ1879="2",BH1879,0)</f>
        <v>0</v>
      </c>
      <c r="AG1879" s="93">
        <f>IF(AQ1879="2",BI1879,0)</f>
        <v>0</v>
      </c>
      <c r="AH1879" s="93">
        <f>IF(AQ1879="0",BJ1879,0)</f>
        <v>0</v>
      </c>
      <c r="AI1879" s="88" t="s">
        <v>55</v>
      </c>
      <c r="AJ1879" s="93">
        <f>IF(AN1879=0,L1879,0)</f>
        <v>0</v>
      </c>
      <c r="AK1879" s="93">
        <f>IF(AN1879=12,L1879,0)</f>
        <v>0</v>
      </c>
      <c r="AL1879" s="93">
        <f>IF(AN1879=21,L1879,0)</f>
        <v>0</v>
      </c>
      <c r="AN1879" s="93">
        <v>21</v>
      </c>
      <c r="AO1879" s="93">
        <f>H1879*0.7913</f>
        <v>0</v>
      </c>
      <c r="AP1879" s="93">
        <f>H1879*(1-0.7913)</f>
        <v>0</v>
      </c>
      <c r="AQ1879" s="94" t="s">
        <v>148</v>
      </c>
      <c r="AV1879" s="93">
        <f>AW1879+AX1879</f>
        <v>0</v>
      </c>
      <c r="AW1879" s="93">
        <f>G1879*AO1879</f>
        <v>0</v>
      </c>
      <c r="AX1879" s="93">
        <f>G1879*AP1879</f>
        <v>0</v>
      </c>
      <c r="AY1879" s="94" t="s">
        <v>2328</v>
      </c>
      <c r="AZ1879" s="94" t="s">
        <v>2252</v>
      </c>
      <c r="BA1879" s="88" t="s">
        <v>67</v>
      </c>
      <c r="BC1879" s="93">
        <f>AW1879+AX1879</f>
        <v>0</v>
      </c>
      <c r="BD1879" s="93">
        <f>H1879/(100-BE1879)*100</f>
        <v>0</v>
      </c>
      <c r="BE1879" s="93">
        <v>0</v>
      </c>
      <c r="BF1879" s="93">
        <f>O1879</f>
        <v>0.27500000000000002</v>
      </c>
      <c r="BH1879" s="93">
        <f>G1879*AO1879</f>
        <v>0</v>
      </c>
      <c r="BI1879" s="93">
        <f>G1879*AP1879</f>
        <v>0</v>
      </c>
      <c r="BJ1879" s="93">
        <f>G1879*H1879</f>
        <v>0</v>
      </c>
      <c r="BK1879" s="93"/>
      <c r="BL1879" s="93">
        <v>766</v>
      </c>
      <c r="BW1879" s="93" t="str">
        <f>I1879</f>
        <v>21</v>
      </c>
      <c r="BX1879" s="2" t="s">
        <v>2494</v>
      </c>
    </row>
    <row r="1880" spans="1:76" s="81" customFormat="1" ht="13.5" customHeight="1" x14ac:dyDescent="0.25">
      <c r="A1880" s="95"/>
      <c r="B1880" s="95"/>
      <c r="C1880" s="95"/>
      <c r="D1880" s="182" t="s">
        <v>2464</v>
      </c>
      <c r="E1880" s="182"/>
      <c r="F1880" s="182"/>
      <c r="G1880" s="182"/>
      <c r="H1880" s="182"/>
      <c r="I1880" s="182"/>
      <c r="J1880" s="182"/>
      <c r="K1880" s="182"/>
      <c r="L1880" s="182"/>
      <c r="M1880" s="182"/>
      <c r="N1880" s="182"/>
      <c r="O1880" s="182"/>
      <c r="P1880" s="182"/>
    </row>
    <row r="1881" spans="1:76" s="81" customFormat="1" ht="25.5" x14ac:dyDescent="0.25">
      <c r="A1881" s="72" t="s">
        <v>2495</v>
      </c>
      <c r="B1881" s="72" t="s">
        <v>55</v>
      </c>
      <c r="C1881" s="72" t="s">
        <v>2496</v>
      </c>
      <c r="D1881" s="175" t="s">
        <v>2497</v>
      </c>
      <c r="E1881" s="175"/>
      <c r="F1881" s="72" t="s">
        <v>203</v>
      </c>
      <c r="G1881" s="90">
        <v>12</v>
      </c>
      <c r="H1881" s="91"/>
      <c r="I1881" s="92" t="s">
        <v>63</v>
      </c>
      <c r="J1881" s="90">
        <f>G1881*AO1881</f>
        <v>0</v>
      </c>
      <c r="K1881" s="90">
        <f>G1881*AP1881</f>
        <v>0</v>
      </c>
      <c r="L1881" s="90">
        <f>G1881*H1881</f>
        <v>0</v>
      </c>
      <c r="M1881" s="90">
        <f>L1881*(1+BW1881/100)</f>
        <v>0</v>
      </c>
      <c r="N1881" s="90">
        <v>2.5000000000000001E-2</v>
      </c>
      <c r="O1881" s="90">
        <f>G1881*N1881</f>
        <v>0.30000000000000004</v>
      </c>
      <c r="P1881" s="92" t="s">
        <v>578</v>
      </c>
      <c r="Z1881" s="93">
        <f>IF(AQ1881="5",BJ1881,0)</f>
        <v>0</v>
      </c>
      <c r="AB1881" s="93">
        <f>IF(AQ1881="1",BH1881,0)</f>
        <v>0</v>
      </c>
      <c r="AC1881" s="93">
        <f>IF(AQ1881="1",BI1881,0)</f>
        <v>0</v>
      </c>
      <c r="AD1881" s="93">
        <f>IF(AQ1881="7",BH1881,0)</f>
        <v>0</v>
      </c>
      <c r="AE1881" s="93">
        <f>IF(AQ1881="7",BI1881,0)</f>
        <v>0</v>
      </c>
      <c r="AF1881" s="93">
        <f>IF(AQ1881="2",BH1881,0)</f>
        <v>0</v>
      </c>
      <c r="AG1881" s="93">
        <f>IF(AQ1881="2",BI1881,0)</f>
        <v>0</v>
      </c>
      <c r="AH1881" s="93">
        <f>IF(AQ1881="0",BJ1881,0)</f>
        <v>0</v>
      </c>
      <c r="AI1881" s="88" t="s">
        <v>55</v>
      </c>
      <c r="AJ1881" s="93">
        <f>IF(AN1881=0,L1881,0)</f>
        <v>0</v>
      </c>
      <c r="AK1881" s="93">
        <f>IF(AN1881=12,L1881,0)</f>
        <v>0</v>
      </c>
      <c r="AL1881" s="93">
        <f>IF(AN1881=21,L1881,0)</f>
        <v>0</v>
      </c>
      <c r="AN1881" s="93">
        <v>21</v>
      </c>
      <c r="AO1881" s="93">
        <f>H1881*0.8</f>
        <v>0</v>
      </c>
      <c r="AP1881" s="93">
        <f>H1881*(1-0.8)</f>
        <v>0</v>
      </c>
      <c r="AQ1881" s="94" t="s">
        <v>148</v>
      </c>
      <c r="AV1881" s="93">
        <f>AW1881+AX1881</f>
        <v>0</v>
      </c>
      <c r="AW1881" s="93">
        <f>G1881*AO1881</f>
        <v>0</v>
      </c>
      <c r="AX1881" s="93">
        <f>G1881*AP1881</f>
        <v>0</v>
      </c>
      <c r="AY1881" s="94" t="s">
        <v>2328</v>
      </c>
      <c r="AZ1881" s="94" t="s">
        <v>2252</v>
      </c>
      <c r="BA1881" s="88" t="s">
        <v>67</v>
      </c>
      <c r="BC1881" s="93">
        <f>AW1881+AX1881</f>
        <v>0</v>
      </c>
      <c r="BD1881" s="93">
        <f>H1881/(100-BE1881)*100</f>
        <v>0</v>
      </c>
      <c r="BE1881" s="93">
        <v>0</v>
      </c>
      <c r="BF1881" s="93">
        <f>O1881</f>
        <v>0.30000000000000004</v>
      </c>
      <c r="BH1881" s="93">
        <f>G1881*AO1881</f>
        <v>0</v>
      </c>
      <c r="BI1881" s="93">
        <f>G1881*AP1881</f>
        <v>0</v>
      </c>
      <c r="BJ1881" s="93">
        <f>G1881*H1881</f>
        <v>0</v>
      </c>
      <c r="BK1881" s="93"/>
      <c r="BL1881" s="93">
        <v>766</v>
      </c>
      <c r="BW1881" s="93" t="str">
        <f>I1881</f>
        <v>21</v>
      </c>
      <c r="BX1881" s="2" t="s">
        <v>2497</v>
      </c>
    </row>
    <row r="1882" spans="1:76" s="81" customFormat="1" ht="13.5" customHeight="1" x14ac:dyDescent="0.25">
      <c r="A1882" s="95"/>
      <c r="B1882" s="95"/>
      <c r="C1882" s="95"/>
      <c r="D1882" s="182" t="s">
        <v>2464</v>
      </c>
      <c r="E1882" s="182"/>
      <c r="F1882" s="182"/>
      <c r="G1882" s="182"/>
      <c r="H1882" s="182"/>
      <c r="I1882" s="182"/>
      <c r="J1882" s="182"/>
      <c r="K1882" s="182"/>
      <c r="L1882" s="182"/>
      <c r="M1882" s="182"/>
      <c r="N1882" s="182"/>
      <c r="O1882" s="182"/>
      <c r="P1882" s="182"/>
    </row>
    <row r="1883" spans="1:76" s="81" customFormat="1" ht="25.5" x14ac:dyDescent="0.25">
      <c r="A1883" s="72" t="s">
        <v>2498</v>
      </c>
      <c r="B1883" s="72" t="s">
        <v>55</v>
      </c>
      <c r="C1883" s="72" t="s">
        <v>2499</v>
      </c>
      <c r="D1883" s="175" t="s">
        <v>2500</v>
      </c>
      <c r="E1883" s="175"/>
      <c r="F1883" s="72" t="s">
        <v>203</v>
      </c>
      <c r="G1883" s="90">
        <v>1</v>
      </c>
      <c r="H1883" s="91"/>
      <c r="I1883" s="92" t="s">
        <v>63</v>
      </c>
      <c r="J1883" s="90">
        <f>G1883*AO1883</f>
        <v>0</v>
      </c>
      <c r="K1883" s="90">
        <f>G1883*AP1883</f>
        <v>0</v>
      </c>
      <c r="L1883" s="90">
        <f>G1883*H1883</f>
        <v>0</v>
      </c>
      <c r="M1883" s="90">
        <f>L1883*(1+BW1883/100)</f>
        <v>0</v>
      </c>
      <c r="N1883" s="90">
        <v>2.5000000000000001E-2</v>
      </c>
      <c r="O1883" s="90">
        <f>G1883*N1883</f>
        <v>2.5000000000000001E-2</v>
      </c>
      <c r="P1883" s="92" t="s">
        <v>578</v>
      </c>
      <c r="Z1883" s="93">
        <f>IF(AQ1883="5",BJ1883,0)</f>
        <v>0</v>
      </c>
      <c r="AB1883" s="93">
        <f>IF(AQ1883="1",BH1883,0)</f>
        <v>0</v>
      </c>
      <c r="AC1883" s="93">
        <f>IF(AQ1883="1",BI1883,0)</f>
        <v>0</v>
      </c>
      <c r="AD1883" s="93">
        <f>IF(AQ1883="7",BH1883,0)</f>
        <v>0</v>
      </c>
      <c r="AE1883" s="93">
        <f>IF(AQ1883="7",BI1883,0)</f>
        <v>0</v>
      </c>
      <c r="AF1883" s="93">
        <f>IF(AQ1883="2",BH1883,0)</f>
        <v>0</v>
      </c>
      <c r="AG1883" s="93">
        <f>IF(AQ1883="2",BI1883,0)</f>
        <v>0</v>
      </c>
      <c r="AH1883" s="93">
        <f>IF(AQ1883="0",BJ1883,0)</f>
        <v>0</v>
      </c>
      <c r="AI1883" s="88" t="s">
        <v>55</v>
      </c>
      <c r="AJ1883" s="93">
        <f>IF(AN1883=0,L1883,0)</f>
        <v>0</v>
      </c>
      <c r="AK1883" s="93">
        <f>IF(AN1883=12,L1883,0)</f>
        <v>0</v>
      </c>
      <c r="AL1883" s="93">
        <f>IF(AN1883=21,L1883,0)</f>
        <v>0</v>
      </c>
      <c r="AN1883" s="93">
        <v>21</v>
      </c>
      <c r="AO1883" s="93">
        <f>H1883*0.8</f>
        <v>0</v>
      </c>
      <c r="AP1883" s="93">
        <f>H1883*(1-0.8)</f>
        <v>0</v>
      </c>
      <c r="AQ1883" s="94" t="s">
        <v>148</v>
      </c>
      <c r="AV1883" s="93">
        <f>AW1883+AX1883</f>
        <v>0</v>
      </c>
      <c r="AW1883" s="93">
        <f>G1883*AO1883</f>
        <v>0</v>
      </c>
      <c r="AX1883" s="93">
        <f>G1883*AP1883</f>
        <v>0</v>
      </c>
      <c r="AY1883" s="94" t="s">
        <v>2328</v>
      </c>
      <c r="AZ1883" s="94" t="s">
        <v>2252</v>
      </c>
      <c r="BA1883" s="88" t="s">
        <v>67</v>
      </c>
      <c r="BC1883" s="93">
        <f>AW1883+AX1883</f>
        <v>0</v>
      </c>
      <c r="BD1883" s="93">
        <f>H1883/(100-BE1883)*100</f>
        <v>0</v>
      </c>
      <c r="BE1883" s="93">
        <v>0</v>
      </c>
      <c r="BF1883" s="93">
        <f>O1883</f>
        <v>2.5000000000000001E-2</v>
      </c>
      <c r="BH1883" s="93">
        <f>G1883*AO1883</f>
        <v>0</v>
      </c>
      <c r="BI1883" s="93">
        <f>G1883*AP1883</f>
        <v>0</v>
      </c>
      <c r="BJ1883" s="93">
        <f>G1883*H1883</f>
        <v>0</v>
      </c>
      <c r="BK1883" s="93"/>
      <c r="BL1883" s="93">
        <v>766</v>
      </c>
      <c r="BW1883" s="93" t="str">
        <f>I1883</f>
        <v>21</v>
      </c>
      <c r="BX1883" s="2" t="s">
        <v>2500</v>
      </c>
    </row>
    <row r="1884" spans="1:76" s="81" customFormat="1" ht="13.5" customHeight="1" x14ac:dyDescent="0.25">
      <c r="A1884" s="95"/>
      <c r="B1884" s="95"/>
      <c r="C1884" s="95"/>
      <c r="D1884" s="182" t="s">
        <v>2464</v>
      </c>
      <c r="E1884" s="182"/>
      <c r="F1884" s="182"/>
      <c r="G1884" s="182"/>
      <c r="H1884" s="182"/>
      <c r="I1884" s="182"/>
      <c r="J1884" s="182"/>
      <c r="K1884" s="182"/>
      <c r="L1884" s="182"/>
      <c r="M1884" s="182"/>
      <c r="N1884" s="182"/>
      <c r="O1884" s="182"/>
      <c r="P1884" s="182"/>
    </row>
    <row r="1885" spans="1:76" s="81" customFormat="1" ht="25.5" x14ac:dyDescent="0.25">
      <c r="A1885" s="72" t="s">
        <v>2501</v>
      </c>
      <c r="B1885" s="72" t="s">
        <v>55</v>
      </c>
      <c r="C1885" s="72" t="s">
        <v>2502</v>
      </c>
      <c r="D1885" s="175" t="s">
        <v>2503</v>
      </c>
      <c r="E1885" s="175"/>
      <c r="F1885" s="72" t="s">
        <v>203</v>
      </c>
      <c r="G1885" s="90">
        <v>1</v>
      </c>
      <c r="H1885" s="91"/>
      <c r="I1885" s="92" t="s">
        <v>63</v>
      </c>
      <c r="J1885" s="90">
        <f>G1885*AO1885</f>
        <v>0</v>
      </c>
      <c r="K1885" s="90">
        <f>G1885*AP1885</f>
        <v>0</v>
      </c>
      <c r="L1885" s="90">
        <f>G1885*H1885</f>
        <v>0</v>
      </c>
      <c r="M1885" s="90">
        <f>L1885*(1+BW1885/100)</f>
        <v>0</v>
      </c>
      <c r="N1885" s="90">
        <v>2.5000000000000001E-2</v>
      </c>
      <c r="O1885" s="90">
        <f>G1885*N1885</f>
        <v>2.5000000000000001E-2</v>
      </c>
      <c r="P1885" s="92" t="s">
        <v>578</v>
      </c>
      <c r="Z1885" s="93">
        <f>IF(AQ1885="5",BJ1885,0)</f>
        <v>0</v>
      </c>
      <c r="AB1885" s="93">
        <f>IF(AQ1885="1",BH1885,0)</f>
        <v>0</v>
      </c>
      <c r="AC1885" s="93">
        <f>IF(AQ1885="1",BI1885,0)</f>
        <v>0</v>
      </c>
      <c r="AD1885" s="93">
        <f>IF(AQ1885="7",BH1885,0)</f>
        <v>0</v>
      </c>
      <c r="AE1885" s="93">
        <f>IF(AQ1885="7",BI1885,0)</f>
        <v>0</v>
      </c>
      <c r="AF1885" s="93">
        <f>IF(AQ1885="2",BH1885,0)</f>
        <v>0</v>
      </c>
      <c r="AG1885" s="93">
        <f>IF(AQ1885="2",BI1885,0)</f>
        <v>0</v>
      </c>
      <c r="AH1885" s="93">
        <f>IF(AQ1885="0",BJ1885,0)</f>
        <v>0</v>
      </c>
      <c r="AI1885" s="88" t="s">
        <v>55</v>
      </c>
      <c r="AJ1885" s="93">
        <f>IF(AN1885=0,L1885,0)</f>
        <v>0</v>
      </c>
      <c r="AK1885" s="93">
        <f>IF(AN1885=12,L1885,0)</f>
        <v>0</v>
      </c>
      <c r="AL1885" s="93">
        <f>IF(AN1885=21,L1885,0)</f>
        <v>0</v>
      </c>
      <c r="AN1885" s="93">
        <v>21</v>
      </c>
      <c r="AO1885" s="93">
        <f>H1885*0.812</f>
        <v>0</v>
      </c>
      <c r="AP1885" s="93">
        <f>H1885*(1-0.812)</f>
        <v>0</v>
      </c>
      <c r="AQ1885" s="94" t="s">
        <v>148</v>
      </c>
      <c r="AV1885" s="93">
        <f>AW1885+AX1885</f>
        <v>0</v>
      </c>
      <c r="AW1885" s="93">
        <f>G1885*AO1885</f>
        <v>0</v>
      </c>
      <c r="AX1885" s="93">
        <f>G1885*AP1885</f>
        <v>0</v>
      </c>
      <c r="AY1885" s="94" t="s">
        <v>2328</v>
      </c>
      <c r="AZ1885" s="94" t="s">
        <v>2252</v>
      </c>
      <c r="BA1885" s="88" t="s">
        <v>67</v>
      </c>
      <c r="BC1885" s="93">
        <f>AW1885+AX1885</f>
        <v>0</v>
      </c>
      <c r="BD1885" s="93">
        <f>H1885/(100-BE1885)*100</f>
        <v>0</v>
      </c>
      <c r="BE1885" s="93">
        <v>0</v>
      </c>
      <c r="BF1885" s="93">
        <f>O1885</f>
        <v>2.5000000000000001E-2</v>
      </c>
      <c r="BH1885" s="93">
        <f>G1885*AO1885</f>
        <v>0</v>
      </c>
      <c r="BI1885" s="93">
        <f>G1885*AP1885</f>
        <v>0</v>
      </c>
      <c r="BJ1885" s="93">
        <f>G1885*H1885</f>
        <v>0</v>
      </c>
      <c r="BK1885" s="93"/>
      <c r="BL1885" s="93">
        <v>766</v>
      </c>
      <c r="BW1885" s="93" t="str">
        <f>I1885</f>
        <v>21</v>
      </c>
      <c r="BX1885" s="2" t="s">
        <v>2503</v>
      </c>
    </row>
    <row r="1886" spans="1:76" s="81" customFormat="1" ht="13.5" customHeight="1" x14ac:dyDescent="0.25">
      <c r="A1886" s="95"/>
      <c r="B1886" s="95"/>
      <c r="C1886" s="95"/>
      <c r="D1886" s="182" t="s">
        <v>2464</v>
      </c>
      <c r="E1886" s="182"/>
      <c r="F1886" s="182"/>
      <c r="G1886" s="182"/>
      <c r="H1886" s="182"/>
      <c r="I1886" s="182"/>
      <c r="J1886" s="182"/>
      <c r="K1886" s="182"/>
      <c r="L1886" s="182"/>
      <c r="M1886" s="182"/>
      <c r="N1886" s="182"/>
      <c r="O1886" s="182"/>
      <c r="P1886" s="182"/>
    </row>
    <row r="1887" spans="1:76" s="81" customFormat="1" ht="25.5" x14ac:dyDescent="0.25">
      <c r="A1887" s="72" t="s">
        <v>2504</v>
      </c>
      <c r="B1887" s="72" t="s">
        <v>55</v>
      </c>
      <c r="C1887" s="72" t="s">
        <v>2505</v>
      </c>
      <c r="D1887" s="175" t="s">
        <v>2506</v>
      </c>
      <c r="E1887" s="175"/>
      <c r="F1887" s="72" t="s">
        <v>203</v>
      </c>
      <c r="G1887" s="90">
        <v>1</v>
      </c>
      <c r="H1887" s="91"/>
      <c r="I1887" s="92" t="s">
        <v>63</v>
      </c>
      <c r="J1887" s="90">
        <f>G1887*AO1887</f>
        <v>0</v>
      </c>
      <c r="K1887" s="90">
        <f>G1887*AP1887</f>
        <v>0</v>
      </c>
      <c r="L1887" s="90">
        <f>G1887*H1887</f>
        <v>0</v>
      </c>
      <c r="M1887" s="90">
        <f>L1887*(1+BW1887/100)</f>
        <v>0</v>
      </c>
      <c r="N1887" s="90">
        <v>2.5000000000000001E-2</v>
      </c>
      <c r="O1887" s="90">
        <f>G1887*N1887</f>
        <v>2.5000000000000001E-2</v>
      </c>
      <c r="P1887" s="92" t="s">
        <v>578</v>
      </c>
      <c r="Z1887" s="93">
        <f>IF(AQ1887="5",BJ1887,0)</f>
        <v>0</v>
      </c>
      <c r="AB1887" s="93">
        <f>IF(AQ1887="1",BH1887,0)</f>
        <v>0</v>
      </c>
      <c r="AC1887" s="93">
        <f>IF(AQ1887="1",BI1887,0)</f>
        <v>0</v>
      </c>
      <c r="AD1887" s="93">
        <f>IF(AQ1887="7",BH1887,0)</f>
        <v>0</v>
      </c>
      <c r="AE1887" s="93">
        <f>IF(AQ1887="7",BI1887,0)</f>
        <v>0</v>
      </c>
      <c r="AF1887" s="93">
        <f>IF(AQ1887="2",BH1887,0)</f>
        <v>0</v>
      </c>
      <c r="AG1887" s="93">
        <f>IF(AQ1887="2",BI1887,0)</f>
        <v>0</v>
      </c>
      <c r="AH1887" s="93">
        <f>IF(AQ1887="0",BJ1887,0)</f>
        <v>0</v>
      </c>
      <c r="AI1887" s="88" t="s">
        <v>55</v>
      </c>
      <c r="AJ1887" s="93">
        <f>IF(AN1887=0,L1887,0)</f>
        <v>0</v>
      </c>
      <c r="AK1887" s="93">
        <f>IF(AN1887=12,L1887,0)</f>
        <v>0</v>
      </c>
      <c r="AL1887" s="93">
        <f>IF(AN1887=21,L1887,0)</f>
        <v>0</v>
      </c>
      <c r="AN1887" s="93">
        <v>21</v>
      </c>
      <c r="AO1887" s="93">
        <f>H1887*0.95</f>
        <v>0</v>
      </c>
      <c r="AP1887" s="93">
        <f>H1887*(1-0.95)</f>
        <v>0</v>
      </c>
      <c r="AQ1887" s="94" t="s">
        <v>148</v>
      </c>
      <c r="AV1887" s="93">
        <f>AW1887+AX1887</f>
        <v>0</v>
      </c>
      <c r="AW1887" s="93">
        <f>G1887*AO1887</f>
        <v>0</v>
      </c>
      <c r="AX1887" s="93">
        <f>G1887*AP1887</f>
        <v>0</v>
      </c>
      <c r="AY1887" s="94" t="s">
        <v>2328</v>
      </c>
      <c r="AZ1887" s="94" t="s">
        <v>2252</v>
      </c>
      <c r="BA1887" s="88" t="s">
        <v>67</v>
      </c>
      <c r="BC1887" s="93">
        <f>AW1887+AX1887</f>
        <v>0</v>
      </c>
      <c r="BD1887" s="93">
        <f>H1887/(100-BE1887)*100</f>
        <v>0</v>
      </c>
      <c r="BE1887" s="93">
        <v>0</v>
      </c>
      <c r="BF1887" s="93">
        <f>O1887</f>
        <v>2.5000000000000001E-2</v>
      </c>
      <c r="BH1887" s="93">
        <f>G1887*AO1887</f>
        <v>0</v>
      </c>
      <c r="BI1887" s="93">
        <f>G1887*AP1887</f>
        <v>0</v>
      </c>
      <c r="BJ1887" s="93">
        <f>G1887*H1887</f>
        <v>0</v>
      </c>
      <c r="BK1887" s="93"/>
      <c r="BL1887" s="93">
        <v>766</v>
      </c>
      <c r="BW1887" s="93" t="str">
        <f>I1887</f>
        <v>21</v>
      </c>
      <c r="BX1887" s="2" t="s">
        <v>2506</v>
      </c>
    </row>
    <row r="1888" spans="1:76" s="81" customFormat="1" ht="25.5" x14ac:dyDescent="0.25">
      <c r="A1888" s="72" t="s">
        <v>2507</v>
      </c>
      <c r="B1888" s="72" t="s">
        <v>55</v>
      </c>
      <c r="C1888" s="72" t="s">
        <v>2508</v>
      </c>
      <c r="D1888" s="175" t="s">
        <v>2509</v>
      </c>
      <c r="E1888" s="175"/>
      <c r="F1888" s="72" t="s">
        <v>1449</v>
      </c>
      <c r="G1888" s="91"/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0</v>
      </c>
      <c r="O1888" s="90">
        <f>G1888*N1888</f>
        <v>0</v>
      </c>
      <c r="P1888" s="92" t="s">
        <v>64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</f>
        <v>0</v>
      </c>
      <c r="AP1888" s="93">
        <f>H1888*(1-0)</f>
        <v>0</v>
      </c>
      <c r="AQ1888" s="94" t="s">
        <v>136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2328</v>
      </c>
      <c r="AZ1888" s="94" t="s">
        <v>2252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0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2509</v>
      </c>
    </row>
    <row r="1889" spans="1:76" s="81" customFormat="1" x14ac:dyDescent="0.25">
      <c r="A1889" s="85" t="s">
        <v>54</v>
      </c>
      <c r="B1889" s="74" t="s">
        <v>55</v>
      </c>
      <c r="C1889" s="74" t="s">
        <v>2510</v>
      </c>
      <c r="D1889" s="176" t="s">
        <v>2511</v>
      </c>
      <c r="E1889" s="176"/>
      <c r="F1889" s="85" t="s">
        <v>4</v>
      </c>
      <c r="G1889" s="85" t="s">
        <v>4</v>
      </c>
      <c r="H1889" s="98"/>
      <c r="I1889" s="85" t="s">
        <v>4</v>
      </c>
      <c r="J1889" s="86">
        <f>SUM(J1890:J1991)</f>
        <v>0</v>
      </c>
      <c r="K1889" s="86">
        <f>SUM(K1890:K1991)</f>
        <v>0</v>
      </c>
      <c r="L1889" s="86">
        <f>SUM(L1890:L1991)</f>
        <v>0</v>
      </c>
      <c r="M1889" s="86">
        <f>SUM(M1890:M1991)</f>
        <v>0</v>
      </c>
      <c r="N1889" s="87" t="s">
        <v>54</v>
      </c>
      <c r="O1889" s="86">
        <f>SUM(O1890:O1991)</f>
        <v>13738.742829680001</v>
      </c>
      <c r="P1889" s="87" t="s">
        <v>54</v>
      </c>
      <c r="AI1889" s="88" t="s">
        <v>55</v>
      </c>
      <c r="AS1889" s="89">
        <f>SUM(AJ1890:AJ1991)</f>
        <v>0</v>
      </c>
      <c r="AT1889" s="89">
        <f>SUM(AK1890:AK1991)</f>
        <v>0</v>
      </c>
      <c r="AU1889" s="89">
        <f>SUM(AL1890:AL1991)</f>
        <v>0</v>
      </c>
    </row>
    <row r="1890" spans="1:76" s="81" customFormat="1" ht="25.5" x14ac:dyDescent="0.25">
      <c r="A1890" s="72" t="s">
        <v>2512</v>
      </c>
      <c r="B1890" s="72" t="s">
        <v>55</v>
      </c>
      <c r="C1890" s="72" t="s">
        <v>2513</v>
      </c>
      <c r="D1890" s="175" t="s">
        <v>2514</v>
      </c>
      <c r="E1890" s="175"/>
      <c r="F1890" s="72" t="s">
        <v>203</v>
      </c>
      <c r="G1890" s="90">
        <v>9</v>
      </c>
      <c r="H1890" s="91"/>
      <c r="I1890" s="92" t="s">
        <v>63</v>
      </c>
      <c r="J1890" s="90">
        <f t="shared" ref="J1890:J1911" si="358">G1890*AO1890</f>
        <v>0</v>
      </c>
      <c r="K1890" s="90">
        <f t="shared" ref="K1890:K1911" si="359">G1890*AP1890</f>
        <v>0</v>
      </c>
      <c r="L1890" s="90">
        <f t="shared" ref="L1890:L1911" si="360">G1890*H1890</f>
        <v>0</v>
      </c>
      <c r="M1890" s="90">
        <f t="shared" ref="M1890:M1911" si="361">L1890*(1+BW1890/100)</f>
        <v>0</v>
      </c>
      <c r="N1890" s="90">
        <v>0</v>
      </c>
      <c r="O1890" s="90">
        <f t="shared" ref="O1890:O1911" si="362">G1890*N1890</f>
        <v>0</v>
      </c>
      <c r="P1890" s="92" t="s">
        <v>371</v>
      </c>
      <c r="Z1890" s="93">
        <f t="shared" ref="Z1890:Z1911" si="363">IF(AQ1890="5",BJ1890,0)</f>
        <v>0</v>
      </c>
      <c r="AB1890" s="93">
        <f t="shared" ref="AB1890:AB1911" si="364">IF(AQ1890="1",BH1890,0)</f>
        <v>0</v>
      </c>
      <c r="AC1890" s="93">
        <f t="shared" ref="AC1890:AC1911" si="365">IF(AQ1890="1",BI1890,0)</f>
        <v>0</v>
      </c>
      <c r="AD1890" s="93">
        <f t="shared" ref="AD1890:AD1911" si="366">IF(AQ1890="7",BH1890,0)</f>
        <v>0</v>
      </c>
      <c r="AE1890" s="93">
        <f t="shared" ref="AE1890:AE1911" si="367">IF(AQ1890="7",BI1890,0)</f>
        <v>0</v>
      </c>
      <c r="AF1890" s="93">
        <f t="shared" ref="AF1890:AF1911" si="368">IF(AQ1890="2",BH1890,0)</f>
        <v>0</v>
      </c>
      <c r="AG1890" s="93">
        <f t="shared" ref="AG1890:AG1911" si="369">IF(AQ1890="2",BI1890,0)</f>
        <v>0</v>
      </c>
      <c r="AH1890" s="93">
        <f t="shared" ref="AH1890:AH1911" si="370">IF(AQ1890="0",BJ1890,0)</f>
        <v>0</v>
      </c>
      <c r="AI1890" s="88" t="s">
        <v>55</v>
      </c>
      <c r="AJ1890" s="93">
        <f t="shared" ref="AJ1890:AJ1911" si="371">IF(AN1890=0,L1890,0)</f>
        <v>0</v>
      </c>
      <c r="AK1890" s="93">
        <f t="shared" ref="AK1890:AK1911" si="372">IF(AN1890=12,L1890,0)</f>
        <v>0</v>
      </c>
      <c r="AL1890" s="93">
        <f t="shared" ref="AL1890:AL1911" si="373">IF(AN1890=21,L1890,0)</f>
        <v>0</v>
      </c>
      <c r="AN1890" s="93">
        <v>21</v>
      </c>
      <c r="AO1890" s="93">
        <f>H1890*0.329041481</f>
        <v>0</v>
      </c>
      <c r="AP1890" s="93">
        <f>H1890*(1-0.329041481)</f>
        <v>0</v>
      </c>
      <c r="AQ1890" s="94" t="s">
        <v>148</v>
      </c>
      <c r="AV1890" s="93">
        <f t="shared" ref="AV1890:AV1911" si="374">AW1890+AX1890</f>
        <v>0</v>
      </c>
      <c r="AW1890" s="93">
        <f t="shared" ref="AW1890:AW1911" si="375">G1890*AO1890</f>
        <v>0</v>
      </c>
      <c r="AX1890" s="93">
        <f t="shared" ref="AX1890:AX1911" si="376">G1890*AP1890</f>
        <v>0</v>
      </c>
      <c r="AY1890" s="94" t="s">
        <v>2515</v>
      </c>
      <c r="AZ1890" s="94" t="s">
        <v>2252</v>
      </c>
      <c r="BA1890" s="88" t="s">
        <v>67</v>
      </c>
      <c r="BC1890" s="93">
        <f t="shared" ref="BC1890:BC1911" si="377">AW1890+AX1890</f>
        <v>0</v>
      </c>
      <c r="BD1890" s="93">
        <f t="shared" ref="BD1890:BD1911" si="378">H1890/(100-BE1890)*100</f>
        <v>0</v>
      </c>
      <c r="BE1890" s="93">
        <v>0</v>
      </c>
      <c r="BF1890" s="93">
        <f t="shared" ref="BF1890:BF1911" si="379">O1890</f>
        <v>0</v>
      </c>
      <c r="BH1890" s="93">
        <f t="shared" ref="BH1890:BH1911" si="380">G1890*AO1890</f>
        <v>0</v>
      </c>
      <c r="BI1890" s="93">
        <f t="shared" ref="BI1890:BI1911" si="381">G1890*AP1890</f>
        <v>0</v>
      </c>
      <c r="BJ1890" s="93">
        <f t="shared" ref="BJ1890:BJ1911" si="382">G1890*H1890</f>
        <v>0</v>
      </c>
      <c r="BK1890" s="93"/>
      <c r="BL1890" s="93">
        <v>767</v>
      </c>
      <c r="BW1890" s="93" t="str">
        <f t="shared" ref="BW1890:BW1911" si="383">I1890</f>
        <v>21</v>
      </c>
      <c r="BX1890" s="2" t="s">
        <v>2514</v>
      </c>
    </row>
    <row r="1891" spans="1:76" s="81" customFormat="1" ht="25.5" x14ac:dyDescent="0.25">
      <c r="A1891" s="72" t="s">
        <v>2516</v>
      </c>
      <c r="B1891" s="72" t="s">
        <v>55</v>
      </c>
      <c r="C1891" s="72" t="s">
        <v>2517</v>
      </c>
      <c r="D1891" s="175" t="s">
        <v>2518</v>
      </c>
      <c r="E1891" s="175"/>
      <c r="F1891" s="72" t="s">
        <v>203</v>
      </c>
      <c r="G1891" s="90">
        <v>6</v>
      </c>
      <c r="H1891" s="91"/>
      <c r="I1891" s="92" t="s">
        <v>63</v>
      </c>
      <c r="J1891" s="90">
        <f t="shared" si="358"/>
        <v>0</v>
      </c>
      <c r="K1891" s="90">
        <f t="shared" si="359"/>
        <v>0</v>
      </c>
      <c r="L1891" s="90">
        <f t="shared" si="360"/>
        <v>0</v>
      </c>
      <c r="M1891" s="90">
        <f t="shared" si="361"/>
        <v>0</v>
      </c>
      <c r="N1891" s="90">
        <v>0</v>
      </c>
      <c r="O1891" s="90">
        <f t="shared" si="362"/>
        <v>0</v>
      </c>
      <c r="P1891" s="92" t="s">
        <v>371</v>
      </c>
      <c r="Z1891" s="93">
        <f t="shared" si="363"/>
        <v>0</v>
      </c>
      <c r="AB1891" s="93">
        <f t="shared" si="364"/>
        <v>0</v>
      </c>
      <c r="AC1891" s="93">
        <f t="shared" si="365"/>
        <v>0</v>
      </c>
      <c r="AD1891" s="93">
        <f t="shared" si="366"/>
        <v>0</v>
      </c>
      <c r="AE1891" s="93">
        <f t="shared" si="367"/>
        <v>0</v>
      </c>
      <c r="AF1891" s="93">
        <f t="shared" si="368"/>
        <v>0</v>
      </c>
      <c r="AG1891" s="93">
        <f t="shared" si="369"/>
        <v>0</v>
      </c>
      <c r="AH1891" s="93">
        <f t="shared" si="370"/>
        <v>0</v>
      </c>
      <c r="AI1891" s="88" t="s">
        <v>55</v>
      </c>
      <c r="AJ1891" s="93">
        <f t="shared" si="371"/>
        <v>0</v>
      </c>
      <c r="AK1891" s="93">
        <f t="shared" si="372"/>
        <v>0</v>
      </c>
      <c r="AL1891" s="93">
        <f t="shared" si="373"/>
        <v>0</v>
      </c>
      <c r="AN1891" s="93">
        <v>21</v>
      </c>
      <c r="AO1891" s="93">
        <f>H1891*0.329042431</f>
        <v>0</v>
      </c>
      <c r="AP1891" s="93">
        <f>H1891*(1-0.329042431)</f>
        <v>0</v>
      </c>
      <c r="AQ1891" s="94" t="s">
        <v>148</v>
      </c>
      <c r="AV1891" s="93">
        <f t="shared" si="374"/>
        <v>0</v>
      </c>
      <c r="AW1891" s="93">
        <f t="shared" si="375"/>
        <v>0</v>
      </c>
      <c r="AX1891" s="93">
        <f t="shared" si="376"/>
        <v>0</v>
      </c>
      <c r="AY1891" s="94" t="s">
        <v>2515</v>
      </c>
      <c r="AZ1891" s="94" t="s">
        <v>2252</v>
      </c>
      <c r="BA1891" s="88" t="s">
        <v>67</v>
      </c>
      <c r="BC1891" s="93">
        <f t="shared" si="377"/>
        <v>0</v>
      </c>
      <c r="BD1891" s="93">
        <f t="shared" si="378"/>
        <v>0</v>
      </c>
      <c r="BE1891" s="93">
        <v>0</v>
      </c>
      <c r="BF1891" s="93">
        <f t="shared" si="379"/>
        <v>0</v>
      </c>
      <c r="BH1891" s="93">
        <f t="shared" si="380"/>
        <v>0</v>
      </c>
      <c r="BI1891" s="93">
        <f t="shared" si="381"/>
        <v>0</v>
      </c>
      <c r="BJ1891" s="93">
        <f t="shared" si="382"/>
        <v>0</v>
      </c>
      <c r="BK1891" s="93"/>
      <c r="BL1891" s="93">
        <v>767</v>
      </c>
      <c r="BW1891" s="93" t="str">
        <f t="shared" si="383"/>
        <v>21</v>
      </c>
      <c r="BX1891" s="2" t="s">
        <v>2518</v>
      </c>
    </row>
    <row r="1892" spans="1:76" s="81" customFormat="1" ht="25.5" x14ac:dyDescent="0.25">
      <c r="A1892" s="72" t="s">
        <v>2519</v>
      </c>
      <c r="B1892" s="72" t="s">
        <v>55</v>
      </c>
      <c r="C1892" s="72" t="s">
        <v>2520</v>
      </c>
      <c r="D1892" s="175" t="s">
        <v>2521</v>
      </c>
      <c r="E1892" s="175"/>
      <c r="F1892" s="72" t="s">
        <v>203</v>
      </c>
      <c r="G1892" s="90">
        <v>1</v>
      </c>
      <c r="H1892" s="91"/>
      <c r="I1892" s="92" t="s">
        <v>63</v>
      </c>
      <c r="J1892" s="90">
        <f t="shared" si="358"/>
        <v>0</v>
      </c>
      <c r="K1892" s="90">
        <f t="shared" si="359"/>
        <v>0</v>
      </c>
      <c r="L1892" s="90">
        <f t="shared" si="360"/>
        <v>0</v>
      </c>
      <c r="M1892" s="90">
        <f t="shared" si="361"/>
        <v>0</v>
      </c>
      <c r="N1892" s="90">
        <v>0</v>
      </c>
      <c r="O1892" s="90">
        <f t="shared" si="362"/>
        <v>0</v>
      </c>
      <c r="P1892" s="92" t="s">
        <v>371</v>
      </c>
      <c r="Z1892" s="93">
        <f t="shared" si="363"/>
        <v>0</v>
      </c>
      <c r="AB1892" s="93">
        <f t="shared" si="364"/>
        <v>0</v>
      </c>
      <c r="AC1892" s="93">
        <f t="shared" si="365"/>
        <v>0</v>
      </c>
      <c r="AD1892" s="93">
        <f t="shared" si="366"/>
        <v>0</v>
      </c>
      <c r="AE1892" s="93">
        <f t="shared" si="367"/>
        <v>0</v>
      </c>
      <c r="AF1892" s="93">
        <f t="shared" si="368"/>
        <v>0</v>
      </c>
      <c r="AG1892" s="93">
        <f t="shared" si="369"/>
        <v>0</v>
      </c>
      <c r="AH1892" s="93">
        <f t="shared" si="370"/>
        <v>0</v>
      </c>
      <c r="AI1892" s="88" t="s">
        <v>55</v>
      </c>
      <c r="AJ1892" s="93">
        <f t="shared" si="371"/>
        <v>0</v>
      </c>
      <c r="AK1892" s="93">
        <f t="shared" si="372"/>
        <v>0</v>
      </c>
      <c r="AL1892" s="93">
        <f t="shared" si="373"/>
        <v>0</v>
      </c>
      <c r="AN1892" s="93">
        <v>21</v>
      </c>
      <c r="AO1892" s="93">
        <f>H1892*0.329033048</f>
        <v>0</v>
      </c>
      <c r="AP1892" s="93">
        <f>H1892*(1-0.329033048)</f>
        <v>0</v>
      </c>
      <c r="AQ1892" s="94" t="s">
        <v>148</v>
      </c>
      <c r="AV1892" s="93">
        <f t="shared" si="374"/>
        <v>0</v>
      </c>
      <c r="AW1892" s="93">
        <f t="shared" si="375"/>
        <v>0</v>
      </c>
      <c r="AX1892" s="93">
        <f t="shared" si="376"/>
        <v>0</v>
      </c>
      <c r="AY1892" s="94" t="s">
        <v>2515</v>
      </c>
      <c r="AZ1892" s="94" t="s">
        <v>2252</v>
      </c>
      <c r="BA1892" s="88" t="s">
        <v>67</v>
      </c>
      <c r="BC1892" s="93">
        <f t="shared" si="377"/>
        <v>0</v>
      </c>
      <c r="BD1892" s="93">
        <f t="shared" si="378"/>
        <v>0</v>
      </c>
      <c r="BE1892" s="93">
        <v>0</v>
      </c>
      <c r="BF1892" s="93">
        <f t="shared" si="379"/>
        <v>0</v>
      </c>
      <c r="BH1892" s="93">
        <f t="shared" si="380"/>
        <v>0</v>
      </c>
      <c r="BI1892" s="93">
        <f t="shared" si="381"/>
        <v>0</v>
      </c>
      <c r="BJ1892" s="93">
        <f t="shared" si="382"/>
        <v>0</v>
      </c>
      <c r="BK1892" s="93"/>
      <c r="BL1892" s="93">
        <v>767</v>
      </c>
      <c r="BW1892" s="93" t="str">
        <f t="shared" si="383"/>
        <v>21</v>
      </c>
      <c r="BX1892" s="2" t="s">
        <v>2521</v>
      </c>
    </row>
    <row r="1893" spans="1:76" s="81" customFormat="1" ht="25.5" x14ac:dyDescent="0.25">
      <c r="A1893" s="72" t="s">
        <v>2522</v>
      </c>
      <c r="B1893" s="72" t="s">
        <v>55</v>
      </c>
      <c r="C1893" s="72" t="s">
        <v>2523</v>
      </c>
      <c r="D1893" s="175" t="s">
        <v>2524</v>
      </c>
      <c r="E1893" s="175"/>
      <c r="F1893" s="72" t="s">
        <v>203</v>
      </c>
      <c r="G1893" s="90">
        <v>1</v>
      </c>
      <c r="H1893" s="91"/>
      <c r="I1893" s="92" t="s">
        <v>63</v>
      </c>
      <c r="J1893" s="90">
        <f t="shared" si="358"/>
        <v>0</v>
      </c>
      <c r="K1893" s="90">
        <f t="shared" si="359"/>
        <v>0</v>
      </c>
      <c r="L1893" s="90">
        <f t="shared" si="360"/>
        <v>0</v>
      </c>
      <c r="M1893" s="90">
        <f t="shared" si="361"/>
        <v>0</v>
      </c>
      <c r="N1893" s="90">
        <v>0</v>
      </c>
      <c r="O1893" s="90">
        <f t="shared" si="362"/>
        <v>0</v>
      </c>
      <c r="P1893" s="92" t="s">
        <v>371</v>
      </c>
      <c r="Z1893" s="93">
        <f t="shared" si="363"/>
        <v>0</v>
      </c>
      <c r="AB1893" s="93">
        <f t="shared" si="364"/>
        <v>0</v>
      </c>
      <c r="AC1893" s="93">
        <f t="shared" si="365"/>
        <v>0</v>
      </c>
      <c r="AD1893" s="93">
        <f t="shared" si="366"/>
        <v>0</v>
      </c>
      <c r="AE1893" s="93">
        <f t="shared" si="367"/>
        <v>0</v>
      </c>
      <c r="AF1893" s="93">
        <f t="shared" si="368"/>
        <v>0</v>
      </c>
      <c r="AG1893" s="93">
        <f t="shared" si="369"/>
        <v>0</v>
      </c>
      <c r="AH1893" s="93">
        <f t="shared" si="370"/>
        <v>0</v>
      </c>
      <c r="AI1893" s="88" t="s">
        <v>55</v>
      </c>
      <c r="AJ1893" s="93">
        <f t="shared" si="371"/>
        <v>0</v>
      </c>
      <c r="AK1893" s="93">
        <f t="shared" si="372"/>
        <v>0</v>
      </c>
      <c r="AL1893" s="93">
        <f t="shared" si="373"/>
        <v>0</v>
      </c>
      <c r="AN1893" s="93">
        <v>21</v>
      </c>
      <c r="AO1893" s="93">
        <f>H1893*0.329044988</f>
        <v>0</v>
      </c>
      <c r="AP1893" s="93">
        <f>H1893*(1-0.329044988)</f>
        <v>0</v>
      </c>
      <c r="AQ1893" s="94" t="s">
        <v>148</v>
      </c>
      <c r="AV1893" s="93">
        <f t="shared" si="374"/>
        <v>0</v>
      </c>
      <c r="AW1893" s="93">
        <f t="shared" si="375"/>
        <v>0</v>
      </c>
      <c r="AX1893" s="93">
        <f t="shared" si="376"/>
        <v>0</v>
      </c>
      <c r="AY1893" s="94" t="s">
        <v>2515</v>
      </c>
      <c r="AZ1893" s="94" t="s">
        <v>2252</v>
      </c>
      <c r="BA1893" s="88" t="s">
        <v>67</v>
      </c>
      <c r="BC1893" s="93">
        <f t="shared" si="377"/>
        <v>0</v>
      </c>
      <c r="BD1893" s="93">
        <f t="shared" si="378"/>
        <v>0</v>
      </c>
      <c r="BE1893" s="93">
        <v>0</v>
      </c>
      <c r="BF1893" s="93">
        <f t="shared" si="379"/>
        <v>0</v>
      </c>
      <c r="BH1893" s="93">
        <f t="shared" si="380"/>
        <v>0</v>
      </c>
      <c r="BI1893" s="93">
        <f t="shared" si="381"/>
        <v>0</v>
      </c>
      <c r="BJ1893" s="93">
        <f t="shared" si="382"/>
        <v>0</v>
      </c>
      <c r="BK1893" s="93"/>
      <c r="BL1893" s="93">
        <v>767</v>
      </c>
      <c r="BW1893" s="93" t="str">
        <f t="shared" si="383"/>
        <v>21</v>
      </c>
      <c r="BX1893" s="2" t="s">
        <v>2524</v>
      </c>
    </row>
    <row r="1894" spans="1:76" s="81" customFormat="1" ht="25.5" x14ac:dyDescent="0.25">
      <c r="A1894" s="72" t="s">
        <v>2525</v>
      </c>
      <c r="B1894" s="72" t="s">
        <v>55</v>
      </c>
      <c r="C1894" s="72" t="s">
        <v>2526</v>
      </c>
      <c r="D1894" s="175" t="s">
        <v>2527</v>
      </c>
      <c r="E1894" s="175"/>
      <c r="F1894" s="72" t="s">
        <v>203</v>
      </c>
      <c r="G1894" s="90">
        <v>2</v>
      </c>
      <c r="H1894" s="91"/>
      <c r="I1894" s="92" t="s">
        <v>63</v>
      </c>
      <c r="J1894" s="90">
        <f t="shared" si="358"/>
        <v>0</v>
      </c>
      <c r="K1894" s="90">
        <f t="shared" si="359"/>
        <v>0</v>
      </c>
      <c r="L1894" s="90">
        <f t="shared" si="360"/>
        <v>0</v>
      </c>
      <c r="M1894" s="90">
        <f t="shared" si="361"/>
        <v>0</v>
      </c>
      <c r="N1894" s="90">
        <v>0</v>
      </c>
      <c r="O1894" s="90">
        <f t="shared" si="362"/>
        <v>0</v>
      </c>
      <c r="P1894" s="92" t="s">
        <v>371</v>
      </c>
      <c r="Z1894" s="93">
        <f t="shared" si="363"/>
        <v>0</v>
      </c>
      <c r="AB1894" s="93">
        <f t="shared" si="364"/>
        <v>0</v>
      </c>
      <c r="AC1894" s="93">
        <f t="shared" si="365"/>
        <v>0</v>
      </c>
      <c r="AD1894" s="93">
        <f t="shared" si="366"/>
        <v>0</v>
      </c>
      <c r="AE1894" s="93">
        <f t="shared" si="367"/>
        <v>0</v>
      </c>
      <c r="AF1894" s="93">
        <f t="shared" si="368"/>
        <v>0</v>
      </c>
      <c r="AG1894" s="93">
        <f t="shared" si="369"/>
        <v>0</v>
      </c>
      <c r="AH1894" s="93">
        <f t="shared" si="370"/>
        <v>0</v>
      </c>
      <c r="AI1894" s="88" t="s">
        <v>55</v>
      </c>
      <c r="AJ1894" s="93">
        <f t="shared" si="371"/>
        <v>0</v>
      </c>
      <c r="AK1894" s="93">
        <f t="shared" si="372"/>
        <v>0</v>
      </c>
      <c r="AL1894" s="93">
        <f t="shared" si="373"/>
        <v>0</v>
      </c>
      <c r="AN1894" s="93">
        <v>21</v>
      </c>
      <c r="AO1894" s="93">
        <f>H1894*0.329046424</f>
        <v>0</v>
      </c>
      <c r="AP1894" s="93">
        <f>H1894*(1-0.329046424)</f>
        <v>0</v>
      </c>
      <c r="AQ1894" s="94" t="s">
        <v>148</v>
      </c>
      <c r="AV1894" s="93">
        <f t="shared" si="374"/>
        <v>0</v>
      </c>
      <c r="AW1894" s="93">
        <f t="shared" si="375"/>
        <v>0</v>
      </c>
      <c r="AX1894" s="93">
        <f t="shared" si="376"/>
        <v>0</v>
      </c>
      <c r="AY1894" s="94" t="s">
        <v>2515</v>
      </c>
      <c r="AZ1894" s="94" t="s">
        <v>2252</v>
      </c>
      <c r="BA1894" s="88" t="s">
        <v>67</v>
      </c>
      <c r="BC1894" s="93">
        <f t="shared" si="377"/>
        <v>0</v>
      </c>
      <c r="BD1894" s="93">
        <f t="shared" si="378"/>
        <v>0</v>
      </c>
      <c r="BE1894" s="93">
        <v>0</v>
      </c>
      <c r="BF1894" s="93">
        <f t="shared" si="379"/>
        <v>0</v>
      </c>
      <c r="BH1894" s="93">
        <f t="shared" si="380"/>
        <v>0</v>
      </c>
      <c r="BI1894" s="93">
        <f t="shared" si="381"/>
        <v>0</v>
      </c>
      <c r="BJ1894" s="93">
        <f t="shared" si="382"/>
        <v>0</v>
      </c>
      <c r="BK1894" s="93"/>
      <c r="BL1894" s="93">
        <v>767</v>
      </c>
      <c r="BW1894" s="93" t="str">
        <f t="shared" si="383"/>
        <v>21</v>
      </c>
      <c r="BX1894" s="2" t="s">
        <v>2527</v>
      </c>
    </row>
    <row r="1895" spans="1:76" s="81" customFormat="1" ht="25.5" x14ac:dyDescent="0.25">
      <c r="A1895" s="72" t="s">
        <v>2528</v>
      </c>
      <c r="B1895" s="72" t="s">
        <v>55</v>
      </c>
      <c r="C1895" s="72" t="s">
        <v>2529</v>
      </c>
      <c r="D1895" s="175" t="s">
        <v>2530</v>
      </c>
      <c r="E1895" s="175"/>
      <c r="F1895" s="72" t="s">
        <v>203</v>
      </c>
      <c r="G1895" s="90">
        <v>2</v>
      </c>
      <c r="H1895" s="91"/>
      <c r="I1895" s="92" t="s">
        <v>63</v>
      </c>
      <c r="J1895" s="90">
        <f t="shared" si="358"/>
        <v>0</v>
      </c>
      <c r="K1895" s="90">
        <f t="shared" si="359"/>
        <v>0</v>
      </c>
      <c r="L1895" s="90">
        <f t="shared" si="360"/>
        <v>0</v>
      </c>
      <c r="M1895" s="90">
        <f t="shared" si="361"/>
        <v>0</v>
      </c>
      <c r="N1895" s="90">
        <v>0</v>
      </c>
      <c r="O1895" s="90">
        <f t="shared" si="362"/>
        <v>0</v>
      </c>
      <c r="P1895" s="92" t="s">
        <v>371</v>
      </c>
      <c r="Z1895" s="93">
        <f t="shared" si="363"/>
        <v>0</v>
      </c>
      <c r="AB1895" s="93">
        <f t="shared" si="364"/>
        <v>0</v>
      </c>
      <c r="AC1895" s="93">
        <f t="shared" si="365"/>
        <v>0</v>
      </c>
      <c r="AD1895" s="93">
        <f t="shared" si="366"/>
        <v>0</v>
      </c>
      <c r="AE1895" s="93">
        <f t="shared" si="367"/>
        <v>0</v>
      </c>
      <c r="AF1895" s="93">
        <f t="shared" si="368"/>
        <v>0</v>
      </c>
      <c r="AG1895" s="93">
        <f t="shared" si="369"/>
        <v>0</v>
      </c>
      <c r="AH1895" s="93">
        <f t="shared" si="370"/>
        <v>0</v>
      </c>
      <c r="AI1895" s="88" t="s">
        <v>55</v>
      </c>
      <c r="AJ1895" s="93">
        <f t="shared" si="371"/>
        <v>0</v>
      </c>
      <c r="AK1895" s="93">
        <f t="shared" si="372"/>
        <v>0</v>
      </c>
      <c r="AL1895" s="93">
        <f t="shared" si="373"/>
        <v>0</v>
      </c>
      <c r="AN1895" s="93">
        <v>21</v>
      </c>
      <c r="AO1895" s="93">
        <f>H1895*0.329044628</f>
        <v>0</v>
      </c>
      <c r="AP1895" s="93">
        <f>H1895*(1-0.329044628)</f>
        <v>0</v>
      </c>
      <c r="AQ1895" s="94" t="s">
        <v>148</v>
      </c>
      <c r="AV1895" s="93">
        <f t="shared" si="374"/>
        <v>0</v>
      </c>
      <c r="AW1895" s="93">
        <f t="shared" si="375"/>
        <v>0</v>
      </c>
      <c r="AX1895" s="93">
        <f t="shared" si="376"/>
        <v>0</v>
      </c>
      <c r="AY1895" s="94" t="s">
        <v>2515</v>
      </c>
      <c r="AZ1895" s="94" t="s">
        <v>2252</v>
      </c>
      <c r="BA1895" s="88" t="s">
        <v>67</v>
      </c>
      <c r="BC1895" s="93">
        <f t="shared" si="377"/>
        <v>0</v>
      </c>
      <c r="BD1895" s="93">
        <f t="shared" si="378"/>
        <v>0</v>
      </c>
      <c r="BE1895" s="93">
        <v>0</v>
      </c>
      <c r="BF1895" s="93">
        <f t="shared" si="379"/>
        <v>0</v>
      </c>
      <c r="BH1895" s="93">
        <f t="shared" si="380"/>
        <v>0</v>
      </c>
      <c r="BI1895" s="93">
        <f t="shared" si="381"/>
        <v>0</v>
      </c>
      <c r="BJ1895" s="93">
        <f t="shared" si="382"/>
        <v>0</v>
      </c>
      <c r="BK1895" s="93"/>
      <c r="BL1895" s="93">
        <v>767</v>
      </c>
      <c r="BW1895" s="93" t="str">
        <f t="shared" si="383"/>
        <v>21</v>
      </c>
      <c r="BX1895" s="2" t="s">
        <v>2530</v>
      </c>
    </row>
    <row r="1896" spans="1:76" s="81" customFormat="1" ht="25.5" x14ac:dyDescent="0.25">
      <c r="A1896" s="72" t="s">
        <v>2531</v>
      </c>
      <c r="B1896" s="72" t="s">
        <v>55</v>
      </c>
      <c r="C1896" s="72" t="s">
        <v>2532</v>
      </c>
      <c r="D1896" s="175" t="s">
        <v>2533</v>
      </c>
      <c r="E1896" s="175"/>
      <c r="F1896" s="72" t="s">
        <v>203</v>
      </c>
      <c r="G1896" s="90">
        <v>1</v>
      </c>
      <c r="H1896" s="91"/>
      <c r="I1896" s="92" t="s">
        <v>63</v>
      </c>
      <c r="J1896" s="90">
        <f t="shared" si="358"/>
        <v>0</v>
      </c>
      <c r="K1896" s="90">
        <f t="shared" si="359"/>
        <v>0</v>
      </c>
      <c r="L1896" s="90">
        <f t="shared" si="360"/>
        <v>0</v>
      </c>
      <c r="M1896" s="90">
        <f t="shared" si="361"/>
        <v>0</v>
      </c>
      <c r="N1896" s="90">
        <v>0</v>
      </c>
      <c r="O1896" s="90">
        <f t="shared" si="362"/>
        <v>0</v>
      </c>
      <c r="P1896" s="92" t="s">
        <v>371</v>
      </c>
      <c r="Z1896" s="93">
        <f t="shared" si="363"/>
        <v>0</v>
      </c>
      <c r="AB1896" s="93">
        <f t="shared" si="364"/>
        <v>0</v>
      </c>
      <c r="AC1896" s="93">
        <f t="shared" si="365"/>
        <v>0</v>
      </c>
      <c r="AD1896" s="93">
        <f t="shared" si="366"/>
        <v>0</v>
      </c>
      <c r="AE1896" s="93">
        <f t="shared" si="367"/>
        <v>0</v>
      </c>
      <c r="AF1896" s="93">
        <f t="shared" si="368"/>
        <v>0</v>
      </c>
      <c r="AG1896" s="93">
        <f t="shared" si="369"/>
        <v>0</v>
      </c>
      <c r="AH1896" s="93">
        <f t="shared" si="370"/>
        <v>0</v>
      </c>
      <c r="AI1896" s="88" t="s">
        <v>55</v>
      </c>
      <c r="AJ1896" s="93">
        <f t="shared" si="371"/>
        <v>0</v>
      </c>
      <c r="AK1896" s="93">
        <f t="shared" si="372"/>
        <v>0</v>
      </c>
      <c r="AL1896" s="93">
        <f t="shared" si="373"/>
        <v>0</v>
      </c>
      <c r="AN1896" s="93">
        <v>21</v>
      </c>
      <c r="AO1896" s="93">
        <f>H1896*0.329041735</f>
        <v>0</v>
      </c>
      <c r="AP1896" s="93">
        <f>H1896*(1-0.329041735)</f>
        <v>0</v>
      </c>
      <c r="AQ1896" s="94" t="s">
        <v>148</v>
      </c>
      <c r="AV1896" s="93">
        <f t="shared" si="374"/>
        <v>0</v>
      </c>
      <c r="AW1896" s="93">
        <f t="shared" si="375"/>
        <v>0</v>
      </c>
      <c r="AX1896" s="93">
        <f t="shared" si="376"/>
        <v>0</v>
      </c>
      <c r="AY1896" s="94" t="s">
        <v>2515</v>
      </c>
      <c r="AZ1896" s="94" t="s">
        <v>2252</v>
      </c>
      <c r="BA1896" s="88" t="s">
        <v>67</v>
      </c>
      <c r="BC1896" s="93">
        <f t="shared" si="377"/>
        <v>0</v>
      </c>
      <c r="BD1896" s="93">
        <f t="shared" si="378"/>
        <v>0</v>
      </c>
      <c r="BE1896" s="93">
        <v>0</v>
      </c>
      <c r="BF1896" s="93">
        <f t="shared" si="379"/>
        <v>0</v>
      </c>
      <c r="BH1896" s="93">
        <f t="shared" si="380"/>
        <v>0</v>
      </c>
      <c r="BI1896" s="93">
        <f t="shared" si="381"/>
        <v>0</v>
      </c>
      <c r="BJ1896" s="93">
        <f t="shared" si="382"/>
        <v>0</v>
      </c>
      <c r="BK1896" s="93"/>
      <c r="BL1896" s="93">
        <v>767</v>
      </c>
      <c r="BW1896" s="93" t="str">
        <f t="shared" si="383"/>
        <v>21</v>
      </c>
      <c r="BX1896" s="2" t="s">
        <v>2533</v>
      </c>
    </row>
    <row r="1897" spans="1:76" s="81" customFormat="1" ht="25.5" x14ac:dyDescent="0.25">
      <c r="A1897" s="72" t="s">
        <v>2534</v>
      </c>
      <c r="B1897" s="72" t="s">
        <v>55</v>
      </c>
      <c r="C1897" s="72" t="s">
        <v>2535</v>
      </c>
      <c r="D1897" s="175" t="s">
        <v>2536</v>
      </c>
      <c r="E1897" s="175"/>
      <c r="F1897" s="72" t="s">
        <v>203</v>
      </c>
      <c r="G1897" s="90">
        <v>1</v>
      </c>
      <c r="H1897" s="91"/>
      <c r="I1897" s="92" t="s">
        <v>63</v>
      </c>
      <c r="J1897" s="90">
        <f t="shared" si="358"/>
        <v>0</v>
      </c>
      <c r="K1897" s="90">
        <f t="shared" si="359"/>
        <v>0</v>
      </c>
      <c r="L1897" s="90">
        <f t="shared" si="360"/>
        <v>0</v>
      </c>
      <c r="M1897" s="90">
        <f t="shared" si="361"/>
        <v>0</v>
      </c>
      <c r="N1897" s="90">
        <v>0</v>
      </c>
      <c r="O1897" s="90">
        <f t="shared" si="362"/>
        <v>0</v>
      </c>
      <c r="P1897" s="92" t="s">
        <v>578</v>
      </c>
      <c r="Z1897" s="93">
        <f t="shared" si="363"/>
        <v>0</v>
      </c>
      <c r="AB1897" s="93">
        <f t="shared" si="364"/>
        <v>0</v>
      </c>
      <c r="AC1897" s="93">
        <f t="shared" si="365"/>
        <v>0</v>
      </c>
      <c r="AD1897" s="93">
        <f t="shared" si="366"/>
        <v>0</v>
      </c>
      <c r="AE1897" s="93">
        <f t="shared" si="367"/>
        <v>0</v>
      </c>
      <c r="AF1897" s="93">
        <f t="shared" si="368"/>
        <v>0</v>
      </c>
      <c r="AG1897" s="93">
        <f t="shared" si="369"/>
        <v>0</v>
      </c>
      <c r="AH1897" s="93">
        <f t="shared" si="370"/>
        <v>0</v>
      </c>
      <c r="AI1897" s="88" t="s">
        <v>55</v>
      </c>
      <c r="AJ1897" s="93">
        <f t="shared" si="371"/>
        <v>0</v>
      </c>
      <c r="AK1897" s="93">
        <f t="shared" si="372"/>
        <v>0</v>
      </c>
      <c r="AL1897" s="93">
        <f t="shared" si="373"/>
        <v>0</v>
      </c>
      <c r="AN1897" s="93">
        <v>21</v>
      </c>
      <c r="AO1897" s="93">
        <f>H1897*0.75</f>
        <v>0</v>
      </c>
      <c r="AP1897" s="93">
        <f>H1897*(1-0.75)</f>
        <v>0</v>
      </c>
      <c r="AQ1897" s="94" t="s">
        <v>148</v>
      </c>
      <c r="AV1897" s="93">
        <f t="shared" si="374"/>
        <v>0</v>
      </c>
      <c r="AW1897" s="93">
        <f t="shared" si="375"/>
        <v>0</v>
      </c>
      <c r="AX1897" s="93">
        <f t="shared" si="376"/>
        <v>0</v>
      </c>
      <c r="AY1897" s="94" t="s">
        <v>2515</v>
      </c>
      <c r="AZ1897" s="94" t="s">
        <v>2252</v>
      </c>
      <c r="BA1897" s="88" t="s">
        <v>67</v>
      </c>
      <c r="BC1897" s="93">
        <f t="shared" si="377"/>
        <v>0</v>
      </c>
      <c r="BD1897" s="93">
        <f t="shared" si="378"/>
        <v>0</v>
      </c>
      <c r="BE1897" s="93">
        <v>0</v>
      </c>
      <c r="BF1897" s="93">
        <f t="shared" si="379"/>
        <v>0</v>
      </c>
      <c r="BH1897" s="93">
        <f t="shared" si="380"/>
        <v>0</v>
      </c>
      <c r="BI1897" s="93">
        <f t="shared" si="381"/>
        <v>0</v>
      </c>
      <c r="BJ1897" s="93">
        <f t="shared" si="382"/>
        <v>0</v>
      </c>
      <c r="BK1897" s="93"/>
      <c r="BL1897" s="93">
        <v>767</v>
      </c>
      <c r="BW1897" s="93" t="str">
        <f t="shared" si="383"/>
        <v>21</v>
      </c>
      <c r="BX1897" s="2" t="s">
        <v>2536</v>
      </c>
    </row>
    <row r="1898" spans="1:76" s="81" customFormat="1" ht="25.5" x14ac:dyDescent="0.25">
      <c r="A1898" s="72" t="s">
        <v>2537</v>
      </c>
      <c r="B1898" s="72" t="s">
        <v>55</v>
      </c>
      <c r="C1898" s="72" t="s">
        <v>2538</v>
      </c>
      <c r="D1898" s="175" t="s">
        <v>2539</v>
      </c>
      <c r="E1898" s="175"/>
      <c r="F1898" s="72" t="s">
        <v>203</v>
      </c>
      <c r="G1898" s="90">
        <v>1</v>
      </c>
      <c r="H1898" s="91"/>
      <c r="I1898" s="92" t="s">
        <v>63</v>
      </c>
      <c r="J1898" s="90">
        <f t="shared" si="358"/>
        <v>0</v>
      </c>
      <c r="K1898" s="90">
        <f t="shared" si="359"/>
        <v>0</v>
      </c>
      <c r="L1898" s="90">
        <f t="shared" si="360"/>
        <v>0</v>
      </c>
      <c r="M1898" s="90">
        <f t="shared" si="361"/>
        <v>0</v>
      </c>
      <c r="N1898" s="90">
        <v>0</v>
      </c>
      <c r="O1898" s="90">
        <f t="shared" si="362"/>
        <v>0</v>
      </c>
      <c r="P1898" s="92" t="s">
        <v>578</v>
      </c>
      <c r="Z1898" s="93">
        <f t="shared" si="363"/>
        <v>0</v>
      </c>
      <c r="AB1898" s="93">
        <f t="shared" si="364"/>
        <v>0</v>
      </c>
      <c r="AC1898" s="93">
        <f t="shared" si="365"/>
        <v>0</v>
      </c>
      <c r="AD1898" s="93">
        <f t="shared" si="366"/>
        <v>0</v>
      </c>
      <c r="AE1898" s="93">
        <f t="shared" si="367"/>
        <v>0</v>
      </c>
      <c r="AF1898" s="93">
        <f t="shared" si="368"/>
        <v>0</v>
      </c>
      <c r="AG1898" s="93">
        <f t="shared" si="369"/>
        <v>0</v>
      </c>
      <c r="AH1898" s="93">
        <f t="shared" si="370"/>
        <v>0</v>
      </c>
      <c r="AI1898" s="88" t="s">
        <v>55</v>
      </c>
      <c r="AJ1898" s="93">
        <f t="shared" si="371"/>
        <v>0</v>
      </c>
      <c r="AK1898" s="93">
        <f t="shared" si="372"/>
        <v>0</v>
      </c>
      <c r="AL1898" s="93">
        <f t="shared" si="373"/>
        <v>0</v>
      </c>
      <c r="AN1898" s="93">
        <v>21</v>
      </c>
      <c r="AO1898" s="93">
        <f>H1898*0.75</f>
        <v>0</v>
      </c>
      <c r="AP1898" s="93">
        <f>H1898*(1-0.75)</f>
        <v>0</v>
      </c>
      <c r="AQ1898" s="94" t="s">
        <v>148</v>
      </c>
      <c r="AV1898" s="93">
        <f t="shared" si="374"/>
        <v>0</v>
      </c>
      <c r="AW1898" s="93">
        <f t="shared" si="375"/>
        <v>0</v>
      </c>
      <c r="AX1898" s="93">
        <f t="shared" si="376"/>
        <v>0</v>
      </c>
      <c r="AY1898" s="94" t="s">
        <v>2515</v>
      </c>
      <c r="AZ1898" s="94" t="s">
        <v>2252</v>
      </c>
      <c r="BA1898" s="88" t="s">
        <v>67</v>
      </c>
      <c r="BC1898" s="93">
        <f t="shared" si="377"/>
        <v>0</v>
      </c>
      <c r="BD1898" s="93">
        <f t="shared" si="378"/>
        <v>0</v>
      </c>
      <c r="BE1898" s="93">
        <v>0</v>
      </c>
      <c r="BF1898" s="93">
        <f t="shared" si="379"/>
        <v>0</v>
      </c>
      <c r="BH1898" s="93">
        <f t="shared" si="380"/>
        <v>0</v>
      </c>
      <c r="BI1898" s="93">
        <f t="shared" si="381"/>
        <v>0</v>
      </c>
      <c r="BJ1898" s="93">
        <f t="shared" si="382"/>
        <v>0</v>
      </c>
      <c r="BK1898" s="93"/>
      <c r="BL1898" s="93">
        <v>767</v>
      </c>
      <c r="BW1898" s="93" t="str">
        <f t="shared" si="383"/>
        <v>21</v>
      </c>
      <c r="BX1898" s="2" t="s">
        <v>2539</v>
      </c>
    </row>
    <row r="1899" spans="1:76" s="81" customFormat="1" ht="25.5" x14ac:dyDescent="0.25">
      <c r="A1899" s="72" t="s">
        <v>2540</v>
      </c>
      <c r="B1899" s="72" t="s">
        <v>55</v>
      </c>
      <c r="C1899" s="72" t="s">
        <v>2541</v>
      </c>
      <c r="D1899" s="175" t="s">
        <v>2542</v>
      </c>
      <c r="E1899" s="175"/>
      <c r="F1899" s="72" t="s">
        <v>203</v>
      </c>
      <c r="G1899" s="90">
        <v>1</v>
      </c>
      <c r="H1899" s="91"/>
      <c r="I1899" s="92" t="s">
        <v>63</v>
      </c>
      <c r="J1899" s="90">
        <f t="shared" si="358"/>
        <v>0</v>
      </c>
      <c r="K1899" s="90">
        <f t="shared" si="359"/>
        <v>0</v>
      </c>
      <c r="L1899" s="90">
        <f t="shared" si="360"/>
        <v>0</v>
      </c>
      <c r="M1899" s="90">
        <f t="shared" si="361"/>
        <v>0</v>
      </c>
      <c r="N1899" s="90">
        <v>0</v>
      </c>
      <c r="O1899" s="90">
        <f t="shared" si="362"/>
        <v>0</v>
      </c>
      <c r="P1899" s="92" t="s">
        <v>578</v>
      </c>
      <c r="Z1899" s="93">
        <f t="shared" si="363"/>
        <v>0</v>
      </c>
      <c r="AB1899" s="93">
        <f t="shared" si="364"/>
        <v>0</v>
      </c>
      <c r="AC1899" s="93">
        <f t="shared" si="365"/>
        <v>0</v>
      </c>
      <c r="AD1899" s="93">
        <f t="shared" si="366"/>
        <v>0</v>
      </c>
      <c r="AE1899" s="93">
        <f t="shared" si="367"/>
        <v>0</v>
      </c>
      <c r="AF1899" s="93">
        <f t="shared" si="368"/>
        <v>0</v>
      </c>
      <c r="AG1899" s="93">
        <f t="shared" si="369"/>
        <v>0</v>
      </c>
      <c r="AH1899" s="93">
        <f t="shared" si="370"/>
        <v>0</v>
      </c>
      <c r="AI1899" s="88" t="s">
        <v>55</v>
      </c>
      <c r="AJ1899" s="93">
        <f t="shared" si="371"/>
        <v>0</v>
      </c>
      <c r="AK1899" s="93">
        <f t="shared" si="372"/>
        <v>0</v>
      </c>
      <c r="AL1899" s="93">
        <f t="shared" si="373"/>
        <v>0</v>
      </c>
      <c r="AN1899" s="93">
        <v>21</v>
      </c>
      <c r="AO1899" s="93">
        <f>H1899*0.8</f>
        <v>0</v>
      </c>
      <c r="AP1899" s="93">
        <f>H1899*(1-0.8)</f>
        <v>0</v>
      </c>
      <c r="AQ1899" s="94" t="s">
        <v>148</v>
      </c>
      <c r="AV1899" s="93">
        <f t="shared" si="374"/>
        <v>0</v>
      </c>
      <c r="AW1899" s="93">
        <f t="shared" si="375"/>
        <v>0</v>
      </c>
      <c r="AX1899" s="93">
        <f t="shared" si="376"/>
        <v>0</v>
      </c>
      <c r="AY1899" s="94" t="s">
        <v>2515</v>
      </c>
      <c r="AZ1899" s="94" t="s">
        <v>2252</v>
      </c>
      <c r="BA1899" s="88" t="s">
        <v>67</v>
      </c>
      <c r="BC1899" s="93">
        <f t="shared" si="377"/>
        <v>0</v>
      </c>
      <c r="BD1899" s="93">
        <f t="shared" si="378"/>
        <v>0</v>
      </c>
      <c r="BE1899" s="93">
        <v>0</v>
      </c>
      <c r="BF1899" s="93">
        <f t="shared" si="379"/>
        <v>0</v>
      </c>
      <c r="BH1899" s="93">
        <f t="shared" si="380"/>
        <v>0</v>
      </c>
      <c r="BI1899" s="93">
        <f t="shared" si="381"/>
        <v>0</v>
      </c>
      <c r="BJ1899" s="93">
        <f t="shared" si="382"/>
        <v>0</v>
      </c>
      <c r="BK1899" s="93"/>
      <c r="BL1899" s="93">
        <v>767</v>
      </c>
      <c r="BW1899" s="93" t="str">
        <f t="shared" si="383"/>
        <v>21</v>
      </c>
      <c r="BX1899" s="2" t="s">
        <v>2542</v>
      </c>
    </row>
    <row r="1900" spans="1:76" s="81" customFormat="1" ht="25.5" x14ac:dyDescent="0.25">
      <c r="A1900" s="72" t="s">
        <v>2543</v>
      </c>
      <c r="B1900" s="72" t="s">
        <v>55</v>
      </c>
      <c r="C1900" s="72" t="s">
        <v>2544</v>
      </c>
      <c r="D1900" s="175" t="s">
        <v>2545</v>
      </c>
      <c r="E1900" s="175"/>
      <c r="F1900" s="72" t="s">
        <v>203</v>
      </c>
      <c r="G1900" s="90">
        <v>1</v>
      </c>
      <c r="H1900" s="91"/>
      <c r="I1900" s="92" t="s">
        <v>63</v>
      </c>
      <c r="J1900" s="90">
        <f t="shared" si="358"/>
        <v>0</v>
      </c>
      <c r="K1900" s="90">
        <f t="shared" si="359"/>
        <v>0</v>
      </c>
      <c r="L1900" s="90">
        <f t="shared" si="360"/>
        <v>0</v>
      </c>
      <c r="M1900" s="90">
        <f t="shared" si="361"/>
        <v>0</v>
      </c>
      <c r="N1900" s="90">
        <v>0</v>
      </c>
      <c r="O1900" s="90">
        <f t="shared" si="362"/>
        <v>0</v>
      </c>
      <c r="P1900" s="92" t="s">
        <v>578</v>
      </c>
      <c r="Z1900" s="93">
        <f t="shared" si="363"/>
        <v>0</v>
      </c>
      <c r="AB1900" s="93">
        <f t="shared" si="364"/>
        <v>0</v>
      </c>
      <c r="AC1900" s="93">
        <f t="shared" si="365"/>
        <v>0</v>
      </c>
      <c r="AD1900" s="93">
        <f t="shared" si="366"/>
        <v>0</v>
      </c>
      <c r="AE1900" s="93">
        <f t="shared" si="367"/>
        <v>0</v>
      </c>
      <c r="AF1900" s="93">
        <f t="shared" si="368"/>
        <v>0</v>
      </c>
      <c r="AG1900" s="93">
        <f t="shared" si="369"/>
        <v>0</v>
      </c>
      <c r="AH1900" s="93">
        <f t="shared" si="370"/>
        <v>0</v>
      </c>
      <c r="AI1900" s="88" t="s">
        <v>55</v>
      </c>
      <c r="AJ1900" s="93">
        <f t="shared" si="371"/>
        <v>0</v>
      </c>
      <c r="AK1900" s="93">
        <f t="shared" si="372"/>
        <v>0</v>
      </c>
      <c r="AL1900" s="93">
        <f t="shared" si="373"/>
        <v>0</v>
      </c>
      <c r="AN1900" s="93">
        <v>21</v>
      </c>
      <c r="AO1900" s="93">
        <f>H1900*0.78</f>
        <v>0</v>
      </c>
      <c r="AP1900" s="93">
        <f>H1900*(1-0.78)</f>
        <v>0</v>
      </c>
      <c r="AQ1900" s="94" t="s">
        <v>148</v>
      </c>
      <c r="AV1900" s="93">
        <f t="shared" si="374"/>
        <v>0</v>
      </c>
      <c r="AW1900" s="93">
        <f t="shared" si="375"/>
        <v>0</v>
      </c>
      <c r="AX1900" s="93">
        <f t="shared" si="376"/>
        <v>0</v>
      </c>
      <c r="AY1900" s="94" t="s">
        <v>2515</v>
      </c>
      <c r="AZ1900" s="94" t="s">
        <v>2252</v>
      </c>
      <c r="BA1900" s="88" t="s">
        <v>67</v>
      </c>
      <c r="BC1900" s="93">
        <f t="shared" si="377"/>
        <v>0</v>
      </c>
      <c r="BD1900" s="93">
        <f t="shared" si="378"/>
        <v>0</v>
      </c>
      <c r="BE1900" s="93">
        <v>0</v>
      </c>
      <c r="BF1900" s="93">
        <f t="shared" si="379"/>
        <v>0</v>
      </c>
      <c r="BH1900" s="93">
        <f t="shared" si="380"/>
        <v>0</v>
      </c>
      <c r="BI1900" s="93">
        <f t="shared" si="381"/>
        <v>0</v>
      </c>
      <c r="BJ1900" s="93">
        <f t="shared" si="382"/>
        <v>0</v>
      </c>
      <c r="BK1900" s="93"/>
      <c r="BL1900" s="93">
        <v>767</v>
      </c>
      <c r="BW1900" s="93" t="str">
        <f t="shared" si="383"/>
        <v>21</v>
      </c>
      <c r="BX1900" s="2" t="s">
        <v>2545</v>
      </c>
    </row>
    <row r="1901" spans="1:76" s="81" customFormat="1" ht="25.5" x14ac:dyDescent="0.25">
      <c r="A1901" s="72" t="s">
        <v>2546</v>
      </c>
      <c r="B1901" s="72" t="s">
        <v>55</v>
      </c>
      <c r="C1901" s="72" t="s">
        <v>2547</v>
      </c>
      <c r="D1901" s="175" t="s">
        <v>2548</v>
      </c>
      <c r="E1901" s="175"/>
      <c r="F1901" s="72" t="s">
        <v>203</v>
      </c>
      <c r="G1901" s="90">
        <v>9</v>
      </c>
      <c r="H1901" s="91"/>
      <c r="I1901" s="92" t="s">
        <v>63</v>
      </c>
      <c r="J1901" s="90">
        <f t="shared" si="358"/>
        <v>0</v>
      </c>
      <c r="K1901" s="90">
        <f t="shared" si="359"/>
        <v>0</v>
      </c>
      <c r="L1901" s="90">
        <f t="shared" si="360"/>
        <v>0</v>
      </c>
      <c r="M1901" s="90">
        <f t="shared" si="361"/>
        <v>0</v>
      </c>
      <c r="N1901" s="90">
        <v>0</v>
      </c>
      <c r="O1901" s="90">
        <f t="shared" si="362"/>
        <v>0</v>
      </c>
      <c r="P1901" s="92" t="s">
        <v>578</v>
      </c>
      <c r="Z1901" s="93">
        <f t="shared" si="363"/>
        <v>0</v>
      </c>
      <c r="AB1901" s="93">
        <f t="shared" si="364"/>
        <v>0</v>
      </c>
      <c r="AC1901" s="93">
        <f t="shared" si="365"/>
        <v>0</v>
      </c>
      <c r="AD1901" s="93">
        <f t="shared" si="366"/>
        <v>0</v>
      </c>
      <c r="AE1901" s="93">
        <f t="shared" si="367"/>
        <v>0</v>
      </c>
      <c r="AF1901" s="93">
        <f t="shared" si="368"/>
        <v>0</v>
      </c>
      <c r="AG1901" s="93">
        <f t="shared" si="369"/>
        <v>0</v>
      </c>
      <c r="AH1901" s="93">
        <f t="shared" si="370"/>
        <v>0</v>
      </c>
      <c r="AI1901" s="88" t="s">
        <v>55</v>
      </c>
      <c r="AJ1901" s="93">
        <f t="shared" si="371"/>
        <v>0</v>
      </c>
      <c r="AK1901" s="93">
        <f t="shared" si="372"/>
        <v>0</v>
      </c>
      <c r="AL1901" s="93">
        <f t="shared" si="373"/>
        <v>0</v>
      </c>
      <c r="AN1901" s="93">
        <v>21</v>
      </c>
      <c r="AO1901" s="93">
        <f>H1901*0.78</f>
        <v>0</v>
      </c>
      <c r="AP1901" s="93">
        <f>H1901*(1-0.78)</f>
        <v>0</v>
      </c>
      <c r="AQ1901" s="94" t="s">
        <v>148</v>
      </c>
      <c r="AV1901" s="93">
        <f t="shared" si="374"/>
        <v>0</v>
      </c>
      <c r="AW1901" s="93">
        <f t="shared" si="375"/>
        <v>0</v>
      </c>
      <c r="AX1901" s="93">
        <f t="shared" si="376"/>
        <v>0</v>
      </c>
      <c r="AY1901" s="94" t="s">
        <v>2515</v>
      </c>
      <c r="AZ1901" s="94" t="s">
        <v>2252</v>
      </c>
      <c r="BA1901" s="88" t="s">
        <v>67</v>
      </c>
      <c r="BC1901" s="93">
        <f t="shared" si="377"/>
        <v>0</v>
      </c>
      <c r="BD1901" s="93">
        <f t="shared" si="378"/>
        <v>0</v>
      </c>
      <c r="BE1901" s="93">
        <v>0</v>
      </c>
      <c r="BF1901" s="93">
        <f t="shared" si="379"/>
        <v>0</v>
      </c>
      <c r="BH1901" s="93">
        <f t="shared" si="380"/>
        <v>0</v>
      </c>
      <c r="BI1901" s="93">
        <f t="shared" si="381"/>
        <v>0</v>
      </c>
      <c r="BJ1901" s="93">
        <f t="shared" si="382"/>
        <v>0</v>
      </c>
      <c r="BK1901" s="93"/>
      <c r="BL1901" s="93">
        <v>767</v>
      </c>
      <c r="BW1901" s="93" t="str">
        <f t="shared" si="383"/>
        <v>21</v>
      </c>
      <c r="BX1901" s="2" t="s">
        <v>2548</v>
      </c>
    </row>
    <row r="1902" spans="1:76" s="81" customFormat="1" ht="25.5" x14ac:dyDescent="0.25">
      <c r="A1902" s="72" t="s">
        <v>2549</v>
      </c>
      <c r="B1902" s="72" t="s">
        <v>55</v>
      </c>
      <c r="C1902" s="72" t="s">
        <v>2550</v>
      </c>
      <c r="D1902" s="175" t="s">
        <v>2551</v>
      </c>
      <c r="E1902" s="175"/>
      <c r="F1902" s="72" t="s">
        <v>203</v>
      </c>
      <c r="G1902" s="90">
        <v>1</v>
      </c>
      <c r="H1902" s="91"/>
      <c r="I1902" s="92" t="s">
        <v>63</v>
      </c>
      <c r="J1902" s="90">
        <f t="shared" si="358"/>
        <v>0</v>
      </c>
      <c r="K1902" s="90">
        <f t="shared" si="359"/>
        <v>0</v>
      </c>
      <c r="L1902" s="90">
        <f t="shared" si="360"/>
        <v>0</v>
      </c>
      <c r="M1902" s="90">
        <f t="shared" si="361"/>
        <v>0</v>
      </c>
      <c r="N1902" s="90">
        <v>0</v>
      </c>
      <c r="O1902" s="90">
        <f t="shared" si="362"/>
        <v>0</v>
      </c>
      <c r="P1902" s="92" t="s">
        <v>578</v>
      </c>
      <c r="Z1902" s="93">
        <f t="shared" si="363"/>
        <v>0</v>
      </c>
      <c r="AB1902" s="93">
        <f t="shared" si="364"/>
        <v>0</v>
      </c>
      <c r="AC1902" s="93">
        <f t="shared" si="365"/>
        <v>0</v>
      </c>
      <c r="AD1902" s="93">
        <f t="shared" si="366"/>
        <v>0</v>
      </c>
      <c r="AE1902" s="93">
        <f t="shared" si="367"/>
        <v>0</v>
      </c>
      <c r="AF1902" s="93">
        <f t="shared" si="368"/>
        <v>0</v>
      </c>
      <c r="AG1902" s="93">
        <f t="shared" si="369"/>
        <v>0</v>
      </c>
      <c r="AH1902" s="93">
        <f t="shared" si="370"/>
        <v>0</v>
      </c>
      <c r="AI1902" s="88" t="s">
        <v>55</v>
      </c>
      <c r="AJ1902" s="93">
        <f t="shared" si="371"/>
        <v>0</v>
      </c>
      <c r="AK1902" s="93">
        <f t="shared" si="372"/>
        <v>0</v>
      </c>
      <c r="AL1902" s="93">
        <f t="shared" si="373"/>
        <v>0</v>
      </c>
      <c r="AN1902" s="93">
        <v>21</v>
      </c>
      <c r="AO1902" s="93">
        <f>H1902*0.78</f>
        <v>0</v>
      </c>
      <c r="AP1902" s="93">
        <f>H1902*(1-0.78)</f>
        <v>0</v>
      </c>
      <c r="AQ1902" s="94" t="s">
        <v>148</v>
      </c>
      <c r="AV1902" s="93">
        <f t="shared" si="374"/>
        <v>0</v>
      </c>
      <c r="AW1902" s="93">
        <f t="shared" si="375"/>
        <v>0</v>
      </c>
      <c r="AX1902" s="93">
        <f t="shared" si="376"/>
        <v>0</v>
      </c>
      <c r="AY1902" s="94" t="s">
        <v>2515</v>
      </c>
      <c r="AZ1902" s="94" t="s">
        <v>2252</v>
      </c>
      <c r="BA1902" s="88" t="s">
        <v>67</v>
      </c>
      <c r="BC1902" s="93">
        <f t="shared" si="377"/>
        <v>0</v>
      </c>
      <c r="BD1902" s="93">
        <f t="shared" si="378"/>
        <v>0</v>
      </c>
      <c r="BE1902" s="93">
        <v>0</v>
      </c>
      <c r="BF1902" s="93">
        <f t="shared" si="379"/>
        <v>0</v>
      </c>
      <c r="BH1902" s="93">
        <f t="shared" si="380"/>
        <v>0</v>
      </c>
      <c r="BI1902" s="93">
        <f t="shared" si="381"/>
        <v>0</v>
      </c>
      <c r="BJ1902" s="93">
        <f t="shared" si="382"/>
        <v>0</v>
      </c>
      <c r="BK1902" s="93"/>
      <c r="BL1902" s="93">
        <v>767</v>
      </c>
      <c r="BW1902" s="93" t="str">
        <f t="shared" si="383"/>
        <v>21</v>
      </c>
      <c r="BX1902" s="2" t="s">
        <v>2551</v>
      </c>
    </row>
    <row r="1903" spans="1:76" s="81" customFormat="1" ht="25.5" x14ac:dyDescent="0.25">
      <c r="A1903" s="72" t="s">
        <v>2552</v>
      </c>
      <c r="B1903" s="72" t="s">
        <v>55</v>
      </c>
      <c r="C1903" s="72" t="s">
        <v>2553</v>
      </c>
      <c r="D1903" s="175" t="s">
        <v>2554</v>
      </c>
      <c r="E1903" s="175"/>
      <c r="F1903" s="72" t="s">
        <v>203</v>
      </c>
      <c r="G1903" s="90">
        <v>1</v>
      </c>
      <c r="H1903" s="91"/>
      <c r="I1903" s="92" t="s">
        <v>63</v>
      </c>
      <c r="J1903" s="90">
        <f t="shared" si="358"/>
        <v>0</v>
      </c>
      <c r="K1903" s="90">
        <f t="shared" si="359"/>
        <v>0</v>
      </c>
      <c r="L1903" s="90">
        <f t="shared" si="360"/>
        <v>0</v>
      </c>
      <c r="M1903" s="90">
        <f t="shared" si="361"/>
        <v>0</v>
      </c>
      <c r="N1903" s="90">
        <v>0</v>
      </c>
      <c r="O1903" s="90">
        <f t="shared" si="362"/>
        <v>0</v>
      </c>
      <c r="P1903" s="92" t="s">
        <v>578</v>
      </c>
      <c r="Z1903" s="93">
        <f t="shared" si="363"/>
        <v>0</v>
      </c>
      <c r="AB1903" s="93">
        <f t="shared" si="364"/>
        <v>0</v>
      </c>
      <c r="AC1903" s="93">
        <f t="shared" si="365"/>
        <v>0</v>
      </c>
      <c r="AD1903" s="93">
        <f t="shared" si="366"/>
        <v>0</v>
      </c>
      <c r="AE1903" s="93">
        <f t="shared" si="367"/>
        <v>0</v>
      </c>
      <c r="AF1903" s="93">
        <f t="shared" si="368"/>
        <v>0</v>
      </c>
      <c r="AG1903" s="93">
        <f t="shared" si="369"/>
        <v>0</v>
      </c>
      <c r="AH1903" s="93">
        <f t="shared" si="370"/>
        <v>0</v>
      </c>
      <c r="AI1903" s="88" t="s">
        <v>55</v>
      </c>
      <c r="AJ1903" s="93">
        <f t="shared" si="371"/>
        <v>0</v>
      </c>
      <c r="AK1903" s="93">
        <f t="shared" si="372"/>
        <v>0</v>
      </c>
      <c r="AL1903" s="93">
        <f t="shared" si="373"/>
        <v>0</v>
      </c>
      <c r="AN1903" s="93">
        <v>21</v>
      </c>
      <c r="AO1903" s="93">
        <f>H1903*0.78</f>
        <v>0</v>
      </c>
      <c r="AP1903" s="93">
        <f>H1903*(1-0.78)</f>
        <v>0</v>
      </c>
      <c r="AQ1903" s="94" t="s">
        <v>148</v>
      </c>
      <c r="AV1903" s="93">
        <f t="shared" si="374"/>
        <v>0</v>
      </c>
      <c r="AW1903" s="93">
        <f t="shared" si="375"/>
        <v>0</v>
      </c>
      <c r="AX1903" s="93">
        <f t="shared" si="376"/>
        <v>0</v>
      </c>
      <c r="AY1903" s="94" t="s">
        <v>2515</v>
      </c>
      <c r="AZ1903" s="94" t="s">
        <v>2252</v>
      </c>
      <c r="BA1903" s="88" t="s">
        <v>67</v>
      </c>
      <c r="BC1903" s="93">
        <f t="shared" si="377"/>
        <v>0</v>
      </c>
      <c r="BD1903" s="93">
        <f t="shared" si="378"/>
        <v>0</v>
      </c>
      <c r="BE1903" s="93">
        <v>0</v>
      </c>
      <c r="BF1903" s="93">
        <f t="shared" si="379"/>
        <v>0</v>
      </c>
      <c r="BH1903" s="93">
        <f t="shared" si="380"/>
        <v>0</v>
      </c>
      <c r="BI1903" s="93">
        <f t="shared" si="381"/>
        <v>0</v>
      </c>
      <c r="BJ1903" s="93">
        <f t="shared" si="382"/>
        <v>0</v>
      </c>
      <c r="BK1903" s="93"/>
      <c r="BL1903" s="93">
        <v>767</v>
      </c>
      <c r="BW1903" s="93" t="str">
        <f t="shared" si="383"/>
        <v>21</v>
      </c>
      <c r="BX1903" s="2" t="s">
        <v>2554</v>
      </c>
    </row>
    <row r="1904" spans="1:76" s="81" customFormat="1" ht="25.5" x14ac:dyDescent="0.25">
      <c r="A1904" s="72" t="s">
        <v>2555</v>
      </c>
      <c r="B1904" s="72" t="s">
        <v>55</v>
      </c>
      <c r="C1904" s="72" t="s">
        <v>2556</v>
      </c>
      <c r="D1904" s="175" t="s">
        <v>2557</v>
      </c>
      <c r="E1904" s="175"/>
      <c r="F1904" s="72" t="s">
        <v>203</v>
      </c>
      <c r="G1904" s="90">
        <v>1</v>
      </c>
      <c r="H1904" s="91"/>
      <c r="I1904" s="92" t="s">
        <v>63</v>
      </c>
      <c r="J1904" s="90">
        <f t="shared" si="358"/>
        <v>0</v>
      </c>
      <c r="K1904" s="90">
        <f t="shared" si="359"/>
        <v>0</v>
      </c>
      <c r="L1904" s="90">
        <f t="shared" si="360"/>
        <v>0</v>
      </c>
      <c r="M1904" s="90">
        <f t="shared" si="361"/>
        <v>0</v>
      </c>
      <c r="N1904" s="90">
        <v>0</v>
      </c>
      <c r="O1904" s="90">
        <f t="shared" si="362"/>
        <v>0</v>
      </c>
      <c r="P1904" s="92" t="s">
        <v>578</v>
      </c>
      <c r="Z1904" s="93">
        <f t="shared" si="363"/>
        <v>0</v>
      </c>
      <c r="AB1904" s="93">
        <f t="shared" si="364"/>
        <v>0</v>
      </c>
      <c r="AC1904" s="93">
        <f t="shared" si="365"/>
        <v>0</v>
      </c>
      <c r="AD1904" s="93">
        <f t="shared" si="366"/>
        <v>0</v>
      </c>
      <c r="AE1904" s="93">
        <f t="shared" si="367"/>
        <v>0</v>
      </c>
      <c r="AF1904" s="93">
        <f t="shared" si="368"/>
        <v>0</v>
      </c>
      <c r="AG1904" s="93">
        <f t="shared" si="369"/>
        <v>0</v>
      </c>
      <c r="AH1904" s="93">
        <f t="shared" si="370"/>
        <v>0</v>
      </c>
      <c r="AI1904" s="88" t="s">
        <v>55</v>
      </c>
      <c r="AJ1904" s="93">
        <f t="shared" si="371"/>
        <v>0</v>
      </c>
      <c r="AK1904" s="93">
        <f t="shared" si="372"/>
        <v>0</v>
      </c>
      <c r="AL1904" s="93">
        <f t="shared" si="373"/>
        <v>0</v>
      </c>
      <c r="AN1904" s="93">
        <v>21</v>
      </c>
      <c r="AO1904" s="93">
        <f>H1904*0.78</f>
        <v>0</v>
      </c>
      <c r="AP1904" s="93">
        <f>H1904*(1-0.78)</f>
        <v>0</v>
      </c>
      <c r="AQ1904" s="94" t="s">
        <v>148</v>
      </c>
      <c r="AV1904" s="93">
        <f t="shared" si="374"/>
        <v>0</v>
      </c>
      <c r="AW1904" s="93">
        <f t="shared" si="375"/>
        <v>0</v>
      </c>
      <c r="AX1904" s="93">
        <f t="shared" si="376"/>
        <v>0</v>
      </c>
      <c r="AY1904" s="94" t="s">
        <v>2515</v>
      </c>
      <c r="AZ1904" s="94" t="s">
        <v>2252</v>
      </c>
      <c r="BA1904" s="88" t="s">
        <v>67</v>
      </c>
      <c r="BC1904" s="93">
        <f t="shared" si="377"/>
        <v>0</v>
      </c>
      <c r="BD1904" s="93">
        <f t="shared" si="378"/>
        <v>0</v>
      </c>
      <c r="BE1904" s="93">
        <v>0</v>
      </c>
      <c r="BF1904" s="93">
        <f t="shared" si="379"/>
        <v>0</v>
      </c>
      <c r="BH1904" s="93">
        <f t="shared" si="380"/>
        <v>0</v>
      </c>
      <c r="BI1904" s="93">
        <f t="shared" si="381"/>
        <v>0</v>
      </c>
      <c r="BJ1904" s="93">
        <f t="shared" si="382"/>
        <v>0</v>
      </c>
      <c r="BK1904" s="93"/>
      <c r="BL1904" s="93">
        <v>767</v>
      </c>
      <c r="BW1904" s="93" t="str">
        <f t="shared" si="383"/>
        <v>21</v>
      </c>
      <c r="BX1904" s="2" t="s">
        <v>2557</v>
      </c>
    </row>
    <row r="1905" spans="1:76" s="81" customFormat="1" ht="25.5" x14ac:dyDescent="0.25">
      <c r="A1905" s="72" t="s">
        <v>2558</v>
      </c>
      <c r="B1905" s="72" t="s">
        <v>55</v>
      </c>
      <c r="C1905" s="72" t="s">
        <v>2559</v>
      </c>
      <c r="D1905" s="175" t="s">
        <v>2560</v>
      </c>
      <c r="E1905" s="175"/>
      <c r="F1905" s="72" t="s">
        <v>203</v>
      </c>
      <c r="G1905" s="90">
        <v>2</v>
      </c>
      <c r="H1905" s="91"/>
      <c r="I1905" s="92" t="s">
        <v>63</v>
      </c>
      <c r="J1905" s="90">
        <f t="shared" si="358"/>
        <v>0</v>
      </c>
      <c r="K1905" s="90">
        <f t="shared" si="359"/>
        <v>0</v>
      </c>
      <c r="L1905" s="90">
        <f t="shared" si="360"/>
        <v>0</v>
      </c>
      <c r="M1905" s="90">
        <f t="shared" si="361"/>
        <v>0</v>
      </c>
      <c r="N1905" s="90">
        <v>0</v>
      </c>
      <c r="O1905" s="90">
        <f t="shared" si="362"/>
        <v>0</v>
      </c>
      <c r="P1905" s="92" t="s">
        <v>578</v>
      </c>
      <c r="Z1905" s="93">
        <f t="shared" si="363"/>
        <v>0</v>
      </c>
      <c r="AB1905" s="93">
        <f t="shared" si="364"/>
        <v>0</v>
      </c>
      <c r="AC1905" s="93">
        <f t="shared" si="365"/>
        <v>0</v>
      </c>
      <c r="AD1905" s="93">
        <f t="shared" si="366"/>
        <v>0</v>
      </c>
      <c r="AE1905" s="93">
        <f t="shared" si="367"/>
        <v>0</v>
      </c>
      <c r="AF1905" s="93">
        <f t="shared" si="368"/>
        <v>0</v>
      </c>
      <c r="AG1905" s="93">
        <f t="shared" si="369"/>
        <v>0</v>
      </c>
      <c r="AH1905" s="93">
        <f t="shared" si="370"/>
        <v>0</v>
      </c>
      <c r="AI1905" s="88" t="s">
        <v>55</v>
      </c>
      <c r="AJ1905" s="93">
        <f t="shared" si="371"/>
        <v>0</v>
      </c>
      <c r="AK1905" s="93">
        <f t="shared" si="372"/>
        <v>0</v>
      </c>
      <c r="AL1905" s="93">
        <f t="shared" si="373"/>
        <v>0</v>
      </c>
      <c r="AN1905" s="93">
        <v>21</v>
      </c>
      <c r="AO1905" s="93">
        <f>H1905*0.329042373</f>
        <v>0</v>
      </c>
      <c r="AP1905" s="93">
        <f>H1905*(1-0.329042373)</f>
        <v>0</v>
      </c>
      <c r="AQ1905" s="94" t="s">
        <v>148</v>
      </c>
      <c r="AV1905" s="93">
        <f t="shared" si="374"/>
        <v>0</v>
      </c>
      <c r="AW1905" s="93">
        <f t="shared" si="375"/>
        <v>0</v>
      </c>
      <c r="AX1905" s="93">
        <f t="shared" si="376"/>
        <v>0</v>
      </c>
      <c r="AY1905" s="94" t="s">
        <v>2515</v>
      </c>
      <c r="AZ1905" s="94" t="s">
        <v>2252</v>
      </c>
      <c r="BA1905" s="88" t="s">
        <v>67</v>
      </c>
      <c r="BC1905" s="93">
        <f t="shared" si="377"/>
        <v>0</v>
      </c>
      <c r="BD1905" s="93">
        <f t="shared" si="378"/>
        <v>0</v>
      </c>
      <c r="BE1905" s="93">
        <v>0</v>
      </c>
      <c r="BF1905" s="93">
        <f t="shared" si="379"/>
        <v>0</v>
      </c>
      <c r="BH1905" s="93">
        <f t="shared" si="380"/>
        <v>0</v>
      </c>
      <c r="BI1905" s="93">
        <f t="shared" si="381"/>
        <v>0</v>
      </c>
      <c r="BJ1905" s="93">
        <f t="shared" si="382"/>
        <v>0</v>
      </c>
      <c r="BK1905" s="93"/>
      <c r="BL1905" s="93">
        <v>767</v>
      </c>
      <c r="BW1905" s="93" t="str">
        <f t="shared" si="383"/>
        <v>21</v>
      </c>
      <c r="BX1905" s="2" t="s">
        <v>2560</v>
      </c>
    </row>
    <row r="1906" spans="1:76" s="81" customFormat="1" ht="25.5" x14ac:dyDescent="0.25">
      <c r="A1906" s="72" t="s">
        <v>2561</v>
      </c>
      <c r="B1906" s="72" t="s">
        <v>55</v>
      </c>
      <c r="C1906" s="72" t="s">
        <v>2562</v>
      </c>
      <c r="D1906" s="175" t="s">
        <v>2563</v>
      </c>
      <c r="E1906" s="175"/>
      <c r="F1906" s="72" t="s">
        <v>203</v>
      </c>
      <c r="G1906" s="90">
        <v>1</v>
      </c>
      <c r="H1906" s="91"/>
      <c r="I1906" s="92" t="s">
        <v>63</v>
      </c>
      <c r="J1906" s="90">
        <f t="shared" si="358"/>
        <v>0</v>
      </c>
      <c r="K1906" s="90">
        <f t="shared" si="359"/>
        <v>0</v>
      </c>
      <c r="L1906" s="90">
        <f t="shared" si="360"/>
        <v>0</v>
      </c>
      <c r="M1906" s="90">
        <f t="shared" si="361"/>
        <v>0</v>
      </c>
      <c r="N1906" s="90">
        <v>0</v>
      </c>
      <c r="O1906" s="90">
        <f t="shared" si="362"/>
        <v>0</v>
      </c>
      <c r="P1906" s="92" t="s">
        <v>578</v>
      </c>
      <c r="Z1906" s="93">
        <f t="shared" si="363"/>
        <v>0</v>
      </c>
      <c r="AB1906" s="93">
        <f t="shared" si="364"/>
        <v>0</v>
      </c>
      <c r="AC1906" s="93">
        <f t="shared" si="365"/>
        <v>0</v>
      </c>
      <c r="AD1906" s="93">
        <f t="shared" si="366"/>
        <v>0</v>
      </c>
      <c r="AE1906" s="93">
        <f t="shared" si="367"/>
        <v>0</v>
      </c>
      <c r="AF1906" s="93">
        <f t="shared" si="368"/>
        <v>0</v>
      </c>
      <c r="AG1906" s="93">
        <f t="shared" si="369"/>
        <v>0</v>
      </c>
      <c r="AH1906" s="93">
        <f t="shared" si="370"/>
        <v>0</v>
      </c>
      <c r="AI1906" s="88" t="s">
        <v>55</v>
      </c>
      <c r="AJ1906" s="93">
        <f t="shared" si="371"/>
        <v>0</v>
      </c>
      <c r="AK1906" s="93">
        <f t="shared" si="372"/>
        <v>0</v>
      </c>
      <c r="AL1906" s="93">
        <f t="shared" si="373"/>
        <v>0</v>
      </c>
      <c r="AN1906" s="93">
        <v>21</v>
      </c>
      <c r="AO1906" s="93">
        <f>H1906*0.329042427</f>
        <v>0</v>
      </c>
      <c r="AP1906" s="93">
        <f>H1906*(1-0.329042427)</f>
        <v>0</v>
      </c>
      <c r="AQ1906" s="94" t="s">
        <v>148</v>
      </c>
      <c r="AV1906" s="93">
        <f t="shared" si="374"/>
        <v>0</v>
      </c>
      <c r="AW1906" s="93">
        <f t="shared" si="375"/>
        <v>0</v>
      </c>
      <c r="AX1906" s="93">
        <f t="shared" si="376"/>
        <v>0</v>
      </c>
      <c r="AY1906" s="94" t="s">
        <v>2515</v>
      </c>
      <c r="AZ1906" s="94" t="s">
        <v>2252</v>
      </c>
      <c r="BA1906" s="88" t="s">
        <v>67</v>
      </c>
      <c r="BC1906" s="93">
        <f t="shared" si="377"/>
        <v>0</v>
      </c>
      <c r="BD1906" s="93">
        <f t="shared" si="378"/>
        <v>0</v>
      </c>
      <c r="BE1906" s="93">
        <v>0</v>
      </c>
      <c r="BF1906" s="93">
        <f t="shared" si="379"/>
        <v>0</v>
      </c>
      <c r="BH1906" s="93">
        <f t="shared" si="380"/>
        <v>0</v>
      </c>
      <c r="BI1906" s="93">
        <f t="shared" si="381"/>
        <v>0</v>
      </c>
      <c r="BJ1906" s="93">
        <f t="shared" si="382"/>
        <v>0</v>
      </c>
      <c r="BK1906" s="93"/>
      <c r="BL1906" s="93">
        <v>767</v>
      </c>
      <c r="BW1906" s="93" t="str">
        <f t="shared" si="383"/>
        <v>21</v>
      </c>
      <c r="BX1906" s="2" t="s">
        <v>2563</v>
      </c>
    </row>
    <row r="1907" spans="1:76" s="81" customFormat="1" ht="25.5" x14ac:dyDescent="0.25">
      <c r="A1907" s="72" t="s">
        <v>2564</v>
      </c>
      <c r="B1907" s="72" t="s">
        <v>55</v>
      </c>
      <c r="C1907" s="72" t="s">
        <v>2565</v>
      </c>
      <c r="D1907" s="175" t="s">
        <v>2566</v>
      </c>
      <c r="E1907" s="175"/>
      <c r="F1907" s="72" t="s">
        <v>203</v>
      </c>
      <c r="G1907" s="90">
        <v>1</v>
      </c>
      <c r="H1907" s="91"/>
      <c r="I1907" s="92" t="s">
        <v>63</v>
      </c>
      <c r="J1907" s="90">
        <f t="shared" si="358"/>
        <v>0</v>
      </c>
      <c r="K1907" s="90">
        <f t="shared" si="359"/>
        <v>0</v>
      </c>
      <c r="L1907" s="90">
        <f t="shared" si="360"/>
        <v>0</v>
      </c>
      <c r="M1907" s="90">
        <f t="shared" si="361"/>
        <v>0</v>
      </c>
      <c r="N1907" s="90">
        <v>0</v>
      </c>
      <c r="O1907" s="90">
        <f t="shared" si="362"/>
        <v>0</v>
      </c>
      <c r="P1907" s="92" t="s">
        <v>578</v>
      </c>
      <c r="Z1907" s="93">
        <f t="shared" si="363"/>
        <v>0</v>
      </c>
      <c r="AB1907" s="93">
        <f t="shared" si="364"/>
        <v>0</v>
      </c>
      <c r="AC1907" s="93">
        <f t="shared" si="365"/>
        <v>0</v>
      </c>
      <c r="AD1907" s="93">
        <f t="shared" si="366"/>
        <v>0</v>
      </c>
      <c r="AE1907" s="93">
        <f t="shared" si="367"/>
        <v>0</v>
      </c>
      <c r="AF1907" s="93">
        <f t="shared" si="368"/>
        <v>0</v>
      </c>
      <c r="AG1907" s="93">
        <f t="shared" si="369"/>
        <v>0</v>
      </c>
      <c r="AH1907" s="93">
        <f t="shared" si="370"/>
        <v>0</v>
      </c>
      <c r="AI1907" s="88" t="s">
        <v>55</v>
      </c>
      <c r="AJ1907" s="93">
        <f t="shared" si="371"/>
        <v>0</v>
      </c>
      <c r="AK1907" s="93">
        <f t="shared" si="372"/>
        <v>0</v>
      </c>
      <c r="AL1907" s="93">
        <f t="shared" si="373"/>
        <v>0</v>
      </c>
      <c r="AN1907" s="93">
        <v>21</v>
      </c>
      <c r="AO1907" s="93">
        <f>H1907*0.329042947</f>
        <v>0</v>
      </c>
      <c r="AP1907" s="93">
        <f>H1907*(1-0.329042947)</f>
        <v>0</v>
      </c>
      <c r="AQ1907" s="94" t="s">
        <v>148</v>
      </c>
      <c r="AV1907" s="93">
        <f t="shared" si="374"/>
        <v>0</v>
      </c>
      <c r="AW1907" s="93">
        <f t="shared" si="375"/>
        <v>0</v>
      </c>
      <c r="AX1907" s="93">
        <f t="shared" si="376"/>
        <v>0</v>
      </c>
      <c r="AY1907" s="94" t="s">
        <v>2515</v>
      </c>
      <c r="AZ1907" s="94" t="s">
        <v>2252</v>
      </c>
      <c r="BA1907" s="88" t="s">
        <v>67</v>
      </c>
      <c r="BC1907" s="93">
        <f t="shared" si="377"/>
        <v>0</v>
      </c>
      <c r="BD1907" s="93">
        <f t="shared" si="378"/>
        <v>0</v>
      </c>
      <c r="BE1907" s="93">
        <v>0</v>
      </c>
      <c r="BF1907" s="93">
        <f t="shared" si="379"/>
        <v>0</v>
      </c>
      <c r="BH1907" s="93">
        <f t="shared" si="380"/>
        <v>0</v>
      </c>
      <c r="BI1907" s="93">
        <f t="shared" si="381"/>
        <v>0</v>
      </c>
      <c r="BJ1907" s="93">
        <f t="shared" si="382"/>
        <v>0</v>
      </c>
      <c r="BK1907" s="93"/>
      <c r="BL1907" s="93">
        <v>767</v>
      </c>
      <c r="BW1907" s="93" t="str">
        <f t="shared" si="383"/>
        <v>21</v>
      </c>
      <c r="BX1907" s="2" t="s">
        <v>2566</v>
      </c>
    </row>
    <row r="1908" spans="1:76" s="81" customFormat="1" ht="25.5" x14ac:dyDescent="0.25">
      <c r="A1908" s="72" t="s">
        <v>2567</v>
      </c>
      <c r="B1908" s="72" t="s">
        <v>55</v>
      </c>
      <c r="C1908" s="72" t="s">
        <v>2568</v>
      </c>
      <c r="D1908" s="175" t="s">
        <v>2569</v>
      </c>
      <c r="E1908" s="175"/>
      <c r="F1908" s="72" t="s">
        <v>203</v>
      </c>
      <c r="G1908" s="90">
        <v>1</v>
      </c>
      <c r="H1908" s="91"/>
      <c r="I1908" s="92" t="s">
        <v>63</v>
      </c>
      <c r="J1908" s="90">
        <f t="shared" si="358"/>
        <v>0</v>
      </c>
      <c r="K1908" s="90">
        <f t="shared" si="359"/>
        <v>0</v>
      </c>
      <c r="L1908" s="90">
        <f t="shared" si="360"/>
        <v>0</v>
      </c>
      <c r="M1908" s="90">
        <f t="shared" si="361"/>
        <v>0</v>
      </c>
      <c r="N1908" s="90">
        <v>0</v>
      </c>
      <c r="O1908" s="90">
        <f t="shared" si="362"/>
        <v>0</v>
      </c>
      <c r="P1908" s="92" t="s">
        <v>578</v>
      </c>
      <c r="Z1908" s="93">
        <f t="shared" si="363"/>
        <v>0</v>
      </c>
      <c r="AB1908" s="93">
        <f t="shared" si="364"/>
        <v>0</v>
      </c>
      <c r="AC1908" s="93">
        <f t="shared" si="365"/>
        <v>0</v>
      </c>
      <c r="AD1908" s="93">
        <f t="shared" si="366"/>
        <v>0</v>
      </c>
      <c r="AE1908" s="93">
        <f t="shared" si="367"/>
        <v>0</v>
      </c>
      <c r="AF1908" s="93">
        <f t="shared" si="368"/>
        <v>0</v>
      </c>
      <c r="AG1908" s="93">
        <f t="shared" si="369"/>
        <v>0</v>
      </c>
      <c r="AH1908" s="93">
        <f t="shared" si="370"/>
        <v>0</v>
      </c>
      <c r="AI1908" s="88" t="s">
        <v>55</v>
      </c>
      <c r="AJ1908" s="93">
        <f t="shared" si="371"/>
        <v>0</v>
      </c>
      <c r="AK1908" s="93">
        <f t="shared" si="372"/>
        <v>0</v>
      </c>
      <c r="AL1908" s="93">
        <f t="shared" si="373"/>
        <v>0</v>
      </c>
      <c r="AN1908" s="93">
        <v>21</v>
      </c>
      <c r="AO1908" s="93">
        <f>H1908*0.329042791</f>
        <v>0</v>
      </c>
      <c r="AP1908" s="93">
        <f>H1908*(1-0.329042791)</f>
        <v>0</v>
      </c>
      <c r="AQ1908" s="94" t="s">
        <v>148</v>
      </c>
      <c r="AV1908" s="93">
        <f t="shared" si="374"/>
        <v>0</v>
      </c>
      <c r="AW1908" s="93">
        <f t="shared" si="375"/>
        <v>0</v>
      </c>
      <c r="AX1908" s="93">
        <f t="shared" si="376"/>
        <v>0</v>
      </c>
      <c r="AY1908" s="94" t="s">
        <v>2515</v>
      </c>
      <c r="AZ1908" s="94" t="s">
        <v>2252</v>
      </c>
      <c r="BA1908" s="88" t="s">
        <v>67</v>
      </c>
      <c r="BC1908" s="93">
        <f t="shared" si="377"/>
        <v>0</v>
      </c>
      <c r="BD1908" s="93">
        <f t="shared" si="378"/>
        <v>0</v>
      </c>
      <c r="BE1908" s="93">
        <v>0</v>
      </c>
      <c r="BF1908" s="93">
        <f t="shared" si="379"/>
        <v>0</v>
      </c>
      <c r="BH1908" s="93">
        <f t="shared" si="380"/>
        <v>0</v>
      </c>
      <c r="BI1908" s="93">
        <f t="shared" si="381"/>
        <v>0</v>
      </c>
      <c r="BJ1908" s="93">
        <f t="shared" si="382"/>
        <v>0</v>
      </c>
      <c r="BK1908" s="93"/>
      <c r="BL1908" s="93">
        <v>767</v>
      </c>
      <c r="BW1908" s="93" t="str">
        <f t="shared" si="383"/>
        <v>21</v>
      </c>
      <c r="BX1908" s="2" t="s">
        <v>2569</v>
      </c>
    </row>
    <row r="1909" spans="1:76" s="81" customFormat="1" ht="25.5" x14ac:dyDescent="0.25">
      <c r="A1909" s="72" t="s">
        <v>2570</v>
      </c>
      <c r="B1909" s="72" t="s">
        <v>55</v>
      </c>
      <c r="C1909" s="72" t="s">
        <v>2571</v>
      </c>
      <c r="D1909" s="175" t="s">
        <v>2572</v>
      </c>
      <c r="E1909" s="175"/>
      <c r="F1909" s="72" t="s">
        <v>203</v>
      </c>
      <c r="G1909" s="90">
        <v>6</v>
      </c>
      <c r="H1909" s="91"/>
      <c r="I1909" s="92" t="s">
        <v>63</v>
      </c>
      <c r="J1909" s="90">
        <f t="shared" si="358"/>
        <v>0</v>
      </c>
      <c r="K1909" s="90">
        <f t="shared" si="359"/>
        <v>0</v>
      </c>
      <c r="L1909" s="90">
        <f t="shared" si="360"/>
        <v>0</v>
      </c>
      <c r="M1909" s="90">
        <f t="shared" si="361"/>
        <v>0</v>
      </c>
      <c r="N1909" s="90">
        <v>0</v>
      </c>
      <c r="O1909" s="90">
        <f t="shared" si="362"/>
        <v>0</v>
      </c>
      <c r="P1909" s="92" t="s">
        <v>578</v>
      </c>
      <c r="Z1909" s="93">
        <f t="shared" si="363"/>
        <v>0</v>
      </c>
      <c r="AB1909" s="93">
        <f t="shared" si="364"/>
        <v>0</v>
      </c>
      <c r="AC1909" s="93">
        <f t="shared" si="365"/>
        <v>0</v>
      </c>
      <c r="AD1909" s="93">
        <f t="shared" si="366"/>
        <v>0</v>
      </c>
      <c r="AE1909" s="93">
        <f t="shared" si="367"/>
        <v>0</v>
      </c>
      <c r="AF1909" s="93">
        <f t="shared" si="368"/>
        <v>0</v>
      </c>
      <c r="AG1909" s="93">
        <f t="shared" si="369"/>
        <v>0</v>
      </c>
      <c r="AH1909" s="93">
        <f t="shared" si="370"/>
        <v>0</v>
      </c>
      <c r="AI1909" s="88" t="s">
        <v>55</v>
      </c>
      <c r="AJ1909" s="93">
        <f t="shared" si="371"/>
        <v>0</v>
      </c>
      <c r="AK1909" s="93">
        <f t="shared" si="372"/>
        <v>0</v>
      </c>
      <c r="AL1909" s="93">
        <f t="shared" si="373"/>
        <v>0</v>
      </c>
      <c r="AN1909" s="93">
        <v>21</v>
      </c>
      <c r="AO1909" s="93">
        <f>H1909*0.72</f>
        <v>0</v>
      </c>
      <c r="AP1909" s="93">
        <f>H1909*(1-0.72)</f>
        <v>0</v>
      </c>
      <c r="AQ1909" s="94" t="s">
        <v>148</v>
      </c>
      <c r="AV1909" s="93">
        <f t="shared" si="374"/>
        <v>0</v>
      </c>
      <c r="AW1909" s="93">
        <f t="shared" si="375"/>
        <v>0</v>
      </c>
      <c r="AX1909" s="93">
        <f t="shared" si="376"/>
        <v>0</v>
      </c>
      <c r="AY1909" s="94" t="s">
        <v>2515</v>
      </c>
      <c r="AZ1909" s="94" t="s">
        <v>2252</v>
      </c>
      <c r="BA1909" s="88" t="s">
        <v>67</v>
      </c>
      <c r="BC1909" s="93">
        <f t="shared" si="377"/>
        <v>0</v>
      </c>
      <c r="BD1909" s="93">
        <f t="shared" si="378"/>
        <v>0</v>
      </c>
      <c r="BE1909" s="93">
        <v>0</v>
      </c>
      <c r="BF1909" s="93">
        <f t="shared" si="379"/>
        <v>0</v>
      </c>
      <c r="BH1909" s="93">
        <f t="shared" si="380"/>
        <v>0</v>
      </c>
      <c r="BI1909" s="93">
        <f t="shared" si="381"/>
        <v>0</v>
      </c>
      <c r="BJ1909" s="93">
        <f t="shared" si="382"/>
        <v>0</v>
      </c>
      <c r="BK1909" s="93"/>
      <c r="BL1909" s="93">
        <v>767</v>
      </c>
      <c r="BW1909" s="93" t="str">
        <f t="shared" si="383"/>
        <v>21</v>
      </c>
      <c r="BX1909" s="2" t="s">
        <v>2572</v>
      </c>
    </row>
    <row r="1910" spans="1:76" s="81" customFormat="1" ht="25.5" x14ac:dyDescent="0.25">
      <c r="A1910" s="72" t="s">
        <v>2573</v>
      </c>
      <c r="B1910" s="72" t="s">
        <v>55</v>
      </c>
      <c r="C1910" s="72" t="s">
        <v>2574</v>
      </c>
      <c r="D1910" s="175" t="s">
        <v>2575</v>
      </c>
      <c r="E1910" s="175"/>
      <c r="F1910" s="72" t="s">
        <v>203</v>
      </c>
      <c r="G1910" s="90">
        <v>1</v>
      </c>
      <c r="H1910" s="91"/>
      <c r="I1910" s="92" t="s">
        <v>63</v>
      </c>
      <c r="J1910" s="90">
        <f t="shared" si="358"/>
        <v>0</v>
      </c>
      <c r="K1910" s="90">
        <f t="shared" si="359"/>
        <v>0</v>
      </c>
      <c r="L1910" s="90">
        <f t="shared" si="360"/>
        <v>0</v>
      </c>
      <c r="M1910" s="90">
        <f t="shared" si="361"/>
        <v>0</v>
      </c>
      <c r="N1910" s="90">
        <v>0</v>
      </c>
      <c r="O1910" s="90">
        <f t="shared" si="362"/>
        <v>0</v>
      </c>
      <c r="P1910" s="92" t="s">
        <v>578</v>
      </c>
      <c r="Z1910" s="93">
        <f t="shared" si="363"/>
        <v>0</v>
      </c>
      <c r="AB1910" s="93">
        <f t="shared" si="364"/>
        <v>0</v>
      </c>
      <c r="AC1910" s="93">
        <f t="shared" si="365"/>
        <v>0</v>
      </c>
      <c r="AD1910" s="93">
        <f t="shared" si="366"/>
        <v>0</v>
      </c>
      <c r="AE1910" s="93">
        <f t="shared" si="367"/>
        <v>0</v>
      </c>
      <c r="AF1910" s="93">
        <f t="shared" si="368"/>
        <v>0</v>
      </c>
      <c r="AG1910" s="93">
        <f t="shared" si="369"/>
        <v>0</v>
      </c>
      <c r="AH1910" s="93">
        <f t="shared" si="370"/>
        <v>0</v>
      </c>
      <c r="AI1910" s="88" t="s">
        <v>55</v>
      </c>
      <c r="AJ1910" s="93">
        <f t="shared" si="371"/>
        <v>0</v>
      </c>
      <c r="AK1910" s="93">
        <f t="shared" si="372"/>
        <v>0</v>
      </c>
      <c r="AL1910" s="93">
        <f t="shared" si="373"/>
        <v>0</v>
      </c>
      <c r="AN1910" s="93">
        <v>21</v>
      </c>
      <c r="AO1910" s="93">
        <f>H1910*0.75</f>
        <v>0</v>
      </c>
      <c r="AP1910" s="93">
        <f>H1910*(1-0.75)</f>
        <v>0</v>
      </c>
      <c r="AQ1910" s="94" t="s">
        <v>148</v>
      </c>
      <c r="AV1910" s="93">
        <f t="shared" si="374"/>
        <v>0</v>
      </c>
      <c r="AW1910" s="93">
        <f t="shared" si="375"/>
        <v>0</v>
      </c>
      <c r="AX1910" s="93">
        <f t="shared" si="376"/>
        <v>0</v>
      </c>
      <c r="AY1910" s="94" t="s">
        <v>2515</v>
      </c>
      <c r="AZ1910" s="94" t="s">
        <v>2252</v>
      </c>
      <c r="BA1910" s="88" t="s">
        <v>67</v>
      </c>
      <c r="BC1910" s="93">
        <f t="shared" si="377"/>
        <v>0</v>
      </c>
      <c r="BD1910" s="93">
        <f t="shared" si="378"/>
        <v>0</v>
      </c>
      <c r="BE1910" s="93">
        <v>0</v>
      </c>
      <c r="BF1910" s="93">
        <f t="shared" si="379"/>
        <v>0</v>
      </c>
      <c r="BH1910" s="93">
        <f t="shared" si="380"/>
        <v>0</v>
      </c>
      <c r="BI1910" s="93">
        <f t="shared" si="381"/>
        <v>0</v>
      </c>
      <c r="BJ1910" s="93">
        <f t="shared" si="382"/>
        <v>0</v>
      </c>
      <c r="BK1910" s="93"/>
      <c r="BL1910" s="93">
        <v>767</v>
      </c>
      <c r="BW1910" s="93" t="str">
        <f t="shared" si="383"/>
        <v>21</v>
      </c>
      <c r="BX1910" s="2" t="s">
        <v>2575</v>
      </c>
    </row>
    <row r="1911" spans="1:76" s="81" customFormat="1" ht="25.5" x14ac:dyDescent="0.25">
      <c r="A1911" s="72" t="s">
        <v>2576</v>
      </c>
      <c r="B1911" s="72" t="s">
        <v>55</v>
      </c>
      <c r="C1911" s="72" t="s">
        <v>2577</v>
      </c>
      <c r="D1911" s="175" t="s">
        <v>2578</v>
      </c>
      <c r="E1911" s="175"/>
      <c r="F1911" s="72" t="s">
        <v>203</v>
      </c>
      <c r="G1911" s="90">
        <v>1</v>
      </c>
      <c r="H1911" s="91"/>
      <c r="I1911" s="92" t="s">
        <v>63</v>
      </c>
      <c r="J1911" s="90">
        <f t="shared" si="358"/>
        <v>0</v>
      </c>
      <c r="K1911" s="90">
        <f t="shared" si="359"/>
        <v>0</v>
      </c>
      <c r="L1911" s="90">
        <f t="shared" si="360"/>
        <v>0</v>
      </c>
      <c r="M1911" s="90">
        <f t="shared" si="361"/>
        <v>0</v>
      </c>
      <c r="N1911" s="90">
        <v>0</v>
      </c>
      <c r="O1911" s="90">
        <f t="shared" si="362"/>
        <v>0</v>
      </c>
      <c r="P1911" s="92" t="s">
        <v>578</v>
      </c>
      <c r="Z1911" s="93">
        <f t="shared" si="363"/>
        <v>0</v>
      </c>
      <c r="AB1911" s="93">
        <f t="shared" si="364"/>
        <v>0</v>
      </c>
      <c r="AC1911" s="93">
        <f t="shared" si="365"/>
        <v>0</v>
      </c>
      <c r="AD1911" s="93">
        <f t="shared" si="366"/>
        <v>0</v>
      </c>
      <c r="AE1911" s="93">
        <f t="shared" si="367"/>
        <v>0</v>
      </c>
      <c r="AF1911" s="93">
        <f t="shared" si="368"/>
        <v>0</v>
      </c>
      <c r="AG1911" s="93">
        <f t="shared" si="369"/>
        <v>0</v>
      </c>
      <c r="AH1911" s="93">
        <f t="shared" si="370"/>
        <v>0</v>
      </c>
      <c r="AI1911" s="88" t="s">
        <v>55</v>
      </c>
      <c r="AJ1911" s="93">
        <f t="shared" si="371"/>
        <v>0</v>
      </c>
      <c r="AK1911" s="93">
        <f t="shared" si="372"/>
        <v>0</v>
      </c>
      <c r="AL1911" s="93">
        <f t="shared" si="373"/>
        <v>0</v>
      </c>
      <c r="AN1911" s="93">
        <v>21</v>
      </c>
      <c r="AO1911" s="93">
        <f>H1911*0.92</f>
        <v>0</v>
      </c>
      <c r="AP1911" s="93">
        <f>H1911*(1-0.92)</f>
        <v>0</v>
      </c>
      <c r="AQ1911" s="94" t="s">
        <v>148</v>
      </c>
      <c r="AV1911" s="93">
        <f t="shared" si="374"/>
        <v>0</v>
      </c>
      <c r="AW1911" s="93">
        <f t="shared" si="375"/>
        <v>0</v>
      </c>
      <c r="AX1911" s="93">
        <f t="shared" si="376"/>
        <v>0</v>
      </c>
      <c r="AY1911" s="94" t="s">
        <v>2515</v>
      </c>
      <c r="AZ1911" s="94" t="s">
        <v>2252</v>
      </c>
      <c r="BA1911" s="88" t="s">
        <v>67</v>
      </c>
      <c r="BC1911" s="93">
        <f t="shared" si="377"/>
        <v>0</v>
      </c>
      <c r="BD1911" s="93">
        <f t="shared" si="378"/>
        <v>0</v>
      </c>
      <c r="BE1911" s="93">
        <v>0</v>
      </c>
      <c r="BF1911" s="93">
        <f t="shared" si="379"/>
        <v>0</v>
      </c>
      <c r="BH1911" s="93">
        <f t="shared" si="380"/>
        <v>0</v>
      </c>
      <c r="BI1911" s="93">
        <f t="shared" si="381"/>
        <v>0</v>
      </c>
      <c r="BJ1911" s="93">
        <f t="shared" si="382"/>
        <v>0</v>
      </c>
      <c r="BK1911" s="93"/>
      <c r="BL1911" s="93">
        <v>767</v>
      </c>
      <c r="BW1911" s="93" t="str">
        <f t="shared" si="383"/>
        <v>21</v>
      </c>
      <c r="BX1911" s="2" t="s">
        <v>2578</v>
      </c>
    </row>
    <row r="1912" spans="1:76" s="81" customFormat="1" ht="13.5" customHeight="1" x14ac:dyDescent="0.25">
      <c r="A1912" s="95"/>
      <c r="B1912" s="95"/>
      <c r="C1912" s="95"/>
      <c r="D1912" s="182" t="s">
        <v>2579</v>
      </c>
      <c r="E1912" s="182"/>
      <c r="F1912" s="182"/>
      <c r="G1912" s="182"/>
      <c r="H1912" s="182"/>
      <c r="I1912" s="182"/>
      <c r="J1912" s="182"/>
      <c r="K1912" s="182"/>
      <c r="L1912" s="182"/>
      <c r="M1912" s="182"/>
      <c r="N1912" s="182"/>
      <c r="O1912" s="182"/>
      <c r="P1912" s="182"/>
    </row>
    <row r="1913" spans="1:76" s="81" customFormat="1" ht="25.5" x14ac:dyDescent="0.25">
      <c r="A1913" s="72" t="s">
        <v>2580</v>
      </c>
      <c r="B1913" s="72" t="s">
        <v>55</v>
      </c>
      <c r="C1913" s="72" t="s">
        <v>2581</v>
      </c>
      <c r="D1913" s="175" t="s">
        <v>2582</v>
      </c>
      <c r="E1913" s="175"/>
      <c r="F1913" s="72" t="s">
        <v>203</v>
      </c>
      <c r="G1913" s="90">
        <v>1</v>
      </c>
      <c r="H1913" s="91"/>
      <c r="I1913" s="92" t="s">
        <v>63</v>
      </c>
      <c r="J1913" s="90">
        <f>G1913*AO1913</f>
        <v>0</v>
      </c>
      <c r="K1913" s="90">
        <f>G1913*AP1913</f>
        <v>0</v>
      </c>
      <c r="L1913" s="90">
        <f>G1913*H1913</f>
        <v>0</v>
      </c>
      <c r="M1913" s="90">
        <f>L1913*(1+BW1913/100)</f>
        <v>0</v>
      </c>
      <c r="N1913" s="90">
        <v>0</v>
      </c>
      <c r="O1913" s="90">
        <f>G1913*N1913</f>
        <v>0</v>
      </c>
      <c r="P1913" s="92" t="s">
        <v>578</v>
      </c>
      <c r="Z1913" s="93">
        <f>IF(AQ1913="5",BJ1913,0)</f>
        <v>0</v>
      </c>
      <c r="AB1913" s="93">
        <f>IF(AQ1913="1",BH1913,0)</f>
        <v>0</v>
      </c>
      <c r="AC1913" s="93">
        <f>IF(AQ1913="1",BI1913,0)</f>
        <v>0</v>
      </c>
      <c r="AD1913" s="93">
        <f>IF(AQ1913="7",BH1913,0)</f>
        <v>0</v>
      </c>
      <c r="AE1913" s="93">
        <f>IF(AQ1913="7",BI1913,0)</f>
        <v>0</v>
      </c>
      <c r="AF1913" s="93">
        <f>IF(AQ1913="2",BH1913,0)</f>
        <v>0</v>
      </c>
      <c r="AG1913" s="93">
        <f>IF(AQ1913="2",BI1913,0)</f>
        <v>0</v>
      </c>
      <c r="AH1913" s="93">
        <f>IF(AQ1913="0",BJ1913,0)</f>
        <v>0</v>
      </c>
      <c r="AI1913" s="88" t="s">
        <v>55</v>
      </c>
      <c r="AJ1913" s="93">
        <f>IF(AN1913=0,L1913,0)</f>
        <v>0</v>
      </c>
      <c r="AK1913" s="93">
        <f>IF(AN1913=12,L1913,0)</f>
        <v>0</v>
      </c>
      <c r="AL1913" s="93">
        <f>IF(AN1913=21,L1913,0)</f>
        <v>0</v>
      </c>
      <c r="AN1913" s="93">
        <v>21</v>
      </c>
      <c r="AO1913" s="93">
        <f>H1913*0.92</f>
        <v>0</v>
      </c>
      <c r="AP1913" s="93">
        <f>H1913*(1-0.92)</f>
        <v>0</v>
      </c>
      <c r="AQ1913" s="94" t="s">
        <v>148</v>
      </c>
      <c r="AV1913" s="93">
        <f>AW1913+AX1913</f>
        <v>0</v>
      </c>
      <c r="AW1913" s="93">
        <f>G1913*AO1913</f>
        <v>0</v>
      </c>
      <c r="AX1913" s="93">
        <f>G1913*AP1913</f>
        <v>0</v>
      </c>
      <c r="AY1913" s="94" t="s">
        <v>2515</v>
      </c>
      <c r="AZ1913" s="94" t="s">
        <v>2252</v>
      </c>
      <c r="BA1913" s="88" t="s">
        <v>67</v>
      </c>
      <c r="BC1913" s="93">
        <f>AW1913+AX1913</f>
        <v>0</v>
      </c>
      <c r="BD1913" s="93">
        <f>H1913/(100-BE1913)*100</f>
        <v>0</v>
      </c>
      <c r="BE1913" s="93">
        <v>0</v>
      </c>
      <c r="BF1913" s="93">
        <f>O1913</f>
        <v>0</v>
      </c>
      <c r="BH1913" s="93">
        <f>G1913*AO1913</f>
        <v>0</v>
      </c>
      <c r="BI1913" s="93">
        <f>G1913*AP1913</f>
        <v>0</v>
      </c>
      <c r="BJ1913" s="93">
        <f>G1913*H1913</f>
        <v>0</v>
      </c>
      <c r="BK1913" s="93"/>
      <c r="BL1913" s="93">
        <v>767</v>
      </c>
      <c r="BW1913" s="93" t="str">
        <f>I1913</f>
        <v>21</v>
      </c>
      <c r="BX1913" s="2" t="s">
        <v>2582</v>
      </c>
    </row>
    <row r="1914" spans="1:76" s="81" customFormat="1" ht="13.5" customHeight="1" x14ac:dyDescent="0.25">
      <c r="A1914" s="95"/>
      <c r="B1914" s="95"/>
      <c r="C1914" s="95"/>
      <c r="D1914" s="182" t="s">
        <v>2583</v>
      </c>
      <c r="E1914" s="182"/>
      <c r="F1914" s="182"/>
      <c r="G1914" s="182"/>
      <c r="H1914" s="182"/>
      <c r="I1914" s="182"/>
      <c r="J1914" s="182"/>
      <c r="K1914" s="182"/>
      <c r="L1914" s="182"/>
      <c r="M1914" s="182"/>
      <c r="N1914" s="182"/>
      <c r="O1914" s="182"/>
      <c r="P1914" s="182"/>
    </row>
    <row r="1915" spans="1:76" s="81" customFormat="1" ht="25.5" x14ac:dyDescent="0.25">
      <c r="A1915" s="72" t="s">
        <v>2584</v>
      </c>
      <c r="B1915" s="72" t="s">
        <v>55</v>
      </c>
      <c r="C1915" s="72" t="s">
        <v>2585</v>
      </c>
      <c r="D1915" s="175" t="s">
        <v>2586</v>
      </c>
      <c r="E1915" s="175"/>
      <c r="F1915" s="72" t="s">
        <v>203</v>
      </c>
      <c r="G1915" s="90">
        <v>1</v>
      </c>
      <c r="H1915" s="91"/>
      <c r="I1915" s="92" t="s">
        <v>63</v>
      </c>
      <c r="J1915" s="90">
        <f>G1915*AO1915</f>
        <v>0</v>
      </c>
      <c r="K1915" s="90">
        <f>G1915*AP1915</f>
        <v>0</v>
      </c>
      <c r="L1915" s="90">
        <f>G1915*H1915</f>
        <v>0</v>
      </c>
      <c r="M1915" s="90">
        <f>L1915*(1+BW1915/100)</f>
        <v>0</v>
      </c>
      <c r="N1915" s="90">
        <v>0</v>
      </c>
      <c r="O1915" s="90">
        <f>G1915*N1915</f>
        <v>0</v>
      </c>
      <c r="P1915" s="92" t="s">
        <v>578</v>
      </c>
      <c r="Z1915" s="93">
        <f>IF(AQ1915="5",BJ1915,0)</f>
        <v>0</v>
      </c>
      <c r="AB1915" s="93">
        <f>IF(AQ1915="1",BH1915,0)</f>
        <v>0</v>
      </c>
      <c r="AC1915" s="93">
        <f>IF(AQ1915="1",BI1915,0)</f>
        <v>0</v>
      </c>
      <c r="AD1915" s="93">
        <f>IF(AQ1915="7",BH1915,0)</f>
        <v>0</v>
      </c>
      <c r="AE1915" s="93">
        <f>IF(AQ1915="7",BI1915,0)</f>
        <v>0</v>
      </c>
      <c r="AF1915" s="93">
        <f>IF(AQ1915="2",BH1915,0)</f>
        <v>0</v>
      </c>
      <c r="AG1915" s="93">
        <f>IF(AQ1915="2",BI1915,0)</f>
        <v>0</v>
      </c>
      <c r="AH1915" s="93">
        <f>IF(AQ1915="0",BJ1915,0)</f>
        <v>0</v>
      </c>
      <c r="AI1915" s="88" t="s">
        <v>55</v>
      </c>
      <c r="AJ1915" s="93">
        <f>IF(AN1915=0,L1915,0)</f>
        <v>0</v>
      </c>
      <c r="AK1915" s="93">
        <f>IF(AN1915=12,L1915,0)</f>
        <v>0</v>
      </c>
      <c r="AL1915" s="93">
        <f>IF(AN1915=21,L1915,0)</f>
        <v>0</v>
      </c>
      <c r="AN1915" s="93">
        <v>21</v>
      </c>
      <c r="AO1915" s="93">
        <f>H1915*0.8</f>
        <v>0</v>
      </c>
      <c r="AP1915" s="93">
        <f>H1915*(1-0.8)</f>
        <v>0</v>
      </c>
      <c r="AQ1915" s="94" t="s">
        <v>148</v>
      </c>
      <c r="AV1915" s="93">
        <f>AW1915+AX1915</f>
        <v>0</v>
      </c>
      <c r="AW1915" s="93">
        <f>G1915*AO1915</f>
        <v>0</v>
      </c>
      <c r="AX1915" s="93">
        <f>G1915*AP1915</f>
        <v>0</v>
      </c>
      <c r="AY1915" s="94" t="s">
        <v>2515</v>
      </c>
      <c r="AZ1915" s="94" t="s">
        <v>2252</v>
      </c>
      <c r="BA1915" s="88" t="s">
        <v>67</v>
      </c>
      <c r="BC1915" s="93">
        <f>AW1915+AX1915</f>
        <v>0</v>
      </c>
      <c r="BD1915" s="93">
        <f>H1915/(100-BE1915)*100</f>
        <v>0</v>
      </c>
      <c r="BE1915" s="93">
        <v>0</v>
      </c>
      <c r="BF1915" s="93">
        <f>O1915</f>
        <v>0</v>
      </c>
      <c r="BH1915" s="93">
        <f>G1915*AO1915</f>
        <v>0</v>
      </c>
      <c r="BI1915" s="93">
        <f>G1915*AP1915</f>
        <v>0</v>
      </c>
      <c r="BJ1915" s="93">
        <f>G1915*H1915</f>
        <v>0</v>
      </c>
      <c r="BK1915" s="93"/>
      <c r="BL1915" s="93">
        <v>767</v>
      </c>
      <c r="BW1915" s="93" t="str">
        <f>I1915</f>
        <v>21</v>
      </c>
      <c r="BX1915" s="2" t="s">
        <v>2586</v>
      </c>
    </row>
    <row r="1916" spans="1:76" s="81" customFormat="1" ht="13.5" customHeight="1" x14ac:dyDescent="0.25">
      <c r="A1916" s="95"/>
      <c r="B1916" s="95"/>
      <c r="C1916" s="95"/>
      <c r="D1916" s="182" t="s">
        <v>2587</v>
      </c>
      <c r="E1916" s="182"/>
      <c r="F1916" s="182"/>
      <c r="G1916" s="182"/>
      <c r="H1916" s="182"/>
      <c r="I1916" s="182"/>
      <c r="J1916" s="182"/>
      <c r="K1916" s="182"/>
      <c r="L1916" s="182"/>
      <c r="M1916" s="182"/>
      <c r="N1916" s="182"/>
      <c r="O1916" s="182"/>
      <c r="P1916" s="182"/>
    </row>
    <row r="1917" spans="1:76" s="81" customFormat="1" ht="25.5" x14ac:dyDescent="0.25">
      <c r="A1917" s="72" t="s">
        <v>2588</v>
      </c>
      <c r="B1917" s="72" t="s">
        <v>55</v>
      </c>
      <c r="C1917" s="72" t="s">
        <v>2589</v>
      </c>
      <c r="D1917" s="175" t="s">
        <v>2590</v>
      </c>
      <c r="E1917" s="175"/>
      <c r="F1917" s="72" t="s">
        <v>203</v>
      </c>
      <c r="G1917" s="90">
        <v>1</v>
      </c>
      <c r="H1917" s="91"/>
      <c r="I1917" s="92" t="s">
        <v>63</v>
      </c>
      <c r="J1917" s="90">
        <f>G1917*AO1917</f>
        <v>0</v>
      </c>
      <c r="K1917" s="90">
        <f>G1917*AP1917</f>
        <v>0</v>
      </c>
      <c r="L1917" s="90">
        <f>G1917*H1917</f>
        <v>0</v>
      </c>
      <c r="M1917" s="90">
        <f>L1917*(1+BW1917/100)</f>
        <v>0</v>
      </c>
      <c r="N1917" s="90">
        <v>0</v>
      </c>
      <c r="O1917" s="90">
        <f>G1917*N1917</f>
        <v>0</v>
      </c>
      <c r="P1917" s="92" t="s">
        <v>578</v>
      </c>
      <c r="Z1917" s="93">
        <f>IF(AQ1917="5",BJ1917,0)</f>
        <v>0</v>
      </c>
      <c r="AB1917" s="93">
        <f>IF(AQ1917="1",BH1917,0)</f>
        <v>0</v>
      </c>
      <c r="AC1917" s="93">
        <f>IF(AQ1917="1",BI1917,0)</f>
        <v>0</v>
      </c>
      <c r="AD1917" s="93">
        <f>IF(AQ1917="7",BH1917,0)</f>
        <v>0</v>
      </c>
      <c r="AE1917" s="93">
        <f>IF(AQ1917="7",BI1917,0)</f>
        <v>0</v>
      </c>
      <c r="AF1917" s="93">
        <f>IF(AQ1917="2",BH1917,0)</f>
        <v>0</v>
      </c>
      <c r="AG1917" s="93">
        <f>IF(AQ1917="2",BI1917,0)</f>
        <v>0</v>
      </c>
      <c r="AH1917" s="93">
        <f>IF(AQ1917="0",BJ1917,0)</f>
        <v>0</v>
      </c>
      <c r="AI1917" s="88" t="s">
        <v>55</v>
      </c>
      <c r="AJ1917" s="93">
        <f>IF(AN1917=0,L1917,0)</f>
        <v>0</v>
      </c>
      <c r="AK1917" s="93">
        <f>IF(AN1917=12,L1917,0)</f>
        <v>0</v>
      </c>
      <c r="AL1917" s="93">
        <f>IF(AN1917=21,L1917,0)</f>
        <v>0</v>
      </c>
      <c r="AN1917" s="93">
        <v>21</v>
      </c>
      <c r="AO1917" s="93">
        <f>H1917*0.81</f>
        <v>0</v>
      </c>
      <c r="AP1917" s="93">
        <f>H1917*(1-0.81)</f>
        <v>0</v>
      </c>
      <c r="AQ1917" s="94" t="s">
        <v>148</v>
      </c>
      <c r="AV1917" s="93">
        <f>AW1917+AX1917</f>
        <v>0</v>
      </c>
      <c r="AW1917" s="93">
        <f>G1917*AO1917</f>
        <v>0</v>
      </c>
      <c r="AX1917" s="93">
        <f>G1917*AP1917</f>
        <v>0</v>
      </c>
      <c r="AY1917" s="94" t="s">
        <v>2515</v>
      </c>
      <c r="AZ1917" s="94" t="s">
        <v>2252</v>
      </c>
      <c r="BA1917" s="88" t="s">
        <v>67</v>
      </c>
      <c r="BC1917" s="93">
        <f>AW1917+AX1917</f>
        <v>0</v>
      </c>
      <c r="BD1917" s="93">
        <f>H1917/(100-BE1917)*100</f>
        <v>0</v>
      </c>
      <c r="BE1917" s="93">
        <v>0</v>
      </c>
      <c r="BF1917" s="93">
        <f>O1917</f>
        <v>0</v>
      </c>
      <c r="BH1917" s="93">
        <f>G1917*AO1917</f>
        <v>0</v>
      </c>
      <c r="BI1917" s="93">
        <f>G1917*AP1917</f>
        <v>0</v>
      </c>
      <c r="BJ1917" s="93">
        <f>G1917*H1917</f>
        <v>0</v>
      </c>
      <c r="BK1917" s="93"/>
      <c r="BL1917" s="93">
        <v>767</v>
      </c>
      <c r="BW1917" s="93" t="str">
        <f>I1917</f>
        <v>21</v>
      </c>
      <c r="BX1917" s="2" t="s">
        <v>2590</v>
      </c>
    </row>
    <row r="1918" spans="1:76" s="81" customFormat="1" ht="25.5" x14ac:dyDescent="0.25">
      <c r="A1918" s="72" t="s">
        <v>2591</v>
      </c>
      <c r="B1918" s="72" t="s">
        <v>55</v>
      </c>
      <c r="C1918" s="72" t="s">
        <v>2592</v>
      </c>
      <c r="D1918" s="175" t="s">
        <v>2593</v>
      </c>
      <c r="E1918" s="175"/>
      <c r="F1918" s="72" t="s">
        <v>2594</v>
      </c>
      <c r="G1918" s="90">
        <v>12690.3</v>
      </c>
      <c r="H1918" s="91"/>
      <c r="I1918" s="92" t="s">
        <v>63</v>
      </c>
      <c r="J1918" s="90">
        <f>G1918*AO1918</f>
        <v>0</v>
      </c>
      <c r="K1918" s="90">
        <f>G1918*AP1918</f>
        <v>0</v>
      </c>
      <c r="L1918" s="90">
        <f>G1918*H1918</f>
        <v>0</v>
      </c>
      <c r="M1918" s="90">
        <f>L1918*(1+BW1918/100)</f>
        <v>0</v>
      </c>
      <c r="N1918" s="90">
        <v>1.0499999999999999E-3</v>
      </c>
      <c r="O1918" s="90">
        <f>G1918*N1918</f>
        <v>13.324814999999999</v>
      </c>
      <c r="P1918" s="92" t="s">
        <v>371</v>
      </c>
      <c r="Z1918" s="93">
        <f>IF(AQ1918="5",BJ1918,0)</f>
        <v>0</v>
      </c>
      <c r="AB1918" s="93">
        <f>IF(AQ1918="1",BH1918,0)</f>
        <v>0</v>
      </c>
      <c r="AC1918" s="93">
        <f>IF(AQ1918="1",BI1918,0)</f>
        <v>0</v>
      </c>
      <c r="AD1918" s="93">
        <f>IF(AQ1918="7",BH1918,0)</f>
        <v>0</v>
      </c>
      <c r="AE1918" s="93">
        <f>IF(AQ1918="7",BI1918,0)</f>
        <v>0</v>
      </c>
      <c r="AF1918" s="93">
        <f>IF(AQ1918="2",BH1918,0)</f>
        <v>0</v>
      </c>
      <c r="AG1918" s="93">
        <f>IF(AQ1918="2",BI1918,0)</f>
        <v>0</v>
      </c>
      <c r="AH1918" s="93">
        <f>IF(AQ1918="0",BJ1918,0)</f>
        <v>0</v>
      </c>
      <c r="AI1918" s="88" t="s">
        <v>55</v>
      </c>
      <c r="AJ1918" s="93">
        <f>IF(AN1918=0,L1918,0)</f>
        <v>0</v>
      </c>
      <c r="AK1918" s="93">
        <f>IF(AN1918=12,L1918,0)</f>
        <v>0</v>
      </c>
      <c r="AL1918" s="93">
        <f>IF(AN1918=21,L1918,0)</f>
        <v>0</v>
      </c>
      <c r="AN1918" s="93">
        <v>21</v>
      </c>
      <c r="AO1918" s="93">
        <f>H1918*0.643625695</f>
        <v>0</v>
      </c>
      <c r="AP1918" s="93">
        <f>H1918*(1-0.643625695)</f>
        <v>0</v>
      </c>
      <c r="AQ1918" s="94" t="s">
        <v>148</v>
      </c>
      <c r="AV1918" s="93">
        <f>AW1918+AX1918</f>
        <v>0</v>
      </c>
      <c r="AW1918" s="93">
        <f>G1918*AO1918</f>
        <v>0</v>
      </c>
      <c r="AX1918" s="93">
        <f>G1918*AP1918</f>
        <v>0</v>
      </c>
      <c r="AY1918" s="94" t="s">
        <v>2515</v>
      </c>
      <c r="AZ1918" s="94" t="s">
        <v>2252</v>
      </c>
      <c r="BA1918" s="88" t="s">
        <v>67</v>
      </c>
      <c r="BC1918" s="93">
        <f>AW1918+AX1918</f>
        <v>0</v>
      </c>
      <c r="BD1918" s="93">
        <f>H1918/(100-BE1918)*100</f>
        <v>0</v>
      </c>
      <c r="BE1918" s="93">
        <v>0</v>
      </c>
      <c r="BF1918" s="93">
        <f>O1918</f>
        <v>13.324814999999999</v>
      </c>
      <c r="BH1918" s="93">
        <f>G1918*AO1918</f>
        <v>0</v>
      </c>
      <c r="BI1918" s="93">
        <f>G1918*AP1918</f>
        <v>0</v>
      </c>
      <c r="BJ1918" s="93">
        <f>G1918*H1918</f>
        <v>0</v>
      </c>
      <c r="BK1918" s="93"/>
      <c r="BL1918" s="93">
        <v>767</v>
      </c>
      <c r="BW1918" s="93" t="str">
        <f>I1918</f>
        <v>21</v>
      </c>
      <c r="BX1918" s="2" t="s">
        <v>2593</v>
      </c>
    </row>
    <row r="1919" spans="1:76" s="81" customFormat="1" ht="13.5" customHeight="1" x14ac:dyDescent="0.25">
      <c r="A1919" s="95"/>
      <c r="B1919" s="95"/>
      <c r="C1919" s="95"/>
      <c r="D1919" s="182" t="s">
        <v>2595</v>
      </c>
      <c r="E1919" s="182"/>
      <c r="F1919" s="182"/>
      <c r="G1919" s="182"/>
      <c r="H1919" s="182"/>
      <c r="I1919" s="182"/>
      <c r="J1919" s="182"/>
      <c r="K1919" s="182"/>
      <c r="L1919" s="182"/>
      <c r="M1919" s="182"/>
      <c r="N1919" s="182"/>
      <c r="O1919" s="182"/>
      <c r="P1919" s="182"/>
    </row>
    <row r="1920" spans="1:76" s="81" customFormat="1" ht="25.5" x14ac:dyDescent="0.25">
      <c r="A1920" s="72" t="s">
        <v>2596</v>
      </c>
      <c r="B1920" s="72" t="s">
        <v>55</v>
      </c>
      <c r="C1920" s="72" t="s">
        <v>2597</v>
      </c>
      <c r="D1920" s="175" t="s">
        <v>2598</v>
      </c>
      <c r="E1920" s="175"/>
      <c r="F1920" s="72" t="s">
        <v>2594</v>
      </c>
      <c r="G1920" s="90">
        <v>22034</v>
      </c>
      <c r="H1920" s="91"/>
      <c r="I1920" s="92" t="s">
        <v>63</v>
      </c>
      <c r="J1920" s="90">
        <f>G1920*AO1920</f>
        <v>0</v>
      </c>
      <c r="K1920" s="90">
        <f>G1920*AP1920</f>
        <v>0</v>
      </c>
      <c r="L1920" s="90">
        <f>G1920*H1920</f>
        <v>0</v>
      </c>
      <c r="M1920" s="90">
        <f>L1920*(1+BW1920/100)</f>
        <v>0</v>
      </c>
      <c r="N1920" s="90">
        <v>1.0499999999999999E-3</v>
      </c>
      <c r="O1920" s="90">
        <f>G1920*N1920</f>
        <v>23.1357</v>
      </c>
      <c r="P1920" s="92" t="s">
        <v>371</v>
      </c>
      <c r="Z1920" s="93">
        <f>IF(AQ1920="5",BJ1920,0)</f>
        <v>0</v>
      </c>
      <c r="AB1920" s="93">
        <f>IF(AQ1920="1",BH1920,0)</f>
        <v>0</v>
      </c>
      <c r="AC1920" s="93">
        <f>IF(AQ1920="1",BI1920,0)</f>
        <v>0</v>
      </c>
      <c r="AD1920" s="93">
        <f>IF(AQ1920="7",BH1920,0)</f>
        <v>0</v>
      </c>
      <c r="AE1920" s="93">
        <f>IF(AQ1920="7",BI1920,0)</f>
        <v>0</v>
      </c>
      <c r="AF1920" s="93">
        <f>IF(AQ1920="2",BH1920,0)</f>
        <v>0</v>
      </c>
      <c r="AG1920" s="93">
        <f>IF(AQ1920="2",BI1920,0)</f>
        <v>0</v>
      </c>
      <c r="AH1920" s="93">
        <f>IF(AQ1920="0",BJ1920,0)</f>
        <v>0</v>
      </c>
      <c r="AI1920" s="88" t="s">
        <v>55</v>
      </c>
      <c r="AJ1920" s="93">
        <f>IF(AN1920=0,L1920,0)</f>
        <v>0</v>
      </c>
      <c r="AK1920" s="93">
        <f>IF(AN1920=12,L1920,0)</f>
        <v>0</v>
      </c>
      <c r="AL1920" s="93">
        <f>IF(AN1920=21,L1920,0)</f>
        <v>0</v>
      </c>
      <c r="AN1920" s="93">
        <v>21</v>
      </c>
      <c r="AO1920" s="93">
        <f>H1920*0.643625693</f>
        <v>0</v>
      </c>
      <c r="AP1920" s="93">
        <f>H1920*(1-0.643625693)</f>
        <v>0</v>
      </c>
      <c r="AQ1920" s="94" t="s">
        <v>148</v>
      </c>
      <c r="AV1920" s="93">
        <f>AW1920+AX1920</f>
        <v>0</v>
      </c>
      <c r="AW1920" s="93">
        <f>G1920*AO1920</f>
        <v>0</v>
      </c>
      <c r="AX1920" s="93">
        <f>G1920*AP1920</f>
        <v>0</v>
      </c>
      <c r="AY1920" s="94" t="s">
        <v>2515</v>
      </c>
      <c r="AZ1920" s="94" t="s">
        <v>2252</v>
      </c>
      <c r="BA1920" s="88" t="s">
        <v>67</v>
      </c>
      <c r="BC1920" s="93">
        <f>AW1920+AX1920</f>
        <v>0</v>
      </c>
      <c r="BD1920" s="93">
        <f>H1920/(100-BE1920)*100</f>
        <v>0</v>
      </c>
      <c r="BE1920" s="93">
        <v>0</v>
      </c>
      <c r="BF1920" s="93">
        <f>O1920</f>
        <v>23.1357</v>
      </c>
      <c r="BH1920" s="93">
        <f>G1920*AO1920</f>
        <v>0</v>
      </c>
      <c r="BI1920" s="93">
        <f>G1920*AP1920</f>
        <v>0</v>
      </c>
      <c r="BJ1920" s="93">
        <f>G1920*H1920</f>
        <v>0</v>
      </c>
      <c r="BK1920" s="93"/>
      <c r="BL1920" s="93">
        <v>767</v>
      </c>
      <c r="BW1920" s="93" t="str">
        <f>I1920</f>
        <v>21</v>
      </c>
      <c r="BX1920" s="2" t="s">
        <v>2598</v>
      </c>
    </row>
    <row r="1921" spans="1:76" s="81" customFormat="1" ht="13.5" customHeight="1" x14ac:dyDescent="0.25">
      <c r="A1921" s="95"/>
      <c r="B1921" s="95"/>
      <c r="C1921" s="95"/>
      <c r="D1921" s="182" t="s">
        <v>2599</v>
      </c>
      <c r="E1921" s="182"/>
      <c r="F1921" s="182"/>
      <c r="G1921" s="182"/>
      <c r="H1921" s="182"/>
      <c r="I1921" s="182"/>
      <c r="J1921" s="182"/>
      <c r="K1921" s="182"/>
      <c r="L1921" s="182"/>
      <c r="M1921" s="182"/>
      <c r="N1921" s="182"/>
      <c r="O1921" s="182"/>
      <c r="P1921" s="182"/>
    </row>
    <row r="1922" spans="1:76" s="81" customFormat="1" ht="25.5" x14ac:dyDescent="0.25">
      <c r="A1922" s="72" t="s">
        <v>2600</v>
      </c>
      <c r="B1922" s="72" t="s">
        <v>55</v>
      </c>
      <c r="C1922" s="72" t="s">
        <v>2601</v>
      </c>
      <c r="D1922" s="175" t="s">
        <v>2602</v>
      </c>
      <c r="E1922" s="175"/>
      <c r="F1922" s="72" t="s">
        <v>2594</v>
      </c>
      <c r="G1922" s="90">
        <v>4771.3</v>
      </c>
      <c r="H1922" s="91"/>
      <c r="I1922" s="92" t="s">
        <v>63</v>
      </c>
      <c r="J1922" s="90">
        <f>G1922*AO1922</f>
        <v>0</v>
      </c>
      <c r="K1922" s="90">
        <f>G1922*AP1922</f>
        <v>0</v>
      </c>
      <c r="L1922" s="90">
        <f>G1922*H1922</f>
        <v>0</v>
      </c>
      <c r="M1922" s="90">
        <f>L1922*(1+BW1922/100)</f>
        <v>0</v>
      </c>
      <c r="N1922" s="90">
        <v>1.0499999999999999E-3</v>
      </c>
      <c r="O1922" s="90">
        <f>G1922*N1922</f>
        <v>5.0098649999999996</v>
      </c>
      <c r="P1922" s="92" t="s">
        <v>371</v>
      </c>
      <c r="Z1922" s="93">
        <f>IF(AQ1922="5",BJ1922,0)</f>
        <v>0</v>
      </c>
      <c r="AB1922" s="93">
        <f>IF(AQ1922="1",BH1922,0)</f>
        <v>0</v>
      </c>
      <c r="AC1922" s="93">
        <f>IF(AQ1922="1",BI1922,0)</f>
        <v>0</v>
      </c>
      <c r="AD1922" s="93">
        <f>IF(AQ1922="7",BH1922,0)</f>
        <v>0</v>
      </c>
      <c r="AE1922" s="93">
        <f>IF(AQ1922="7",BI1922,0)</f>
        <v>0</v>
      </c>
      <c r="AF1922" s="93">
        <f>IF(AQ1922="2",BH1922,0)</f>
        <v>0</v>
      </c>
      <c r="AG1922" s="93">
        <f>IF(AQ1922="2",BI1922,0)</f>
        <v>0</v>
      </c>
      <c r="AH1922" s="93">
        <f>IF(AQ1922="0",BJ1922,0)</f>
        <v>0</v>
      </c>
      <c r="AI1922" s="88" t="s">
        <v>55</v>
      </c>
      <c r="AJ1922" s="93">
        <f>IF(AN1922=0,L1922,0)</f>
        <v>0</v>
      </c>
      <c r="AK1922" s="93">
        <f>IF(AN1922=12,L1922,0)</f>
        <v>0</v>
      </c>
      <c r="AL1922" s="93">
        <f>IF(AN1922=21,L1922,0)</f>
        <v>0</v>
      </c>
      <c r="AN1922" s="93">
        <v>21</v>
      </c>
      <c r="AO1922" s="93">
        <f>H1922*0.643625697</f>
        <v>0</v>
      </c>
      <c r="AP1922" s="93">
        <f>H1922*(1-0.643625697)</f>
        <v>0</v>
      </c>
      <c r="AQ1922" s="94" t="s">
        <v>148</v>
      </c>
      <c r="AV1922" s="93">
        <f>AW1922+AX1922</f>
        <v>0</v>
      </c>
      <c r="AW1922" s="93">
        <f>G1922*AO1922</f>
        <v>0</v>
      </c>
      <c r="AX1922" s="93">
        <f>G1922*AP1922</f>
        <v>0</v>
      </c>
      <c r="AY1922" s="94" t="s">
        <v>2515</v>
      </c>
      <c r="AZ1922" s="94" t="s">
        <v>2252</v>
      </c>
      <c r="BA1922" s="88" t="s">
        <v>67</v>
      </c>
      <c r="BC1922" s="93">
        <f>AW1922+AX1922</f>
        <v>0</v>
      </c>
      <c r="BD1922" s="93">
        <f>H1922/(100-BE1922)*100</f>
        <v>0</v>
      </c>
      <c r="BE1922" s="93">
        <v>0</v>
      </c>
      <c r="BF1922" s="93">
        <f>O1922</f>
        <v>5.0098649999999996</v>
      </c>
      <c r="BH1922" s="93">
        <f>G1922*AO1922</f>
        <v>0</v>
      </c>
      <c r="BI1922" s="93">
        <f>G1922*AP1922</f>
        <v>0</v>
      </c>
      <c r="BJ1922" s="93">
        <f>G1922*H1922</f>
        <v>0</v>
      </c>
      <c r="BK1922" s="93"/>
      <c r="BL1922" s="93">
        <v>767</v>
      </c>
      <c r="BW1922" s="93" t="str">
        <f>I1922</f>
        <v>21</v>
      </c>
      <c r="BX1922" s="2" t="s">
        <v>2602</v>
      </c>
    </row>
    <row r="1923" spans="1:76" s="81" customFormat="1" ht="13.5" customHeight="1" x14ac:dyDescent="0.25">
      <c r="A1923" s="95"/>
      <c r="B1923" s="95"/>
      <c r="C1923" s="95"/>
      <c r="D1923" s="182" t="s">
        <v>2603</v>
      </c>
      <c r="E1923" s="182"/>
      <c r="F1923" s="182"/>
      <c r="G1923" s="182"/>
      <c r="H1923" s="182"/>
      <c r="I1923" s="182"/>
      <c r="J1923" s="182"/>
      <c r="K1923" s="182"/>
      <c r="L1923" s="182"/>
      <c r="M1923" s="182"/>
      <c r="N1923" s="182"/>
      <c r="O1923" s="182"/>
      <c r="P1923" s="182"/>
    </row>
    <row r="1924" spans="1:76" s="81" customFormat="1" ht="25.5" x14ac:dyDescent="0.25">
      <c r="A1924" s="72" t="s">
        <v>2604</v>
      </c>
      <c r="B1924" s="72" t="s">
        <v>55</v>
      </c>
      <c r="C1924" s="72" t="s">
        <v>2605</v>
      </c>
      <c r="D1924" s="175" t="s">
        <v>2606</v>
      </c>
      <c r="E1924" s="175"/>
      <c r="F1924" s="72" t="s">
        <v>2594</v>
      </c>
      <c r="G1924" s="90">
        <v>6561.8</v>
      </c>
      <c r="H1924" s="91"/>
      <c r="I1924" s="92" t="s">
        <v>63</v>
      </c>
      <c r="J1924" s="90">
        <f>G1924*AO1924</f>
        <v>0</v>
      </c>
      <c r="K1924" s="90">
        <f>G1924*AP1924</f>
        <v>0</v>
      </c>
      <c r="L1924" s="90">
        <f>G1924*H1924</f>
        <v>0</v>
      </c>
      <c r="M1924" s="90">
        <f>L1924*(1+BW1924/100)</f>
        <v>0</v>
      </c>
      <c r="N1924" s="90">
        <v>1.0499999999999999E-3</v>
      </c>
      <c r="O1924" s="90">
        <f>G1924*N1924</f>
        <v>6.8898899999999994</v>
      </c>
      <c r="P1924" s="92" t="s">
        <v>371</v>
      </c>
      <c r="Z1924" s="93">
        <f>IF(AQ1924="5",BJ1924,0)</f>
        <v>0</v>
      </c>
      <c r="AB1924" s="93">
        <f>IF(AQ1924="1",BH1924,0)</f>
        <v>0</v>
      </c>
      <c r="AC1924" s="93">
        <f>IF(AQ1924="1",BI1924,0)</f>
        <v>0</v>
      </c>
      <c r="AD1924" s="93">
        <f>IF(AQ1924="7",BH1924,0)</f>
        <v>0</v>
      </c>
      <c r="AE1924" s="93">
        <f>IF(AQ1924="7",BI1924,0)</f>
        <v>0</v>
      </c>
      <c r="AF1924" s="93">
        <f>IF(AQ1924="2",BH1924,0)</f>
        <v>0</v>
      </c>
      <c r="AG1924" s="93">
        <f>IF(AQ1924="2",BI1924,0)</f>
        <v>0</v>
      </c>
      <c r="AH1924" s="93">
        <f>IF(AQ1924="0",BJ1924,0)</f>
        <v>0</v>
      </c>
      <c r="AI1924" s="88" t="s">
        <v>55</v>
      </c>
      <c r="AJ1924" s="93">
        <f>IF(AN1924=0,L1924,0)</f>
        <v>0</v>
      </c>
      <c r="AK1924" s="93">
        <f>IF(AN1924=12,L1924,0)</f>
        <v>0</v>
      </c>
      <c r="AL1924" s="93">
        <f>IF(AN1924=21,L1924,0)</f>
        <v>0</v>
      </c>
      <c r="AN1924" s="93">
        <v>21</v>
      </c>
      <c r="AO1924" s="93">
        <f>H1924*0.643640124</f>
        <v>0</v>
      </c>
      <c r="AP1924" s="93">
        <f>H1924*(1-0.643640124)</f>
        <v>0</v>
      </c>
      <c r="AQ1924" s="94" t="s">
        <v>148</v>
      </c>
      <c r="AV1924" s="93">
        <f>AW1924+AX1924</f>
        <v>0</v>
      </c>
      <c r="AW1924" s="93">
        <f>G1924*AO1924</f>
        <v>0</v>
      </c>
      <c r="AX1924" s="93">
        <f>G1924*AP1924</f>
        <v>0</v>
      </c>
      <c r="AY1924" s="94" t="s">
        <v>2515</v>
      </c>
      <c r="AZ1924" s="94" t="s">
        <v>2252</v>
      </c>
      <c r="BA1924" s="88" t="s">
        <v>67</v>
      </c>
      <c r="BC1924" s="93">
        <f>AW1924+AX1924</f>
        <v>0</v>
      </c>
      <c r="BD1924" s="93">
        <f>H1924/(100-BE1924)*100</f>
        <v>0</v>
      </c>
      <c r="BE1924" s="93">
        <v>0</v>
      </c>
      <c r="BF1924" s="93">
        <f>O1924</f>
        <v>6.8898899999999994</v>
      </c>
      <c r="BH1924" s="93">
        <f>G1924*AO1924</f>
        <v>0</v>
      </c>
      <c r="BI1924" s="93">
        <f>G1924*AP1924</f>
        <v>0</v>
      </c>
      <c r="BJ1924" s="93">
        <f>G1924*H1924</f>
        <v>0</v>
      </c>
      <c r="BK1924" s="93"/>
      <c r="BL1924" s="93">
        <v>767</v>
      </c>
      <c r="BW1924" s="93" t="str">
        <f>I1924</f>
        <v>21</v>
      </c>
      <c r="BX1924" s="2" t="s">
        <v>2606</v>
      </c>
    </row>
    <row r="1925" spans="1:76" s="81" customFormat="1" ht="13.5" customHeight="1" x14ac:dyDescent="0.25">
      <c r="A1925" s="95"/>
      <c r="B1925" s="95"/>
      <c r="C1925" s="95"/>
      <c r="D1925" s="182" t="s">
        <v>2607</v>
      </c>
      <c r="E1925" s="182"/>
      <c r="F1925" s="182"/>
      <c r="G1925" s="182"/>
      <c r="H1925" s="182"/>
      <c r="I1925" s="182"/>
      <c r="J1925" s="182"/>
      <c r="K1925" s="182"/>
      <c r="L1925" s="182"/>
      <c r="M1925" s="182"/>
      <c r="N1925" s="182"/>
      <c r="O1925" s="182"/>
      <c r="P1925" s="182"/>
    </row>
    <row r="1926" spans="1:76" s="81" customFormat="1" ht="25.5" x14ac:dyDescent="0.25">
      <c r="A1926" s="72" t="s">
        <v>2608</v>
      </c>
      <c r="B1926" s="72" t="s">
        <v>55</v>
      </c>
      <c r="C1926" s="72" t="s">
        <v>2609</v>
      </c>
      <c r="D1926" s="175" t="s">
        <v>2610</v>
      </c>
      <c r="E1926" s="175"/>
      <c r="F1926" s="72" t="s">
        <v>2594</v>
      </c>
      <c r="G1926" s="90">
        <v>1952</v>
      </c>
      <c r="H1926" s="91"/>
      <c r="I1926" s="92" t="s">
        <v>63</v>
      </c>
      <c r="J1926" s="90">
        <f>G1926*AO1926</f>
        <v>0</v>
      </c>
      <c r="K1926" s="90">
        <f>G1926*AP1926</f>
        <v>0</v>
      </c>
      <c r="L1926" s="90">
        <f>G1926*H1926</f>
        <v>0</v>
      </c>
      <c r="M1926" s="90">
        <f>L1926*(1+BW1926/100)</f>
        <v>0</v>
      </c>
      <c r="N1926" s="90">
        <v>1.0499999999999999E-3</v>
      </c>
      <c r="O1926" s="90">
        <f>G1926*N1926</f>
        <v>2.0495999999999999</v>
      </c>
      <c r="P1926" s="92" t="s">
        <v>371</v>
      </c>
      <c r="Z1926" s="93">
        <f>IF(AQ1926="5",BJ1926,0)</f>
        <v>0</v>
      </c>
      <c r="AB1926" s="93">
        <f>IF(AQ1926="1",BH1926,0)</f>
        <v>0</v>
      </c>
      <c r="AC1926" s="93">
        <f>IF(AQ1926="1",BI1926,0)</f>
        <v>0</v>
      </c>
      <c r="AD1926" s="93">
        <f>IF(AQ1926="7",BH1926,0)</f>
        <v>0</v>
      </c>
      <c r="AE1926" s="93">
        <f>IF(AQ1926="7",BI1926,0)</f>
        <v>0</v>
      </c>
      <c r="AF1926" s="93">
        <f>IF(AQ1926="2",BH1926,0)</f>
        <v>0</v>
      </c>
      <c r="AG1926" s="93">
        <f>IF(AQ1926="2",BI1926,0)</f>
        <v>0</v>
      </c>
      <c r="AH1926" s="93">
        <f>IF(AQ1926="0",BJ1926,0)</f>
        <v>0</v>
      </c>
      <c r="AI1926" s="88" t="s">
        <v>55</v>
      </c>
      <c r="AJ1926" s="93">
        <f>IF(AN1926=0,L1926,0)</f>
        <v>0</v>
      </c>
      <c r="AK1926" s="93">
        <f>IF(AN1926=12,L1926,0)</f>
        <v>0</v>
      </c>
      <c r="AL1926" s="93">
        <f>IF(AN1926=21,L1926,0)</f>
        <v>0</v>
      </c>
      <c r="AN1926" s="93">
        <v>21</v>
      </c>
      <c r="AO1926" s="93">
        <f>H1926*0.643640124</f>
        <v>0</v>
      </c>
      <c r="AP1926" s="93">
        <f>H1926*(1-0.643640124)</f>
        <v>0</v>
      </c>
      <c r="AQ1926" s="94" t="s">
        <v>148</v>
      </c>
      <c r="AV1926" s="93">
        <f>AW1926+AX1926</f>
        <v>0</v>
      </c>
      <c r="AW1926" s="93">
        <f>G1926*AO1926</f>
        <v>0</v>
      </c>
      <c r="AX1926" s="93">
        <f>G1926*AP1926</f>
        <v>0</v>
      </c>
      <c r="AY1926" s="94" t="s">
        <v>2515</v>
      </c>
      <c r="AZ1926" s="94" t="s">
        <v>2252</v>
      </c>
      <c r="BA1926" s="88" t="s">
        <v>67</v>
      </c>
      <c r="BC1926" s="93">
        <f>AW1926+AX1926</f>
        <v>0</v>
      </c>
      <c r="BD1926" s="93">
        <f>H1926/(100-BE1926)*100</f>
        <v>0</v>
      </c>
      <c r="BE1926" s="93">
        <v>0</v>
      </c>
      <c r="BF1926" s="93">
        <f>O1926</f>
        <v>2.0495999999999999</v>
      </c>
      <c r="BH1926" s="93">
        <f>G1926*AO1926</f>
        <v>0</v>
      </c>
      <c r="BI1926" s="93">
        <f>G1926*AP1926</f>
        <v>0</v>
      </c>
      <c r="BJ1926" s="93">
        <f>G1926*H1926</f>
        <v>0</v>
      </c>
      <c r="BK1926" s="93"/>
      <c r="BL1926" s="93">
        <v>767</v>
      </c>
      <c r="BW1926" s="93" t="str">
        <f>I1926</f>
        <v>21</v>
      </c>
      <c r="BX1926" s="2" t="s">
        <v>2610</v>
      </c>
    </row>
    <row r="1927" spans="1:76" s="81" customFormat="1" ht="13.5" customHeight="1" x14ac:dyDescent="0.25">
      <c r="A1927" s="95"/>
      <c r="B1927" s="95"/>
      <c r="C1927" s="95"/>
      <c r="D1927" s="182" t="s">
        <v>2611</v>
      </c>
      <c r="E1927" s="182"/>
      <c r="F1927" s="182"/>
      <c r="G1927" s="182"/>
      <c r="H1927" s="182"/>
      <c r="I1927" s="182"/>
      <c r="J1927" s="182"/>
      <c r="K1927" s="182"/>
      <c r="L1927" s="182"/>
      <c r="M1927" s="182"/>
      <c r="N1927" s="182"/>
      <c r="O1927" s="182"/>
      <c r="P1927" s="182"/>
    </row>
    <row r="1928" spans="1:76" s="81" customFormat="1" ht="25.5" x14ac:dyDescent="0.25">
      <c r="A1928" s="72" t="s">
        <v>2612</v>
      </c>
      <c r="B1928" s="72" t="s">
        <v>55</v>
      </c>
      <c r="C1928" s="72" t="s">
        <v>2613</v>
      </c>
      <c r="D1928" s="175" t="s">
        <v>2614</v>
      </c>
      <c r="E1928" s="175"/>
      <c r="F1928" s="72" t="s">
        <v>2594</v>
      </c>
      <c r="G1928" s="90">
        <v>7481.7</v>
      </c>
      <c r="H1928" s="91"/>
      <c r="I1928" s="92" t="s">
        <v>63</v>
      </c>
      <c r="J1928" s="90">
        <f>G1928*AO1928</f>
        <v>0</v>
      </c>
      <c r="K1928" s="90">
        <f>G1928*AP1928</f>
        <v>0</v>
      </c>
      <c r="L1928" s="90">
        <f>G1928*H1928</f>
        <v>0</v>
      </c>
      <c r="M1928" s="90">
        <f>L1928*(1+BW1928/100)</f>
        <v>0</v>
      </c>
      <c r="N1928" s="90">
        <v>1.0499999999999999E-3</v>
      </c>
      <c r="O1928" s="90">
        <f>G1928*N1928</f>
        <v>7.8557849999999991</v>
      </c>
      <c r="P1928" s="92" t="s">
        <v>371</v>
      </c>
      <c r="Z1928" s="93">
        <f>IF(AQ1928="5",BJ1928,0)</f>
        <v>0</v>
      </c>
      <c r="AB1928" s="93">
        <f>IF(AQ1928="1",BH1928,0)</f>
        <v>0</v>
      </c>
      <c r="AC1928" s="93">
        <f>IF(AQ1928="1",BI1928,0)</f>
        <v>0</v>
      </c>
      <c r="AD1928" s="93">
        <f>IF(AQ1928="7",BH1928,0)</f>
        <v>0</v>
      </c>
      <c r="AE1928" s="93">
        <f>IF(AQ1928="7",BI1928,0)</f>
        <v>0</v>
      </c>
      <c r="AF1928" s="93">
        <f>IF(AQ1928="2",BH1928,0)</f>
        <v>0</v>
      </c>
      <c r="AG1928" s="93">
        <f>IF(AQ1928="2",BI1928,0)</f>
        <v>0</v>
      </c>
      <c r="AH1928" s="93">
        <f>IF(AQ1928="0",BJ1928,0)</f>
        <v>0</v>
      </c>
      <c r="AI1928" s="88" t="s">
        <v>55</v>
      </c>
      <c r="AJ1928" s="93">
        <f>IF(AN1928=0,L1928,0)</f>
        <v>0</v>
      </c>
      <c r="AK1928" s="93">
        <f>IF(AN1928=12,L1928,0)</f>
        <v>0</v>
      </c>
      <c r="AL1928" s="93">
        <f>IF(AN1928=21,L1928,0)</f>
        <v>0</v>
      </c>
      <c r="AN1928" s="93">
        <v>21</v>
      </c>
      <c r="AO1928" s="93">
        <f>H1928*0.643640124</f>
        <v>0</v>
      </c>
      <c r="AP1928" s="93">
        <f>H1928*(1-0.643640124)</f>
        <v>0</v>
      </c>
      <c r="AQ1928" s="94" t="s">
        <v>148</v>
      </c>
      <c r="AV1928" s="93">
        <f>AW1928+AX1928</f>
        <v>0</v>
      </c>
      <c r="AW1928" s="93">
        <f>G1928*AO1928</f>
        <v>0</v>
      </c>
      <c r="AX1928" s="93">
        <f>G1928*AP1928</f>
        <v>0</v>
      </c>
      <c r="AY1928" s="94" t="s">
        <v>2515</v>
      </c>
      <c r="AZ1928" s="94" t="s">
        <v>2252</v>
      </c>
      <c r="BA1928" s="88" t="s">
        <v>67</v>
      </c>
      <c r="BC1928" s="93">
        <f>AW1928+AX1928</f>
        <v>0</v>
      </c>
      <c r="BD1928" s="93">
        <f>H1928/(100-BE1928)*100</f>
        <v>0</v>
      </c>
      <c r="BE1928" s="93">
        <v>0</v>
      </c>
      <c r="BF1928" s="93">
        <f>O1928</f>
        <v>7.8557849999999991</v>
      </c>
      <c r="BH1928" s="93">
        <f>G1928*AO1928</f>
        <v>0</v>
      </c>
      <c r="BI1928" s="93">
        <f>G1928*AP1928</f>
        <v>0</v>
      </c>
      <c r="BJ1928" s="93">
        <f>G1928*H1928</f>
        <v>0</v>
      </c>
      <c r="BK1928" s="93"/>
      <c r="BL1928" s="93">
        <v>767</v>
      </c>
      <c r="BW1928" s="93" t="str">
        <f>I1928</f>
        <v>21</v>
      </c>
      <c r="BX1928" s="2" t="s">
        <v>2614</v>
      </c>
    </row>
    <row r="1929" spans="1:76" s="81" customFormat="1" ht="13.5" customHeight="1" x14ac:dyDescent="0.25">
      <c r="A1929" s="95"/>
      <c r="B1929" s="95"/>
      <c r="C1929" s="95"/>
      <c r="D1929" s="182" t="s">
        <v>2615</v>
      </c>
      <c r="E1929" s="182"/>
      <c r="F1929" s="182"/>
      <c r="G1929" s="182"/>
      <c r="H1929" s="182"/>
      <c r="I1929" s="182"/>
      <c r="J1929" s="182"/>
      <c r="K1929" s="182"/>
      <c r="L1929" s="182"/>
      <c r="M1929" s="182"/>
      <c r="N1929" s="182"/>
      <c r="O1929" s="182"/>
      <c r="P1929" s="182"/>
    </row>
    <row r="1930" spans="1:76" s="81" customFormat="1" ht="25.5" x14ac:dyDescent="0.25">
      <c r="A1930" s="72" t="s">
        <v>2616</v>
      </c>
      <c r="B1930" s="72" t="s">
        <v>55</v>
      </c>
      <c r="C1930" s="72" t="s">
        <v>2617</v>
      </c>
      <c r="D1930" s="175" t="s">
        <v>2618</v>
      </c>
      <c r="E1930" s="175"/>
      <c r="F1930" s="72" t="s">
        <v>2594</v>
      </c>
      <c r="G1930" s="90">
        <v>670</v>
      </c>
      <c r="H1930" s="91"/>
      <c r="I1930" s="92" t="s">
        <v>63</v>
      </c>
      <c r="J1930" s="90">
        <f>G1930*AO1930</f>
        <v>0</v>
      </c>
      <c r="K1930" s="90">
        <f>G1930*AP1930</f>
        <v>0</v>
      </c>
      <c r="L1930" s="90">
        <f>G1930*H1930</f>
        <v>0</v>
      </c>
      <c r="M1930" s="90">
        <f>L1930*(1+BW1930/100)</f>
        <v>0</v>
      </c>
      <c r="N1930" s="90">
        <v>1.0499999999999999E-3</v>
      </c>
      <c r="O1930" s="90">
        <f>G1930*N1930</f>
        <v>0.7034999999999999</v>
      </c>
      <c r="P1930" s="92" t="s">
        <v>371</v>
      </c>
      <c r="Z1930" s="93">
        <f>IF(AQ1930="5",BJ1930,0)</f>
        <v>0</v>
      </c>
      <c r="AB1930" s="93">
        <f>IF(AQ1930="1",BH1930,0)</f>
        <v>0</v>
      </c>
      <c r="AC1930" s="93">
        <f>IF(AQ1930="1",BI1930,0)</f>
        <v>0</v>
      </c>
      <c r="AD1930" s="93">
        <f>IF(AQ1930="7",BH1930,0)</f>
        <v>0</v>
      </c>
      <c r="AE1930" s="93">
        <f>IF(AQ1930="7",BI1930,0)</f>
        <v>0</v>
      </c>
      <c r="AF1930" s="93">
        <f>IF(AQ1930="2",BH1930,0)</f>
        <v>0</v>
      </c>
      <c r="AG1930" s="93">
        <f>IF(AQ1930="2",BI1930,0)</f>
        <v>0</v>
      </c>
      <c r="AH1930" s="93">
        <f>IF(AQ1930="0",BJ1930,0)</f>
        <v>0</v>
      </c>
      <c r="AI1930" s="88" t="s">
        <v>55</v>
      </c>
      <c r="AJ1930" s="93">
        <f>IF(AN1930=0,L1930,0)</f>
        <v>0</v>
      </c>
      <c r="AK1930" s="93">
        <f>IF(AN1930=12,L1930,0)</f>
        <v>0</v>
      </c>
      <c r="AL1930" s="93">
        <f>IF(AN1930=21,L1930,0)</f>
        <v>0</v>
      </c>
      <c r="AN1930" s="93">
        <v>21</v>
      </c>
      <c r="AO1930" s="93">
        <f>H1930*0.643640124</f>
        <v>0</v>
      </c>
      <c r="AP1930" s="93">
        <f>H1930*(1-0.643640124)</f>
        <v>0</v>
      </c>
      <c r="AQ1930" s="94" t="s">
        <v>148</v>
      </c>
      <c r="AV1930" s="93">
        <f>AW1930+AX1930</f>
        <v>0</v>
      </c>
      <c r="AW1930" s="93">
        <f>G1930*AO1930</f>
        <v>0</v>
      </c>
      <c r="AX1930" s="93">
        <f>G1930*AP1930</f>
        <v>0</v>
      </c>
      <c r="AY1930" s="94" t="s">
        <v>2515</v>
      </c>
      <c r="AZ1930" s="94" t="s">
        <v>2252</v>
      </c>
      <c r="BA1930" s="88" t="s">
        <v>67</v>
      </c>
      <c r="BC1930" s="93">
        <f>AW1930+AX1930</f>
        <v>0</v>
      </c>
      <c r="BD1930" s="93">
        <f>H1930/(100-BE1930)*100</f>
        <v>0</v>
      </c>
      <c r="BE1930" s="93">
        <v>0</v>
      </c>
      <c r="BF1930" s="93">
        <f>O1930</f>
        <v>0.7034999999999999</v>
      </c>
      <c r="BH1930" s="93">
        <f>G1930*AO1930</f>
        <v>0</v>
      </c>
      <c r="BI1930" s="93">
        <f>G1930*AP1930</f>
        <v>0</v>
      </c>
      <c r="BJ1930" s="93">
        <f>G1930*H1930</f>
        <v>0</v>
      </c>
      <c r="BK1930" s="93"/>
      <c r="BL1930" s="93">
        <v>767</v>
      </c>
      <c r="BW1930" s="93" t="str">
        <f>I1930</f>
        <v>21</v>
      </c>
      <c r="BX1930" s="2" t="s">
        <v>2618</v>
      </c>
    </row>
    <row r="1931" spans="1:76" s="81" customFormat="1" ht="13.5" customHeight="1" x14ac:dyDescent="0.25">
      <c r="A1931" s="95"/>
      <c r="B1931" s="95"/>
      <c r="C1931" s="95"/>
      <c r="D1931" s="182" t="s">
        <v>2619</v>
      </c>
      <c r="E1931" s="182"/>
      <c r="F1931" s="182"/>
      <c r="G1931" s="182"/>
      <c r="H1931" s="182"/>
      <c r="I1931" s="182"/>
      <c r="J1931" s="182"/>
      <c r="K1931" s="182"/>
      <c r="L1931" s="182"/>
      <c r="M1931" s="182"/>
      <c r="N1931" s="182"/>
      <c r="O1931" s="182"/>
      <c r="P1931" s="182"/>
    </row>
    <row r="1932" spans="1:76" s="81" customFormat="1" ht="25.5" x14ac:dyDescent="0.25">
      <c r="A1932" s="72" t="s">
        <v>2620</v>
      </c>
      <c r="B1932" s="72" t="s">
        <v>55</v>
      </c>
      <c r="C1932" s="72" t="s">
        <v>2621</v>
      </c>
      <c r="D1932" s="175" t="s">
        <v>2622</v>
      </c>
      <c r="E1932" s="175"/>
      <c r="F1932" s="72" t="s">
        <v>2594</v>
      </c>
      <c r="G1932" s="90">
        <v>7184.076</v>
      </c>
      <c r="H1932" s="91"/>
      <c r="I1932" s="92" t="s">
        <v>63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1.0499999999999999E-3</v>
      </c>
      <c r="O1932" s="90">
        <f>G1932*N1932</f>
        <v>7.5432797999999996</v>
      </c>
      <c r="P1932" s="92" t="s">
        <v>371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55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H1932*0.643640123</f>
        <v>0</v>
      </c>
      <c r="AP1932" s="93">
        <f>H1932*(1-0.643640123)</f>
        <v>0</v>
      </c>
      <c r="AQ1932" s="94" t="s">
        <v>148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2515</v>
      </c>
      <c r="AZ1932" s="94" t="s">
        <v>2252</v>
      </c>
      <c r="BA1932" s="88" t="s">
        <v>67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7.5432797999999996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2622</v>
      </c>
    </row>
    <row r="1933" spans="1:76" s="81" customFormat="1" ht="13.5" customHeight="1" x14ac:dyDescent="0.25">
      <c r="A1933" s="95"/>
      <c r="B1933" s="95"/>
      <c r="C1933" s="95"/>
      <c r="D1933" s="182" t="s">
        <v>2623</v>
      </c>
      <c r="E1933" s="182"/>
      <c r="F1933" s="182"/>
      <c r="G1933" s="182"/>
      <c r="H1933" s="182"/>
      <c r="I1933" s="182"/>
      <c r="J1933" s="182"/>
      <c r="K1933" s="182"/>
      <c r="L1933" s="182"/>
      <c r="M1933" s="182"/>
      <c r="N1933" s="182"/>
      <c r="O1933" s="182"/>
      <c r="P1933" s="182"/>
    </row>
    <row r="1934" spans="1:76" s="81" customFormat="1" x14ac:dyDescent="0.25">
      <c r="A1934" s="95"/>
      <c r="B1934" s="95"/>
      <c r="C1934" s="95"/>
      <c r="D1934" s="76" t="s">
        <v>54</v>
      </c>
      <c r="E1934" s="76" t="s">
        <v>2624</v>
      </c>
      <c r="F1934" s="95"/>
      <c r="G1934" s="96">
        <v>0</v>
      </c>
      <c r="H1934" s="95"/>
      <c r="I1934" s="95"/>
      <c r="J1934" s="95"/>
      <c r="K1934" s="95"/>
      <c r="L1934" s="95"/>
      <c r="M1934" s="95"/>
      <c r="N1934" s="95"/>
      <c r="O1934" s="95"/>
      <c r="P1934" s="95"/>
    </row>
    <row r="1935" spans="1:76" s="81" customFormat="1" ht="25.5" x14ac:dyDescent="0.25">
      <c r="A1935" s="95"/>
      <c r="B1935" s="95"/>
      <c r="C1935" s="95"/>
      <c r="D1935" s="76" t="s">
        <v>2625</v>
      </c>
      <c r="E1935" s="76" t="s">
        <v>2626</v>
      </c>
      <c r="F1935" s="95"/>
      <c r="G1935" s="96">
        <v>1519</v>
      </c>
      <c r="H1935" s="95"/>
      <c r="I1935" s="95"/>
      <c r="J1935" s="95"/>
      <c r="K1935" s="95"/>
      <c r="L1935" s="95"/>
      <c r="M1935" s="95"/>
      <c r="N1935" s="95"/>
      <c r="O1935" s="95"/>
      <c r="P1935" s="95"/>
    </row>
    <row r="1936" spans="1:76" s="81" customFormat="1" ht="25.5" x14ac:dyDescent="0.25">
      <c r="A1936" s="95"/>
      <c r="B1936" s="95"/>
      <c r="C1936" s="95"/>
      <c r="D1936" s="76" t="s">
        <v>2627</v>
      </c>
      <c r="E1936" s="76" t="s">
        <v>2628</v>
      </c>
      <c r="F1936" s="95"/>
      <c r="G1936" s="96">
        <v>897.5</v>
      </c>
      <c r="H1936" s="95"/>
      <c r="I1936" s="95"/>
      <c r="J1936" s="95"/>
      <c r="K1936" s="95"/>
      <c r="L1936" s="95"/>
      <c r="M1936" s="95"/>
      <c r="N1936" s="95"/>
      <c r="O1936" s="95"/>
      <c r="P1936" s="95"/>
    </row>
    <row r="1937" spans="1:76" s="81" customFormat="1" x14ac:dyDescent="0.25">
      <c r="A1937" s="95"/>
      <c r="B1937" s="95"/>
      <c r="C1937" s="95"/>
      <c r="D1937" s="76" t="s">
        <v>2629</v>
      </c>
      <c r="E1937" s="76" t="s">
        <v>2630</v>
      </c>
      <c r="F1937" s="95"/>
      <c r="G1937" s="96">
        <v>1316</v>
      </c>
      <c r="H1937" s="95"/>
      <c r="I1937" s="95"/>
      <c r="J1937" s="95"/>
      <c r="K1937" s="95"/>
      <c r="L1937" s="95"/>
      <c r="M1937" s="95"/>
      <c r="N1937" s="95"/>
      <c r="O1937" s="95"/>
      <c r="P1937" s="95"/>
    </row>
    <row r="1938" spans="1:76" s="81" customFormat="1" ht="38.25" x14ac:dyDescent="0.25">
      <c r="A1938" s="95"/>
      <c r="B1938" s="95"/>
      <c r="C1938" s="95"/>
      <c r="D1938" s="76" t="s">
        <v>2631</v>
      </c>
      <c r="E1938" s="76" t="s">
        <v>2632</v>
      </c>
      <c r="F1938" s="95"/>
      <c r="G1938" s="96">
        <v>568</v>
      </c>
      <c r="H1938" s="95"/>
      <c r="I1938" s="95"/>
      <c r="J1938" s="95"/>
      <c r="K1938" s="95"/>
      <c r="L1938" s="95"/>
      <c r="M1938" s="95"/>
      <c r="N1938" s="95"/>
      <c r="O1938" s="95"/>
      <c r="P1938" s="95"/>
    </row>
    <row r="1939" spans="1:76" s="81" customFormat="1" ht="38.25" x14ac:dyDescent="0.25">
      <c r="A1939" s="95"/>
      <c r="B1939" s="95"/>
      <c r="C1939" s="95"/>
      <c r="D1939" s="76" t="s">
        <v>2633</v>
      </c>
      <c r="E1939" s="76" t="s">
        <v>2634</v>
      </c>
      <c r="F1939" s="95"/>
      <c r="G1939" s="96">
        <v>1656.23</v>
      </c>
      <c r="H1939" s="95"/>
      <c r="I1939" s="95"/>
      <c r="J1939" s="95"/>
      <c r="K1939" s="95"/>
      <c r="L1939" s="95"/>
      <c r="M1939" s="95"/>
      <c r="N1939" s="95"/>
      <c r="O1939" s="95"/>
      <c r="P1939" s="95"/>
    </row>
    <row r="1940" spans="1:76" s="81" customFormat="1" ht="25.5" x14ac:dyDescent="0.25">
      <c r="A1940" s="95"/>
      <c r="B1940" s="95"/>
      <c r="C1940" s="95"/>
      <c r="D1940" s="76" t="s">
        <v>291</v>
      </c>
      <c r="E1940" s="76" t="s">
        <v>2635</v>
      </c>
      <c r="F1940" s="95"/>
      <c r="G1940" s="96">
        <v>30</v>
      </c>
      <c r="H1940" s="95"/>
      <c r="I1940" s="95"/>
      <c r="J1940" s="95"/>
      <c r="K1940" s="95"/>
      <c r="L1940" s="95"/>
      <c r="M1940" s="95"/>
      <c r="N1940" s="95"/>
      <c r="O1940" s="95"/>
      <c r="P1940" s="95"/>
    </row>
    <row r="1941" spans="1:76" s="81" customFormat="1" x14ac:dyDescent="0.25">
      <c r="A1941" s="95"/>
      <c r="B1941" s="95"/>
      <c r="C1941" s="95"/>
      <c r="D1941" s="76" t="s">
        <v>2636</v>
      </c>
      <c r="E1941" s="76" t="s">
        <v>2637</v>
      </c>
      <c r="F1941" s="95"/>
      <c r="G1941" s="96">
        <v>1197.346</v>
      </c>
      <c r="H1941" s="95"/>
      <c r="I1941" s="95"/>
      <c r="J1941" s="95"/>
      <c r="K1941" s="95"/>
      <c r="L1941" s="95"/>
      <c r="M1941" s="95"/>
      <c r="N1941" s="95"/>
      <c r="O1941" s="95"/>
      <c r="P1941" s="95"/>
    </row>
    <row r="1942" spans="1:76" s="81" customFormat="1" ht="25.5" x14ac:dyDescent="0.25">
      <c r="A1942" s="72" t="s">
        <v>2638</v>
      </c>
      <c r="B1942" s="72" t="s">
        <v>55</v>
      </c>
      <c r="C1942" s="72" t="s">
        <v>2639</v>
      </c>
      <c r="D1942" s="175" t="s">
        <v>2640</v>
      </c>
      <c r="E1942" s="175"/>
      <c r="F1942" s="72" t="s">
        <v>192</v>
      </c>
      <c r="G1942" s="90">
        <v>63.279000000000003</v>
      </c>
      <c r="H1942" s="91"/>
      <c r="I1942" s="92" t="s">
        <v>63</v>
      </c>
      <c r="J1942" s="90">
        <f>G1942*AO1942</f>
        <v>0</v>
      </c>
      <c r="K1942" s="90">
        <f>G1942*AP1942</f>
        <v>0</v>
      </c>
      <c r="L1942" s="90">
        <f>G1942*H1942</f>
        <v>0</v>
      </c>
      <c r="M1942" s="90">
        <f>L1942*(1+BW1942/100)</f>
        <v>0</v>
      </c>
      <c r="N1942" s="90">
        <v>2.1919999999999999E-2</v>
      </c>
      <c r="O1942" s="90">
        <f>G1942*N1942</f>
        <v>1.3870756799999999</v>
      </c>
      <c r="P1942" s="92" t="s">
        <v>578</v>
      </c>
      <c r="Z1942" s="93">
        <f>IF(AQ1942="5",BJ1942,0)</f>
        <v>0</v>
      </c>
      <c r="AB1942" s="93">
        <f>IF(AQ1942="1",BH1942,0)</f>
        <v>0</v>
      </c>
      <c r="AC1942" s="93">
        <f>IF(AQ1942="1",BI1942,0)</f>
        <v>0</v>
      </c>
      <c r="AD1942" s="93">
        <f>IF(AQ1942="7",BH1942,0)</f>
        <v>0</v>
      </c>
      <c r="AE1942" s="93">
        <f>IF(AQ1942="7",BI1942,0)</f>
        <v>0</v>
      </c>
      <c r="AF1942" s="93">
        <f>IF(AQ1942="2",BH1942,0)</f>
        <v>0</v>
      </c>
      <c r="AG1942" s="93">
        <f>IF(AQ1942="2",BI1942,0)</f>
        <v>0</v>
      </c>
      <c r="AH1942" s="93">
        <f>IF(AQ1942="0",BJ1942,0)</f>
        <v>0</v>
      </c>
      <c r="AI1942" s="88" t="s">
        <v>55</v>
      </c>
      <c r="AJ1942" s="93">
        <f>IF(AN1942=0,L1942,0)</f>
        <v>0</v>
      </c>
      <c r="AK1942" s="93">
        <f>IF(AN1942=12,L1942,0)</f>
        <v>0</v>
      </c>
      <c r="AL1942" s="93">
        <f>IF(AN1942=21,L1942,0)</f>
        <v>0</v>
      </c>
      <c r="AN1942" s="93">
        <v>21</v>
      </c>
      <c r="AO1942" s="93">
        <f>H1942*0</f>
        <v>0</v>
      </c>
      <c r="AP1942" s="93">
        <f>H1942*(1-0)</f>
        <v>0</v>
      </c>
      <c r="AQ1942" s="94" t="s">
        <v>148</v>
      </c>
      <c r="AV1942" s="93">
        <f>AW1942+AX1942</f>
        <v>0</v>
      </c>
      <c r="AW1942" s="93">
        <f>G1942*AO1942</f>
        <v>0</v>
      </c>
      <c r="AX1942" s="93">
        <f>G1942*AP1942</f>
        <v>0</v>
      </c>
      <c r="AY1942" s="94" t="s">
        <v>2515</v>
      </c>
      <c r="AZ1942" s="94" t="s">
        <v>2252</v>
      </c>
      <c r="BA1942" s="88" t="s">
        <v>67</v>
      </c>
      <c r="BC1942" s="93">
        <f>AW1942+AX1942</f>
        <v>0</v>
      </c>
      <c r="BD1942" s="93">
        <f>H1942/(100-BE1942)*100</f>
        <v>0</v>
      </c>
      <c r="BE1942" s="93">
        <v>0</v>
      </c>
      <c r="BF1942" s="93">
        <f>O1942</f>
        <v>1.3870756799999999</v>
      </c>
      <c r="BH1942" s="93">
        <f>G1942*AO1942</f>
        <v>0</v>
      </c>
      <c r="BI1942" s="93">
        <f>G1942*AP1942</f>
        <v>0</v>
      </c>
      <c r="BJ1942" s="93">
        <f>G1942*H1942</f>
        <v>0</v>
      </c>
      <c r="BK1942" s="93"/>
      <c r="BL1942" s="93">
        <v>767</v>
      </c>
      <c r="BW1942" s="93" t="str">
        <f>I1942</f>
        <v>21</v>
      </c>
      <c r="BX1942" s="2" t="s">
        <v>2640</v>
      </c>
    </row>
    <row r="1943" spans="1:76" s="81" customFormat="1" x14ac:dyDescent="0.25">
      <c r="A1943" s="95"/>
      <c r="B1943" s="95"/>
      <c r="C1943" s="95"/>
      <c r="D1943" s="76" t="s">
        <v>2641</v>
      </c>
      <c r="E1943" s="76" t="s">
        <v>215</v>
      </c>
      <c r="F1943" s="95"/>
      <c r="G1943" s="96">
        <v>63.279000000000003</v>
      </c>
      <c r="H1943" s="95"/>
      <c r="I1943" s="95"/>
      <c r="J1943" s="95"/>
      <c r="K1943" s="95"/>
      <c r="L1943" s="95"/>
      <c r="M1943" s="95"/>
      <c r="N1943" s="95"/>
      <c r="O1943" s="95"/>
      <c r="P1943" s="95"/>
    </row>
    <row r="1944" spans="1:76" s="81" customFormat="1" ht="25.5" x14ac:dyDescent="0.25">
      <c r="A1944" s="72" t="s">
        <v>2642</v>
      </c>
      <c r="B1944" s="72" t="s">
        <v>55</v>
      </c>
      <c r="C1944" s="72" t="s">
        <v>2643</v>
      </c>
      <c r="D1944" s="175" t="s">
        <v>2644</v>
      </c>
      <c r="E1944" s="175"/>
      <c r="F1944" s="72" t="s">
        <v>192</v>
      </c>
      <c r="G1944" s="90">
        <v>136.19999999999999</v>
      </c>
      <c r="H1944" s="91"/>
      <c r="I1944" s="92" t="s">
        <v>63</v>
      </c>
      <c r="J1944" s="90">
        <f>G1944*AO1944</f>
        <v>0</v>
      </c>
      <c r="K1944" s="90">
        <f>G1944*AP1944</f>
        <v>0</v>
      </c>
      <c r="L1944" s="90">
        <f>G1944*H1944</f>
        <v>0</v>
      </c>
      <c r="M1944" s="90">
        <f>L1944*(1+BW1944/100)</f>
        <v>0</v>
      </c>
      <c r="N1944" s="90">
        <v>5.1000000000000004E-4</v>
      </c>
      <c r="O1944" s="90">
        <f>G1944*N1944</f>
        <v>6.9461999999999996E-2</v>
      </c>
      <c r="P1944" s="92" t="s">
        <v>371</v>
      </c>
      <c r="Z1944" s="93">
        <f>IF(AQ1944="5",BJ1944,0)</f>
        <v>0</v>
      </c>
      <c r="AB1944" s="93">
        <f>IF(AQ1944="1",BH1944,0)</f>
        <v>0</v>
      </c>
      <c r="AC1944" s="93">
        <f>IF(AQ1944="1",BI1944,0)</f>
        <v>0</v>
      </c>
      <c r="AD1944" s="93">
        <f>IF(AQ1944="7",BH1944,0)</f>
        <v>0</v>
      </c>
      <c r="AE1944" s="93">
        <f>IF(AQ1944="7",BI1944,0)</f>
        <v>0</v>
      </c>
      <c r="AF1944" s="93">
        <f>IF(AQ1944="2",BH1944,0)</f>
        <v>0</v>
      </c>
      <c r="AG1944" s="93">
        <f>IF(AQ1944="2",BI1944,0)</f>
        <v>0</v>
      </c>
      <c r="AH1944" s="93">
        <f>IF(AQ1944="0",BJ1944,0)</f>
        <v>0</v>
      </c>
      <c r="AI1944" s="88" t="s">
        <v>55</v>
      </c>
      <c r="AJ1944" s="93">
        <f>IF(AN1944=0,L1944,0)</f>
        <v>0</v>
      </c>
      <c r="AK1944" s="93">
        <f>IF(AN1944=12,L1944,0)</f>
        <v>0</v>
      </c>
      <c r="AL1944" s="93">
        <f>IF(AN1944=21,L1944,0)</f>
        <v>0</v>
      </c>
      <c r="AN1944" s="93">
        <v>21</v>
      </c>
      <c r="AO1944" s="93">
        <f>H1944*0.494515824</f>
        <v>0</v>
      </c>
      <c r="AP1944" s="93">
        <f>H1944*(1-0.494515824)</f>
        <v>0</v>
      </c>
      <c r="AQ1944" s="94" t="s">
        <v>148</v>
      </c>
      <c r="AV1944" s="93">
        <f>AW1944+AX1944</f>
        <v>0</v>
      </c>
      <c r="AW1944" s="93">
        <f>G1944*AO1944</f>
        <v>0</v>
      </c>
      <c r="AX1944" s="93">
        <f>G1944*AP1944</f>
        <v>0</v>
      </c>
      <c r="AY1944" s="94" t="s">
        <v>2515</v>
      </c>
      <c r="AZ1944" s="94" t="s">
        <v>2252</v>
      </c>
      <c r="BA1944" s="88" t="s">
        <v>67</v>
      </c>
      <c r="BC1944" s="93">
        <f>AW1944+AX1944</f>
        <v>0</v>
      </c>
      <c r="BD1944" s="93">
        <f>H1944/(100-BE1944)*100</f>
        <v>0</v>
      </c>
      <c r="BE1944" s="93">
        <v>0</v>
      </c>
      <c r="BF1944" s="93">
        <f>O1944</f>
        <v>6.9461999999999996E-2</v>
      </c>
      <c r="BH1944" s="93">
        <f>G1944*AO1944</f>
        <v>0</v>
      </c>
      <c r="BI1944" s="93">
        <f>G1944*AP1944</f>
        <v>0</v>
      </c>
      <c r="BJ1944" s="93">
        <f>G1944*H1944</f>
        <v>0</v>
      </c>
      <c r="BK1944" s="93"/>
      <c r="BL1944" s="93">
        <v>767</v>
      </c>
      <c r="BW1944" s="93" t="str">
        <f>I1944</f>
        <v>21</v>
      </c>
      <c r="BX1944" s="2" t="s">
        <v>2644</v>
      </c>
    </row>
    <row r="1945" spans="1:76" s="81" customFormat="1" x14ac:dyDescent="0.25">
      <c r="A1945" s="95"/>
      <c r="B1945" s="95"/>
      <c r="C1945" s="95"/>
      <c r="D1945" s="76" t="s">
        <v>2645</v>
      </c>
      <c r="E1945" s="76" t="s">
        <v>1014</v>
      </c>
      <c r="F1945" s="95"/>
      <c r="G1945" s="96">
        <v>136.19999999999999</v>
      </c>
      <c r="H1945" s="95"/>
      <c r="I1945" s="95"/>
      <c r="J1945" s="95"/>
      <c r="K1945" s="95"/>
      <c r="L1945" s="95"/>
      <c r="M1945" s="95"/>
      <c r="N1945" s="95"/>
      <c r="O1945" s="95"/>
      <c r="P1945" s="95"/>
    </row>
    <row r="1946" spans="1:76" s="81" customFormat="1" ht="25.5" x14ac:dyDescent="0.25">
      <c r="A1946" s="72" t="s">
        <v>2646</v>
      </c>
      <c r="B1946" s="72" t="s">
        <v>55</v>
      </c>
      <c r="C1946" s="72" t="s">
        <v>2643</v>
      </c>
      <c r="D1946" s="175" t="s">
        <v>2647</v>
      </c>
      <c r="E1946" s="175"/>
      <c r="F1946" s="72" t="s">
        <v>192</v>
      </c>
      <c r="G1946" s="90">
        <v>57.8</v>
      </c>
      <c r="H1946" s="91"/>
      <c r="I1946" s="92" t="s">
        <v>63</v>
      </c>
      <c r="J1946" s="90">
        <f>G1946*AO1946</f>
        <v>0</v>
      </c>
      <c r="K1946" s="90">
        <f>G1946*AP1946</f>
        <v>0</v>
      </c>
      <c r="L1946" s="90">
        <f>G1946*H1946</f>
        <v>0</v>
      </c>
      <c r="M1946" s="90">
        <f>L1946*(1+BW1946/100)</f>
        <v>0</v>
      </c>
      <c r="N1946" s="90">
        <v>5.1000000000000004E-4</v>
      </c>
      <c r="O1946" s="90">
        <f>G1946*N1946</f>
        <v>2.9478000000000001E-2</v>
      </c>
      <c r="P1946" s="92" t="s">
        <v>371</v>
      </c>
      <c r="Z1946" s="93">
        <f>IF(AQ1946="5",BJ1946,0)</f>
        <v>0</v>
      </c>
      <c r="AB1946" s="93">
        <f>IF(AQ1946="1",BH1946,0)</f>
        <v>0</v>
      </c>
      <c r="AC1946" s="93">
        <f>IF(AQ1946="1",BI1946,0)</f>
        <v>0</v>
      </c>
      <c r="AD1946" s="93">
        <f>IF(AQ1946="7",BH1946,0)</f>
        <v>0</v>
      </c>
      <c r="AE1946" s="93">
        <f>IF(AQ1946="7",BI1946,0)</f>
        <v>0</v>
      </c>
      <c r="AF1946" s="93">
        <f>IF(AQ1946="2",BH1946,0)</f>
        <v>0</v>
      </c>
      <c r="AG1946" s="93">
        <f>IF(AQ1946="2",BI1946,0)</f>
        <v>0</v>
      </c>
      <c r="AH1946" s="93">
        <f>IF(AQ1946="0",BJ1946,0)</f>
        <v>0</v>
      </c>
      <c r="AI1946" s="88" t="s">
        <v>55</v>
      </c>
      <c r="AJ1946" s="93">
        <f>IF(AN1946=0,L1946,0)</f>
        <v>0</v>
      </c>
      <c r="AK1946" s="93">
        <f>IF(AN1946=12,L1946,0)</f>
        <v>0</v>
      </c>
      <c r="AL1946" s="93">
        <f>IF(AN1946=21,L1946,0)</f>
        <v>0</v>
      </c>
      <c r="AN1946" s="93">
        <v>21</v>
      </c>
      <c r="AO1946" s="93">
        <f>H1946*0.494516401</f>
        <v>0</v>
      </c>
      <c r="AP1946" s="93">
        <f>H1946*(1-0.494516401)</f>
        <v>0</v>
      </c>
      <c r="AQ1946" s="94" t="s">
        <v>148</v>
      </c>
      <c r="AV1946" s="93">
        <f>AW1946+AX1946</f>
        <v>0</v>
      </c>
      <c r="AW1946" s="93">
        <f>G1946*AO1946</f>
        <v>0</v>
      </c>
      <c r="AX1946" s="93">
        <f>G1946*AP1946</f>
        <v>0</v>
      </c>
      <c r="AY1946" s="94" t="s">
        <v>2515</v>
      </c>
      <c r="AZ1946" s="94" t="s">
        <v>2252</v>
      </c>
      <c r="BA1946" s="88" t="s">
        <v>67</v>
      </c>
      <c r="BC1946" s="93">
        <f>AW1946+AX1946</f>
        <v>0</v>
      </c>
      <c r="BD1946" s="93">
        <f>H1946/(100-BE1946)*100</f>
        <v>0</v>
      </c>
      <c r="BE1946" s="93">
        <v>0</v>
      </c>
      <c r="BF1946" s="93">
        <f>O1946</f>
        <v>2.9478000000000001E-2</v>
      </c>
      <c r="BH1946" s="93">
        <f>G1946*AO1946</f>
        <v>0</v>
      </c>
      <c r="BI1946" s="93">
        <f>G1946*AP1946</f>
        <v>0</v>
      </c>
      <c r="BJ1946" s="93">
        <f>G1946*H1946</f>
        <v>0</v>
      </c>
      <c r="BK1946" s="93"/>
      <c r="BL1946" s="93">
        <v>767</v>
      </c>
      <c r="BW1946" s="93" t="str">
        <f>I1946</f>
        <v>21</v>
      </c>
      <c r="BX1946" s="2" t="s">
        <v>2647</v>
      </c>
    </row>
    <row r="1947" spans="1:76" s="81" customFormat="1" x14ac:dyDescent="0.25">
      <c r="A1947" s="95"/>
      <c r="B1947" s="95"/>
      <c r="C1947" s="95"/>
      <c r="D1947" s="76" t="s">
        <v>2648</v>
      </c>
      <c r="E1947" s="76" t="s">
        <v>1014</v>
      </c>
      <c r="F1947" s="95"/>
      <c r="G1947" s="96">
        <v>57.8</v>
      </c>
      <c r="H1947" s="95"/>
      <c r="I1947" s="95"/>
      <c r="J1947" s="95"/>
      <c r="K1947" s="95"/>
      <c r="L1947" s="95"/>
      <c r="M1947" s="95"/>
      <c r="N1947" s="95"/>
      <c r="O1947" s="95"/>
      <c r="P1947" s="95"/>
    </row>
    <row r="1948" spans="1:76" s="81" customFormat="1" ht="25.5" x14ac:dyDescent="0.25">
      <c r="A1948" s="72" t="s">
        <v>2649</v>
      </c>
      <c r="B1948" s="72" t="s">
        <v>55</v>
      </c>
      <c r="C1948" s="72" t="s">
        <v>2650</v>
      </c>
      <c r="D1948" s="175" t="s">
        <v>2651</v>
      </c>
      <c r="E1948" s="175"/>
      <c r="F1948" s="72" t="s">
        <v>192</v>
      </c>
      <c r="G1948" s="90">
        <v>471.08</v>
      </c>
      <c r="H1948" s="91"/>
      <c r="I1948" s="92" t="s">
        <v>63</v>
      </c>
      <c r="J1948" s="90">
        <f>G1948*AO1948</f>
        <v>0</v>
      </c>
      <c r="K1948" s="90">
        <f>G1948*AP1948</f>
        <v>0</v>
      </c>
      <c r="L1948" s="90">
        <f>G1948*H1948</f>
        <v>0</v>
      </c>
      <c r="M1948" s="90">
        <f>L1948*(1+BW1948/100)</f>
        <v>0</v>
      </c>
      <c r="N1948" s="90">
        <v>5.1000000000000004E-4</v>
      </c>
      <c r="O1948" s="90">
        <f>G1948*N1948</f>
        <v>0.24025080000000001</v>
      </c>
      <c r="P1948" s="92" t="s">
        <v>64</v>
      </c>
      <c r="Z1948" s="93">
        <f>IF(AQ1948="5",BJ1948,0)</f>
        <v>0</v>
      </c>
      <c r="AB1948" s="93">
        <f>IF(AQ1948="1",BH1948,0)</f>
        <v>0</v>
      </c>
      <c r="AC1948" s="93">
        <f>IF(AQ1948="1",BI1948,0)</f>
        <v>0</v>
      </c>
      <c r="AD1948" s="93">
        <f>IF(AQ1948="7",BH1948,0)</f>
        <v>0</v>
      </c>
      <c r="AE1948" s="93">
        <f>IF(AQ1948="7",BI1948,0)</f>
        <v>0</v>
      </c>
      <c r="AF1948" s="93">
        <f>IF(AQ1948="2",BH1948,0)</f>
        <v>0</v>
      </c>
      <c r="AG1948" s="93">
        <f>IF(AQ1948="2",BI1948,0)</f>
        <v>0</v>
      </c>
      <c r="AH1948" s="93">
        <f>IF(AQ1948="0",BJ1948,0)</f>
        <v>0</v>
      </c>
      <c r="AI1948" s="88" t="s">
        <v>55</v>
      </c>
      <c r="AJ1948" s="93">
        <f>IF(AN1948=0,L1948,0)</f>
        <v>0</v>
      </c>
      <c r="AK1948" s="93">
        <f>IF(AN1948=12,L1948,0)</f>
        <v>0</v>
      </c>
      <c r="AL1948" s="93">
        <f>IF(AN1948=21,L1948,0)</f>
        <v>0</v>
      </c>
      <c r="AN1948" s="93">
        <v>21</v>
      </c>
      <c r="AO1948" s="93">
        <f>H1948*0.024637405</f>
        <v>0</v>
      </c>
      <c r="AP1948" s="93">
        <f>H1948*(1-0.024637405)</f>
        <v>0</v>
      </c>
      <c r="AQ1948" s="94" t="s">
        <v>148</v>
      </c>
      <c r="AV1948" s="93">
        <f>AW1948+AX1948</f>
        <v>0</v>
      </c>
      <c r="AW1948" s="93">
        <f>G1948*AO1948</f>
        <v>0</v>
      </c>
      <c r="AX1948" s="93">
        <f>G1948*AP1948</f>
        <v>0</v>
      </c>
      <c r="AY1948" s="94" t="s">
        <v>2515</v>
      </c>
      <c r="AZ1948" s="94" t="s">
        <v>2252</v>
      </c>
      <c r="BA1948" s="88" t="s">
        <v>67</v>
      </c>
      <c r="BC1948" s="93">
        <f>AW1948+AX1948</f>
        <v>0</v>
      </c>
      <c r="BD1948" s="93">
        <f>H1948/(100-BE1948)*100</f>
        <v>0</v>
      </c>
      <c r="BE1948" s="93">
        <v>0</v>
      </c>
      <c r="BF1948" s="93">
        <f>O1948</f>
        <v>0.24025080000000001</v>
      </c>
      <c r="BH1948" s="93">
        <f>G1948*AO1948</f>
        <v>0</v>
      </c>
      <c r="BI1948" s="93">
        <f>G1948*AP1948</f>
        <v>0</v>
      </c>
      <c r="BJ1948" s="93">
        <f>G1948*H1948</f>
        <v>0</v>
      </c>
      <c r="BK1948" s="93"/>
      <c r="BL1948" s="93">
        <v>767</v>
      </c>
      <c r="BW1948" s="93" t="str">
        <f>I1948</f>
        <v>21</v>
      </c>
      <c r="BX1948" s="2" t="s">
        <v>2651</v>
      </c>
    </row>
    <row r="1949" spans="1:76" s="81" customFormat="1" x14ac:dyDescent="0.25">
      <c r="A1949" s="95"/>
      <c r="B1949" s="95"/>
      <c r="C1949" s="95"/>
      <c r="D1949" s="76" t="s">
        <v>2652</v>
      </c>
      <c r="E1949" s="76" t="s">
        <v>1014</v>
      </c>
      <c r="F1949" s="95"/>
      <c r="G1949" s="96">
        <v>471.08</v>
      </c>
      <c r="H1949" s="95"/>
      <c r="I1949" s="95"/>
      <c r="J1949" s="95"/>
      <c r="K1949" s="95"/>
      <c r="L1949" s="95"/>
      <c r="M1949" s="95"/>
      <c r="N1949" s="95"/>
      <c r="O1949" s="95"/>
      <c r="P1949" s="95"/>
    </row>
    <row r="1950" spans="1:76" s="81" customFormat="1" ht="25.5" x14ac:dyDescent="0.25">
      <c r="A1950" s="72" t="s">
        <v>2653</v>
      </c>
      <c r="B1950" s="72" t="s">
        <v>55</v>
      </c>
      <c r="C1950" s="72" t="s">
        <v>2654</v>
      </c>
      <c r="D1950" s="175" t="s">
        <v>2655</v>
      </c>
      <c r="E1950" s="175"/>
      <c r="F1950" s="72" t="s">
        <v>192</v>
      </c>
      <c r="G1950" s="90">
        <v>471.08</v>
      </c>
      <c r="H1950" s="91"/>
      <c r="I1950" s="92" t="s">
        <v>63</v>
      </c>
      <c r="J1950" s="90">
        <f>G1950*AO1950</f>
        <v>0</v>
      </c>
      <c r="K1950" s="90">
        <f>G1950*AP1950</f>
        <v>0</v>
      </c>
      <c r="L1950" s="90">
        <f>G1950*H1950</f>
        <v>0</v>
      </c>
      <c r="M1950" s="90">
        <f>L1950*(1+BW1950/100)</f>
        <v>0</v>
      </c>
      <c r="N1950" s="90">
        <v>29.018429999999999</v>
      </c>
      <c r="O1950" s="90">
        <f>G1950*N1950</f>
        <v>13670.002004399999</v>
      </c>
      <c r="P1950" s="92" t="s">
        <v>287</v>
      </c>
      <c r="Z1950" s="93">
        <f>IF(AQ1950="5",BJ1950,0)</f>
        <v>0</v>
      </c>
      <c r="AB1950" s="93">
        <f>IF(AQ1950="1",BH1950,0)</f>
        <v>0</v>
      </c>
      <c r="AC1950" s="93">
        <f>IF(AQ1950="1",BI1950,0)</f>
        <v>0</v>
      </c>
      <c r="AD1950" s="93">
        <f>IF(AQ1950="7",BH1950,0)</f>
        <v>0</v>
      </c>
      <c r="AE1950" s="93">
        <f>IF(AQ1950="7",BI1950,0)</f>
        <v>0</v>
      </c>
      <c r="AF1950" s="93">
        <f>IF(AQ1950="2",BH1950,0)</f>
        <v>0</v>
      </c>
      <c r="AG1950" s="93">
        <f>IF(AQ1950="2",BI1950,0)</f>
        <v>0</v>
      </c>
      <c r="AH1950" s="93">
        <f>IF(AQ1950="0",BJ1950,0)</f>
        <v>0</v>
      </c>
      <c r="AI1950" s="88" t="s">
        <v>55</v>
      </c>
      <c r="AJ1950" s="93">
        <f>IF(AN1950=0,L1950,0)</f>
        <v>0</v>
      </c>
      <c r="AK1950" s="93">
        <f>IF(AN1950=12,L1950,0)</f>
        <v>0</v>
      </c>
      <c r="AL1950" s="93">
        <f>IF(AN1950=21,L1950,0)</f>
        <v>0</v>
      </c>
      <c r="AN1950" s="93">
        <v>21</v>
      </c>
      <c r="AO1950" s="93">
        <f>H1950*1</f>
        <v>0</v>
      </c>
      <c r="AP1950" s="93">
        <f>H1950*(1-1)</f>
        <v>0</v>
      </c>
      <c r="AQ1950" s="94" t="s">
        <v>148</v>
      </c>
      <c r="AV1950" s="93">
        <f>AW1950+AX1950</f>
        <v>0</v>
      </c>
      <c r="AW1950" s="93">
        <f>G1950*AO1950</f>
        <v>0</v>
      </c>
      <c r="AX1950" s="93">
        <f>G1950*AP1950</f>
        <v>0</v>
      </c>
      <c r="AY1950" s="94" t="s">
        <v>2515</v>
      </c>
      <c r="AZ1950" s="94" t="s">
        <v>2252</v>
      </c>
      <c r="BA1950" s="88" t="s">
        <v>67</v>
      </c>
      <c r="BC1950" s="93">
        <f>AW1950+AX1950</f>
        <v>0</v>
      </c>
      <c r="BD1950" s="93">
        <f>H1950/(100-BE1950)*100</f>
        <v>0</v>
      </c>
      <c r="BE1950" s="93">
        <v>0</v>
      </c>
      <c r="BF1950" s="93">
        <f>O1950</f>
        <v>13670.002004399999</v>
      </c>
      <c r="BH1950" s="93">
        <f>G1950*AO1950</f>
        <v>0</v>
      </c>
      <c r="BI1950" s="93">
        <f>G1950*AP1950</f>
        <v>0</v>
      </c>
      <c r="BJ1950" s="93">
        <f>G1950*H1950</f>
        <v>0</v>
      </c>
      <c r="BK1950" s="93"/>
      <c r="BL1950" s="93">
        <v>767</v>
      </c>
      <c r="BW1950" s="93" t="str">
        <f>I1950</f>
        <v>21</v>
      </c>
      <c r="BX1950" s="2" t="s">
        <v>2655</v>
      </c>
    </row>
    <row r="1951" spans="1:76" s="81" customFormat="1" ht="25.5" x14ac:dyDescent="0.25">
      <c r="A1951" s="72" t="s">
        <v>2656</v>
      </c>
      <c r="B1951" s="72" t="s">
        <v>55</v>
      </c>
      <c r="C1951" s="72" t="s">
        <v>2657</v>
      </c>
      <c r="D1951" s="175" t="s">
        <v>2658</v>
      </c>
      <c r="E1951" s="175"/>
      <c r="F1951" s="72" t="s">
        <v>192</v>
      </c>
      <c r="G1951" s="90">
        <v>717.32</v>
      </c>
      <c r="H1951" s="91"/>
      <c r="I1951" s="92" t="s">
        <v>63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6.9999999999999999E-4</v>
      </c>
      <c r="O1951" s="90">
        <f>G1951*N1951</f>
        <v>0.50212400000000001</v>
      </c>
      <c r="P1951" s="92" t="s">
        <v>64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55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H1951*0.056504583</f>
        <v>0</v>
      </c>
      <c r="AP1951" s="93">
        <f>H1951*(1-0.056504583)</f>
        <v>0</v>
      </c>
      <c r="AQ1951" s="94" t="s">
        <v>148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2515</v>
      </c>
      <c r="AZ1951" s="94" t="s">
        <v>2252</v>
      </c>
      <c r="BA1951" s="88" t="s">
        <v>67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0.50212400000000001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2658</v>
      </c>
    </row>
    <row r="1952" spans="1:76" s="81" customFormat="1" x14ac:dyDescent="0.25">
      <c r="A1952" s="95"/>
      <c r="B1952" s="95"/>
      <c r="C1952" s="95"/>
      <c r="D1952" s="76" t="s">
        <v>54</v>
      </c>
      <c r="E1952" s="76" t="s">
        <v>1308</v>
      </c>
      <c r="F1952" s="95"/>
      <c r="G1952" s="96">
        <v>0</v>
      </c>
      <c r="H1952" s="95"/>
      <c r="I1952" s="95"/>
      <c r="J1952" s="95"/>
      <c r="K1952" s="95"/>
      <c r="L1952" s="95"/>
      <c r="M1952" s="95"/>
      <c r="N1952" s="95"/>
      <c r="O1952" s="95"/>
      <c r="P1952" s="95"/>
    </row>
    <row r="1953" spans="1:76" s="81" customFormat="1" x14ac:dyDescent="0.25">
      <c r="A1953" s="95"/>
      <c r="B1953" s="95"/>
      <c r="C1953" s="95"/>
      <c r="D1953" s="76" t="s">
        <v>2659</v>
      </c>
      <c r="E1953" s="76" t="s">
        <v>2660</v>
      </c>
      <c r="F1953" s="95"/>
      <c r="G1953" s="96">
        <v>158.62</v>
      </c>
      <c r="H1953" s="95"/>
      <c r="I1953" s="95"/>
      <c r="J1953" s="95"/>
      <c r="K1953" s="95"/>
      <c r="L1953" s="95"/>
      <c r="M1953" s="95"/>
      <c r="N1953" s="95"/>
      <c r="O1953" s="95"/>
      <c r="P1953" s="95"/>
    </row>
    <row r="1954" spans="1:76" s="81" customFormat="1" x14ac:dyDescent="0.25">
      <c r="A1954" s="95"/>
      <c r="B1954" s="95"/>
      <c r="C1954" s="95"/>
      <c r="D1954" s="76" t="s">
        <v>2661</v>
      </c>
      <c r="E1954" s="76" t="s">
        <v>2662</v>
      </c>
      <c r="F1954" s="95"/>
      <c r="G1954" s="96">
        <v>331.3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x14ac:dyDescent="0.25">
      <c r="A1955" s="95"/>
      <c r="B1955" s="95"/>
      <c r="C1955" s="95"/>
      <c r="D1955" s="76" t="s">
        <v>2663</v>
      </c>
      <c r="E1955" s="76" t="s">
        <v>2664</v>
      </c>
      <c r="F1955" s="95"/>
      <c r="G1955" s="96">
        <v>227.4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ht="25.5" x14ac:dyDescent="0.25">
      <c r="A1956" s="72" t="s">
        <v>2665</v>
      </c>
      <c r="B1956" s="72" t="s">
        <v>55</v>
      </c>
      <c r="C1956" s="72" t="s">
        <v>2666</v>
      </c>
      <c r="D1956" s="175" t="s">
        <v>2667</v>
      </c>
      <c r="E1956" s="175"/>
      <c r="F1956" s="72" t="s">
        <v>192</v>
      </c>
      <c r="G1956" s="90">
        <v>209.62</v>
      </c>
      <c r="H1956" s="91"/>
      <c r="I1956" s="92" t="s">
        <v>63</v>
      </c>
      <c r="J1956" s="90">
        <f>G1956*AO1956</f>
        <v>0</v>
      </c>
      <c r="K1956" s="90">
        <f>G1956*AP1956</f>
        <v>0</v>
      </c>
      <c r="L1956" s="90">
        <f>G1956*H1956</f>
        <v>0</v>
      </c>
      <c r="M1956" s="90">
        <f>L1956*(1+BW1956/100)</f>
        <v>0</v>
      </c>
      <c r="N1956" s="90">
        <v>0</v>
      </c>
      <c r="O1956" s="90">
        <f>G1956*N1956</f>
        <v>0</v>
      </c>
      <c r="P1956" s="92" t="s">
        <v>287</v>
      </c>
      <c r="Z1956" s="93">
        <f>IF(AQ1956="5",BJ1956,0)</f>
        <v>0</v>
      </c>
      <c r="AB1956" s="93">
        <f>IF(AQ1956="1",BH1956,0)</f>
        <v>0</v>
      </c>
      <c r="AC1956" s="93">
        <f>IF(AQ1956="1",BI1956,0)</f>
        <v>0</v>
      </c>
      <c r="AD1956" s="93">
        <f>IF(AQ1956="7",BH1956,0)</f>
        <v>0</v>
      </c>
      <c r="AE1956" s="93">
        <f>IF(AQ1956="7",BI1956,0)</f>
        <v>0</v>
      </c>
      <c r="AF1956" s="93">
        <f>IF(AQ1956="2",BH1956,0)</f>
        <v>0</v>
      </c>
      <c r="AG1956" s="93">
        <f>IF(AQ1956="2",BI1956,0)</f>
        <v>0</v>
      </c>
      <c r="AH1956" s="93">
        <f>IF(AQ1956="0",BJ1956,0)</f>
        <v>0</v>
      </c>
      <c r="AI1956" s="88" t="s">
        <v>55</v>
      </c>
      <c r="AJ1956" s="93">
        <f>IF(AN1956=0,L1956,0)</f>
        <v>0</v>
      </c>
      <c r="AK1956" s="93">
        <f>IF(AN1956=12,L1956,0)</f>
        <v>0</v>
      </c>
      <c r="AL1956" s="93">
        <f>IF(AN1956=21,L1956,0)</f>
        <v>0</v>
      </c>
      <c r="AN1956" s="93">
        <v>21</v>
      </c>
      <c r="AO1956" s="93">
        <f>H1956*1</f>
        <v>0</v>
      </c>
      <c r="AP1956" s="93">
        <f>H1956*(1-1)</f>
        <v>0</v>
      </c>
      <c r="AQ1956" s="94" t="s">
        <v>148</v>
      </c>
      <c r="AV1956" s="93">
        <f>AW1956+AX1956</f>
        <v>0</v>
      </c>
      <c r="AW1956" s="93">
        <f>G1956*AO1956</f>
        <v>0</v>
      </c>
      <c r="AX1956" s="93">
        <f>G1956*AP1956</f>
        <v>0</v>
      </c>
      <c r="AY1956" s="94" t="s">
        <v>2515</v>
      </c>
      <c r="AZ1956" s="94" t="s">
        <v>2252</v>
      </c>
      <c r="BA1956" s="88" t="s">
        <v>67</v>
      </c>
      <c r="BC1956" s="93">
        <f>AW1956+AX1956</f>
        <v>0</v>
      </c>
      <c r="BD1956" s="93">
        <f>H1956/(100-BE1956)*100</f>
        <v>0</v>
      </c>
      <c r="BE1956" s="93">
        <v>0</v>
      </c>
      <c r="BF1956" s="93">
        <f>O1956</f>
        <v>0</v>
      </c>
      <c r="BH1956" s="93">
        <f>G1956*AO1956</f>
        <v>0</v>
      </c>
      <c r="BI1956" s="93">
        <f>G1956*AP1956</f>
        <v>0</v>
      </c>
      <c r="BJ1956" s="93">
        <f>G1956*H1956</f>
        <v>0</v>
      </c>
      <c r="BK1956" s="93"/>
      <c r="BL1956" s="93">
        <v>767</v>
      </c>
      <c r="BW1956" s="93" t="str">
        <f>I1956</f>
        <v>21</v>
      </c>
      <c r="BX1956" s="2" t="s">
        <v>2667</v>
      </c>
    </row>
    <row r="1957" spans="1:76" s="81" customFormat="1" x14ac:dyDescent="0.25">
      <c r="A1957" s="95"/>
      <c r="B1957" s="95"/>
      <c r="C1957" s="95"/>
      <c r="D1957" s="76" t="s">
        <v>54</v>
      </c>
      <c r="E1957" s="76" t="s">
        <v>2668</v>
      </c>
      <c r="F1957" s="95"/>
      <c r="G1957" s="96">
        <v>0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x14ac:dyDescent="0.25">
      <c r="A1958" s="95"/>
      <c r="B1958" s="95"/>
      <c r="C1958" s="95"/>
      <c r="D1958" s="76" t="s">
        <v>2659</v>
      </c>
      <c r="E1958" s="76" t="s">
        <v>2660</v>
      </c>
      <c r="F1958" s="95"/>
      <c r="G1958" s="96">
        <v>158.62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x14ac:dyDescent="0.25">
      <c r="A1959" s="95"/>
      <c r="B1959" s="95"/>
      <c r="C1959" s="95"/>
      <c r="D1959" s="76" t="s">
        <v>444</v>
      </c>
      <c r="E1959" s="76" t="s">
        <v>2664</v>
      </c>
      <c r="F1959" s="95"/>
      <c r="G1959" s="96">
        <v>51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ht="25.5" x14ac:dyDescent="0.25">
      <c r="A1960" s="72" t="s">
        <v>2669</v>
      </c>
      <c r="B1960" s="72" t="s">
        <v>55</v>
      </c>
      <c r="C1960" s="72" t="s">
        <v>2666</v>
      </c>
      <c r="D1960" s="175" t="s">
        <v>2670</v>
      </c>
      <c r="E1960" s="175"/>
      <c r="F1960" s="72" t="s">
        <v>192</v>
      </c>
      <c r="G1960" s="90">
        <v>200</v>
      </c>
      <c r="H1960" s="91"/>
      <c r="I1960" s="92" t="s">
        <v>63</v>
      </c>
      <c r="J1960" s="90">
        <f>G1960*AO1960</f>
        <v>0</v>
      </c>
      <c r="K1960" s="90">
        <f>G1960*AP1960</f>
        <v>0</v>
      </c>
      <c r="L1960" s="90">
        <f>G1960*H1960</f>
        <v>0</v>
      </c>
      <c r="M1960" s="90">
        <f>L1960*(1+BW1960/100)</f>
        <v>0</v>
      </c>
      <c r="N1960" s="90">
        <v>0</v>
      </c>
      <c r="O1960" s="90">
        <f>G1960*N1960</f>
        <v>0</v>
      </c>
      <c r="P1960" s="92" t="s">
        <v>287</v>
      </c>
      <c r="Z1960" s="93">
        <f>IF(AQ1960="5",BJ1960,0)</f>
        <v>0</v>
      </c>
      <c r="AB1960" s="93">
        <f>IF(AQ1960="1",BH1960,0)</f>
        <v>0</v>
      </c>
      <c r="AC1960" s="93">
        <f>IF(AQ1960="1",BI1960,0)</f>
        <v>0</v>
      </c>
      <c r="AD1960" s="93">
        <f>IF(AQ1960="7",BH1960,0)</f>
        <v>0</v>
      </c>
      <c r="AE1960" s="93">
        <f>IF(AQ1960="7",BI1960,0)</f>
        <v>0</v>
      </c>
      <c r="AF1960" s="93">
        <f>IF(AQ1960="2",BH1960,0)</f>
        <v>0</v>
      </c>
      <c r="AG1960" s="93">
        <f>IF(AQ1960="2",BI1960,0)</f>
        <v>0</v>
      </c>
      <c r="AH1960" s="93">
        <f>IF(AQ1960="0",BJ1960,0)</f>
        <v>0</v>
      </c>
      <c r="AI1960" s="88" t="s">
        <v>55</v>
      </c>
      <c r="AJ1960" s="93">
        <f>IF(AN1960=0,L1960,0)</f>
        <v>0</v>
      </c>
      <c r="AK1960" s="93">
        <f>IF(AN1960=12,L1960,0)</f>
        <v>0</v>
      </c>
      <c r="AL1960" s="93">
        <f>IF(AN1960=21,L1960,0)</f>
        <v>0</v>
      </c>
      <c r="AN1960" s="93">
        <v>21</v>
      </c>
      <c r="AO1960" s="93">
        <f>H1960*1</f>
        <v>0</v>
      </c>
      <c r="AP1960" s="93">
        <f>H1960*(1-1)</f>
        <v>0</v>
      </c>
      <c r="AQ1960" s="94" t="s">
        <v>148</v>
      </c>
      <c r="AV1960" s="93">
        <f>AW1960+AX1960</f>
        <v>0</v>
      </c>
      <c r="AW1960" s="93">
        <f>G1960*AO1960</f>
        <v>0</v>
      </c>
      <c r="AX1960" s="93">
        <f>G1960*AP1960</f>
        <v>0</v>
      </c>
      <c r="AY1960" s="94" t="s">
        <v>2515</v>
      </c>
      <c r="AZ1960" s="94" t="s">
        <v>2252</v>
      </c>
      <c r="BA1960" s="88" t="s">
        <v>67</v>
      </c>
      <c r="BC1960" s="93">
        <f>AW1960+AX1960</f>
        <v>0</v>
      </c>
      <c r="BD1960" s="93">
        <f>H1960/(100-BE1960)*100</f>
        <v>0</v>
      </c>
      <c r="BE1960" s="93">
        <v>0</v>
      </c>
      <c r="BF1960" s="93">
        <f>O1960</f>
        <v>0</v>
      </c>
      <c r="BH1960" s="93">
        <f>G1960*AO1960</f>
        <v>0</v>
      </c>
      <c r="BI1960" s="93">
        <f>G1960*AP1960</f>
        <v>0</v>
      </c>
      <c r="BJ1960" s="93">
        <f>G1960*H1960</f>
        <v>0</v>
      </c>
      <c r="BK1960" s="93"/>
      <c r="BL1960" s="93">
        <v>767</v>
      </c>
      <c r="BW1960" s="93" t="str">
        <f>I1960</f>
        <v>21</v>
      </c>
      <c r="BX1960" s="2" t="s">
        <v>2670</v>
      </c>
    </row>
    <row r="1961" spans="1:76" s="81" customFormat="1" x14ac:dyDescent="0.25">
      <c r="A1961" s="95"/>
      <c r="B1961" s="95"/>
      <c r="C1961" s="95"/>
      <c r="D1961" s="76" t="s">
        <v>54</v>
      </c>
      <c r="E1961" s="76" t="s">
        <v>2668</v>
      </c>
      <c r="F1961" s="95"/>
      <c r="G1961" s="96">
        <v>0</v>
      </c>
      <c r="H1961" s="95"/>
      <c r="I1961" s="95"/>
      <c r="J1961" s="95"/>
      <c r="K1961" s="95"/>
      <c r="L1961" s="95"/>
      <c r="M1961" s="95"/>
      <c r="N1961" s="95"/>
      <c r="O1961" s="95"/>
      <c r="P1961" s="95"/>
    </row>
    <row r="1962" spans="1:76" s="81" customFormat="1" x14ac:dyDescent="0.25">
      <c r="A1962" s="95"/>
      <c r="B1962" s="95"/>
      <c r="C1962" s="95"/>
      <c r="D1962" s="76" t="s">
        <v>1530</v>
      </c>
      <c r="E1962" s="76" t="s">
        <v>2662</v>
      </c>
      <c r="F1962" s="95"/>
      <c r="G1962" s="96">
        <v>200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ht="25.5" x14ac:dyDescent="0.25">
      <c r="A1963" s="72" t="s">
        <v>2671</v>
      </c>
      <c r="B1963" s="72" t="s">
        <v>55</v>
      </c>
      <c r="C1963" s="72" t="s">
        <v>2672</v>
      </c>
      <c r="D1963" s="175" t="s">
        <v>2673</v>
      </c>
      <c r="E1963" s="175"/>
      <c r="F1963" s="72" t="s">
        <v>192</v>
      </c>
      <c r="G1963" s="90">
        <v>89.4</v>
      </c>
      <c r="H1963" s="91"/>
      <c r="I1963" s="92" t="s">
        <v>63</v>
      </c>
      <c r="J1963" s="90">
        <f>G1963*AO1963</f>
        <v>0</v>
      </c>
      <c r="K1963" s="90">
        <f>G1963*AP1963</f>
        <v>0</v>
      </c>
      <c r="L1963" s="90">
        <f>G1963*H1963</f>
        <v>0</v>
      </c>
      <c r="M1963" s="90">
        <f>L1963*(1+BW1963/100)</f>
        <v>0</v>
      </c>
      <c r="N1963" s="90">
        <v>0</v>
      </c>
      <c r="O1963" s="90">
        <f>G1963*N1963</f>
        <v>0</v>
      </c>
      <c r="P1963" s="92" t="s">
        <v>287</v>
      </c>
      <c r="Z1963" s="93">
        <f>IF(AQ1963="5",BJ1963,0)</f>
        <v>0</v>
      </c>
      <c r="AB1963" s="93">
        <f>IF(AQ1963="1",BH1963,0)</f>
        <v>0</v>
      </c>
      <c r="AC1963" s="93">
        <f>IF(AQ1963="1",BI1963,0)</f>
        <v>0</v>
      </c>
      <c r="AD1963" s="93">
        <f>IF(AQ1963="7",BH1963,0)</f>
        <v>0</v>
      </c>
      <c r="AE1963" s="93">
        <f>IF(AQ1963="7",BI1963,0)</f>
        <v>0</v>
      </c>
      <c r="AF1963" s="93">
        <f>IF(AQ1963="2",BH1963,0)</f>
        <v>0</v>
      </c>
      <c r="AG1963" s="93">
        <f>IF(AQ1963="2",BI1963,0)</f>
        <v>0</v>
      </c>
      <c r="AH1963" s="93">
        <f>IF(AQ1963="0",BJ1963,0)</f>
        <v>0</v>
      </c>
      <c r="AI1963" s="88" t="s">
        <v>55</v>
      </c>
      <c r="AJ1963" s="93">
        <f>IF(AN1963=0,L1963,0)</f>
        <v>0</v>
      </c>
      <c r="AK1963" s="93">
        <f>IF(AN1963=12,L1963,0)</f>
        <v>0</v>
      </c>
      <c r="AL1963" s="93">
        <f>IF(AN1963=21,L1963,0)</f>
        <v>0</v>
      </c>
      <c r="AN1963" s="93">
        <v>21</v>
      </c>
      <c r="AO1963" s="93">
        <f>H1963*1</f>
        <v>0</v>
      </c>
      <c r="AP1963" s="93">
        <f>H1963*(1-1)</f>
        <v>0</v>
      </c>
      <c r="AQ1963" s="94" t="s">
        <v>148</v>
      </c>
      <c r="AV1963" s="93">
        <f>AW1963+AX1963</f>
        <v>0</v>
      </c>
      <c r="AW1963" s="93">
        <f>G1963*AO1963</f>
        <v>0</v>
      </c>
      <c r="AX1963" s="93">
        <f>G1963*AP1963</f>
        <v>0</v>
      </c>
      <c r="AY1963" s="94" t="s">
        <v>2515</v>
      </c>
      <c r="AZ1963" s="94" t="s">
        <v>2252</v>
      </c>
      <c r="BA1963" s="88" t="s">
        <v>67</v>
      </c>
      <c r="BC1963" s="93">
        <f>AW1963+AX1963</f>
        <v>0</v>
      </c>
      <c r="BD1963" s="93">
        <f>H1963/(100-BE1963)*100</f>
        <v>0</v>
      </c>
      <c r="BE1963" s="93">
        <v>0</v>
      </c>
      <c r="BF1963" s="93">
        <f>O1963</f>
        <v>0</v>
      </c>
      <c r="BH1963" s="93">
        <f>G1963*AO1963</f>
        <v>0</v>
      </c>
      <c r="BI1963" s="93">
        <f>G1963*AP1963</f>
        <v>0</v>
      </c>
      <c r="BJ1963" s="93">
        <f>G1963*H1963</f>
        <v>0</v>
      </c>
      <c r="BK1963" s="93"/>
      <c r="BL1963" s="93">
        <v>767</v>
      </c>
      <c r="BW1963" s="93" t="str">
        <f>I1963</f>
        <v>21</v>
      </c>
      <c r="BX1963" s="2" t="s">
        <v>2673</v>
      </c>
    </row>
    <row r="1964" spans="1:76" s="81" customFormat="1" x14ac:dyDescent="0.25">
      <c r="A1964" s="95"/>
      <c r="B1964" s="95"/>
      <c r="C1964" s="95"/>
      <c r="D1964" s="76" t="s">
        <v>54</v>
      </c>
      <c r="E1964" s="76" t="s">
        <v>2668</v>
      </c>
      <c r="F1964" s="95"/>
      <c r="G1964" s="96">
        <v>0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x14ac:dyDescent="0.25">
      <c r="A1965" s="95"/>
      <c r="B1965" s="95"/>
      <c r="C1965" s="95"/>
      <c r="D1965" s="76" t="s">
        <v>412</v>
      </c>
      <c r="E1965" s="76" t="s">
        <v>2674</v>
      </c>
      <c r="F1965" s="95"/>
      <c r="G1965" s="96">
        <v>48</v>
      </c>
      <c r="H1965" s="95"/>
      <c r="I1965" s="95"/>
      <c r="J1965" s="95"/>
      <c r="K1965" s="95"/>
      <c r="L1965" s="95"/>
      <c r="M1965" s="95"/>
      <c r="N1965" s="95"/>
      <c r="O1965" s="95"/>
      <c r="P1965" s="95"/>
    </row>
    <row r="1966" spans="1:76" s="81" customFormat="1" x14ac:dyDescent="0.25">
      <c r="A1966" s="95"/>
      <c r="B1966" s="95"/>
      <c r="C1966" s="95"/>
      <c r="D1966" s="76" t="s">
        <v>2675</v>
      </c>
      <c r="E1966" s="76" t="s">
        <v>2676</v>
      </c>
      <c r="F1966" s="95"/>
      <c r="G1966" s="96">
        <v>41.4</v>
      </c>
      <c r="H1966" s="91"/>
      <c r="I1966" s="95"/>
      <c r="J1966" s="95"/>
      <c r="K1966" s="95"/>
      <c r="L1966" s="95"/>
      <c r="M1966" s="95"/>
      <c r="N1966" s="95"/>
      <c r="O1966" s="95"/>
      <c r="P1966" s="95"/>
    </row>
    <row r="1967" spans="1:76" s="81" customFormat="1" ht="25.5" x14ac:dyDescent="0.25">
      <c r="A1967" s="72" t="s">
        <v>2677</v>
      </c>
      <c r="B1967" s="72" t="s">
        <v>55</v>
      </c>
      <c r="C1967" s="72" t="s">
        <v>2678</v>
      </c>
      <c r="D1967" s="175" t="s">
        <v>2679</v>
      </c>
      <c r="E1967" s="175"/>
      <c r="F1967" s="72" t="s">
        <v>192</v>
      </c>
      <c r="G1967" s="90">
        <v>43.7</v>
      </c>
      <c r="H1967" s="91"/>
      <c r="I1967" s="92" t="s">
        <v>63</v>
      </c>
      <c r="J1967" s="90">
        <f>G1967*AO1967</f>
        <v>0</v>
      </c>
      <c r="K1967" s="90">
        <f>G1967*AP1967</f>
        <v>0</v>
      </c>
      <c r="L1967" s="90">
        <f>G1967*H1967</f>
        <v>0</v>
      </c>
      <c r="M1967" s="90">
        <f>L1967*(1+BW1967/100)</f>
        <v>0</v>
      </c>
      <c r="N1967" s="90">
        <v>0</v>
      </c>
      <c r="O1967" s="90">
        <f>G1967*N1967</f>
        <v>0</v>
      </c>
      <c r="P1967" s="92" t="s">
        <v>287</v>
      </c>
      <c r="Z1967" s="93">
        <f>IF(AQ1967="5",BJ1967,0)</f>
        <v>0</v>
      </c>
      <c r="AB1967" s="93">
        <f>IF(AQ1967="1",BH1967,0)</f>
        <v>0</v>
      </c>
      <c r="AC1967" s="93">
        <f>IF(AQ1967="1",BI1967,0)</f>
        <v>0</v>
      </c>
      <c r="AD1967" s="93">
        <f>IF(AQ1967="7",BH1967,0)</f>
        <v>0</v>
      </c>
      <c r="AE1967" s="93">
        <f>IF(AQ1967="7",BI1967,0)</f>
        <v>0</v>
      </c>
      <c r="AF1967" s="93">
        <f>IF(AQ1967="2",BH1967,0)</f>
        <v>0</v>
      </c>
      <c r="AG1967" s="93">
        <f>IF(AQ1967="2",BI1967,0)</f>
        <v>0</v>
      </c>
      <c r="AH1967" s="93">
        <f>IF(AQ1967="0",BJ1967,0)</f>
        <v>0</v>
      </c>
      <c r="AI1967" s="88" t="s">
        <v>55</v>
      </c>
      <c r="AJ1967" s="93">
        <f>IF(AN1967=0,L1967,0)</f>
        <v>0</v>
      </c>
      <c r="AK1967" s="93">
        <f>IF(AN1967=12,L1967,0)</f>
        <v>0</v>
      </c>
      <c r="AL1967" s="93">
        <f>IF(AN1967=21,L1967,0)</f>
        <v>0</v>
      </c>
      <c r="AN1967" s="93">
        <v>21</v>
      </c>
      <c r="AO1967" s="93">
        <f>H1967*1</f>
        <v>0</v>
      </c>
      <c r="AP1967" s="93">
        <f>H1967*(1-1)</f>
        <v>0</v>
      </c>
      <c r="AQ1967" s="94" t="s">
        <v>148</v>
      </c>
      <c r="AV1967" s="93">
        <f>AW1967+AX1967</f>
        <v>0</v>
      </c>
      <c r="AW1967" s="93">
        <f>G1967*AO1967</f>
        <v>0</v>
      </c>
      <c r="AX1967" s="93">
        <f>G1967*AP1967</f>
        <v>0</v>
      </c>
      <c r="AY1967" s="94" t="s">
        <v>2515</v>
      </c>
      <c r="AZ1967" s="94" t="s">
        <v>2252</v>
      </c>
      <c r="BA1967" s="88" t="s">
        <v>67</v>
      </c>
      <c r="BC1967" s="93">
        <f>AW1967+AX1967</f>
        <v>0</v>
      </c>
      <c r="BD1967" s="93">
        <f>H1967/(100-BE1967)*100</f>
        <v>0</v>
      </c>
      <c r="BE1967" s="93">
        <v>0</v>
      </c>
      <c r="BF1967" s="93">
        <f>O1967</f>
        <v>0</v>
      </c>
      <c r="BH1967" s="93">
        <f>G1967*AO1967</f>
        <v>0</v>
      </c>
      <c r="BI1967" s="93">
        <f>G1967*AP1967</f>
        <v>0</v>
      </c>
      <c r="BJ1967" s="93">
        <f>G1967*H1967</f>
        <v>0</v>
      </c>
      <c r="BK1967" s="93"/>
      <c r="BL1967" s="93">
        <v>767</v>
      </c>
      <c r="BW1967" s="93" t="str">
        <f>I1967</f>
        <v>21</v>
      </c>
      <c r="BX1967" s="2" t="s">
        <v>2679</v>
      </c>
    </row>
    <row r="1968" spans="1:76" s="81" customFormat="1" x14ac:dyDescent="0.25">
      <c r="A1968" s="95"/>
      <c r="B1968" s="95"/>
      <c r="C1968" s="95"/>
      <c r="D1968" s="76" t="s">
        <v>54</v>
      </c>
      <c r="E1968" s="76" t="s">
        <v>2668</v>
      </c>
      <c r="F1968" s="95"/>
      <c r="G1968" s="96">
        <v>0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x14ac:dyDescent="0.25">
      <c r="A1969" s="95"/>
      <c r="B1969" s="95"/>
      <c r="C1969" s="95"/>
      <c r="D1969" s="76" t="s">
        <v>2680</v>
      </c>
      <c r="E1969" s="76" t="s">
        <v>2662</v>
      </c>
      <c r="F1969" s="95"/>
      <c r="G1969" s="96">
        <v>43.7</v>
      </c>
      <c r="H1969" s="95"/>
      <c r="I1969" s="95"/>
      <c r="J1969" s="95"/>
      <c r="K1969" s="95"/>
      <c r="L1969" s="95"/>
      <c r="M1969" s="95"/>
      <c r="N1969" s="95"/>
      <c r="O1969" s="95"/>
      <c r="P1969" s="95"/>
    </row>
    <row r="1970" spans="1:76" s="81" customFormat="1" ht="25.5" x14ac:dyDescent="0.25">
      <c r="A1970" s="72" t="s">
        <v>2681</v>
      </c>
      <c r="B1970" s="72" t="s">
        <v>55</v>
      </c>
      <c r="C1970" s="72" t="s">
        <v>2682</v>
      </c>
      <c r="D1970" s="175" t="s">
        <v>2683</v>
      </c>
      <c r="E1970" s="175"/>
      <c r="F1970" s="72" t="s">
        <v>192</v>
      </c>
      <c r="G1970" s="90">
        <v>87.6</v>
      </c>
      <c r="H1970" s="91"/>
      <c r="I1970" s="92" t="s">
        <v>63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0</v>
      </c>
      <c r="O1970" s="90">
        <f>G1970*N1970</f>
        <v>0</v>
      </c>
      <c r="P1970" s="92" t="s">
        <v>287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55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H1970*1</f>
        <v>0</v>
      </c>
      <c r="AP1970" s="93">
        <f>H1970*(1-1)</f>
        <v>0</v>
      </c>
      <c r="AQ1970" s="94" t="s">
        <v>148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2515</v>
      </c>
      <c r="AZ1970" s="94" t="s">
        <v>2252</v>
      </c>
      <c r="BA1970" s="88" t="s">
        <v>67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0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2683</v>
      </c>
    </row>
    <row r="1971" spans="1:76" s="81" customFormat="1" x14ac:dyDescent="0.25">
      <c r="A1971" s="95"/>
      <c r="B1971" s="95"/>
      <c r="C1971" s="95"/>
      <c r="D1971" s="76" t="s">
        <v>54</v>
      </c>
      <c r="E1971" s="76" t="s">
        <v>2668</v>
      </c>
      <c r="F1971" s="95"/>
      <c r="G1971" s="96">
        <v>0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95"/>
      <c r="B1972" s="95"/>
      <c r="C1972" s="95"/>
      <c r="D1972" s="76" t="s">
        <v>2684</v>
      </c>
      <c r="E1972" s="76" t="s">
        <v>2662</v>
      </c>
      <c r="F1972" s="95"/>
      <c r="G1972" s="96">
        <v>87.6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ht="25.5" x14ac:dyDescent="0.25">
      <c r="A1973" s="72" t="s">
        <v>2685</v>
      </c>
      <c r="B1973" s="72" t="s">
        <v>55</v>
      </c>
      <c r="C1973" s="72" t="s">
        <v>2686</v>
      </c>
      <c r="D1973" s="175" t="s">
        <v>2687</v>
      </c>
      <c r="E1973" s="175"/>
      <c r="F1973" s="72" t="s">
        <v>192</v>
      </c>
      <c r="G1973" s="90">
        <v>18.2</v>
      </c>
      <c r="H1973" s="91"/>
      <c r="I1973" s="92" t="s">
        <v>63</v>
      </c>
      <c r="J1973" s="90">
        <f>G1973*AO1973</f>
        <v>0</v>
      </c>
      <c r="K1973" s="90">
        <f>G1973*AP1973</f>
        <v>0</v>
      </c>
      <c r="L1973" s="90">
        <f>G1973*H1973</f>
        <v>0</v>
      </c>
      <c r="M1973" s="90">
        <f>L1973*(1+BW1973/100)</f>
        <v>0</v>
      </c>
      <c r="N1973" s="90">
        <v>0</v>
      </c>
      <c r="O1973" s="90">
        <f>G1973*N1973</f>
        <v>0</v>
      </c>
      <c r="P1973" s="92" t="s">
        <v>287</v>
      </c>
      <c r="Z1973" s="93">
        <f>IF(AQ1973="5",BJ1973,0)</f>
        <v>0</v>
      </c>
      <c r="AB1973" s="93">
        <f>IF(AQ1973="1",BH1973,0)</f>
        <v>0</v>
      </c>
      <c r="AC1973" s="93">
        <f>IF(AQ1973="1",BI1973,0)</f>
        <v>0</v>
      </c>
      <c r="AD1973" s="93">
        <f>IF(AQ1973="7",BH1973,0)</f>
        <v>0</v>
      </c>
      <c r="AE1973" s="93">
        <f>IF(AQ1973="7",BI1973,0)</f>
        <v>0</v>
      </c>
      <c r="AF1973" s="93">
        <f>IF(AQ1973="2",BH1973,0)</f>
        <v>0</v>
      </c>
      <c r="AG1973" s="93">
        <f>IF(AQ1973="2",BI1973,0)</f>
        <v>0</v>
      </c>
      <c r="AH1973" s="93">
        <f>IF(AQ1973="0",BJ1973,0)</f>
        <v>0</v>
      </c>
      <c r="AI1973" s="88" t="s">
        <v>55</v>
      </c>
      <c r="AJ1973" s="93">
        <f>IF(AN1973=0,L1973,0)</f>
        <v>0</v>
      </c>
      <c r="AK1973" s="93">
        <f>IF(AN1973=12,L1973,0)</f>
        <v>0</v>
      </c>
      <c r="AL1973" s="93">
        <f>IF(AN1973=21,L1973,0)</f>
        <v>0</v>
      </c>
      <c r="AN1973" s="93">
        <v>21</v>
      </c>
      <c r="AO1973" s="93">
        <f>H1973*1</f>
        <v>0</v>
      </c>
      <c r="AP1973" s="93">
        <f>H1973*(1-1)</f>
        <v>0</v>
      </c>
      <c r="AQ1973" s="94" t="s">
        <v>148</v>
      </c>
      <c r="AV1973" s="93">
        <f>AW1973+AX1973</f>
        <v>0</v>
      </c>
      <c r="AW1973" s="93">
        <f>G1973*AO1973</f>
        <v>0</v>
      </c>
      <c r="AX1973" s="93">
        <f>G1973*AP1973</f>
        <v>0</v>
      </c>
      <c r="AY1973" s="94" t="s">
        <v>2515</v>
      </c>
      <c r="AZ1973" s="94" t="s">
        <v>2252</v>
      </c>
      <c r="BA1973" s="88" t="s">
        <v>67</v>
      </c>
      <c r="BC1973" s="93">
        <f>AW1973+AX1973</f>
        <v>0</v>
      </c>
      <c r="BD1973" s="93">
        <f>H1973/(100-BE1973)*100</f>
        <v>0</v>
      </c>
      <c r="BE1973" s="93">
        <v>0</v>
      </c>
      <c r="BF1973" s="93">
        <f>O1973</f>
        <v>0</v>
      </c>
      <c r="BH1973" s="93">
        <f>G1973*AO1973</f>
        <v>0</v>
      </c>
      <c r="BI1973" s="93">
        <f>G1973*AP1973</f>
        <v>0</v>
      </c>
      <c r="BJ1973" s="93">
        <f>G1973*H1973</f>
        <v>0</v>
      </c>
      <c r="BK1973" s="93"/>
      <c r="BL1973" s="93">
        <v>767</v>
      </c>
      <c r="BW1973" s="93" t="str">
        <f>I1973</f>
        <v>21</v>
      </c>
      <c r="BX1973" s="2" t="s">
        <v>2687</v>
      </c>
    </row>
    <row r="1974" spans="1:76" s="81" customFormat="1" x14ac:dyDescent="0.25">
      <c r="A1974" s="95"/>
      <c r="B1974" s="95"/>
      <c r="C1974" s="95"/>
      <c r="D1974" s="76" t="s">
        <v>54</v>
      </c>
      <c r="E1974" s="76" t="s">
        <v>2668</v>
      </c>
      <c r="F1974" s="95"/>
      <c r="G1974" s="96">
        <v>0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x14ac:dyDescent="0.25">
      <c r="A1975" s="95"/>
      <c r="B1975" s="95"/>
      <c r="C1975" s="95"/>
      <c r="D1975" s="76" t="s">
        <v>2688</v>
      </c>
      <c r="E1975" s="76" t="s">
        <v>2674</v>
      </c>
      <c r="F1975" s="95"/>
      <c r="G1975" s="96">
        <v>18.2</v>
      </c>
      <c r="H1975" s="95"/>
      <c r="I1975" s="95"/>
      <c r="J1975" s="95"/>
      <c r="K1975" s="95"/>
      <c r="L1975" s="95"/>
      <c r="M1975" s="95"/>
      <c r="N1975" s="95"/>
      <c r="O1975" s="95"/>
      <c r="P1975" s="95"/>
    </row>
    <row r="1976" spans="1:76" s="81" customFormat="1" ht="25.5" x14ac:dyDescent="0.25">
      <c r="A1976" s="72" t="s">
        <v>2689</v>
      </c>
      <c r="B1976" s="72" t="s">
        <v>55</v>
      </c>
      <c r="C1976" s="72" t="s">
        <v>2690</v>
      </c>
      <c r="D1976" s="175" t="s">
        <v>2691</v>
      </c>
      <c r="E1976" s="175"/>
      <c r="F1976" s="72" t="s">
        <v>192</v>
      </c>
      <c r="G1976" s="90">
        <v>13</v>
      </c>
      <c r="H1976" s="91"/>
      <c r="I1976" s="92" t="s">
        <v>63</v>
      </c>
      <c r="J1976" s="90">
        <f>G1976*AO1976</f>
        <v>0</v>
      </c>
      <c r="K1976" s="90">
        <f>G1976*AP1976</f>
        <v>0</v>
      </c>
      <c r="L1976" s="90">
        <f>G1976*H1976</f>
        <v>0</v>
      </c>
      <c r="M1976" s="90">
        <f>L1976*(1+BW1976/100)</f>
        <v>0</v>
      </c>
      <c r="N1976" s="90">
        <v>0</v>
      </c>
      <c r="O1976" s="90">
        <f>G1976*N1976</f>
        <v>0</v>
      </c>
      <c r="P1976" s="92" t="s">
        <v>287</v>
      </c>
      <c r="Z1976" s="93">
        <f>IF(AQ1976="5",BJ1976,0)</f>
        <v>0</v>
      </c>
      <c r="AB1976" s="93">
        <f>IF(AQ1976="1",BH1976,0)</f>
        <v>0</v>
      </c>
      <c r="AC1976" s="93">
        <f>IF(AQ1976="1",BI1976,0)</f>
        <v>0</v>
      </c>
      <c r="AD1976" s="93">
        <f>IF(AQ1976="7",BH1976,0)</f>
        <v>0</v>
      </c>
      <c r="AE1976" s="93">
        <f>IF(AQ1976="7",BI1976,0)</f>
        <v>0</v>
      </c>
      <c r="AF1976" s="93">
        <f>IF(AQ1976="2",BH1976,0)</f>
        <v>0</v>
      </c>
      <c r="AG1976" s="93">
        <f>IF(AQ1976="2",BI1976,0)</f>
        <v>0</v>
      </c>
      <c r="AH1976" s="93">
        <f>IF(AQ1976="0",BJ1976,0)</f>
        <v>0</v>
      </c>
      <c r="AI1976" s="88" t="s">
        <v>55</v>
      </c>
      <c r="AJ1976" s="93">
        <f>IF(AN1976=0,L1976,0)</f>
        <v>0</v>
      </c>
      <c r="AK1976" s="93">
        <f>IF(AN1976=12,L1976,0)</f>
        <v>0</v>
      </c>
      <c r="AL1976" s="93">
        <f>IF(AN1976=21,L1976,0)</f>
        <v>0</v>
      </c>
      <c r="AN1976" s="93">
        <v>21</v>
      </c>
      <c r="AO1976" s="93">
        <f>H1976*1</f>
        <v>0</v>
      </c>
      <c r="AP1976" s="93">
        <f>H1976*(1-1)</f>
        <v>0</v>
      </c>
      <c r="AQ1976" s="94" t="s">
        <v>148</v>
      </c>
      <c r="AV1976" s="93">
        <f>AW1976+AX1976</f>
        <v>0</v>
      </c>
      <c r="AW1976" s="93">
        <f>G1976*AO1976</f>
        <v>0</v>
      </c>
      <c r="AX1976" s="93">
        <f>G1976*AP1976</f>
        <v>0</v>
      </c>
      <c r="AY1976" s="94" t="s">
        <v>2515</v>
      </c>
      <c r="AZ1976" s="94" t="s">
        <v>2252</v>
      </c>
      <c r="BA1976" s="88" t="s">
        <v>67</v>
      </c>
      <c r="BC1976" s="93">
        <f>AW1976+AX1976</f>
        <v>0</v>
      </c>
      <c r="BD1976" s="93">
        <f>H1976/(100-BE1976)*100</f>
        <v>0</v>
      </c>
      <c r="BE1976" s="93">
        <v>0</v>
      </c>
      <c r="BF1976" s="93">
        <f>O1976</f>
        <v>0</v>
      </c>
      <c r="BH1976" s="93">
        <f>G1976*AO1976</f>
        <v>0</v>
      </c>
      <c r="BI1976" s="93">
        <f>G1976*AP1976</f>
        <v>0</v>
      </c>
      <c r="BJ1976" s="93">
        <f>G1976*H1976</f>
        <v>0</v>
      </c>
      <c r="BK1976" s="93"/>
      <c r="BL1976" s="93">
        <v>767</v>
      </c>
      <c r="BW1976" s="93" t="str">
        <f>I1976</f>
        <v>21</v>
      </c>
      <c r="BX1976" s="2" t="s">
        <v>2691</v>
      </c>
    </row>
    <row r="1977" spans="1:76" s="81" customFormat="1" x14ac:dyDescent="0.25">
      <c r="A1977" s="95"/>
      <c r="B1977" s="95"/>
      <c r="C1977" s="95"/>
      <c r="D1977" s="76" t="s">
        <v>54</v>
      </c>
      <c r="E1977" s="76" t="s">
        <v>2668</v>
      </c>
      <c r="F1977" s="95"/>
      <c r="G1977" s="96">
        <v>0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95"/>
      <c r="B1978" s="95"/>
      <c r="C1978" s="95"/>
      <c r="D1978" s="76" t="s">
        <v>57</v>
      </c>
      <c r="E1978" s="76" t="s">
        <v>2674</v>
      </c>
      <c r="F1978" s="95"/>
      <c r="G1978" s="96">
        <v>13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72" t="s">
        <v>2692</v>
      </c>
      <c r="B1979" s="72" t="s">
        <v>55</v>
      </c>
      <c r="C1979" s="72" t="s">
        <v>2690</v>
      </c>
      <c r="D1979" s="175" t="s">
        <v>2691</v>
      </c>
      <c r="E1979" s="175"/>
      <c r="F1979" s="72" t="s">
        <v>192</v>
      </c>
      <c r="G1979" s="90">
        <v>13</v>
      </c>
      <c r="H1979" s="91"/>
      <c r="I1979" s="92" t="s">
        <v>63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287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55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148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2515</v>
      </c>
      <c r="AZ1979" s="94" t="s">
        <v>2252</v>
      </c>
      <c r="BA1979" s="88" t="s">
        <v>67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2691</v>
      </c>
    </row>
    <row r="1980" spans="1:76" s="81" customFormat="1" x14ac:dyDescent="0.25">
      <c r="A1980" s="95"/>
      <c r="B1980" s="95"/>
      <c r="C1980" s="95"/>
      <c r="D1980" s="76" t="s">
        <v>54</v>
      </c>
      <c r="E1980" s="76" t="s">
        <v>2668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95"/>
      <c r="B1981" s="95"/>
      <c r="C1981" s="95"/>
      <c r="D1981" s="76" t="s">
        <v>57</v>
      </c>
      <c r="E1981" s="76" t="s">
        <v>2674</v>
      </c>
      <c r="F1981" s="95"/>
      <c r="G1981" s="96">
        <v>13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72" t="s">
        <v>2693</v>
      </c>
      <c r="B1982" s="72" t="s">
        <v>55</v>
      </c>
      <c r="C1982" s="72" t="s">
        <v>2694</v>
      </c>
      <c r="D1982" s="175" t="s">
        <v>2691</v>
      </c>
      <c r="E1982" s="175"/>
      <c r="F1982" s="72" t="s">
        <v>192</v>
      </c>
      <c r="G1982" s="90">
        <v>13</v>
      </c>
      <c r="H1982" s="91"/>
      <c r="I1982" s="92" t="s">
        <v>63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287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55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148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2515</v>
      </c>
      <c r="AZ1982" s="94" t="s">
        <v>2252</v>
      </c>
      <c r="BA1982" s="88" t="s">
        <v>67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2691</v>
      </c>
    </row>
    <row r="1983" spans="1:76" s="81" customFormat="1" x14ac:dyDescent="0.25">
      <c r="A1983" s="95"/>
      <c r="B1983" s="95"/>
      <c r="C1983" s="95"/>
      <c r="D1983" s="76" t="s">
        <v>54</v>
      </c>
      <c r="E1983" s="76" t="s">
        <v>2668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95"/>
      <c r="B1984" s="95"/>
      <c r="C1984" s="95"/>
      <c r="D1984" s="76" t="s">
        <v>57</v>
      </c>
      <c r="E1984" s="76" t="s">
        <v>2674</v>
      </c>
      <c r="F1984" s="95"/>
      <c r="G1984" s="96">
        <v>13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ht="25.5" x14ac:dyDescent="0.25">
      <c r="A1985" s="72" t="s">
        <v>2695</v>
      </c>
      <c r="B1985" s="72" t="s">
        <v>55</v>
      </c>
      <c r="C1985" s="72" t="s">
        <v>2696</v>
      </c>
      <c r="D1985" s="175" t="s">
        <v>2691</v>
      </c>
      <c r="E1985" s="175"/>
      <c r="F1985" s="72" t="s">
        <v>192</v>
      </c>
      <c r="G1985" s="90">
        <v>14.9</v>
      </c>
      <c r="H1985" s="91"/>
      <c r="I1985" s="92" t="s">
        <v>63</v>
      </c>
      <c r="J1985" s="90">
        <f>G1985*AO1985</f>
        <v>0</v>
      </c>
      <c r="K1985" s="90">
        <f>G1985*AP1985</f>
        <v>0</v>
      </c>
      <c r="L1985" s="90">
        <f>G1985*H1985</f>
        <v>0</v>
      </c>
      <c r="M1985" s="90">
        <f>L1985*(1+BW1985/100)</f>
        <v>0</v>
      </c>
      <c r="N1985" s="90">
        <v>0</v>
      </c>
      <c r="O1985" s="90">
        <f>G1985*N1985</f>
        <v>0</v>
      </c>
      <c r="P1985" s="92" t="s">
        <v>287</v>
      </c>
      <c r="Z1985" s="93">
        <f>IF(AQ1985="5",BJ1985,0)</f>
        <v>0</v>
      </c>
      <c r="AB1985" s="93">
        <f>IF(AQ1985="1",BH1985,0)</f>
        <v>0</v>
      </c>
      <c r="AC1985" s="93">
        <f>IF(AQ1985="1",BI1985,0)</f>
        <v>0</v>
      </c>
      <c r="AD1985" s="93">
        <f>IF(AQ1985="7",BH1985,0)</f>
        <v>0</v>
      </c>
      <c r="AE1985" s="93">
        <f>IF(AQ1985="7",BI1985,0)</f>
        <v>0</v>
      </c>
      <c r="AF1985" s="93">
        <f>IF(AQ1985="2",BH1985,0)</f>
        <v>0</v>
      </c>
      <c r="AG1985" s="93">
        <f>IF(AQ1985="2",BI1985,0)</f>
        <v>0</v>
      </c>
      <c r="AH1985" s="93">
        <f>IF(AQ1985="0",BJ1985,0)</f>
        <v>0</v>
      </c>
      <c r="AI1985" s="88" t="s">
        <v>55</v>
      </c>
      <c r="AJ1985" s="93">
        <f>IF(AN1985=0,L1985,0)</f>
        <v>0</v>
      </c>
      <c r="AK1985" s="93">
        <f>IF(AN1985=12,L1985,0)</f>
        <v>0</v>
      </c>
      <c r="AL1985" s="93">
        <f>IF(AN1985=21,L1985,0)</f>
        <v>0</v>
      </c>
      <c r="AN1985" s="93">
        <v>21</v>
      </c>
      <c r="AO1985" s="93">
        <f>H1985*1</f>
        <v>0</v>
      </c>
      <c r="AP1985" s="93">
        <f>H1985*(1-1)</f>
        <v>0</v>
      </c>
      <c r="AQ1985" s="94" t="s">
        <v>148</v>
      </c>
      <c r="AV1985" s="93">
        <f>AW1985+AX1985</f>
        <v>0</v>
      </c>
      <c r="AW1985" s="93">
        <f>G1985*AO1985</f>
        <v>0</v>
      </c>
      <c r="AX1985" s="93">
        <f>G1985*AP1985</f>
        <v>0</v>
      </c>
      <c r="AY1985" s="94" t="s">
        <v>2515</v>
      </c>
      <c r="AZ1985" s="94" t="s">
        <v>2252</v>
      </c>
      <c r="BA1985" s="88" t="s">
        <v>67</v>
      </c>
      <c r="BC1985" s="93">
        <f>AW1985+AX1985</f>
        <v>0</v>
      </c>
      <c r="BD1985" s="93">
        <f>H1985/(100-BE1985)*100</f>
        <v>0</v>
      </c>
      <c r="BE1985" s="93">
        <v>0</v>
      </c>
      <c r="BF1985" s="93">
        <f>O1985</f>
        <v>0</v>
      </c>
      <c r="BH1985" s="93">
        <f>G1985*AO1985</f>
        <v>0</v>
      </c>
      <c r="BI1985" s="93">
        <f>G1985*AP1985</f>
        <v>0</v>
      </c>
      <c r="BJ1985" s="93">
        <f>G1985*H1985</f>
        <v>0</v>
      </c>
      <c r="BK1985" s="93"/>
      <c r="BL1985" s="93">
        <v>767</v>
      </c>
      <c r="BW1985" s="93" t="str">
        <f>I1985</f>
        <v>21</v>
      </c>
      <c r="BX1985" s="2" t="s">
        <v>2691</v>
      </c>
    </row>
    <row r="1986" spans="1:76" s="81" customFormat="1" x14ac:dyDescent="0.25">
      <c r="A1986" s="95"/>
      <c r="B1986" s="95"/>
      <c r="C1986" s="95"/>
      <c r="D1986" s="76" t="s">
        <v>54</v>
      </c>
      <c r="E1986" s="76" t="s">
        <v>2668</v>
      </c>
      <c r="F1986" s="95"/>
      <c r="G1986" s="96">
        <v>0</v>
      </c>
      <c r="H1986" s="95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x14ac:dyDescent="0.25">
      <c r="A1987" s="95"/>
      <c r="B1987" s="95"/>
      <c r="C1987" s="95"/>
      <c r="D1987" s="76" t="s">
        <v>2697</v>
      </c>
      <c r="E1987" s="76" t="s">
        <v>2674</v>
      </c>
      <c r="F1987" s="95"/>
      <c r="G1987" s="96">
        <v>14.9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ht="25.5" x14ac:dyDescent="0.25">
      <c r="A1988" s="72" t="s">
        <v>2698</v>
      </c>
      <c r="B1988" s="72" t="s">
        <v>55</v>
      </c>
      <c r="C1988" s="72" t="s">
        <v>2699</v>
      </c>
      <c r="D1988" s="175" t="s">
        <v>2691</v>
      </c>
      <c r="E1988" s="175"/>
      <c r="F1988" s="72" t="s">
        <v>192</v>
      </c>
      <c r="G1988" s="90">
        <v>14.1</v>
      </c>
      <c r="H1988" s="91"/>
      <c r="I1988" s="92" t="s">
        <v>63</v>
      </c>
      <c r="J1988" s="90">
        <f>G1988*AO1988</f>
        <v>0</v>
      </c>
      <c r="K1988" s="90">
        <f>G1988*AP1988</f>
        <v>0</v>
      </c>
      <c r="L1988" s="90">
        <f>G1988*H1988</f>
        <v>0</v>
      </c>
      <c r="M1988" s="90">
        <f>L1988*(1+BW1988/100)</f>
        <v>0</v>
      </c>
      <c r="N1988" s="90">
        <v>0</v>
      </c>
      <c r="O1988" s="90">
        <f>G1988*N1988</f>
        <v>0</v>
      </c>
      <c r="P1988" s="92" t="s">
        <v>287</v>
      </c>
      <c r="Z1988" s="93">
        <f>IF(AQ1988="5",BJ1988,0)</f>
        <v>0</v>
      </c>
      <c r="AB1988" s="93">
        <f>IF(AQ1988="1",BH1988,0)</f>
        <v>0</v>
      </c>
      <c r="AC1988" s="93">
        <f>IF(AQ1988="1",BI1988,0)</f>
        <v>0</v>
      </c>
      <c r="AD1988" s="93">
        <f>IF(AQ1988="7",BH1988,0)</f>
        <v>0</v>
      </c>
      <c r="AE1988" s="93">
        <f>IF(AQ1988="7",BI1988,0)</f>
        <v>0</v>
      </c>
      <c r="AF1988" s="93">
        <f>IF(AQ1988="2",BH1988,0)</f>
        <v>0</v>
      </c>
      <c r="AG1988" s="93">
        <f>IF(AQ1988="2",BI1988,0)</f>
        <v>0</v>
      </c>
      <c r="AH1988" s="93">
        <f>IF(AQ1988="0",BJ1988,0)</f>
        <v>0</v>
      </c>
      <c r="AI1988" s="88" t="s">
        <v>55</v>
      </c>
      <c r="AJ1988" s="93">
        <f>IF(AN1988=0,L1988,0)</f>
        <v>0</v>
      </c>
      <c r="AK1988" s="93">
        <f>IF(AN1988=12,L1988,0)</f>
        <v>0</v>
      </c>
      <c r="AL1988" s="93">
        <f>IF(AN1988=21,L1988,0)</f>
        <v>0</v>
      </c>
      <c r="AN1988" s="93">
        <v>21</v>
      </c>
      <c r="AO1988" s="93">
        <f>H1988*1</f>
        <v>0</v>
      </c>
      <c r="AP1988" s="93">
        <f>H1988*(1-1)</f>
        <v>0</v>
      </c>
      <c r="AQ1988" s="94" t="s">
        <v>148</v>
      </c>
      <c r="AV1988" s="93">
        <f>AW1988+AX1988</f>
        <v>0</v>
      </c>
      <c r="AW1988" s="93">
        <f>G1988*AO1988</f>
        <v>0</v>
      </c>
      <c r="AX1988" s="93">
        <f>G1988*AP1988</f>
        <v>0</v>
      </c>
      <c r="AY1988" s="94" t="s">
        <v>2515</v>
      </c>
      <c r="AZ1988" s="94" t="s">
        <v>2252</v>
      </c>
      <c r="BA1988" s="88" t="s">
        <v>67</v>
      </c>
      <c r="BC1988" s="93">
        <f>AW1988+AX1988</f>
        <v>0</v>
      </c>
      <c r="BD1988" s="93">
        <f>H1988/(100-BE1988)*100</f>
        <v>0</v>
      </c>
      <c r="BE1988" s="93">
        <v>0</v>
      </c>
      <c r="BF1988" s="93">
        <f>O1988</f>
        <v>0</v>
      </c>
      <c r="BH1988" s="93">
        <f>G1988*AO1988</f>
        <v>0</v>
      </c>
      <c r="BI1988" s="93">
        <f>G1988*AP1988</f>
        <v>0</v>
      </c>
      <c r="BJ1988" s="93">
        <f>G1988*H1988</f>
        <v>0</v>
      </c>
      <c r="BK1988" s="93"/>
      <c r="BL1988" s="93">
        <v>767</v>
      </c>
      <c r="BW1988" s="93" t="str">
        <f>I1988</f>
        <v>21</v>
      </c>
      <c r="BX1988" s="2" t="s">
        <v>2691</v>
      </c>
    </row>
    <row r="1989" spans="1:76" s="81" customFormat="1" x14ac:dyDescent="0.25">
      <c r="A1989" s="95"/>
      <c r="B1989" s="95"/>
      <c r="C1989" s="95"/>
      <c r="D1989" s="76" t="s">
        <v>54</v>
      </c>
      <c r="E1989" s="76" t="s">
        <v>2668</v>
      </c>
      <c r="F1989" s="95"/>
      <c r="G1989" s="96">
        <v>0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x14ac:dyDescent="0.25">
      <c r="A1990" s="95"/>
      <c r="B1990" s="95"/>
      <c r="C1990" s="95"/>
      <c r="D1990" s="76" t="s">
        <v>2700</v>
      </c>
      <c r="E1990" s="76" t="s">
        <v>2674</v>
      </c>
      <c r="F1990" s="95"/>
      <c r="G1990" s="96">
        <v>14.1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ht="25.5" x14ac:dyDescent="0.25">
      <c r="A1991" s="72" t="s">
        <v>2701</v>
      </c>
      <c r="B1991" s="72" t="s">
        <v>55</v>
      </c>
      <c r="C1991" s="72" t="s">
        <v>2702</v>
      </c>
      <c r="D1991" s="175" t="s">
        <v>2703</v>
      </c>
      <c r="E1991" s="175"/>
      <c r="F1991" s="72" t="s">
        <v>1449</v>
      </c>
      <c r="G1991" s="91"/>
      <c r="H1991" s="91"/>
      <c r="I1991" s="92" t="s">
        <v>63</v>
      </c>
      <c r="J1991" s="90">
        <f>G1991*AO1991</f>
        <v>0</v>
      </c>
      <c r="K1991" s="90">
        <f>G1991*AP1991</f>
        <v>0</v>
      </c>
      <c r="L1991" s="90">
        <f>G1991*H1991</f>
        <v>0</v>
      </c>
      <c r="M1991" s="90">
        <f>L1991*(1+BW1991/100)</f>
        <v>0</v>
      </c>
      <c r="N1991" s="90">
        <v>0</v>
      </c>
      <c r="O1991" s="90">
        <f>G1991*N1991</f>
        <v>0</v>
      </c>
      <c r="P1991" s="92" t="s">
        <v>64</v>
      </c>
      <c r="Z1991" s="93">
        <f>IF(AQ1991="5",BJ1991,0)</f>
        <v>0</v>
      </c>
      <c r="AB1991" s="93">
        <f>IF(AQ1991="1",BH1991,0)</f>
        <v>0</v>
      </c>
      <c r="AC1991" s="93">
        <f>IF(AQ1991="1",BI1991,0)</f>
        <v>0</v>
      </c>
      <c r="AD1991" s="93">
        <f>IF(AQ1991="7",BH1991,0)</f>
        <v>0</v>
      </c>
      <c r="AE1991" s="93">
        <f>IF(AQ1991="7",BI1991,0)</f>
        <v>0</v>
      </c>
      <c r="AF1991" s="93">
        <f>IF(AQ1991="2",BH1991,0)</f>
        <v>0</v>
      </c>
      <c r="AG1991" s="93">
        <f>IF(AQ1991="2",BI1991,0)</f>
        <v>0</v>
      </c>
      <c r="AH1991" s="93">
        <f>IF(AQ1991="0",BJ1991,0)</f>
        <v>0</v>
      </c>
      <c r="AI1991" s="88" t="s">
        <v>55</v>
      </c>
      <c r="AJ1991" s="93">
        <f>IF(AN1991=0,L1991,0)</f>
        <v>0</v>
      </c>
      <c r="AK1991" s="93">
        <f>IF(AN1991=12,L1991,0)</f>
        <v>0</v>
      </c>
      <c r="AL1991" s="93">
        <f>IF(AN1991=21,L1991,0)</f>
        <v>0</v>
      </c>
      <c r="AN1991" s="93">
        <v>21</v>
      </c>
      <c r="AO1991" s="93">
        <f>H1991*0</f>
        <v>0</v>
      </c>
      <c r="AP1991" s="93">
        <f>H1991*(1-0)</f>
        <v>0</v>
      </c>
      <c r="AQ1991" s="94" t="s">
        <v>136</v>
      </c>
      <c r="AV1991" s="93">
        <f>AW1991+AX1991</f>
        <v>0</v>
      </c>
      <c r="AW1991" s="93">
        <f>G1991*AO1991</f>
        <v>0</v>
      </c>
      <c r="AX1991" s="93">
        <f>G1991*AP1991</f>
        <v>0</v>
      </c>
      <c r="AY1991" s="94" t="s">
        <v>2515</v>
      </c>
      <c r="AZ1991" s="94" t="s">
        <v>2252</v>
      </c>
      <c r="BA1991" s="88" t="s">
        <v>67</v>
      </c>
      <c r="BC1991" s="93">
        <f>AW1991+AX1991</f>
        <v>0</v>
      </c>
      <c r="BD1991" s="93">
        <f>H1991/(100-BE1991)*100</f>
        <v>0</v>
      </c>
      <c r="BE1991" s="93">
        <v>0</v>
      </c>
      <c r="BF1991" s="93">
        <f>O1991</f>
        <v>0</v>
      </c>
      <c r="BH1991" s="93">
        <f>G1991*AO1991</f>
        <v>0</v>
      </c>
      <c r="BI1991" s="93">
        <f>G1991*AP1991</f>
        <v>0</v>
      </c>
      <c r="BJ1991" s="93">
        <f>G1991*H1991</f>
        <v>0</v>
      </c>
      <c r="BK1991" s="93"/>
      <c r="BL1991" s="93">
        <v>767</v>
      </c>
      <c r="BW1991" s="93" t="str">
        <f>I1991</f>
        <v>21</v>
      </c>
      <c r="BX1991" s="2" t="s">
        <v>2703</v>
      </c>
    </row>
    <row r="1992" spans="1:76" s="81" customFormat="1" x14ac:dyDescent="0.25">
      <c r="A1992" s="85" t="s">
        <v>54</v>
      </c>
      <c r="B1992" s="74" t="s">
        <v>55</v>
      </c>
      <c r="C1992" s="74" t="s">
        <v>2704</v>
      </c>
      <c r="D1992" s="176" t="s">
        <v>2705</v>
      </c>
      <c r="E1992" s="176"/>
      <c r="F1992" s="85" t="s">
        <v>4</v>
      </c>
      <c r="G1992" s="85" t="s">
        <v>4</v>
      </c>
      <c r="H1992" s="85" t="s">
        <v>4</v>
      </c>
      <c r="I1992" s="85" t="s">
        <v>4</v>
      </c>
      <c r="J1992" s="86">
        <f>SUM(J1993:J2024)</f>
        <v>0</v>
      </c>
      <c r="K1992" s="86">
        <f>SUM(K1993:K2024)</f>
        <v>0</v>
      </c>
      <c r="L1992" s="86">
        <f>SUM(L1993:L2024)</f>
        <v>0</v>
      </c>
      <c r="M1992" s="86">
        <f>SUM(M1993:M2024)</f>
        <v>0</v>
      </c>
      <c r="N1992" s="87" t="s">
        <v>54</v>
      </c>
      <c r="O1992" s="86">
        <f>SUM(O1993:O2024)</f>
        <v>4.6041713600000005</v>
      </c>
      <c r="P1992" s="87" t="s">
        <v>54</v>
      </c>
      <c r="AI1992" s="88" t="s">
        <v>55</v>
      </c>
      <c r="AS1992" s="89">
        <f>SUM(AJ1993:AJ2024)</f>
        <v>0</v>
      </c>
      <c r="AT1992" s="89">
        <f>SUM(AK1993:AK2024)</f>
        <v>0</v>
      </c>
      <c r="AU1992" s="89">
        <f>SUM(AL1993:AL2024)</f>
        <v>0</v>
      </c>
    </row>
    <row r="1993" spans="1:76" s="81" customFormat="1" ht="25.5" x14ac:dyDescent="0.25">
      <c r="A1993" s="72" t="s">
        <v>2706</v>
      </c>
      <c r="B1993" s="72" t="s">
        <v>55</v>
      </c>
      <c r="C1993" s="72" t="s">
        <v>2707</v>
      </c>
      <c r="D1993" s="175" t="s">
        <v>2708</v>
      </c>
      <c r="E1993" s="175"/>
      <c r="F1993" s="72" t="s">
        <v>192</v>
      </c>
      <c r="G1993" s="90">
        <v>162.6</v>
      </c>
      <c r="H1993" s="91"/>
      <c r="I1993" s="92" t="s">
        <v>63</v>
      </c>
      <c r="J1993" s="90">
        <f>G1993*AO1993</f>
        <v>0</v>
      </c>
      <c r="K1993" s="90">
        <f>G1993*AP1993</f>
        <v>0</v>
      </c>
      <c r="L1993" s="90">
        <f>G1993*H1993</f>
        <v>0</v>
      </c>
      <c r="M1993" s="90">
        <f>L1993*(1+BW1993/100)</f>
        <v>0</v>
      </c>
      <c r="N1993" s="90">
        <v>0</v>
      </c>
      <c r="O1993" s="90">
        <f>G1993*N1993</f>
        <v>0</v>
      </c>
      <c r="P1993" s="92" t="s">
        <v>64</v>
      </c>
      <c r="Z1993" s="93">
        <f>IF(AQ1993="5",BJ1993,0)</f>
        <v>0</v>
      </c>
      <c r="AB1993" s="93">
        <f>IF(AQ1993="1",BH1993,0)</f>
        <v>0</v>
      </c>
      <c r="AC1993" s="93">
        <f>IF(AQ1993="1",BI1993,0)</f>
        <v>0</v>
      </c>
      <c r="AD1993" s="93">
        <f>IF(AQ1993="7",BH1993,0)</f>
        <v>0</v>
      </c>
      <c r="AE1993" s="93">
        <f>IF(AQ1993="7",BI1993,0)</f>
        <v>0</v>
      </c>
      <c r="AF1993" s="93">
        <f>IF(AQ1993="2",BH1993,0)</f>
        <v>0</v>
      </c>
      <c r="AG1993" s="93">
        <f>IF(AQ1993="2",BI1993,0)</f>
        <v>0</v>
      </c>
      <c r="AH1993" s="93">
        <f>IF(AQ1993="0",BJ1993,0)</f>
        <v>0</v>
      </c>
      <c r="AI1993" s="88" t="s">
        <v>55</v>
      </c>
      <c r="AJ1993" s="93">
        <f>IF(AN1993=0,L1993,0)</f>
        <v>0</v>
      </c>
      <c r="AK1993" s="93">
        <f>IF(AN1993=12,L1993,0)</f>
        <v>0</v>
      </c>
      <c r="AL1993" s="93">
        <f>IF(AN1993=21,L1993,0)</f>
        <v>0</v>
      </c>
      <c r="AN1993" s="93">
        <v>21</v>
      </c>
      <c r="AO1993" s="93">
        <f>H1993*0</f>
        <v>0</v>
      </c>
      <c r="AP1993" s="93">
        <f>H1993*(1-0)</f>
        <v>0</v>
      </c>
      <c r="AQ1993" s="94" t="s">
        <v>148</v>
      </c>
      <c r="AV1993" s="93">
        <f>AW1993+AX1993</f>
        <v>0</v>
      </c>
      <c r="AW1993" s="93">
        <f>G1993*AO1993</f>
        <v>0</v>
      </c>
      <c r="AX1993" s="93">
        <f>G1993*AP1993</f>
        <v>0</v>
      </c>
      <c r="AY1993" s="94" t="s">
        <v>2709</v>
      </c>
      <c r="AZ1993" s="94" t="s">
        <v>2710</v>
      </c>
      <c r="BA1993" s="88" t="s">
        <v>67</v>
      </c>
      <c r="BC1993" s="93">
        <f>AW1993+AX1993</f>
        <v>0</v>
      </c>
      <c r="BD1993" s="93">
        <f>H1993/(100-BE1993)*100</f>
        <v>0</v>
      </c>
      <c r="BE1993" s="93">
        <v>0</v>
      </c>
      <c r="BF1993" s="93">
        <f>O1993</f>
        <v>0</v>
      </c>
      <c r="BH1993" s="93">
        <f>G1993*AO1993</f>
        <v>0</v>
      </c>
      <c r="BI1993" s="93">
        <f>G1993*AP1993</f>
        <v>0</v>
      </c>
      <c r="BJ1993" s="93">
        <f>G1993*H1993</f>
        <v>0</v>
      </c>
      <c r="BK1993" s="93"/>
      <c r="BL1993" s="93">
        <v>771</v>
      </c>
      <c r="BW1993" s="93" t="str">
        <f>I1993</f>
        <v>21</v>
      </c>
      <c r="BX1993" s="2" t="s">
        <v>2708</v>
      </c>
    </row>
    <row r="1994" spans="1:76" s="81" customFormat="1" x14ac:dyDescent="0.25">
      <c r="A1994" s="95"/>
      <c r="B1994" s="95"/>
      <c r="C1994" s="95"/>
      <c r="D1994" s="76" t="s">
        <v>2711</v>
      </c>
      <c r="E1994" s="76" t="s">
        <v>2712</v>
      </c>
      <c r="F1994" s="95"/>
      <c r="G1994" s="96">
        <v>162.6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ht="25.5" x14ac:dyDescent="0.25">
      <c r="A1995" s="72" t="s">
        <v>2713</v>
      </c>
      <c r="B1995" s="72" t="s">
        <v>55</v>
      </c>
      <c r="C1995" s="72" t="s">
        <v>2714</v>
      </c>
      <c r="D1995" s="175" t="s">
        <v>2715</v>
      </c>
      <c r="E1995" s="175"/>
      <c r="F1995" s="72" t="s">
        <v>192</v>
      </c>
      <c r="G1995" s="90">
        <v>175.20349999999999</v>
      </c>
      <c r="H1995" s="91"/>
      <c r="I1995" s="92" t="s">
        <v>63</v>
      </c>
      <c r="J1995" s="90">
        <f>G1995*AO1995</f>
        <v>0</v>
      </c>
      <c r="K1995" s="90">
        <f>G1995*AP1995</f>
        <v>0</v>
      </c>
      <c r="L1995" s="90">
        <f>G1995*H1995</f>
        <v>0</v>
      </c>
      <c r="M1995" s="90">
        <f>L1995*(1+BW1995/100)</f>
        <v>0</v>
      </c>
      <c r="N1995" s="90">
        <v>2.1000000000000001E-4</v>
      </c>
      <c r="O1995" s="90">
        <f>G1995*N1995</f>
        <v>3.6792735E-2</v>
      </c>
      <c r="P1995" s="92" t="s">
        <v>64</v>
      </c>
      <c r="Z1995" s="93">
        <f>IF(AQ1995="5",BJ1995,0)</f>
        <v>0</v>
      </c>
      <c r="AB1995" s="93">
        <f>IF(AQ1995="1",BH1995,0)</f>
        <v>0</v>
      </c>
      <c r="AC1995" s="93">
        <f>IF(AQ1995="1",BI1995,0)</f>
        <v>0</v>
      </c>
      <c r="AD1995" s="93">
        <f>IF(AQ1995="7",BH1995,0)</f>
        <v>0</v>
      </c>
      <c r="AE1995" s="93">
        <f>IF(AQ1995="7",BI1995,0)</f>
        <v>0</v>
      </c>
      <c r="AF1995" s="93">
        <f>IF(AQ1995="2",BH1995,0)</f>
        <v>0</v>
      </c>
      <c r="AG1995" s="93">
        <f>IF(AQ1995="2",BI1995,0)</f>
        <v>0</v>
      </c>
      <c r="AH1995" s="93">
        <f>IF(AQ1995="0",BJ1995,0)</f>
        <v>0</v>
      </c>
      <c r="AI1995" s="88" t="s">
        <v>55</v>
      </c>
      <c r="AJ1995" s="93">
        <f>IF(AN1995=0,L1995,0)</f>
        <v>0</v>
      </c>
      <c r="AK1995" s="93">
        <f>IF(AN1995=12,L1995,0)</f>
        <v>0</v>
      </c>
      <c r="AL1995" s="93">
        <f>IF(AN1995=21,L1995,0)</f>
        <v>0</v>
      </c>
      <c r="AN1995" s="93">
        <v>21</v>
      </c>
      <c r="AO1995" s="93">
        <f>H1995*0.477365423</f>
        <v>0</v>
      </c>
      <c r="AP1995" s="93">
        <f>H1995*(1-0.477365423)</f>
        <v>0</v>
      </c>
      <c r="AQ1995" s="94" t="s">
        <v>148</v>
      </c>
      <c r="AV1995" s="93">
        <f>AW1995+AX1995</f>
        <v>0</v>
      </c>
      <c r="AW1995" s="93">
        <f>G1995*AO1995</f>
        <v>0</v>
      </c>
      <c r="AX1995" s="93">
        <f>G1995*AP1995</f>
        <v>0</v>
      </c>
      <c r="AY1995" s="94" t="s">
        <v>2709</v>
      </c>
      <c r="AZ1995" s="94" t="s">
        <v>2710</v>
      </c>
      <c r="BA1995" s="88" t="s">
        <v>67</v>
      </c>
      <c r="BC1995" s="93">
        <f>AW1995+AX1995</f>
        <v>0</v>
      </c>
      <c r="BD1995" s="93">
        <f>H1995/(100-BE1995)*100</f>
        <v>0</v>
      </c>
      <c r="BE1995" s="93">
        <v>0</v>
      </c>
      <c r="BF1995" s="93">
        <f>O1995</f>
        <v>3.6792735E-2</v>
      </c>
      <c r="BH1995" s="93">
        <f>G1995*AO1995</f>
        <v>0</v>
      </c>
      <c r="BI1995" s="93">
        <f>G1995*AP1995</f>
        <v>0</v>
      </c>
      <c r="BJ1995" s="93">
        <f>G1995*H1995</f>
        <v>0</v>
      </c>
      <c r="BK1995" s="93"/>
      <c r="BL1995" s="93">
        <v>771</v>
      </c>
      <c r="BW1995" s="93" t="str">
        <f>I1995</f>
        <v>21</v>
      </c>
      <c r="BX1995" s="2" t="s">
        <v>2715</v>
      </c>
    </row>
    <row r="1996" spans="1:76" s="81" customFormat="1" x14ac:dyDescent="0.25">
      <c r="A1996" s="95"/>
      <c r="B1996" s="95"/>
      <c r="C1996" s="95"/>
      <c r="D1996" s="76" t="s">
        <v>54</v>
      </c>
      <c r="E1996" s="76" t="s">
        <v>1117</v>
      </c>
      <c r="F1996" s="95"/>
      <c r="G1996" s="96">
        <v>0</v>
      </c>
      <c r="H1996" s="95"/>
      <c r="I1996" s="95"/>
      <c r="J1996" s="95"/>
      <c r="K1996" s="95"/>
      <c r="L1996" s="95"/>
      <c r="M1996" s="95"/>
      <c r="N1996" s="95"/>
      <c r="O1996" s="95"/>
      <c r="P1996" s="95"/>
    </row>
    <row r="1997" spans="1:76" s="81" customFormat="1" x14ac:dyDescent="0.25">
      <c r="A1997" s="95"/>
      <c r="B1997" s="95"/>
      <c r="C1997" s="95"/>
      <c r="D1997" s="76" t="s">
        <v>54</v>
      </c>
      <c r="E1997" s="76" t="s">
        <v>1103</v>
      </c>
      <c r="F1997" s="95"/>
      <c r="G1997" s="96">
        <v>0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ht="25.5" x14ac:dyDescent="0.25">
      <c r="A1998" s="95"/>
      <c r="B1998" s="95"/>
      <c r="C1998" s="95"/>
      <c r="D1998" s="76" t="s">
        <v>1118</v>
      </c>
      <c r="E1998" s="76" t="s">
        <v>1119</v>
      </c>
      <c r="F1998" s="95"/>
      <c r="G1998" s="96">
        <v>118.3</v>
      </c>
      <c r="H1998" s="95"/>
      <c r="I1998" s="95"/>
      <c r="J1998" s="95"/>
      <c r="K1998" s="95"/>
      <c r="L1998" s="95"/>
      <c r="M1998" s="95"/>
      <c r="N1998" s="95"/>
      <c r="O1998" s="95"/>
      <c r="P1998" s="95"/>
    </row>
    <row r="1999" spans="1:76" s="81" customFormat="1" x14ac:dyDescent="0.25">
      <c r="A1999" s="95"/>
      <c r="B1999" s="95"/>
      <c r="C1999" s="95"/>
      <c r="D1999" s="76" t="s">
        <v>54</v>
      </c>
      <c r="E1999" s="76" t="s">
        <v>1120</v>
      </c>
      <c r="F1999" s="95"/>
      <c r="G1999" s="96">
        <v>0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x14ac:dyDescent="0.25">
      <c r="A2000" s="95"/>
      <c r="B2000" s="95"/>
      <c r="C2000" s="95"/>
      <c r="D2000" s="76" t="s">
        <v>54</v>
      </c>
      <c r="E2000" s="76" t="s">
        <v>1107</v>
      </c>
      <c r="F2000" s="95"/>
      <c r="G2000" s="96">
        <v>0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ht="25.5" x14ac:dyDescent="0.25">
      <c r="A2001" s="95"/>
      <c r="B2001" s="95"/>
      <c r="C2001" s="95"/>
      <c r="D2001" s="76" t="s">
        <v>1121</v>
      </c>
      <c r="E2001" s="76" t="s">
        <v>1122</v>
      </c>
      <c r="F2001" s="95"/>
      <c r="G2001" s="96">
        <v>44.3</v>
      </c>
      <c r="H2001" s="95"/>
      <c r="I2001" s="95"/>
      <c r="J2001" s="95"/>
      <c r="K2001" s="95"/>
      <c r="L2001" s="95"/>
      <c r="M2001" s="95"/>
      <c r="N2001" s="95"/>
      <c r="O2001" s="95"/>
      <c r="P2001" s="95"/>
    </row>
    <row r="2002" spans="1:76" s="81" customFormat="1" x14ac:dyDescent="0.25">
      <c r="A2002" s="95"/>
      <c r="B2002" s="95"/>
      <c r="C2002" s="95"/>
      <c r="D2002" s="76" t="s">
        <v>2716</v>
      </c>
      <c r="E2002" s="76" t="s">
        <v>2717</v>
      </c>
      <c r="F2002" s="95"/>
      <c r="G2002" s="96">
        <v>12.6035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ht="25.5" x14ac:dyDescent="0.25">
      <c r="A2003" s="72" t="s">
        <v>2718</v>
      </c>
      <c r="B2003" s="72" t="s">
        <v>55</v>
      </c>
      <c r="C2003" s="72" t="s">
        <v>2719</v>
      </c>
      <c r="D2003" s="175" t="s">
        <v>2720</v>
      </c>
      <c r="E2003" s="175"/>
      <c r="F2003" s="72" t="s">
        <v>192</v>
      </c>
      <c r="G2003" s="90">
        <v>162.6</v>
      </c>
      <c r="H2003" s="91"/>
      <c r="I2003" s="92" t="s">
        <v>63</v>
      </c>
      <c r="J2003" s="90">
        <f>G2003*AO2003</f>
        <v>0</v>
      </c>
      <c r="K2003" s="90">
        <f>G2003*AP2003</f>
        <v>0</v>
      </c>
      <c r="L2003" s="90">
        <f>G2003*H2003</f>
        <v>0</v>
      </c>
      <c r="M2003" s="90">
        <f>L2003*(1+BW2003/100)</f>
        <v>0</v>
      </c>
      <c r="N2003" s="90">
        <v>2.8E-3</v>
      </c>
      <c r="O2003" s="90">
        <f>G2003*N2003</f>
        <v>0.45527999999999996</v>
      </c>
      <c r="P2003" s="92" t="s">
        <v>1652</v>
      </c>
      <c r="Z2003" s="93">
        <f>IF(AQ2003="5",BJ2003,0)</f>
        <v>0</v>
      </c>
      <c r="AB2003" s="93">
        <f>IF(AQ2003="1",BH2003,0)</f>
        <v>0</v>
      </c>
      <c r="AC2003" s="93">
        <f>IF(AQ2003="1",BI2003,0)</f>
        <v>0</v>
      </c>
      <c r="AD2003" s="93">
        <f>IF(AQ2003="7",BH2003,0)</f>
        <v>0</v>
      </c>
      <c r="AE2003" s="93">
        <f>IF(AQ2003="7",BI2003,0)</f>
        <v>0</v>
      </c>
      <c r="AF2003" s="93">
        <f>IF(AQ2003="2",BH2003,0)</f>
        <v>0</v>
      </c>
      <c r="AG2003" s="93">
        <f>IF(AQ2003="2",BI2003,0)</f>
        <v>0</v>
      </c>
      <c r="AH2003" s="93">
        <f>IF(AQ2003="0",BJ2003,0)</f>
        <v>0</v>
      </c>
      <c r="AI2003" s="88" t="s">
        <v>55</v>
      </c>
      <c r="AJ2003" s="93">
        <f>IF(AN2003=0,L2003,0)</f>
        <v>0</v>
      </c>
      <c r="AK2003" s="93">
        <f>IF(AN2003=12,L2003,0)</f>
        <v>0</v>
      </c>
      <c r="AL2003" s="93">
        <f>IF(AN2003=21,L2003,0)</f>
        <v>0</v>
      </c>
      <c r="AN2003" s="93">
        <v>21</v>
      </c>
      <c r="AO2003" s="93">
        <f>H2003*0.163211765</f>
        <v>0</v>
      </c>
      <c r="AP2003" s="93">
        <f>H2003*(1-0.163211765)</f>
        <v>0</v>
      </c>
      <c r="AQ2003" s="94" t="s">
        <v>148</v>
      </c>
      <c r="AV2003" s="93">
        <f>AW2003+AX2003</f>
        <v>0</v>
      </c>
      <c r="AW2003" s="93">
        <f>G2003*AO2003</f>
        <v>0</v>
      </c>
      <c r="AX2003" s="93">
        <f>G2003*AP2003</f>
        <v>0</v>
      </c>
      <c r="AY2003" s="94" t="s">
        <v>2709</v>
      </c>
      <c r="AZ2003" s="94" t="s">
        <v>2710</v>
      </c>
      <c r="BA2003" s="88" t="s">
        <v>67</v>
      </c>
      <c r="BC2003" s="93">
        <f>AW2003+AX2003</f>
        <v>0</v>
      </c>
      <c r="BD2003" s="93">
        <f>H2003/(100-BE2003)*100</f>
        <v>0</v>
      </c>
      <c r="BE2003" s="93">
        <v>0</v>
      </c>
      <c r="BF2003" s="93">
        <f>O2003</f>
        <v>0.45527999999999996</v>
      </c>
      <c r="BH2003" s="93">
        <f>G2003*AO2003</f>
        <v>0</v>
      </c>
      <c r="BI2003" s="93">
        <f>G2003*AP2003</f>
        <v>0</v>
      </c>
      <c r="BJ2003" s="93">
        <f>G2003*H2003</f>
        <v>0</v>
      </c>
      <c r="BK2003" s="93"/>
      <c r="BL2003" s="93">
        <v>771</v>
      </c>
      <c r="BW2003" s="93" t="str">
        <f>I2003</f>
        <v>21</v>
      </c>
      <c r="BX2003" s="2" t="s">
        <v>2720</v>
      </c>
    </row>
    <row r="2004" spans="1:76" s="81" customFormat="1" x14ac:dyDescent="0.25">
      <c r="A2004" s="95"/>
      <c r="B2004" s="95"/>
      <c r="C2004" s="95"/>
      <c r="D2004" s="76" t="s">
        <v>54</v>
      </c>
      <c r="E2004" s="76" t="s">
        <v>1117</v>
      </c>
      <c r="F2004" s="95"/>
      <c r="G2004" s="96">
        <v>0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x14ac:dyDescent="0.25">
      <c r="A2005" s="95"/>
      <c r="B2005" s="95"/>
      <c r="C2005" s="95"/>
      <c r="D2005" s="76" t="s">
        <v>54</v>
      </c>
      <c r="E2005" s="76" t="s">
        <v>1103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ht="25.5" x14ac:dyDescent="0.25">
      <c r="A2006" s="95"/>
      <c r="B2006" s="95"/>
      <c r="C2006" s="95"/>
      <c r="D2006" s="76" t="s">
        <v>1118</v>
      </c>
      <c r="E2006" s="76" t="s">
        <v>1119</v>
      </c>
      <c r="F2006" s="95"/>
      <c r="G2006" s="96">
        <v>118.3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x14ac:dyDescent="0.25">
      <c r="A2007" s="95"/>
      <c r="B2007" s="95"/>
      <c r="C2007" s="95"/>
      <c r="D2007" s="76" t="s">
        <v>54</v>
      </c>
      <c r="E2007" s="76" t="s">
        <v>1120</v>
      </c>
      <c r="F2007" s="95"/>
      <c r="G2007" s="96">
        <v>0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x14ac:dyDescent="0.25">
      <c r="A2008" s="95"/>
      <c r="B2008" s="95"/>
      <c r="C2008" s="95"/>
      <c r="D2008" s="76" t="s">
        <v>54</v>
      </c>
      <c r="E2008" s="76" t="s">
        <v>1107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ht="25.5" x14ac:dyDescent="0.25">
      <c r="A2009" s="95"/>
      <c r="B2009" s="95"/>
      <c r="C2009" s="95"/>
      <c r="D2009" s="76" t="s">
        <v>1121</v>
      </c>
      <c r="E2009" s="76" t="s">
        <v>1122</v>
      </c>
      <c r="F2009" s="95"/>
      <c r="G2009" s="96">
        <v>44.3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ht="25.5" x14ac:dyDescent="0.25">
      <c r="A2010" s="72" t="s">
        <v>2721</v>
      </c>
      <c r="B2010" s="72" t="s">
        <v>55</v>
      </c>
      <c r="C2010" s="72" t="s">
        <v>2722</v>
      </c>
      <c r="D2010" s="175" t="s">
        <v>2723</v>
      </c>
      <c r="E2010" s="175"/>
      <c r="F2010" s="72" t="s">
        <v>192</v>
      </c>
      <c r="G2010" s="90">
        <v>178.86</v>
      </c>
      <c r="H2010" s="91"/>
      <c r="I2010" s="92" t="s">
        <v>63</v>
      </c>
      <c r="J2010" s="90">
        <f>G2010*AO2010</f>
        <v>0</v>
      </c>
      <c r="K2010" s="90">
        <f>G2010*AP2010</f>
        <v>0</v>
      </c>
      <c r="L2010" s="90">
        <f>G2010*H2010</f>
        <v>0</v>
      </c>
      <c r="M2010" s="90">
        <f>L2010*(1+BW2010/100)</f>
        <v>0</v>
      </c>
      <c r="N2010" s="90">
        <v>1.4200000000000001E-2</v>
      </c>
      <c r="O2010" s="90">
        <f>G2010*N2010</f>
        <v>2.5398120000000004</v>
      </c>
      <c r="P2010" s="92" t="s">
        <v>2724</v>
      </c>
      <c r="Z2010" s="93">
        <f>IF(AQ2010="5",BJ2010,0)</f>
        <v>0</v>
      </c>
      <c r="AB2010" s="93">
        <f>IF(AQ2010="1",BH2010,0)</f>
        <v>0</v>
      </c>
      <c r="AC2010" s="93">
        <f>IF(AQ2010="1",BI2010,0)</f>
        <v>0</v>
      </c>
      <c r="AD2010" s="93">
        <f>IF(AQ2010="7",BH2010,0)</f>
        <v>0</v>
      </c>
      <c r="AE2010" s="93">
        <f>IF(AQ2010="7",BI2010,0)</f>
        <v>0</v>
      </c>
      <c r="AF2010" s="93">
        <f>IF(AQ2010="2",BH2010,0)</f>
        <v>0</v>
      </c>
      <c r="AG2010" s="93">
        <f>IF(AQ2010="2",BI2010,0)</f>
        <v>0</v>
      </c>
      <c r="AH2010" s="93">
        <f>IF(AQ2010="0",BJ2010,0)</f>
        <v>0</v>
      </c>
      <c r="AI2010" s="88" t="s">
        <v>55</v>
      </c>
      <c r="AJ2010" s="93">
        <f>IF(AN2010=0,L2010,0)</f>
        <v>0</v>
      </c>
      <c r="AK2010" s="93">
        <f>IF(AN2010=12,L2010,0)</f>
        <v>0</v>
      </c>
      <c r="AL2010" s="93">
        <f>IF(AN2010=21,L2010,0)</f>
        <v>0</v>
      </c>
      <c r="AN2010" s="93">
        <v>21</v>
      </c>
      <c r="AO2010" s="93">
        <f>H2010*1</f>
        <v>0</v>
      </c>
      <c r="AP2010" s="93">
        <f>H2010*(1-1)</f>
        <v>0</v>
      </c>
      <c r="AQ2010" s="94" t="s">
        <v>148</v>
      </c>
      <c r="AV2010" s="93">
        <f>AW2010+AX2010</f>
        <v>0</v>
      </c>
      <c r="AW2010" s="93">
        <f>G2010*AO2010</f>
        <v>0</v>
      </c>
      <c r="AX2010" s="93">
        <f>G2010*AP2010</f>
        <v>0</v>
      </c>
      <c r="AY2010" s="94" t="s">
        <v>2709</v>
      </c>
      <c r="AZ2010" s="94" t="s">
        <v>2710</v>
      </c>
      <c r="BA2010" s="88" t="s">
        <v>67</v>
      </c>
      <c r="BC2010" s="93">
        <f>AW2010+AX2010</f>
        <v>0</v>
      </c>
      <c r="BD2010" s="93">
        <f>H2010/(100-BE2010)*100</f>
        <v>0</v>
      </c>
      <c r="BE2010" s="93">
        <v>0</v>
      </c>
      <c r="BF2010" s="93">
        <f>O2010</f>
        <v>2.5398120000000004</v>
      </c>
      <c r="BH2010" s="93">
        <f>G2010*AO2010</f>
        <v>0</v>
      </c>
      <c r="BI2010" s="93">
        <f>G2010*AP2010</f>
        <v>0</v>
      </c>
      <c r="BJ2010" s="93">
        <f>G2010*H2010</f>
        <v>0</v>
      </c>
      <c r="BK2010" s="93"/>
      <c r="BL2010" s="93">
        <v>771</v>
      </c>
      <c r="BW2010" s="93" t="str">
        <f>I2010</f>
        <v>21</v>
      </c>
      <c r="BX2010" s="2" t="s">
        <v>2723</v>
      </c>
    </row>
    <row r="2011" spans="1:76" s="81" customFormat="1" x14ac:dyDescent="0.25">
      <c r="A2011" s="95"/>
      <c r="B2011" s="95"/>
      <c r="C2011" s="95"/>
      <c r="D2011" s="76" t="s">
        <v>2711</v>
      </c>
      <c r="E2011" s="76" t="s">
        <v>54</v>
      </c>
      <c r="F2011" s="95"/>
      <c r="G2011" s="96">
        <v>162.6</v>
      </c>
      <c r="H2011" s="95"/>
      <c r="I2011" s="95"/>
      <c r="J2011" s="95"/>
      <c r="K2011" s="95"/>
      <c r="L2011" s="95"/>
      <c r="M2011" s="95"/>
      <c r="N2011" s="95"/>
      <c r="O2011" s="95"/>
      <c r="P2011" s="95"/>
    </row>
    <row r="2012" spans="1:76" s="81" customFormat="1" x14ac:dyDescent="0.25">
      <c r="A2012" s="95"/>
      <c r="B2012" s="95"/>
      <c r="C2012" s="95"/>
      <c r="D2012" s="76" t="s">
        <v>2725</v>
      </c>
      <c r="E2012" s="76" t="s">
        <v>54</v>
      </c>
      <c r="F2012" s="95"/>
      <c r="G2012" s="96">
        <v>16.260000000000002</v>
      </c>
      <c r="H2012" s="95"/>
      <c r="I2012" s="95"/>
      <c r="J2012" s="95"/>
      <c r="K2012" s="95"/>
      <c r="L2012" s="95"/>
      <c r="M2012" s="95"/>
      <c r="N2012" s="95"/>
      <c r="O2012" s="95"/>
      <c r="P2012" s="95"/>
    </row>
    <row r="2013" spans="1:76" s="81" customFormat="1" ht="25.5" x14ac:dyDescent="0.25">
      <c r="A2013" s="72" t="s">
        <v>2726</v>
      </c>
      <c r="B2013" s="72" t="s">
        <v>55</v>
      </c>
      <c r="C2013" s="72" t="s">
        <v>2727</v>
      </c>
      <c r="D2013" s="175" t="s">
        <v>2728</v>
      </c>
      <c r="E2013" s="175"/>
      <c r="F2013" s="72" t="s">
        <v>213</v>
      </c>
      <c r="G2013" s="90">
        <v>126.035</v>
      </c>
      <c r="H2013" s="91"/>
      <c r="I2013" s="92" t="s">
        <v>63</v>
      </c>
      <c r="J2013" s="90">
        <f>G2013*AO2013</f>
        <v>0</v>
      </c>
      <c r="K2013" s="90">
        <f>G2013*AP2013</f>
        <v>0</v>
      </c>
      <c r="L2013" s="90">
        <f>G2013*H2013</f>
        <v>0</v>
      </c>
      <c r="M2013" s="90">
        <f>L2013*(1+BW2013/100)</f>
        <v>0</v>
      </c>
      <c r="N2013" s="90">
        <v>3.2000000000000003E-4</v>
      </c>
      <c r="O2013" s="90">
        <f>G2013*N2013</f>
        <v>4.0331200000000005E-2</v>
      </c>
      <c r="P2013" s="92" t="s">
        <v>64</v>
      </c>
      <c r="Z2013" s="93">
        <f>IF(AQ2013="5",BJ2013,0)</f>
        <v>0</v>
      </c>
      <c r="AB2013" s="93">
        <f>IF(AQ2013="1",BH2013,0)</f>
        <v>0</v>
      </c>
      <c r="AC2013" s="93">
        <f>IF(AQ2013="1",BI2013,0)</f>
        <v>0</v>
      </c>
      <c r="AD2013" s="93">
        <f>IF(AQ2013="7",BH2013,0)</f>
        <v>0</v>
      </c>
      <c r="AE2013" s="93">
        <f>IF(AQ2013="7",BI2013,0)</f>
        <v>0</v>
      </c>
      <c r="AF2013" s="93">
        <f>IF(AQ2013="2",BH2013,0)</f>
        <v>0</v>
      </c>
      <c r="AG2013" s="93">
        <f>IF(AQ2013="2",BI2013,0)</f>
        <v>0</v>
      </c>
      <c r="AH2013" s="93">
        <f>IF(AQ2013="0",BJ2013,0)</f>
        <v>0</v>
      </c>
      <c r="AI2013" s="88" t="s">
        <v>55</v>
      </c>
      <c r="AJ2013" s="93">
        <f>IF(AN2013=0,L2013,0)</f>
        <v>0</v>
      </c>
      <c r="AK2013" s="93">
        <f>IF(AN2013=12,L2013,0)</f>
        <v>0</v>
      </c>
      <c r="AL2013" s="93">
        <f>IF(AN2013=21,L2013,0)</f>
        <v>0</v>
      </c>
      <c r="AN2013" s="93">
        <v>21</v>
      </c>
      <c r="AO2013" s="93">
        <f>H2013*0.104563731</f>
        <v>0</v>
      </c>
      <c r="AP2013" s="93">
        <f>H2013*(1-0.104563731)</f>
        <v>0</v>
      </c>
      <c r="AQ2013" s="94" t="s">
        <v>148</v>
      </c>
      <c r="AV2013" s="93">
        <f>AW2013+AX2013</f>
        <v>0</v>
      </c>
      <c r="AW2013" s="93">
        <f>G2013*AO2013</f>
        <v>0</v>
      </c>
      <c r="AX2013" s="93">
        <f>G2013*AP2013</f>
        <v>0</v>
      </c>
      <c r="AY2013" s="94" t="s">
        <v>2709</v>
      </c>
      <c r="AZ2013" s="94" t="s">
        <v>2710</v>
      </c>
      <c r="BA2013" s="88" t="s">
        <v>67</v>
      </c>
      <c r="BC2013" s="93">
        <f>AW2013+AX2013</f>
        <v>0</v>
      </c>
      <c r="BD2013" s="93">
        <f>H2013/(100-BE2013)*100</f>
        <v>0</v>
      </c>
      <c r="BE2013" s="93">
        <v>0</v>
      </c>
      <c r="BF2013" s="93">
        <f>O2013</f>
        <v>4.0331200000000005E-2</v>
      </c>
      <c r="BH2013" s="93">
        <f>G2013*AO2013</f>
        <v>0</v>
      </c>
      <c r="BI2013" s="93">
        <f>G2013*AP2013</f>
        <v>0</v>
      </c>
      <c r="BJ2013" s="93">
        <f>G2013*H2013</f>
        <v>0</v>
      </c>
      <c r="BK2013" s="93"/>
      <c r="BL2013" s="93">
        <v>771</v>
      </c>
      <c r="BW2013" s="93" t="str">
        <f>I2013</f>
        <v>21</v>
      </c>
      <c r="BX2013" s="2" t="s">
        <v>2728</v>
      </c>
    </row>
    <row r="2014" spans="1:76" s="81" customFormat="1" x14ac:dyDescent="0.25">
      <c r="A2014" s="95"/>
      <c r="B2014" s="95"/>
      <c r="C2014" s="95"/>
      <c r="D2014" s="76" t="s">
        <v>54</v>
      </c>
      <c r="E2014" s="76" t="s">
        <v>1117</v>
      </c>
      <c r="F2014" s="95"/>
      <c r="G2014" s="96">
        <v>0</v>
      </c>
      <c r="H2014" s="95"/>
      <c r="I2014" s="95"/>
      <c r="J2014" s="95"/>
      <c r="K2014" s="95"/>
      <c r="L2014" s="95"/>
      <c r="M2014" s="95"/>
      <c r="N2014" s="95"/>
      <c r="O2014" s="95"/>
      <c r="P2014" s="95"/>
    </row>
    <row r="2015" spans="1:76" s="81" customFormat="1" x14ac:dyDescent="0.25">
      <c r="A2015" s="95"/>
      <c r="B2015" s="95"/>
      <c r="C2015" s="95"/>
      <c r="D2015" s="76" t="s">
        <v>54</v>
      </c>
      <c r="E2015" s="76" t="s">
        <v>2729</v>
      </c>
      <c r="F2015" s="95"/>
      <c r="G2015" s="96">
        <v>0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x14ac:dyDescent="0.25">
      <c r="A2016" s="95"/>
      <c r="B2016" s="95"/>
      <c r="C2016" s="95"/>
      <c r="D2016" s="76" t="s">
        <v>2730</v>
      </c>
      <c r="E2016" s="76" t="s">
        <v>54</v>
      </c>
      <c r="F2016" s="95"/>
      <c r="G2016" s="96">
        <v>34.74</v>
      </c>
      <c r="H2016" s="95"/>
      <c r="I2016" s="95"/>
      <c r="J2016" s="95"/>
      <c r="K2016" s="95"/>
      <c r="L2016" s="95"/>
      <c r="M2016" s="95"/>
      <c r="N2016" s="95"/>
      <c r="O2016" s="95"/>
      <c r="P2016" s="95"/>
    </row>
    <row r="2017" spans="1:76" s="81" customFormat="1" ht="25.5" x14ac:dyDescent="0.25">
      <c r="A2017" s="95"/>
      <c r="B2017" s="95"/>
      <c r="C2017" s="95"/>
      <c r="D2017" s="76" t="s">
        <v>2731</v>
      </c>
      <c r="E2017" s="76" t="s">
        <v>54</v>
      </c>
      <c r="F2017" s="95"/>
      <c r="G2017" s="96">
        <v>56.63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x14ac:dyDescent="0.25">
      <c r="A2018" s="95"/>
      <c r="B2018" s="95"/>
      <c r="C2018" s="95"/>
      <c r="D2018" s="76" t="s">
        <v>54</v>
      </c>
      <c r="E2018" s="76" t="s">
        <v>1120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x14ac:dyDescent="0.25">
      <c r="A2019" s="95"/>
      <c r="B2019" s="95"/>
      <c r="C2019" s="95"/>
      <c r="D2019" s="76" t="s">
        <v>54</v>
      </c>
      <c r="E2019" s="76" t="s">
        <v>1107</v>
      </c>
      <c r="F2019" s="95"/>
      <c r="G2019" s="96">
        <v>0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ht="25.5" x14ac:dyDescent="0.25">
      <c r="A2020" s="95"/>
      <c r="B2020" s="95"/>
      <c r="C2020" s="95"/>
      <c r="D2020" s="76" t="s">
        <v>2732</v>
      </c>
      <c r="E2020" s="76" t="s">
        <v>54</v>
      </c>
      <c r="F2020" s="95"/>
      <c r="G2020" s="96">
        <v>34.664999999999999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ht="25.5" x14ac:dyDescent="0.25">
      <c r="A2021" s="72" t="s">
        <v>2733</v>
      </c>
      <c r="B2021" s="72" t="s">
        <v>55</v>
      </c>
      <c r="C2021" s="72" t="s">
        <v>2734</v>
      </c>
      <c r="D2021" s="175" t="s">
        <v>2735</v>
      </c>
      <c r="E2021" s="175"/>
      <c r="F2021" s="72" t="s">
        <v>213</v>
      </c>
      <c r="G2021" s="90">
        <v>138.63849999999999</v>
      </c>
      <c r="H2021" s="91"/>
      <c r="I2021" s="92" t="s">
        <v>63</v>
      </c>
      <c r="J2021" s="90">
        <f>G2021*AO2021</f>
        <v>0</v>
      </c>
      <c r="K2021" s="90">
        <f>G2021*AP2021</f>
        <v>0</v>
      </c>
      <c r="L2021" s="90">
        <f>G2021*H2021</f>
        <v>0</v>
      </c>
      <c r="M2021" s="90">
        <f>L2021*(1+BW2021/100)</f>
        <v>0</v>
      </c>
      <c r="N2021" s="90">
        <v>1.1050000000000001E-2</v>
      </c>
      <c r="O2021" s="90">
        <f>G2021*N2021</f>
        <v>1.531955425</v>
      </c>
      <c r="P2021" s="92" t="s">
        <v>578</v>
      </c>
      <c r="Z2021" s="93">
        <f>IF(AQ2021="5",BJ2021,0)</f>
        <v>0</v>
      </c>
      <c r="AB2021" s="93">
        <f>IF(AQ2021="1",BH2021,0)</f>
        <v>0</v>
      </c>
      <c r="AC2021" s="93">
        <f>IF(AQ2021="1",BI2021,0)</f>
        <v>0</v>
      </c>
      <c r="AD2021" s="93">
        <f>IF(AQ2021="7",BH2021,0)</f>
        <v>0</v>
      </c>
      <c r="AE2021" s="93">
        <f>IF(AQ2021="7",BI2021,0)</f>
        <v>0</v>
      </c>
      <c r="AF2021" s="93">
        <f>IF(AQ2021="2",BH2021,0)</f>
        <v>0</v>
      </c>
      <c r="AG2021" s="93">
        <f>IF(AQ2021="2",BI2021,0)</f>
        <v>0</v>
      </c>
      <c r="AH2021" s="93">
        <f>IF(AQ2021="0",BJ2021,0)</f>
        <v>0</v>
      </c>
      <c r="AI2021" s="88" t="s">
        <v>55</v>
      </c>
      <c r="AJ2021" s="93">
        <f>IF(AN2021=0,L2021,0)</f>
        <v>0</v>
      </c>
      <c r="AK2021" s="93">
        <f>IF(AN2021=12,L2021,0)</f>
        <v>0</v>
      </c>
      <c r="AL2021" s="93">
        <f>IF(AN2021=21,L2021,0)</f>
        <v>0</v>
      </c>
      <c r="AN2021" s="93">
        <v>21</v>
      </c>
      <c r="AO2021" s="93">
        <f>H2021*1</f>
        <v>0</v>
      </c>
      <c r="AP2021" s="93">
        <f>H2021*(1-1)</f>
        <v>0</v>
      </c>
      <c r="AQ2021" s="94" t="s">
        <v>148</v>
      </c>
      <c r="AV2021" s="93">
        <f>AW2021+AX2021</f>
        <v>0</v>
      </c>
      <c r="AW2021" s="93">
        <f>G2021*AO2021</f>
        <v>0</v>
      </c>
      <c r="AX2021" s="93">
        <f>G2021*AP2021</f>
        <v>0</v>
      </c>
      <c r="AY2021" s="94" t="s">
        <v>2709</v>
      </c>
      <c r="AZ2021" s="94" t="s">
        <v>2710</v>
      </c>
      <c r="BA2021" s="88" t="s">
        <v>67</v>
      </c>
      <c r="BC2021" s="93">
        <f>AW2021+AX2021</f>
        <v>0</v>
      </c>
      <c r="BD2021" s="93">
        <f>H2021/(100-BE2021)*100</f>
        <v>0</v>
      </c>
      <c r="BE2021" s="93">
        <v>0</v>
      </c>
      <c r="BF2021" s="93">
        <f>O2021</f>
        <v>1.531955425</v>
      </c>
      <c r="BH2021" s="93">
        <f>G2021*AO2021</f>
        <v>0</v>
      </c>
      <c r="BI2021" s="93">
        <f>G2021*AP2021</f>
        <v>0</v>
      </c>
      <c r="BJ2021" s="93">
        <f>G2021*H2021</f>
        <v>0</v>
      </c>
      <c r="BK2021" s="93"/>
      <c r="BL2021" s="93">
        <v>771</v>
      </c>
      <c r="BW2021" s="93" t="str">
        <f>I2021</f>
        <v>21</v>
      </c>
      <c r="BX2021" s="2" t="s">
        <v>2735</v>
      </c>
    </row>
    <row r="2022" spans="1:76" s="81" customFormat="1" x14ac:dyDescent="0.25">
      <c r="A2022" s="95"/>
      <c r="B2022" s="95"/>
      <c r="C2022" s="95"/>
      <c r="D2022" s="76" t="s">
        <v>2736</v>
      </c>
      <c r="E2022" s="76" t="s">
        <v>54</v>
      </c>
      <c r="F2022" s="95"/>
      <c r="G2022" s="96">
        <v>126.035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95"/>
      <c r="B2023" s="95"/>
      <c r="C2023" s="95"/>
      <c r="D2023" s="76" t="s">
        <v>2737</v>
      </c>
      <c r="E2023" s="76" t="s">
        <v>54</v>
      </c>
      <c r="F2023" s="95"/>
      <c r="G2023" s="96">
        <v>12.6035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ht="25.5" x14ac:dyDescent="0.25">
      <c r="A2024" s="72" t="s">
        <v>2738</v>
      </c>
      <c r="B2024" s="72" t="s">
        <v>55</v>
      </c>
      <c r="C2024" s="72" t="s">
        <v>2739</v>
      </c>
      <c r="D2024" s="175" t="s">
        <v>2740</v>
      </c>
      <c r="E2024" s="175"/>
      <c r="F2024" s="72" t="s">
        <v>1449</v>
      </c>
      <c r="G2024" s="91"/>
      <c r="H2024" s="91"/>
      <c r="I2024" s="92" t="s">
        <v>63</v>
      </c>
      <c r="J2024" s="90">
        <f>G2024*AO2024</f>
        <v>0</v>
      </c>
      <c r="K2024" s="90">
        <f>G2024*AP2024</f>
        <v>0</v>
      </c>
      <c r="L2024" s="90">
        <f>G2024*H2024</f>
        <v>0</v>
      </c>
      <c r="M2024" s="90">
        <f>L2024*(1+BW2024/100)</f>
        <v>0</v>
      </c>
      <c r="N2024" s="90">
        <v>0</v>
      </c>
      <c r="O2024" s="90">
        <f>G2024*N2024</f>
        <v>0</v>
      </c>
      <c r="P2024" s="92" t="s">
        <v>64</v>
      </c>
      <c r="Z2024" s="93">
        <f>IF(AQ2024="5",BJ2024,0)</f>
        <v>0</v>
      </c>
      <c r="AB2024" s="93">
        <f>IF(AQ2024="1",BH2024,0)</f>
        <v>0</v>
      </c>
      <c r="AC2024" s="93">
        <f>IF(AQ2024="1",BI2024,0)</f>
        <v>0</v>
      </c>
      <c r="AD2024" s="93">
        <f>IF(AQ2024="7",BH2024,0)</f>
        <v>0</v>
      </c>
      <c r="AE2024" s="93">
        <f>IF(AQ2024="7",BI2024,0)</f>
        <v>0</v>
      </c>
      <c r="AF2024" s="93">
        <f>IF(AQ2024="2",BH2024,0)</f>
        <v>0</v>
      </c>
      <c r="AG2024" s="93">
        <f>IF(AQ2024="2",BI2024,0)</f>
        <v>0</v>
      </c>
      <c r="AH2024" s="93">
        <f>IF(AQ2024="0",BJ2024,0)</f>
        <v>0</v>
      </c>
      <c r="AI2024" s="88" t="s">
        <v>55</v>
      </c>
      <c r="AJ2024" s="93">
        <f>IF(AN2024=0,L2024,0)</f>
        <v>0</v>
      </c>
      <c r="AK2024" s="93">
        <f>IF(AN2024=12,L2024,0)</f>
        <v>0</v>
      </c>
      <c r="AL2024" s="93">
        <f>IF(AN2024=21,L2024,0)</f>
        <v>0</v>
      </c>
      <c r="AN2024" s="93">
        <v>21</v>
      </c>
      <c r="AO2024" s="93">
        <f>H2024*0</f>
        <v>0</v>
      </c>
      <c r="AP2024" s="93">
        <f>H2024*(1-0)</f>
        <v>0</v>
      </c>
      <c r="AQ2024" s="94" t="s">
        <v>136</v>
      </c>
      <c r="AV2024" s="93">
        <f>AW2024+AX2024</f>
        <v>0</v>
      </c>
      <c r="AW2024" s="93">
        <f>G2024*AO2024</f>
        <v>0</v>
      </c>
      <c r="AX2024" s="93">
        <f>G2024*AP2024</f>
        <v>0</v>
      </c>
      <c r="AY2024" s="94" t="s">
        <v>2709</v>
      </c>
      <c r="AZ2024" s="94" t="s">
        <v>2710</v>
      </c>
      <c r="BA2024" s="88" t="s">
        <v>67</v>
      </c>
      <c r="BC2024" s="93">
        <f>AW2024+AX2024</f>
        <v>0</v>
      </c>
      <c r="BD2024" s="93">
        <f>H2024/(100-BE2024)*100</f>
        <v>0</v>
      </c>
      <c r="BE2024" s="93">
        <v>0</v>
      </c>
      <c r="BF2024" s="93">
        <f>O2024</f>
        <v>0</v>
      </c>
      <c r="BH2024" s="93">
        <f>G2024*AO2024</f>
        <v>0</v>
      </c>
      <c r="BI2024" s="93">
        <f>G2024*AP2024</f>
        <v>0</v>
      </c>
      <c r="BJ2024" s="93">
        <f>G2024*H2024</f>
        <v>0</v>
      </c>
      <c r="BK2024" s="93"/>
      <c r="BL2024" s="93">
        <v>771</v>
      </c>
      <c r="BW2024" s="93" t="str">
        <f>I2024</f>
        <v>21</v>
      </c>
      <c r="BX2024" s="2" t="s">
        <v>2740</v>
      </c>
    </row>
    <row r="2025" spans="1:76" s="81" customFormat="1" x14ac:dyDescent="0.25">
      <c r="A2025" s="85" t="s">
        <v>54</v>
      </c>
      <c r="B2025" s="74" t="s">
        <v>55</v>
      </c>
      <c r="C2025" s="74" t="s">
        <v>2741</v>
      </c>
      <c r="D2025" s="176" t="s">
        <v>2742</v>
      </c>
      <c r="E2025" s="176"/>
      <c r="F2025" s="85" t="s">
        <v>4</v>
      </c>
      <c r="G2025" s="85" t="s">
        <v>4</v>
      </c>
      <c r="H2025" s="85" t="s">
        <v>4</v>
      </c>
      <c r="I2025" s="85" t="s">
        <v>4</v>
      </c>
      <c r="J2025" s="86">
        <f>SUM(J2026:J2088)</f>
        <v>0</v>
      </c>
      <c r="K2025" s="86">
        <f>SUM(K2026:K2088)</f>
        <v>0</v>
      </c>
      <c r="L2025" s="86">
        <f>SUM(L2026:L2088)</f>
        <v>0</v>
      </c>
      <c r="M2025" s="86">
        <f>SUM(M2026:M2088)</f>
        <v>0</v>
      </c>
      <c r="N2025" s="87" t="s">
        <v>54</v>
      </c>
      <c r="O2025" s="86">
        <f>SUM(O2026:O2088)</f>
        <v>2.5959515290000001</v>
      </c>
      <c r="P2025" s="87" t="s">
        <v>54</v>
      </c>
      <c r="AI2025" s="88" t="s">
        <v>55</v>
      </c>
      <c r="AS2025" s="89">
        <f>SUM(AJ2026:AJ2088)</f>
        <v>0</v>
      </c>
      <c r="AT2025" s="89">
        <f>SUM(AK2026:AK2088)</f>
        <v>0</v>
      </c>
      <c r="AU2025" s="89">
        <f>SUM(AL2026:AL2088)</f>
        <v>0</v>
      </c>
    </row>
    <row r="2026" spans="1:76" s="81" customFormat="1" ht="25.5" x14ac:dyDescent="0.25">
      <c r="A2026" s="72" t="s">
        <v>2743</v>
      </c>
      <c r="B2026" s="72" t="s">
        <v>55</v>
      </c>
      <c r="C2026" s="72" t="s">
        <v>2714</v>
      </c>
      <c r="D2026" s="175" t="s">
        <v>2744</v>
      </c>
      <c r="E2026" s="175"/>
      <c r="F2026" s="72" t="s">
        <v>192</v>
      </c>
      <c r="G2026" s="90">
        <v>877.09310000000005</v>
      </c>
      <c r="H2026" s="91"/>
      <c r="I2026" s="92" t="s">
        <v>63</v>
      </c>
      <c r="J2026" s="90">
        <f>G2026*AO2026</f>
        <v>0</v>
      </c>
      <c r="K2026" s="90">
        <f>G2026*AP2026</f>
        <v>0</v>
      </c>
      <c r="L2026" s="90">
        <f>G2026*H2026</f>
        <v>0</v>
      </c>
      <c r="M2026" s="90">
        <f>L2026*(1+BW2026/100)</f>
        <v>0</v>
      </c>
      <c r="N2026" s="90">
        <v>2.1000000000000001E-4</v>
      </c>
      <c r="O2026" s="90">
        <f>G2026*N2026</f>
        <v>0.18418955100000001</v>
      </c>
      <c r="P2026" s="92" t="s">
        <v>64</v>
      </c>
      <c r="Z2026" s="93">
        <f>IF(AQ2026="5",BJ2026,0)</f>
        <v>0</v>
      </c>
      <c r="AB2026" s="93">
        <f>IF(AQ2026="1",BH2026,0)</f>
        <v>0</v>
      </c>
      <c r="AC2026" s="93">
        <f>IF(AQ2026="1",BI2026,0)</f>
        <v>0</v>
      </c>
      <c r="AD2026" s="93">
        <f>IF(AQ2026="7",BH2026,0)</f>
        <v>0</v>
      </c>
      <c r="AE2026" s="93">
        <f>IF(AQ2026="7",BI2026,0)</f>
        <v>0</v>
      </c>
      <c r="AF2026" s="93">
        <f>IF(AQ2026="2",BH2026,0)</f>
        <v>0</v>
      </c>
      <c r="AG2026" s="93">
        <f>IF(AQ2026="2",BI2026,0)</f>
        <v>0</v>
      </c>
      <c r="AH2026" s="93">
        <f>IF(AQ2026="0",BJ2026,0)</f>
        <v>0</v>
      </c>
      <c r="AI2026" s="88" t="s">
        <v>55</v>
      </c>
      <c r="AJ2026" s="93">
        <f>IF(AN2026=0,L2026,0)</f>
        <v>0</v>
      </c>
      <c r="AK2026" s="93">
        <f>IF(AN2026=12,L2026,0)</f>
        <v>0</v>
      </c>
      <c r="AL2026" s="93">
        <f>IF(AN2026=21,L2026,0)</f>
        <v>0</v>
      </c>
      <c r="AN2026" s="93">
        <v>21</v>
      </c>
      <c r="AO2026" s="93">
        <f>H2026*0.477365472</f>
        <v>0</v>
      </c>
      <c r="AP2026" s="93">
        <f>H2026*(1-0.477365472)</f>
        <v>0</v>
      </c>
      <c r="AQ2026" s="94" t="s">
        <v>148</v>
      </c>
      <c r="AV2026" s="93">
        <f>AW2026+AX2026</f>
        <v>0</v>
      </c>
      <c r="AW2026" s="93">
        <f>G2026*AO2026</f>
        <v>0</v>
      </c>
      <c r="AX2026" s="93">
        <f>G2026*AP2026</f>
        <v>0</v>
      </c>
      <c r="AY2026" s="94" t="s">
        <v>2745</v>
      </c>
      <c r="AZ2026" s="94" t="s">
        <v>2710</v>
      </c>
      <c r="BA2026" s="88" t="s">
        <v>67</v>
      </c>
      <c r="BC2026" s="93">
        <f>AW2026+AX2026</f>
        <v>0</v>
      </c>
      <c r="BD2026" s="93">
        <f>H2026/(100-BE2026)*100</f>
        <v>0</v>
      </c>
      <c r="BE2026" s="93">
        <v>0</v>
      </c>
      <c r="BF2026" s="93">
        <f>O2026</f>
        <v>0.18418955100000001</v>
      </c>
      <c r="BH2026" s="93">
        <f>G2026*AO2026</f>
        <v>0</v>
      </c>
      <c r="BI2026" s="93">
        <f>G2026*AP2026</f>
        <v>0</v>
      </c>
      <c r="BJ2026" s="93">
        <f>G2026*H2026</f>
        <v>0</v>
      </c>
      <c r="BK2026" s="93"/>
      <c r="BL2026" s="93">
        <v>776</v>
      </c>
      <c r="BW2026" s="93" t="str">
        <f>I2026</f>
        <v>21</v>
      </c>
      <c r="BX2026" s="2" t="s">
        <v>2744</v>
      </c>
    </row>
    <row r="2027" spans="1:76" s="81" customFormat="1" x14ac:dyDescent="0.25">
      <c r="A2027" s="95"/>
      <c r="B2027" s="95"/>
      <c r="C2027" s="95"/>
      <c r="D2027" s="76" t="s">
        <v>54</v>
      </c>
      <c r="E2027" s="76" t="s">
        <v>1102</v>
      </c>
      <c r="F2027" s="95"/>
      <c r="G2027" s="96">
        <v>0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x14ac:dyDescent="0.25">
      <c r="A2028" s="95"/>
      <c r="B2028" s="95"/>
      <c r="C2028" s="95"/>
      <c r="D2028" s="76" t="s">
        <v>54</v>
      </c>
      <c r="E2028" s="76" t="s">
        <v>1103</v>
      </c>
      <c r="F2028" s="95"/>
      <c r="G2028" s="96">
        <v>0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ht="25.5" x14ac:dyDescent="0.25">
      <c r="A2029" s="95"/>
      <c r="B2029" s="95"/>
      <c r="C2029" s="95"/>
      <c r="D2029" s="76" t="s">
        <v>1104</v>
      </c>
      <c r="E2029" s="76" t="s">
        <v>1105</v>
      </c>
      <c r="F2029" s="95"/>
      <c r="G2029" s="96">
        <v>476.9</v>
      </c>
      <c r="H2029" s="95"/>
      <c r="I2029" s="95"/>
      <c r="J2029" s="95"/>
      <c r="K2029" s="95"/>
      <c r="L2029" s="95"/>
      <c r="M2029" s="95"/>
      <c r="N2029" s="95"/>
      <c r="O2029" s="95"/>
      <c r="P2029" s="95"/>
    </row>
    <row r="2030" spans="1:76" s="81" customFormat="1" x14ac:dyDescent="0.25">
      <c r="A2030" s="95"/>
      <c r="B2030" s="95"/>
      <c r="C2030" s="95"/>
      <c r="D2030" s="76" t="s">
        <v>54</v>
      </c>
      <c r="E2030" s="76" t="s">
        <v>1106</v>
      </c>
      <c r="F2030" s="95"/>
      <c r="G2030" s="96">
        <v>0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x14ac:dyDescent="0.25">
      <c r="A2031" s="95"/>
      <c r="B2031" s="95"/>
      <c r="C2031" s="95"/>
      <c r="D2031" s="76" t="s">
        <v>54</v>
      </c>
      <c r="E2031" s="76" t="s">
        <v>1107</v>
      </c>
      <c r="F2031" s="95"/>
      <c r="G2031" s="96">
        <v>0</v>
      </c>
      <c r="H2031" s="95"/>
      <c r="I2031" s="95"/>
      <c r="J2031" s="95"/>
      <c r="K2031" s="95"/>
      <c r="L2031" s="95"/>
      <c r="M2031" s="95"/>
      <c r="N2031" s="95"/>
      <c r="O2031" s="95"/>
      <c r="P2031" s="95"/>
    </row>
    <row r="2032" spans="1:76" s="81" customFormat="1" ht="25.5" x14ac:dyDescent="0.25">
      <c r="A2032" s="95"/>
      <c r="B2032" s="95"/>
      <c r="C2032" s="95"/>
      <c r="D2032" s="76" t="s">
        <v>2746</v>
      </c>
      <c r="E2032" s="76" t="s">
        <v>2747</v>
      </c>
      <c r="F2032" s="95"/>
      <c r="G2032" s="96">
        <v>21.687999999999999</v>
      </c>
      <c r="H2032" s="95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ht="25.5" x14ac:dyDescent="0.25">
      <c r="A2033" s="95"/>
      <c r="B2033" s="95"/>
      <c r="C2033" s="95"/>
      <c r="D2033" s="76" t="s">
        <v>1110</v>
      </c>
      <c r="E2033" s="76" t="s">
        <v>1111</v>
      </c>
      <c r="F2033" s="95"/>
      <c r="G2033" s="96">
        <v>330.5</v>
      </c>
      <c r="H2033" s="95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ht="25.5" x14ac:dyDescent="0.25">
      <c r="A2034" s="95"/>
      <c r="B2034" s="95"/>
      <c r="C2034" s="95"/>
      <c r="D2034" s="76" t="s">
        <v>54</v>
      </c>
      <c r="E2034" s="76" t="s">
        <v>2748</v>
      </c>
      <c r="F2034" s="95"/>
      <c r="G2034" s="96">
        <v>0</v>
      </c>
      <c r="H2034" s="95"/>
      <c r="I2034" s="95"/>
      <c r="J2034" s="95"/>
      <c r="K2034" s="95"/>
      <c r="L2034" s="95"/>
      <c r="M2034" s="95"/>
      <c r="N2034" s="95"/>
      <c r="O2034" s="95"/>
      <c r="P2034" s="95"/>
    </row>
    <row r="2035" spans="1:76" s="81" customFormat="1" x14ac:dyDescent="0.25">
      <c r="A2035" s="95"/>
      <c r="B2035" s="95"/>
      <c r="C2035" s="95"/>
      <c r="D2035" s="76" t="s">
        <v>2749</v>
      </c>
      <c r="E2035" s="76" t="s">
        <v>54</v>
      </c>
      <c r="F2035" s="95"/>
      <c r="G2035" s="96">
        <v>48.005099999999999</v>
      </c>
      <c r="H2035" s="95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ht="25.5" x14ac:dyDescent="0.25">
      <c r="A2036" s="72" t="s">
        <v>2750</v>
      </c>
      <c r="B2036" s="72" t="s">
        <v>55</v>
      </c>
      <c r="C2036" s="72" t="s">
        <v>2751</v>
      </c>
      <c r="D2036" s="175" t="s">
        <v>2752</v>
      </c>
      <c r="E2036" s="175"/>
      <c r="F2036" s="72" t="s">
        <v>192</v>
      </c>
      <c r="G2036" s="90">
        <v>816.71199999999999</v>
      </c>
      <c r="H2036" s="91"/>
      <c r="I2036" s="92" t="s">
        <v>63</v>
      </c>
      <c r="J2036" s="90">
        <f>G2036*AO2036</f>
        <v>0</v>
      </c>
      <c r="K2036" s="90">
        <f>G2036*AP2036</f>
        <v>0</v>
      </c>
      <c r="L2036" s="90">
        <f>G2036*H2036</f>
        <v>0</v>
      </c>
      <c r="M2036" s="90">
        <f>L2036*(1+BW2036/100)</f>
        <v>0</v>
      </c>
      <c r="N2036" s="90">
        <v>2.5000000000000001E-4</v>
      </c>
      <c r="O2036" s="90">
        <f>G2036*N2036</f>
        <v>0.204178</v>
      </c>
      <c r="P2036" s="92" t="s">
        <v>64</v>
      </c>
      <c r="Z2036" s="93">
        <f>IF(AQ2036="5",BJ2036,0)</f>
        <v>0</v>
      </c>
      <c r="AB2036" s="93">
        <f>IF(AQ2036="1",BH2036,0)</f>
        <v>0</v>
      </c>
      <c r="AC2036" s="93">
        <f>IF(AQ2036="1",BI2036,0)</f>
        <v>0</v>
      </c>
      <c r="AD2036" s="93">
        <f>IF(AQ2036="7",BH2036,0)</f>
        <v>0</v>
      </c>
      <c r="AE2036" s="93">
        <f>IF(AQ2036="7",BI2036,0)</f>
        <v>0</v>
      </c>
      <c r="AF2036" s="93">
        <f>IF(AQ2036="2",BH2036,0)</f>
        <v>0</v>
      </c>
      <c r="AG2036" s="93">
        <f>IF(AQ2036="2",BI2036,0)</f>
        <v>0</v>
      </c>
      <c r="AH2036" s="93">
        <f>IF(AQ2036="0",BJ2036,0)</f>
        <v>0</v>
      </c>
      <c r="AI2036" s="88" t="s">
        <v>55</v>
      </c>
      <c r="AJ2036" s="93">
        <f>IF(AN2036=0,L2036,0)</f>
        <v>0</v>
      </c>
      <c r="AK2036" s="93">
        <f>IF(AN2036=12,L2036,0)</f>
        <v>0</v>
      </c>
      <c r="AL2036" s="93">
        <f>IF(AN2036=21,L2036,0)</f>
        <v>0</v>
      </c>
      <c r="AN2036" s="93">
        <v>21</v>
      </c>
      <c r="AO2036" s="93">
        <f>H2036*0.313877952</f>
        <v>0</v>
      </c>
      <c r="AP2036" s="93">
        <f>H2036*(1-0.313877952)</f>
        <v>0</v>
      </c>
      <c r="AQ2036" s="94" t="s">
        <v>148</v>
      </c>
      <c r="AV2036" s="93">
        <f>AW2036+AX2036</f>
        <v>0</v>
      </c>
      <c r="AW2036" s="93">
        <f>G2036*AO2036</f>
        <v>0</v>
      </c>
      <c r="AX2036" s="93">
        <f>G2036*AP2036</f>
        <v>0</v>
      </c>
      <c r="AY2036" s="94" t="s">
        <v>2745</v>
      </c>
      <c r="AZ2036" s="94" t="s">
        <v>2710</v>
      </c>
      <c r="BA2036" s="88" t="s">
        <v>67</v>
      </c>
      <c r="BC2036" s="93">
        <f>AW2036+AX2036</f>
        <v>0</v>
      </c>
      <c r="BD2036" s="93">
        <f>H2036/(100-BE2036)*100</f>
        <v>0</v>
      </c>
      <c r="BE2036" s="93">
        <v>0</v>
      </c>
      <c r="BF2036" s="93">
        <f>O2036</f>
        <v>0.204178</v>
      </c>
      <c r="BH2036" s="93">
        <f>G2036*AO2036</f>
        <v>0</v>
      </c>
      <c r="BI2036" s="93">
        <f>G2036*AP2036</f>
        <v>0</v>
      </c>
      <c r="BJ2036" s="93">
        <f>G2036*H2036</f>
        <v>0</v>
      </c>
      <c r="BK2036" s="93"/>
      <c r="BL2036" s="93">
        <v>776</v>
      </c>
      <c r="BW2036" s="93" t="str">
        <f>I2036</f>
        <v>21</v>
      </c>
      <c r="BX2036" s="2" t="s">
        <v>2752</v>
      </c>
    </row>
    <row r="2037" spans="1:76" s="81" customFormat="1" x14ac:dyDescent="0.25">
      <c r="A2037" s="95"/>
      <c r="B2037" s="95"/>
      <c r="C2037" s="95"/>
      <c r="D2037" s="76" t="s">
        <v>54</v>
      </c>
      <c r="E2037" s="76" t="s">
        <v>1102</v>
      </c>
      <c r="F2037" s="95"/>
      <c r="G2037" s="96">
        <v>0</v>
      </c>
      <c r="H2037" s="95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x14ac:dyDescent="0.25">
      <c r="A2038" s="95"/>
      <c r="B2038" s="95"/>
      <c r="C2038" s="95"/>
      <c r="D2038" s="76" t="s">
        <v>54</v>
      </c>
      <c r="E2038" s="76" t="s">
        <v>1103</v>
      </c>
      <c r="F2038" s="95"/>
      <c r="G2038" s="96">
        <v>0</v>
      </c>
      <c r="H2038" s="95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ht="25.5" x14ac:dyDescent="0.25">
      <c r="A2039" s="95"/>
      <c r="B2039" s="95"/>
      <c r="C2039" s="95"/>
      <c r="D2039" s="76" t="s">
        <v>1104</v>
      </c>
      <c r="E2039" s="76" t="s">
        <v>1105</v>
      </c>
      <c r="F2039" s="95"/>
      <c r="G2039" s="96">
        <v>476.9</v>
      </c>
      <c r="H2039" s="95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95"/>
      <c r="B2040" s="95"/>
      <c r="C2040" s="95"/>
      <c r="D2040" s="76" t="s">
        <v>54</v>
      </c>
      <c r="E2040" s="76" t="s">
        <v>1106</v>
      </c>
      <c r="F2040" s="95"/>
      <c r="G2040" s="96">
        <v>0</v>
      </c>
      <c r="H2040" s="95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x14ac:dyDescent="0.25">
      <c r="A2041" s="95"/>
      <c r="B2041" s="95"/>
      <c r="C2041" s="95"/>
      <c r="D2041" s="76" t="s">
        <v>54</v>
      </c>
      <c r="E2041" s="76" t="s">
        <v>1107</v>
      </c>
      <c r="F2041" s="95"/>
      <c r="G2041" s="96">
        <v>0</v>
      </c>
      <c r="H2041" s="95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x14ac:dyDescent="0.25">
      <c r="A2042" s="95"/>
      <c r="B2042" s="95"/>
      <c r="C2042" s="95"/>
      <c r="D2042" s="76" t="s">
        <v>1115</v>
      </c>
      <c r="E2042" s="76" t="s">
        <v>1116</v>
      </c>
      <c r="F2042" s="95"/>
      <c r="G2042" s="96">
        <v>9.3119999999999994</v>
      </c>
      <c r="H2042" s="95"/>
      <c r="I2042" s="95"/>
      <c r="J2042" s="95"/>
      <c r="K2042" s="95"/>
      <c r="L2042" s="95"/>
      <c r="M2042" s="95"/>
      <c r="N2042" s="95"/>
      <c r="O2042" s="95"/>
      <c r="P2042" s="95"/>
    </row>
    <row r="2043" spans="1:76" s="81" customFormat="1" ht="25.5" x14ac:dyDescent="0.25">
      <c r="A2043" s="95"/>
      <c r="B2043" s="95"/>
      <c r="C2043" s="95"/>
      <c r="D2043" s="76" t="s">
        <v>1110</v>
      </c>
      <c r="E2043" s="76" t="s">
        <v>1111</v>
      </c>
      <c r="F2043" s="95"/>
      <c r="G2043" s="96">
        <v>330.5</v>
      </c>
      <c r="H2043" s="95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ht="25.5" x14ac:dyDescent="0.25">
      <c r="A2044" s="72" t="s">
        <v>2753</v>
      </c>
      <c r="B2044" s="72" t="s">
        <v>55</v>
      </c>
      <c r="C2044" s="72" t="s">
        <v>2754</v>
      </c>
      <c r="D2044" s="175" t="s">
        <v>2755</v>
      </c>
      <c r="E2044" s="175"/>
      <c r="F2044" s="72" t="s">
        <v>192</v>
      </c>
      <c r="G2044" s="90">
        <v>898.38319999999999</v>
      </c>
      <c r="H2044" s="91"/>
      <c r="I2044" s="92" t="s">
        <v>63</v>
      </c>
      <c r="J2044" s="90">
        <f>G2044*AO2044</f>
        <v>0</v>
      </c>
      <c r="K2044" s="90">
        <f>G2044*AP2044</f>
        <v>0</v>
      </c>
      <c r="L2044" s="90">
        <f>G2044*H2044</f>
        <v>0</v>
      </c>
      <c r="M2044" s="90">
        <f>L2044*(1+BW2044/100)</f>
        <v>0</v>
      </c>
      <c r="N2044" s="90">
        <v>2.3600000000000001E-3</v>
      </c>
      <c r="O2044" s="90">
        <f>G2044*N2044</f>
        <v>2.1201843519999999</v>
      </c>
      <c r="P2044" s="92" t="s">
        <v>578</v>
      </c>
      <c r="Z2044" s="93">
        <f>IF(AQ2044="5",BJ2044,0)</f>
        <v>0</v>
      </c>
      <c r="AB2044" s="93">
        <f>IF(AQ2044="1",BH2044,0)</f>
        <v>0</v>
      </c>
      <c r="AC2044" s="93">
        <f>IF(AQ2044="1",BI2044,0)</f>
        <v>0</v>
      </c>
      <c r="AD2044" s="93">
        <f>IF(AQ2044="7",BH2044,0)</f>
        <v>0</v>
      </c>
      <c r="AE2044" s="93">
        <f>IF(AQ2044="7",BI2044,0)</f>
        <v>0</v>
      </c>
      <c r="AF2044" s="93">
        <f>IF(AQ2044="2",BH2044,0)</f>
        <v>0</v>
      </c>
      <c r="AG2044" s="93">
        <f>IF(AQ2044="2",BI2044,0)</f>
        <v>0</v>
      </c>
      <c r="AH2044" s="93">
        <f>IF(AQ2044="0",BJ2044,0)</f>
        <v>0</v>
      </c>
      <c r="AI2044" s="88" t="s">
        <v>55</v>
      </c>
      <c r="AJ2044" s="93">
        <f>IF(AN2044=0,L2044,0)</f>
        <v>0</v>
      </c>
      <c r="AK2044" s="93">
        <f>IF(AN2044=12,L2044,0)</f>
        <v>0</v>
      </c>
      <c r="AL2044" s="93">
        <f>IF(AN2044=21,L2044,0)</f>
        <v>0</v>
      </c>
      <c r="AN2044" s="93">
        <v>21</v>
      </c>
      <c r="AO2044" s="93">
        <f>H2044*1</f>
        <v>0</v>
      </c>
      <c r="AP2044" s="93">
        <f>H2044*(1-1)</f>
        <v>0</v>
      </c>
      <c r="AQ2044" s="94" t="s">
        <v>148</v>
      </c>
      <c r="AV2044" s="93">
        <f>AW2044+AX2044</f>
        <v>0</v>
      </c>
      <c r="AW2044" s="93">
        <f>G2044*AO2044</f>
        <v>0</v>
      </c>
      <c r="AX2044" s="93">
        <f>G2044*AP2044</f>
        <v>0</v>
      </c>
      <c r="AY2044" s="94" t="s">
        <v>2745</v>
      </c>
      <c r="AZ2044" s="94" t="s">
        <v>2710</v>
      </c>
      <c r="BA2044" s="88" t="s">
        <v>67</v>
      </c>
      <c r="BC2044" s="93">
        <f>AW2044+AX2044</f>
        <v>0</v>
      </c>
      <c r="BD2044" s="93">
        <f>H2044/(100-BE2044)*100</f>
        <v>0</v>
      </c>
      <c r="BE2044" s="93">
        <v>0</v>
      </c>
      <c r="BF2044" s="93">
        <f>O2044</f>
        <v>2.1201843519999999</v>
      </c>
      <c r="BH2044" s="93">
        <f>G2044*AO2044</f>
        <v>0</v>
      </c>
      <c r="BI2044" s="93">
        <f>G2044*AP2044</f>
        <v>0</v>
      </c>
      <c r="BJ2044" s="93">
        <f>G2044*H2044</f>
        <v>0</v>
      </c>
      <c r="BK2044" s="93"/>
      <c r="BL2044" s="93">
        <v>776</v>
      </c>
      <c r="BW2044" s="93" t="str">
        <f>I2044</f>
        <v>21</v>
      </c>
      <c r="BX2044" s="2" t="s">
        <v>2755</v>
      </c>
    </row>
    <row r="2045" spans="1:76" s="81" customFormat="1" x14ac:dyDescent="0.25">
      <c r="A2045" s="95"/>
      <c r="B2045" s="95"/>
      <c r="C2045" s="95"/>
      <c r="D2045" s="76" t="s">
        <v>2756</v>
      </c>
      <c r="E2045" s="76" t="s">
        <v>54</v>
      </c>
      <c r="F2045" s="95"/>
      <c r="G2045" s="96">
        <v>816.71199999999999</v>
      </c>
      <c r="H2045" s="95"/>
      <c r="I2045" s="95"/>
      <c r="J2045" s="95"/>
      <c r="K2045" s="95"/>
      <c r="L2045" s="95"/>
      <c r="M2045" s="95"/>
      <c r="N2045" s="95"/>
      <c r="O2045" s="95"/>
      <c r="P2045" s="95"/>
    </row>
    <row r="2046" spans="1:76" s="81" customFormat="1" x14ac:dyDescent="0.25">
      <c r="A2046" s="95"/>
      <c r="B2046" s="95"/>
      <c r="C2046" s="95"/>
      <c r="D2046" s="76" t="s">
        <v>2757</v>
      </c>
      <c r="E2046" s="76" t="s">
        <v>54</v>
      </c>
      <c r="F2046" s="95"/>
      <c r="G2046" s="96">
        <v>81.671199999999999</v>
      </c>
      <c r="H2046" s="95"/>
      <c r="I2046" s="95"/>
      <c r="J2046" s="95"/>
      <c r="K2046" s="95"/>
      <c r="L2046" s="95"/>
      <c r="M2046" s="95"/>
      <c r="N2046" s="95"/>
      <c r="O2046" s="95"/>
      <c r="P2046" s="95"/>
    </row>
    <row r="2047" spans="1:76" s="81" customFormat="1" ht="25.5" x14ac:dyDescent="0.25">
      <c r="A2047" s="72" t="s">
        <v>2758</v>
      </c>
      <c r="B2047" s="72" t="s">
        <v>55</v>
      </c>
      <c r="C2047" s="72" t="s">
        <v>2759</v>
      </c>
      <c r="D2047" s="175" t="s">
        <v>2760</v>
      </c>
      <c r="E2047" s="175"/>
      <c r="F2047" s="72" t="s">
        <v>213</v>
      </c>
      <c r="G2047" s="90">
        <v>28</v>
      </c>
      <c r="H2047" s="91"/>
      <c r="I2047" s="92" t="s">
        <v>63</v>
      </c>
      <c r="J2047" s="90">
        <f>G2047*AO2047</f>
        <v>0</v>
      </c>
      <c r="K2047" s="90">
        <f>G2047*AP2047</f>
        <v>0</v>
      </c>
      <c r="L2047" s="90">
        <f>G2047*H2047</f>
        <v>0</v>
      </c>
      <c r="M2047" s="90">
        <f>L2047*(1+BW2047/100)</f>
        <v>0</v>
      </c>
      <c r="N2047" s="90">
        <v>9.0000000000000006E-5</v>
      </c>
      <c r="O2047" s="90">
        <f>G2047*N2047</f>
        <v>2.5200000000000001E-3</v>
      </c>
      <c r="P2047" s="92" t="s">
        <v>64</v>
      </c>
      <c r="Z2047" s="93">
        <f>IF(AQ2047="5",BJ2047,0)</f>
        <v>0</v>
      </c>
      <c r="AB2047" s="93">
        <f>IF(AQ2047="1",BH2047,0)</f>
        <v>0</v>
      </c>
      <c r="AC2047" s="93">
        <f>IF(AQ2047="1",BI2047,0)</f>
        <v>0</v>
      </c>
      <c r="AD2047" s="93">
        <f>IF(AQ2047="7",BH2047,0)</f>
        <v>0</v>
      </c>
      <c r="AE2047" s="93">
        <f>IF(AQ2047="7",BI2047,0)</f>
        <v>0</v>
      </c>
      <c r="AF2047" s="93">
        <f>IF(AQ2047="2",BH2047,0)</f>
        <v>0</v>
      </c>
      <c r="AG2047" s="93">
        <f>IF(AQ2047="2",BI2047,0)</f>
        <v>0</v>
      </c>
      <c r="AH2047" s="93">
        <f>IF(AQ2047="0",BJ2047,0)</f>
        <v>0</v>
      </c>
      <c r="AI2047" s="88" t="s">
        <v>55</v>
      </c>
      <c r="AJ2047" s="93">
        <f>IF(AN2047=0,L2047,0)</f>
        <v>0</v>
      </c>
      <c r="AK2047" s="93">
        <f>IF(AN2047=12,L2047,0)</f>
        <v>0</v>
      </c>
      <c r="AL2047" s="93">
        <f>IF(AN2047=21,L2047,0)</f>
        <v>0</v>
      </c>
      <c r="AN2047" s="93">
        <v>21</v>
      </c>
      <c r="AO2047" s="93">
        <f>H2047*0.132662722</f>
        <v>0</v>
      </c>
      <c r="AP2047" s="93">
        <f>H2047*(1-0.132662722)</f>
        <v>0</v>
      </c>
      <c r="AQ2047" s="94" t="s">
        <v>148</v>
      </c>
      <c r="AV2047" s="93">
        <f>AW2047+AX2047</f>
        <v>0</v>
      </c>
      <c r="AW2047" s="93">
        <f>G2047*AO2047</f>
        <v>0</v>
      </c>
      <c r="AX2047" s="93">
        <f>G2047*AP2047</f>
        <v>0</v>
      </c>
      <c r="AY2047" s="94" t="s">
        <v>2745</v>
      </c>
      <c r="AZ2047" s="94" t="s">
        <v>2710</v>
      </c>
      <c r="BA2047" s="88" t="s">
        <v>67</v>
      </c>
      <c r="BC2047" s="93">
        <f>AW2047+AX2047</f>
        <v>0</v>
      </c>
      <c r="BD2047" s="93">
        <f>H2047/(100-BE2047)*100</f>
        <v>0</v>
      </c>
      <c r="BE2047" s="93">
        <v>0</v>
      </c>
      <c r="BF2047" s="93">
        <f>O2047</f>
        <v>2.5200000000000001E-3</v>
      </c>
      <c r="BH2047" s="93">
        <f>G2047*AO2047</f>
        <v>0</v>
      </c>
      <c r="BI2047" s="93">
        <f>G2047*AP2047</f>
        <v>0</v>
      </c>
      <c r="BJ2047" s="93">
        <f>G2047*H2047</f>
        <v>0</v>
      </c>
      <c r="BK2047" s="93"/>
      <c r="BL2047" s="93">
        <v>776</v>
      </c>
      <c r="BW2047" s="93" t="str">
        <f>I2047</f>
        <v>21</v>
      </c>
      <c r="BX2047" s="2" t="s">
        <v>2760</v>
      </c>
    </row>
    <row r="2048" spans="1:76" s="81" customFormat="1" x14ac:dyDescent="0.25">
      <c r="A2048" s="95"/>
      <c r="B2048" s="95"/>
      <c r="C2048" s="95"/>
      <c r="D2048" s="76" t="s">
        <v>54</v>
      </c>
      <c r="E2048" s="76" t="s">
        <v>1106</v>
      </c>
      <c r="F2048" s="95"/>
      <c r="G2048" s="96">
        <v>0</v>
      </c>
      <c r="H2048" s="95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95"/>
      <c r="B2049" s="95"/>
      <c r="C2049" s="95"/>
      <c r="D2049" s="76" t="s">
        <v>54</v>
      </c>
      <c r="E2049" s="76" t="s">
        <v>2761</v>
      </c>
      <c r="F2049" s="95"/>
      <c r="G2049" s="96">
        <v>0</v>
      </c>
      <c r="H2049" s="95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x14ac:dyDescent="0.25">
      <c r="A2050" s="95"/>
      <c r="B2050" s="95"/>
      <c r="C2050" s="95"/>
      <c r="D2050" s="76" t="s">
        <v>2762</v>
      </c>
      <c r="E2050" s="76" t="s">
        <v>54</v>
      </c>
      <c r="F2050" s="95"/>
      <c r="G2050" s="96">
        <v>28</v>
      </c>
      <c r="H2050" s="95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ht="25.5" x14ac:dyDescent="0.25">
      <c r="A2051" s="72" t="s">
        <v>2763</v>
      </c>
      <c r="B2051" s="72" t="s">
        <v>55</v>
      </c>
      <c r="C2051" s="72" t="s">
        <v>2764</v>
      </c>
      <c r="D2051" s="175" t="s">
        <v>2765</v>
      </c>
      <c r="E2051" s="175"/>
      <c r="F2051" s="72" t="s">
        <v>213</v>
      </c>
      <c r="G2051" s="90">
        <v>28</v>
      </c>
      <c r="H2051" s="91"/>
      <c r="I2051" s="92" t="s">
        <v>63</v>
      </c>
      <c r="J2051" s="90">
        <f>G2051*AO2051</f>
        <v>0</v>
      </c>
      <c r="K2051" s="90">
        <f>G2051*AP2051</f>
        <v>0</v>
      </c>
      <c r="L2051" s="90">
        <f>G2051*H2051</f>
        <v>0</v>
      </c>
      <c r="M2051" s="90">
        <f>L2051*(1+BW2051/100)</f>
        <v>0</v>
      </c>
      <c r="N2051" s="90">
        <v>5.0000000000000002E-5</v>
      </c>
      <c r="O2051" s="90">
        <f>G2051*N2051</f>
        <v>1.4E-3</v>
      </c>
      <c r="P2051" s="92" t="s">
        <v>64</v>
      </c>
      <c r="Z2051" s="93">
        <f>IF(AQ2051="5",BJ2051,0)</f>
        <v>0</v>
      </c>
      <c r="AB2051" s="93">
        <f>IF(AQ2051="1",BH2051,0)</f>
        <v>0</v>
      </c>
      <c r="AC2051" s="93">
        <f>IF(AQ2051="1",BI2051,0)</f>
        <v>0</v>
      </c>
      <c r="AD2051" s="93">
        <f>IF(AQ2051="7",BH2051,0)</f>
        <v>0</v>
      </c>
      <c r="AE2051" s="93">
        <f>IF(AQ2051="7",BI2051,0)</f>
        <v>0</v>
      </c>
      <c r="AF2051" s="93">
        <f>IF(AQ2051="2",BH2051,0)</f>
        <v>0</v>
      </c>
      <c r="AG2051" s="93">
        <f>IF(AQ2051="2",BI2051,0)</f>
        <v>0</v>
      </c>
      <c r="AH2051" s="93">
        <f>IF(AQ2051="0",BJ2051,0)</f>
        <v>0</v>
      </c>
      <c r="AI2051" s="88" t="s">
        <v>55</v>
      </c>
      <c r="AJ2051" s="93">
        <f>IF(AN2051=0,L2051,0)</f>
        <v>0</v>
      </c>
      <c r="AK2051" s="93">
        <f>IF(AN2051=12,L2051,0)</f>
        <v>0</v>
      </c>
      <c r="AL2051" s="93">
        <f>IF(AN2051=21,L2051,0)</f>
        <v>0</v>
      </c>
      <c r="AN2051" s="93">
        <v>21</v>
      </c>
      <c r="AO2051" s="93">
        <f>H2051*0.068805481</f>
        <v>0</v>
      </c>
      <c r="AP2051" s="93">
        <f>H2051*(1-0.068805481)</f>
        <v>0</v>
      </c>
      <c r="AQ2051" s="94" t="s">
        <v>148</v>
      </c>
      <c r="AV2051" s="93">
        <f>AW2051+AX2051</f>
        <v>0</v>
      </c>
      <c r="AW2051" s="93">
        <f>G2051*AO2051</f>
        <v>0</v>
      </c>
      <c r="AX2051" s="93">
        <f>G2051*AP2051</f>
        <v>0</v>
      </c>
      <c r="AY2051" s="94" t="s">
        <v>2745</v>
      </c>
      <c r="AZ2051" s="94" t="s">
        <v>2710</v>
      </c>
      <c r="BA2051" s="88" t="s">
        <v>67</v>
      </c>
      <c r="BC2051" s="93">
        <f>AW2051+AX2051</f>
        <v>0</v>
      </c>
      <c r="BD2051" s="93">
        <f>H2051/(100-BE2051)*100</f>
        <v>0</v>
      </c>
      <c r="BE2051" s="93">
        <v>0</v>
      </c>
      <c r="BF2051" s="93">
        <f>O2051</f>
        <v>1.4E-3</v>
      </c>
      <c r="BH2051" s="93">
        <f>G2051*AO2051</f>
        <v>0</v>
      </c>
      <c r="BI2051" s="93">
        <f>G2051*AP2051</f>
        <v>0</v>
      </c>
      <c r="BJ2051" s="93">
        <f>G2051*H2051</f>
        <v>0</v>
      </c>
      <c r="BK2051" s="93"/>
      <c r="BL2051" s="93">
        <v>776</v>
      </c>
      <c r="BW2051" s="93" t="str">
        <f>I2051</f>
        <v>21</v>
      </c>
      <c r="BX2051" s="2" t="s">
        <v>2765</v>
      </c>
    </row>
    <row r="2052" spans="1:76" s="81" customFormat="1" x14ac:dyDescent="0.25">
      <c r="A2052" s="95"/>
      <c r="B2052" s="95"/>
      <c r="C2052" s="95"/>
      <c r="D2052" s="76" t="s">
        <v>54</v>
      </c>
      <c r="E2052" s="76" t="s">
        <v>1106</v>
      </c>
      <c r="F2052" s="95"/>
      <c r="G2052" s="96">
        <v>0</v>
      </c>
      <c r="H2052" s="95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95"/>
      <c r="B2053" s="95"/>
      <c r="C2053" s="95"/>
      <c r="D2053" s="76" t="s">
        <v>54</v>
      </c>
      <c r="E2053" s="76" t="s">
        <v>2761</v>
      </c>
      <c r="F2053" s="95"/>
      <c r="G2053" s="96">
        <v>0</v>
      </c>
      <c r="H2053" s="95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x14ac:dyDescent="0.25">
      <c r="A2054" s="95"/>
      <c r="B2054" s="95"/>
      <c r="C2054" s="95"/>
      <c r="D2054" s="76" t="s">
        <v>2762</v>
      </c>
      <c r="E2054" s="76" t="s">
        <v>54</v>
      </c>
      <c r="F2054" s="95"/>
      <c r="G2054" s="96">
        <v>28</v>
      </c>
      <c r="H2054" s="95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ht="25.5" x14ac:dyDescent="0.25">
      <c r="A2055" s="72" t="s">
        <v>2766</v>
      </c>
      <c r="B2055" s="72" t="s">
        <v>55</v>
      </c>
      <c r="C2055" s="72" t="s">
        <v>2754</v>
      </c>
      <c r="D2055" s="175" t="s">
        <v>2755</v>
      </c>
      <c r="E2055" s="175"/>
      <c r="F2055" s="72" t="s">
        <v>192</v>
      </c>
      <c r="G2055" s="90">
        <v>13.6136</v>
      </c>
      <c r="H2055" s="91"/>
      <c r="I2055" s="92" t="s">
        <v>63</v>
      </c>
      <c r="J2055" s="90">
        <f>G2055*AO2055</f>
        <v>0</v>
      </c>
      <c r="K2055" s="90">
        <f>G2055*AP2055</f>
        <v>0</v>
      </c>
      <c r="L2055" s="90">
        <f>G2055*H2055</f>
        <v>0</v>
      </c>
      <c r="M2055" s="90">
        <f>L2055*(1+BW2055/100)</f>
        <v>0</v>
      </c>
      <c r="N2055" s="90">
        <v>2.3600000000000001E-3</v>
      </c>
      <c r="O2055" s="90">
        <f>G2055*N2055</f>
        <v>3.2128096000000002E-2</v>
      </c>
      <c r="P2055" s="92" t="s">
        <v>578</v>
      </c>
      <c r="Z2055" s="93">
        <f>IF(AQ2055="5",BJ2055,0)</f>
        <v>0</v>
      </c>
      <c r="AB2055" s="93">
        <f>IF(AQ2055="1",BH2055,0)</f>
        <v>0</v>
      </c>
      <c r="AC2055" s="93">
        <f>IF(AQ2055="1",BI2055,0)</f>
        <v>0</v>
      </c>
      <c r="AD2055" s="93">
        <f>IF(AQ2055="7",BH2055,0)</f>
        <v>0</v>
      </c>
      <c r="AE2055" s="93">
        <f>IF(AQ2055="7",BI2055,0)</f>
        <v>0</v>
      </c>
      <c r="AF2055" s="93">
        <f>IF(AQ2055="2",BH2055,0)</f>
        <v>0</v>
      </c>
      <c r="AG2055" s="93">
        <f>IF(AQ2055="2",BI2055,0)</f>
        <v>0</v>
      </c>
      <c r="AH2055" s="93">
        <f>IF(AQ2055="0",BJ2055,0)</f>
        <v>0</v>
      </c>
      <c r="AI2055" s="88" t="s">
        <v>55</v>
      </c>
      <c r="AJ2055" s="93">
        <f>IF(AN2055=0,L2055,0)</f>
        <v>0</v>
      </c>
      <c r="AK2055" s="93">
        <f>IF(AN2055=12,L2055,0)</f>
        <v>0</v>
      </c>
      <c r="AL2055" s="93">
        <f>IF(AN2055=21,L2055,0)</f>
        <v>0</v>
      </c>
      <c r="AN2055" s="93">
        <v>21</v>
      </c>
      <c r="AO2055" s="93">
        <f>H2055*1</f>
        <v>0</v>
      </c>
      <c r="AP2055" s="93">
        <f>H2055*(1-1)</f>
        <v>0</v>
      </c>
      <c r="AQ2055" s="94" t="s">
        <v>148</v>
      </c>
      <c r="AV2055" s="93">
        <f>AW2055+AX2055</f>
        <v>0</v>
      </c>
      <c r="AW2055" s="93">
        <f>G2055*AO2055</f>
        <v>0</v>
      </c>
      <c r="AX2055" s="93">
        <f>G2055*AP2055</f>
        <v>0</v>
      </c>
      <c r="AY2055" s="94" t="s">
        <v>2745</v>
      </c>
      <c r="AZ2055" s="94" t="s">
        <v>2710</v>
      </c>
      <c r="BA2055" s="88" t="s">
        <v>67</v>
      </c>
      <c r="BC2055" s="93">
        <f>AW2055+AX2055</f>
        <v>0</v>
      </c>
      <c r="BD2055" s="93">
        <f>H2055/(100-BE2055)*100</f>
        <v>0</v>
      </c>
      <c r="BE2055" s="93">
        <v>0</v>
      </c>
      <c r="BF2055" s="93">
        <f>O2055</f>
        <v>3.2128096000000002E-2</v>
      </c>
      <c r="BH2055" s="93">
        <f>G2055*AO2055</f>
        <v>0</v>
      </c>
      <c r="BI2055" s="93">
        <f>G2055*AP2055</f>
        <v>0</v>
      </c>
      <c r="BJ2055" s="93">
        <f>G2055*H2055</f>
        <v>0</v>
      </c>
      <c r="BK2055" s="93"/>
      <c r="BL2055" s="93">
        <v>776</v>
      </c>
      <c r="BW2055" s="93" t="str">
        <f>I2055</f>
        <v>21</v>
      </c>
      <c r="BX2055" s="2" t="s">
        <v>2755</v>
      </c>
    </row>
    <row r="2056" spans="1:76" s="81" customFormat="1" x14ac:dyDescent="0.25">
      <c r="A2056" s="95"/>
      <c r="B2056" s="95"/>
      <c r="C2056" s="95"/>
      <c r="D2056" s="76" t="s">
        <v>2767</v>
      </c>
      <c r="E2056" s="76" t="s">
        <v>54</v>
      </c>
      <c r="F2056" s="95"/>
      <c r="G2056" s="96">
        <v>12.375999999999999</v>
      </c>
      <c r="H2056" s="95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x14ac:dyDescent="0.25">
      <c r="A2057" s="95"/>
      <c r="B2057" s="95"/>
      <c r="C2057" s="95"/>
      <c r="D2057" s="76" t="s">
        <v>2768</v>
      </c>
      <c r="E2057" s="76" t="s">
        <v>54</v>
      </c>
      <c r="F2057" s="95"/>
      <c r="G2057" s="96">
        <v>1.2376</v>
      </c>
      <c r="H2057" s="95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ht="25.5" x14ac:dyDescent="0.25">
      <c r="A2058" s="72" t="s">
        <v>2769</v>
      </c>
      <c r="B2058" s="72" t="s">
        <v>55</v>
      </c>
      <c r="C2058" s="72" t="s">
        <v>2770</v>
      </c>
      <c r="D2058" s="175" t="s">
        <v>2771</v>
      </c>
      <c r="E2058" s="175"/>
      <c r="F2058" s="72" t="s">
        <v>213</v>
      </c>
      <c r="G2058" s="90">
        <v>28</v>
      </c>
      <c r="H2058" s="91"/>
      <c r="I2058" s="92" t="s">
        <v>63</v>
      </c>
      <c r="J2058" s="90">
        <f>G2058*AO2058</f>
        <v>0</v>
      </c>
      <c r="K2058" s="90">
        <f>G2058*AP2058</f>
        <v>0</v>
      </c>
      <c r="L2058" s="90">
        <f>G2058*H2058</f>
        <v>0</v>
      </c>
      <c r="M2058" s="90">
        <f>L2058*(1+BW2058/100)</f>
        <v>0</v>
      </c>
      <c r="N2058" s="90">
        <v>2.3000000000000001E-4</v>
      </c>
      <c r="O2058" s="90">
        <f>G2058*N2058</f>
        <v>6.4400000000000004E-3</v>
      </c>
      <c r="P2058" s="92" t="s">
        <v>64</v>
      </c>
      <c r="Z2058" s="93">
        <f>IF(AQ2058="5",BJ2058,0)</f>
        <v>0</v>
      </c>
      <c r="AB2058" s="93">
        <f>IF(AQ2058="1",BH2058,0)</f>
        <v>0</v>
      </c>
      <c r="AC2058" s="93">
        <f>IF(AQ2058="1",BI2058,0)</f>
        <v>0</v>
      </c>
      <c r="AD2058" s="93">
        <f>IF(AQ2058="7",BH2058,0)</f>
        <v>0</v>
      </c>
      <c r="AE2058" s="93">
        <f>IF(AQ2058="7",BI2058,0)</f>
        <v>0</v>
      </c>
      <c r="AF2058" s="93">
        <f>IF(AQ2058="2",BH2058,0)</f>
        <v>0</v>
      </c>
      <c r="AG2058" s="93">
        <f>IF(AQ2058="2",BI2058,0)</f>
        <v>0</v>
      </c>
      <c r="AH2058" s="93">
        <f>IF(AQ2058="0",BJ2058,0)</f>
        <v>0</v>
      </c>
      <c r="AI2058" s="88" t="s">
        <v>55</v>
      </c>
      <c r="AJ2058" s="93">
        <f>IF(AN2058=0,L2058,0)</f>
        <v>0</v>
      </c>
      <c r="AK2058" s="93">
        <f>IF(AN2058=12,L2058,0)</f>
        <v>0</v>
      </c>
      <c r="AL2058" s="93">
        <f>IF(AN2058=21,L2058,0)</f>
        <v>0</v>
      </c>
      <c r="AN2058" s="93">
        <v>21</v>
      </c>
      <c r="AO2058" s="93">
        <f>H2058*0.853993902</f>
        <v>0</v>
      </c>
      <c r="AP2058" s="93">
        <f>H2058*(1-0.853993902)</f>
        <v>0</v>
      </c>
      <c r="AQ2058" s="94" t="s">
        <v>148</v>
      </c>
      <c r="AV2058" s="93">
        <f>AW2058+AX2058</f>
        <v>0</v>
      </c>
      <c r="AW2058" s="93">
        <f>G2058*AO2058</f>
        <v>0</v>
      </c>
      <c r="AX2058" s="93">
        <f>G2058*AP2058</f>
        <v>0</v>
      </c>
      <c r="AY2058" s="94" t="s">
        <v>2745</v>
      </c>
      <c r="AZ2058" s="94" t="s">
        <v>2710</v>
      </c>
      <c r="BA2058" s="88" t="s">
        <v>67</v>
      </c>
      <c r="BC2058" s="93">
        <f>AW2058+AX2058</f>
        <v>0</v>
      </c>
      <c r="BD2058" s="93">
        <f>H2058/(100-BE2058)*100</f>
        <v>0</v>
      </c>
      <c r="BE2058" s="93">
        <v>0</v>
      </c>
      <c r="BF2058" s="93">
        <f>O2058</f>
        <v>6.4400000000000004E-3</v>
      </c>
      <c r="BH2058" s="93">
        <f>G2058*AO2058</f>
        <v>0</v>
      </c>
      <c r="BI2058" s="93">
        <f>G2058*AP2058</f>
        <v>0</v>
      </c>
      <c r="BJ2058" s="93">
        <f>G2058*H2058</f>
        <v>0</v>
      </c>
      <c r="BK2058" s="93"/>
      <c r="BL2058" s="93">
        <v>776</v>
      </c>
      <c r="BW2058" s="93" t="str">
        <f>I2058</f>
        <v>21</v>
      </c>
      <c r="BX2058" s="2" t="s">
        <v>2771</v>
      </c>
    </row>
    <row r="2059" spans="1:76" s="81" customFormat="1" x14ac:dyDescent="0.25">
      <c r="A2059" s="95"/>
      <c r="B2059" s="95"/>
      <c r="C2059" s="95"/>
      <c r="D2059" s="76" t="s">
        <v>54</v>
      </c>
      <c r="E2059" s="76" t="s">
        <v>1106</v>
      </c>
      <c r="F2059" s="95"/>
      <c r="G2059" s="96">
        <v>0</v>
      </c>
      <c r="H2059" s="95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95"/>
      <c r="B2060" s="95"/>
      <c r="C2060" s="95"/>
      <c r="D2060" s="76" t="s">
        <v>2772</v>
      </c>
      <c r="E2060" s="76" t="s">
        <v>2773</v>
      </c>
      <c r="F2060" s="95"/>
      <c r="G2060" s="96">
        <v>28</v>
      </c>
      <c r="H2060" s="95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ht="25.5" x14ac:dyDescent="0.25">
      <c r="A2061" s="72" t="s">
        <v>2774</v>
      </c>
      <c r="B2061" s="72" t="s">
        <v>55</v>
      </c>
      <c r="C2061" s="72" t="s">
        <v>2775</v>
      </c>
      <c r="D2061" s="175" t="s">
        <v>2776</v>
      </c>
      <c r="E2061" s="175"/>
      <c r="F2061" s="72" t="s">
        <v>213</v>
      </c>
      <c r="G2061" s="90">
        <v>480.05099999999999</v>
      </c>
      <c r="H2061" s="91"/>
      <c r="I2061" s="92" t="s">
        <v>63</v>
      </c>
      <c r="J2061" s="90">
        <f>G2061*AO2061</f>
        <v>0</v>
      </c>
      <c r="K2061" s="90">
        <f>G2061*AP2061</f>
        <v>0</v>
      </c>
      <c r="L2061" s="90">
        <f>G2061*H2061</f>
        <v>0</v>
      </c>
      <c r="M2061" s="90">
        <f>L2061*(1+BW2061/100)</f>
        <v>0</v>
      </c>
      <c r="N2061" s="90">
        <v>3.0000000000000001E-5</v>
      </c>
      <c r="O2061" s="90">
        <f>G2061*N2061</f>
        <v>1.4401529999999999E-2</v>
      </c>
      <c r="P2061" s="92" t="s">
        <v>64</v>
      </c>
      <c r="Z2061" s="93">
        <f>IF(AQ2061="5",BJ2061,0)</f>
        <v>0</v>
      </c>
      <c r="AB2061" s="93">
        <f>IF(AQ2061="1",BH2061,0)</f>
        <v>0</v>
      </c>
      <c r="AC2061" s="93">
        <f>IF(AQ2061="1",BI2061,0)</f>
        <v>0</v>
      </c>
      <c r="AD2061" s="93">
        <f>IF(AQ2061="7",BH2061,0)</f>
        <v>0</v>
      </c>
      <c r="AE2061" s="93">
        <f>IF(AQ2061="7",BI2061,0)</f>
        <v>0</v>
      </c>
      <c r="AF2061" s="93">
        <f>IF(AQ2061="2",BH2061,0)</f>
        <v>0</v>
      </c>
      <c r="AG2061" s="93">
        <f>IF(AQ2061="2",BI2061,0)</f>
        <v>0</v>
      </c>
      <c r="AH2061" s="93">
        <f>IF(AQ2061="0",BJ2061,0)</f>
        <v>0</v>
      </c>
      <c r="AI2061" s="88" t="s">
        <v>55</v>
      </c>
      <c r="AJ2061" s="93">
        <f>IF(AN2061=0,L2061,0)</f>
        <v>0</v>
      </c>
      <c r="AK2061" s="93">
        <f>IF(AN2061=12,L2061,0)</f>
        <v>0</v>
      </c>
      <c r="AL2061" s="93">
        <f>IF(AN2061=21,L2061,0)</f>
        <v>0</v>
      </c>
      <c r="AN2061" s="93">
        <v>21</v>
      </c>
      <c r="AO2061" s="93">
        <f>H2061*0.137569692</f>
        <v>0</v>
      </c>
      <c r="AP2061" s="93">
        <f>H2061*(1-0.137569692)</f>
        <v>0</v>
      </c>
      <c r="AQ2061" s="94" t="s">
        <v>148</v>
      </c>
      <c r="AV2061" s="93">
        <f>AW2061+AX2061</f>
        <v>0</v>
      </c>
      <c r="AW2061" s="93">
        <f>G2061*AO2061</f>
        <v>0</v>
      </c>
      <c r="AX2061" s="93">
        <f>G2061*AP2061</f>
        <v>0</v>
      </c>
      <c r="AY2061" s="94" t="s">
        <v>2745</v>
      </c>
      <c r="AZ2061" s="94" t="s">
        <v>2710</v>
      </c>
      <c r="BA2061" s="88" t="s">
        <v>67</v>
      </c>
      <c r="BC2061" s="93">
        <f>AW2061+AX2061</f>
        <v>0</v>
      </c>
      <c r="BD2061" s="93">
        <f>H2061/(100-BE2061)*100</f>
        <v>0</v>
      </c>
      <c r="BE2061" s="93">
        <v>0</v>
      </c>
      <c r="BF2061" s="93">
        <f>O2061</f>
        <v>1.4401529999999999E-2</v>
      </c>
      <c r="BH2061" s="93">
        <f>G2061*AO2061</f>
        <v>0</v>
      </c>
      <c r="BI2061" s="93">
        <f>G2061*AP2061</f>
        <v>0</v>
      </c>
      <c r="BJ2061" s="93">
        <f>G2061*H2061</f>
        <v>0</v>
      </c>
      <c r="BK2061" s="93"/>
      <c r="BL2061" s="93">
        <v>776</v>
      </c>
      <c r="BW2061" s="93" t="str">
        <f>I2061</f>
        <v>21</v>
      </c>
      <c r="BX2061" s="2" t="s">
        <v>2776</v>
      </c>
    </row>
    <row r="2062" spans="1:76" s="81" customFormat="1" ht="13.5" customHeight="1" x14ac:dyDescent="0.25">
      <c r="A2062" s="95"/>
      <c r="B2062" s="95"/>
      <c r="C2062" s="95"/>
      <c r="D2062" s="182" t="s">
        <v>2777</v>
      </c>
      <c r="E2062" s="182"/>
      <c r="F2062" s="182"/>
      <c r="G2062" s="182"/>
      <c r="H2062" s="182"/>
      <c r="I2062" s="182"/>
      <c r="J2062" s="182"/>
      <c r="K2062" s="182"/>
      <c r="L2062" s="182"/>
      <c r="M2062" s="182"/>
      <c r="N2062" s="182"/>
      <c r="O2062" s="182"/>
      <c r="P2062" s="182"/>
    </row>
    <row r="2063" spans="1:76" s="81" customFormat="1" x14ac:dyDescent="0.25">
      <c r="A2063" s="95"/>
      <c r="B2063" s="95"/>
      <c r="C2063" s="95"/>
      <c r="D2063" s="76" t="s">
        <v>54</v>
      </c>
      <c r="E2063" s="76" t="s">
        <v>1102</v>
      </c>
      <c r="F2063" s="95"/>
      <c r="G2063" s="96">
        <v>0</v>
      </c>
      <c r="H2063" s="95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95"/>
      <c r="B2064" s="95"/>
      <c r="C2064" s="95"/>
      <c r="D2064" s="76" t="s">
        <v>54</v>
      </c>
      <c r="E2064" s="76" t="s">
        <v>2729</v>
      </c>
      <c r="F2064" s="95"/>
      <c r="G2064" s="96">
        <v>0</v>
      </c>
      <c r="H2064" s="95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ht="38.25" x14ac:dyDescent="0.25">
      <c r="A2065" s="95"/>
      <c r="B2065" s="95"/>
      <c r="C2065" s="95"/>
      <c r="D2065" s="76" t="s">
        <v>2778</v>
      </c>
      <c r="E2065" s="76" t="s">
        <v>1105</v>
      </c>
      <c r="F2065" s="95"/>
      <c r="G2065" s="96">
        <v>108.108</v>
      </c>
      <c r="H2065" s="95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ht="25.5" x14ac:dyDescent="0.25">
      <c r="A2066" s="95"/>
      <c r="B2066" s="95"/>
      <c r="C2066" s="95"/>
      <c r="D2066" s="76" t="s">
        <v>2779</v>
      </c>
      <c r="E2066" s="76" t="s">
        <v>54</v>
      </c>
      <c r="F2066" s="95"/>
      <c r="G2066" s="96">
        <v>64.010000000000005</v>
      </c>
      <c r="H2066" s="95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38.25" x14ac:dyDescent="0.25">
      <c r="A2067" s="95"/>
      <c r="B2067" s="95"/>
      <c r="C2067" s="95"/>
      <c r="D2067" s="76" t="s">
        <v>2780</v>
      </c>
      <c r="E2067" s="76" t="s">
        <v>54</v>
      </c>
      <c r="F2067" s="95"/>
      <c r="G2067" s="96">
        <v>-19.821000000000002</v>
      </c>
      <c r="H2067" s="95"/>
      <c r="I2067" s="95"/>
      <c r="J2067" s="95"/>
      <c r="K2067" s="95"/>
      <c r="L2067" s="95"/>
      <c r="M2067" s="95"/>
      <c r="N2067" s="95"/>
      <c r="O2067" s="95"/>
      <c r="P2067" s="95"/>
    </row>
    <row r="2068" spans="1:76" s="81" customFormat="1" ht="25.5" x14ac:dyDescent="0.25">
      <c r="A2068" s="95"/>
      <c r="B2068" s="95"/>
      <c r="C2068" s="95"/>
      <c r="D2068" s="76" t="s">
        <v>2781</v>
      </c>
      <c r="E2068" s="76" t="s">
        <v>54</v>
      </c>
      <c r="F2068" s="95"/>
      <c r="G2068" s="96">
        <v>33.340000000000003</v>
      </c>
      <c r="H2068" s="95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95"/>
      <c r="B2069" s="95"/>
      <c r="C2069" s="95"/>
      <c r="D2069" s="76" t="s">
        <v>2782</v>
      </c>
      <c r="E2069" s="76" t="s">
        <v>54</v>
      </c>
      <c r="F2069" s="95"/>
      <c r="G2069" s="96">
        <v>27.24</v>
      </c>
      <c r="H2069" s="95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x14ac:dyDescent="0.25">
      <c r="A2070" s="95"/>
      <c r="B2070" s="95"/>
      <c r="C2070" s="95"/>
      <c r="D2070" s="76" t="s">
        <v>2783</v>
      </c>
      <c r="E2070" s="76" t="s">
        <v>54</v>
      </c>
      <c r="F2070" s="95"/>
      <c r="G2070" s="96">
        <v>27.24</v>
      </c>
      <c r="H2070" s="95"/>
      <c r="I2070" s="95"/>
      <c r="J2070" s="95"/>
      <c r="K2070" s="95"/>
      <c r="L2070" s="95"/>
      <c r="M2070" s="95"/>
      <c r="N2070" s="95"/>
      <c r="O2070" s="95"/>
      <c r="P2070" s="95"/>
    </row>
    <row r="2071" spans="1:76" s="81" customFormat="1" x14ac:dyDescent="0.25">
      <c r="A2071" s="95"/>
      <c r="B2071" s="95"/>
      <c r="C2071" s="95"/>
      <c r="D2071" s="76" t="s">
        <v>2784</v>
      </c>
      <c r="E2071" s="76" t="s">
        <v>54</v>
      </c>
      <c r="F2071" s="95"/>
      <c r="G2071" s="96">
        <v>27.24</v>
      </c>
      <c r="H2071" s="95"/>
      <c r="I2071" s="95"/>
      <c r="J2071" s="95"/>
      <c r="K2071" s="95"/>
      <c r="L2071" s="95"/>
      <c r="M2071" s="95"/>
      <c r="N2071" s="95"/>
      <c r="O2071" s="95"/>
      <c r="P2071" s="95"/>
    </row>
    <row r="2072" spans="1:76" s="81" customFormat="1" ht="25.5" x14ac:dyDescent="0.25">
      <c r="A2072" s="95"/>
      <c r="B2072" s="95"/>
      <c r="C2072" s="95"/>
      <c r="D2072" s="76" t="s">
        <v>2785</v>
      </c>
      <c r="E2072" s="76" t="s">
        <v>54</v>
      </c>
      <c r="F2072" s="95"/>
      <c r="G2072" s="96">
        <v>29.62</v>
      </c>
      <c r="H2072" s="95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95"/>
      <c r="B2073" s="95"/>
      <c r="C2073" s="95"/>
      <c r="D2073" s="76" t="s">
        <v>2786</v>
      </c>
      <c r="E2073" s="76" t="s">
        <v>54</v>
      </c>
      <c r="F2073" s="95"/>
      <c r="G2073" s="96">
        <v>30.65</v>
      </c>
      <c r="H2073" s="95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95"/>
      <c r="B2074" s="95"/>
      <c r="C2074" s="95"/>
      <c r="D2074" s="76" t="s">
        <v>2787</v>
      </c>
      <c r="E2074" s="76" t="s">
        <v>54</v>
      </c>
      <c r="F2074" s="95"/>
      <c r="G2074" s="96">
        <v>7.75</v>
      </c>
      <c r="H2074" s="95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x14ac:dyDescent="0.25">
      <c r="A2075" s="95"/>
      <c r="B2075" s="95"/>
      <c r="C2075" s="95"/>
      <c r="D2075" s="76" t="s">
        <v>54</v>
      </c>
      <c r="E2075" s="76" t="s">
        <v>1106</v>
      </c>
      <c r="F2075" s="95"/>
      <c r="G2075" s="96">
        <v>0</v>
      </c>
      <c r="H2075" s="95"/>
      <c r="I2075" s="95"/>
      <c r="J2075" s="95"/>
      <c r="K2075" s="95"/>
      <c r="L2075" s="95"/>
      <c r="M2075" s="95"/>
      <c r="N2075" s="95"/>
      <c r="O2075" s="95"/>
      <c r="P2075" s="95"/>
    </row>
    <row r="2076" spans="1:76" s="81" customFormat="1" x14ac:dyDescent="0.25">
      <c r="A2076" s="95"/>
      <c r="B2076" s="95"/>
      <c r="C2076" s="95"/>
      <c r="D2076" s="76" t="s">
        <v>54</v>
      </c>
      <c r="E2076" s="76" t="s">
        <v>1107</v>
      </c>
      <c r="F2076" s="95"/>
      <c r="G2076" s="96">
        <v>0</v>
      </c>
      <c r="H2076" s="95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x14ac:dyDescent="0.25">
      <c r="A2077" s="95"/>
      <c r="B2077" s="95"/>
      <c r="C2077" s="95"/>
      <c r="D2077" s="76" t="s">
        <v>2788</v>
      </c>
      <c r="E2077" s="76" t="s">
        <v>2789</v>
      </c>
      <c r="F2077" s="95"/>
      <c r="G2077" s="96">
        <v>13.63</v>
      </c>
      <c r="H2077" s="95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ht="25.5" x14ac:dyDescent="0.25">
      <c r="A2078" s="95"/>
      <c r="B2078" s="95"/>
      <c r="C2078" s="95"/>
      <c r="D2078" s="76" t="s">
        <v>2790</v>
      </c>
      <c r="E2078" s="76" t="s">
        <v>1111</v>
      </c>
      <c r="F2078" s="95"/>
      <c r="G2078" s="96">
        <v>131.04400000000001</v>
      </c>
      <c r="H2078" s="95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ht="25.5" x14ac:dyDescent="0.25">
      <c r="A2079" s="72" t="s">
        <v>2791</v>
      </c>
      <c r="B2079" s="72" t="s">
        <v>55</v>
      </c>
      <c r="C2079" s="72" t="s">
        <v>2792</v>
      </c>
      <c r="D2079" s="175" t="s">
        <v>2793</v>
      </c>
      <c r="E2079" s="175"/>
      <c r="F2079" s="72" t="s">
        <v>213</v>
      </c>
      <c r="G2079" s="90">
        <v>528.05610000000001</v>
      </c>
      <c r="H2079" s="91"/>
      <c r="I2079" s="92" t="s">
        <v>63</v>
      </c>
      <c r="J2079" s="90">
        <f>G2079*AO2079</f>
        <v>0</v>
      </c>
      <c r="K2079" s="90">
        <f>G2079*AP2079</f>
        <v>0</v>
      </c>
      <c r="L2079" s="90">
        <f>G2079*H2079</f>
        <v>0</v>
      </c>
      <c r="M2079" s="90">
        <f>L2079*(1+BW2079/100)</f>
        <v>0</v>
      </c>
      <c r="N2079" s="90">
        <v>0</v>
      </c>
      <c r="O2079" s="90">
        <f>G2079*N2079</f>
        <v>0</v>
      </c>
      <c r="P2079" s="92" t="s">
        <v>578</v>
      </c>
      <c r="Z2079" s="93">
        <f>IF(AQ2079="5",BJ2079,0)</f>
        <v>0</v>
      </c>
      <c r="AB2079" s="93">
        <f>IF(AQ2079="1",BH2079,0)</f>
        <v>0</v>
      </c>
      <c r="AC2079" s="93">
        <f>IF(AQ2079="1",BI2079,0)</f>
        <v>0</v>
      </c>
      <c r="AD2079" s="93">
        <f>IF(AQ2079="7",BH2079,0)</f>
        <v>0</v>
      </c>
      <c r="AE2079" s="93">
        <f>IF(AQ2079="7",BI2079,0)</f>
        <v>0</v>
      </c>
      <c r="AF2079" s="93">
        <f>IF(AQ2079="2",BH2079,0)</f>
        <v>0</v>
      </c>
      <c r="AG2079" s="93">
        <f>IF(AQ2079="2",BI2079,0)</f>
        <v>0</v>
      </c>
      <c r="AH2079" s="93">
        <f>IF(AQ2079="0",BJ2079,0)</f>
        <v>0</v>
      </c>
      <c r="AI2079" s="88" t="s">
        <v>55</v>
      </c>
      <c r="AJ2079" s="93">
        <f>IF(AN2079=0,L2079,0)</f>
        <v>0</v>
      </c>
      <c r="AK2079" s="93">
        <f>IF(AN2079=12,L2079,0)</f>
        <v>0</v>
      </c>
      <c r="AL2079" s="93">
        <f>IF(AN2079=21,L2079,0)</f>
        <v>0</v>
      </c>
      <c r="AN2079" s="93">
        <v>21</v>
      </c>
      <c r="AO2079" s="93">
        <f>H2079*1</f>
        <v>0</v>
      </c>
      <c r="AP2079" s="93">
        <f>H2079*(1-1)</f>
        <v>0</v>
      </c>
      <c r="AQ2079" s="94" t="s">
        <v>148</v>
      </c>
      <c r="AV2079" s="93">
        <f>AW2079+AX2079</f>
        <v>0</v>
      </c>
      <c r="AW2079" s="93">
        <f>G2079*AO2079</f>
        <v>0</v>
      </c>
      <c r="AX2079" s="93">
        <f>G2079*AP2079</f>
        <v>0</v>
      </c>
      <c r="AY2079" s="94" t="s">
        <v>2745</v>
      </c>
      <c r="AZ2079" s="94" t="s">
        <v>2710</v>
      </c>
      <c r="BA2079" s="88" t="s">
        <v>67</v>
      </c>
      <c r="BC2079" s="93">
        <f>AW2079+AX2079</f>
        <v>0</v>
      </c>
      <c r="BD2079" s="93">
        <f>H2079/(100-BE2079)*100</f>
        <v>0</v>
      </c>
      <c r="BE2079" s="93">
        <v>0</v>
      </c>
      <c r="BF2079" s="93">
        <f>O2079</f>
        <v>0</v>
      </c>
      <c r="BH2079" s="93">
        <f>G2079*AO2079</f>
        <v>0</v>
      </c>
      <c r="BI2079" s="93">
        <f>G2079*AP2079</f>
        <v>0</v>
      </c>
      <c r="BJ2079" s="93">
        <f>G2079*H2079</f>
        <v>0</v>
      </c>
      <c r="BK2079" s="93"/>
      <c r="BL2079" s="93">
        <v>776</v>
      </c>
      <c r="BW2079" s="93" t="str">
        <f>I2079</f>
        <v>21</v>
      </c>
      <c r="BX2079" s="2" t="s">
        <v>2793</v>
      </c>
    </row>
    <row r="2080" spans="1:76" s="81" customFormat="1" x14ac:dyDescent="0.25">
      <c r="A2080" s="95"/>
      <c r="B2080" s="95"/>
      <c r="C2080" s="95"/>
      <c r="D2080" s="76" t="s">
        <v>2794</v>
      </c>
      <c r="E2080" s="76" t="s">
        <v>54</v>
      </c>
      <c r="F2080" s="95"/>
      <c r="G2080" s="96">
        <v>480.05099999999999</v>
      </c>
      <c r="H2080" s="95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x14ac:dyDescent="0.25">
      <c r="A2081" s="95"/>
      <c r="B2081" s="95"/>
      <c r="C2081" s="95"/>
      <c r="D2081" s="76" t="s">
        <v>2795</v>
      </c>
      <c r="E2081" s="76" t="s">
        <v>54</v>
      </c>
      <c r="F2081" s="95"/>
      <c r="G2081" s="96">
        <v>48.005099999999999</v>
      </c>
      <c r="H2081" s="95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ht="25.5" x14ac:dyDescent="0.25">
      <c r="A2082" s="72" t="s">
        <v>2796</v>
      </c>
      <c r="B2082" s="72" t="s">
        <v>55</v>
      </c>
      <c r="C2082" s="72" t="s">
        <v>2797</v>
      </c>
      <c r="D2082" s="175" t="s">
        <v>2798</v>
      </c>
      <c r="E2082" s="175"/>
      <c r="F2082" s="72" t="s">
        <v>192</v>
      </c>
      <c r="G2082" s="90">
        <v>819.77599999999995</v>
      </c>
      <c r="H2082" s="91"/>
      <c r="I2082" s="92" t="s">
        <v>63</v>
      </c>
      <c r="J2082" s="90">
        <f>G2082*AO2082</f>
        <v>0</v>
      </c>
      <c r="K2082" s="90">
        <f>G2082*AP2082</f>
        <v>0</v>
      </c>
      <c r="L2082" s="90">
        <f>G2082*H2082</f>
        <v>0</v>
      </c>
      <c r="M2082" s="90">
        <f>L2082*(1+BW2082/100)</f>
        <v>0</v>
      </c>
      <c r="N2082" s="90">
        <v>0</v>
      </c>
      <c r="O2082" s="90">
        <f>G2082*N2082</f>
        <v>0</v>
      </c>
      <c r="P2082" s="92" t="s">
        <v>64</v>
      </c>
      <c r="Z2082" s="93">
        <f>IF(AQ2082="5",BJ2082,0)</f>
        <v>0</v>
      </c>
      <c r="AB2082" s="93">
        <f>IF(AQ2082="1",BH2082,0)</f>
        <v>0</v>
      </c>
      <c r="AC2082" s="93">
        <f>IF(AQ2082="1",BI2082,0)</f>
        <v>0</v>
      </c>
      <c r="AD2082" s="93">
        <f>IF(AQ2082="7",BH2082,0)</f>
        <v>0</v>
      </c>
      <c r="AE2082" s="93">
        <f>IF(AQ2082="7",BI2082,0)</f>
        <v>0</v>
      </c>
      <c r="AF2082" s="93">
        <f>IF(AQ2082="2",BH2082,0)</f>
        <v>0</v>
      </c>
      <c r="AG2082" s="93">
        <f>IF(AQ2082="2",BI2082,0)</f>
        <v>0</v>
      </c>
      <c r="AH2082" s="93">
        <f>IF(AQ2082="0",BJ2082,0)</f>
        <v>0</v>
      </c>
      <c r="AI2082" s="88" t="s">
        <v>55</v>
      </c>
      <c r="AJ2082" s="93">
        <f>IF(AN2082=0,L2082,0)</f>
        <v>0</v>
      </c>
      <c r="AK2082" s="93">
        <f>IF(AN2082=12,L2082,0)</f>
        <v>0</v>
      </c>
      <c r="AL2082" s="93">
        <f>IF(AN2082=21,L2082,0)</f>
        <v>0</v>
      </c>
      <c r="AN2082" s="93">
        <v>21</v>
      </c>
      <c r="AO2082" s="93">
        <f>H2082*0</f>
        <v>0</v>
      </c>
      <c r="AP2082" s="93">
        <f>H2082*(1-0)</f>
        <v>0</v>
      </c>
      <c r="AQ2082" s="94" t="s">
        <v>148</v>
      </c>
      <c r="AV2082" s="93">
        <f>AW2082+AX2082</f>
        <v>0</v>
      </c>
      <c r="AW2082" s="93">
        <f>G2082*AO2082</f>
        <v>0</v>
      </c>
      <c r="AX2082" s="93">
        <f>G2082*AP2082</f>
        <v>0</v>
      </c>
      <c r="AY2082" s="94" t="s">
        <v>2745</v>
      </c>
      <c r="AZ2082" s="94" t="s">
        <v>2710</v>
      </c>
      <c r="BA2082" s="88" t="s">
        <v>67</v>
      </c>
      <c r="BC2082" s="93">
        <f>AW2082+AX2082</f>
        <v>0</v>
      </c>
      <c r="BD2082" s="93">
        <f>H2082/(100-BE2082)*100</f>
        <v>0</v>
      </c>
      <c r="BE2082" s="93">
        <v>0</v>
      </c>
      <c r="BF2082" s="93">
        <f>O2082</f>
        <v>0</v>
      </c>
      <c r="BH2082" s="93">
        <f>G2082*AO2082</f>
        <v>0</v>
      </c>
      <c r="BI2082" s="93">
        <f>G2082*AP2082</f>
        <v>0</v>
      </c>
      <c r="BJ2082" s="93">
        <f>G2082*H2082</f>
        <v>0</v>
      </c>
      <c r="BK2082" s="93"/>
      <c r="BL2082" s="93">
        <v>776</v>
      </c>
      <c r="BW2082" s="93" t="str">
        <f>I2082</f>
        <v>21</v>
      </c>
      <c r="BX2082" s="2" t="s">
        <v>2798</v>
      </c>
    </row>
    <row r="2083" spans="1:76" s="81" customFormat="1" x14ac:dyDescent="0.25">
      <c r="A2083" s="95"/>
      <c r="B2083" s="95"/>
      <c r="C2083" s="95"/>
      <c r="D2083" s="76" t="s">
        <v>2799</v>
      </c>
      <c r="E2083" s="76" t="s">
        <v>2712</v>
      </c>
      <c r="F2083" s="95"/>
      <c r="G2083" s="96">
        <v>819.77599999999995</v>
      </c>
      <c r="H2083" s="95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ht="25.5" x14ac:dyDescent="0.25">
      <c r="A2084" s="72" t="s">
        <v>2800</v>
      </c>
      <c r="B2084" s="72" t="s">
        <v>55</v>
      </c>
      <c r="C2084" s="72" t="s">
        <v>2801</v>
      </c>
      <c r="D2084" s="175" t="s">
        <v>2802</v>
      </c>
      <c r="E2084" s="175"/>
      <c r="F2084" s="72" t="s">
        <v>192</v>
      </c>
      <c r="G2084" s="90">
        <v>0.51</v>
      </c>
      <c r="H2084" s="91"/>
      <c r="I2084" s="92" t="s">
        <v>63</v>
      </c>
      <c r="J2084" s="90">
        <f>G2084*AO2084</f>
        <v>0</v>
      </c>
      <c r="K2084" s="90">
        <f>G2084*AP2084</f>
        <v>0</v>
      </c>
      <c r="L2084" s="90">
        <f>G2084*H2084</f>
        <v>0</v>
      </c>
      <c r="M2084" s="90">
        <f>L2084*(1+BW2084/100)</f>
        <v>0</v>
      </c>
      <c r="N2084" s="90">
        <v>1.7999999999999999E-2</v>
      </c>
      <c r="O2084" s="90">
        <f>G2084*N2084</f>
        <v>9.1799999999999989E-3</v>
      </c>
      <c r="P2084" s="92" t="s">
        <v>64</v>
      </c>
      <c r="Z2084" s="93">
        <f>IF(AQ2084="5",BJ2084,0)</f>
        <v>0</v>
      </c>
      <c r="AB2084" s="93">
        <f>IF(AQ2084="1",BH2084,0)</f>
        <v>0</v>
      </c>
      <c r="AC2084" s="93">
        <f>IF(AQ2084="1",BI2084,0)</f>
        <v>0</v>
      </c>
      <c r="AD2084" s="93">
        <f>IF(AQ2084="7",BH2084,0)</f>
        <v>0</v>
      </c>
      <c r="AE2084" s="93">
        <f>IF(AQ2084="7",BI2084,0)</f>
        <v>0</v>
      </c>
      <c r="AF2084" s="93">
        <f>IF(AQ2084="2",BH2084,0)</f>
        <v>0</v>
      </c>
      <c r="AG2084" s="93">
        <f>IF(AQ2084="2",BI2084,0)</f>
        <v>0</v>
      </c>
      <c r="AH2084" s="93">
        <f>IF(AQ2084="0",BJ2084,0)</f>
        <v>0</v>
      </c>
      <c r="AI2084" s="88" t="s">
        <v>55</v>
      </c>
      <c r="AJ2084" s="93">
        <f>IF(AN2084=0,L2084,0)</f>
        <v>0</v>
      </c>
      <c r="AK2084" s="93">
        <f>IF(AN2084=12,L2084,0)</f>
        <v>0</v>
      </c>
      <c r="AL2084" s="93">
        <f>IF(AN2084=21,L2084,0)</f>
        <v>0</v>
      </c>
      <c r="AN2084" s="93">
        <v>21</v>
      </c>
      <c r="AO2084" s="93">
        <f>H2084*0.996919628</f>
        <v>0</v>
      </c>
      <c r="AP2084" s="93">
        <f>H2084*(1-0.996919628)</f>
        <v>0</v>
      </c>
      <c r="AQ2084" s="94" t="s">
        <v>148</v>
      </c>
      <c r="AV2084" s="93">
        <f>AW2084+AX2084</f>
        <v>0</v>
      </c>
      <c r="AW2084" s="93">
        <f>G2084*AO2084</f>
        <v>0</v>
      </c>
      <c r="AX2084" s="93">
        <f>G2084*AP2084</f>
        <v>0</v>
      </c>
      <c r="AY2084" s="94" t="s">
        <v>2745</v>
      </c>
      <c r="AZ2084" s="94" t="s">
        <v>2710</v>
      </c>
      <c r="BA2084" s="88" t="s">
        <v>67</v>
      </c>
      <c r="BC2084" s="93">
        <f>AW2084+AX2084</f>
        <v>0</v>
      </c>
      <c r="BD2084" s="93">
        <f>H2084/(100-BE2084)*100</f>
        <v>0</v>
      </c>
      <c r="BE2084" s="93">
        <v>0</v>
      </c>
      <c r="BF2084" s="93">
        <f>O2084</f>
        <v>9.1799999999999989E-3</v>
      </c>
      <c r="BH2084" s="93">
        <f>G2084*AO2084</f>
        <v>0</v>
      </c>
      <c r="BI2084" s="93">
        <f>G2084*AP2084</f>
        <v>0</v>
      </c>
      <c r="BJ2084" s="93">
        <f>G2084*H2084</f>
        <v>0</v>
      </c>
      <c r="BK2084" s="93"/>
      <c r="BL2084" s="93">
        <v>776</v>
      </c>
      <c r="BW2084" s="93" t="str">
        <f>I2084</f>
        <v>21</v>
      </c>
      <c r="BX2084" s="2" t="s">
        <v>2802</v>
      </c>
    </row>
    <row r="2085" spans="1:76" s="81" customFormat="1" x14ac:dyDescent="0.25">
      <c r="A2085" s="95"/>
      <c r="B2085" s="95"/>
      <c r="C2085" s="95"/>
      <c r="D2085" s="76" t="s">
        <v>2803</v>
      </c>
      <c r="E2085" s="76" t="s">
        <v>2804</v>
      </c>
      <c r="F2085" s="95"/>
      <c r="G2085" s="96">
        <v>0.51</v>
      </c>
      <c r="H2085" s="95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ht="25.5" x14ac:dyDescent="0.25">
      <c r="A2086" s="72" t="s">
        <v>2805</v>
      </c>
      <c r="B2086" s="72" t="s">
        <v>55</v>
      </c>
      <c r="C2086" s="72" t="s">
        <v>2801</v>
      </c>
      <c r="D2086" s="175" t="s">
        <v>2806</v>
      </c>
      <c r="E2086" s="175"/>
      <c r="F2086" s="72" t="s">
        <v>192</v>
      </c>
      <c r="G2086" s="90">
        <v>1.1850000000000001</v>
      </c>
      <c r="H2086" s="91"/>
      <c r="I2086" s="92" t="s">
        <v>63</v>
      </c>
      <c r="J2086" s="90">
        <f>G2086*AO2086</f>
        <v>0</v>
      </c>
      <c r="K2086" s="90">
        <f>G2086*AP2086</f>
        <v>0</v>
      </c>
      <c r="L2086" s="90">
        <f>G2086*H2086</f>
        <v>0</v>
      </c>
      <c r="M2086" s="90">
        <f>L2086*(1+BW2086/100)</f>
        <v>0</v>
      </c>
      <c r="N2086" s="90">
        <v>1.7999999999999999E-2</v>
      </c>
      <c r="O2086" s="90">
        <f>G2086*N2086</f>
        <v>2.1329999999999998E-2</v>
      </c>
      <c r="P2086" s="92" t="s">
        <v>64</v>
      </c>
      <c r="Z2086" s="93">
        <f>IF(AQ2086="5",BJ2086,0)</f>
        <v>0</v>
      </c>
      <c r="AB2086" s="93">
        <f>IF(AQ2086="1",BH2086,0)</f>
        <v>0</v>
      </c>
      <c r="AC2086" s="93">
        <f>IF(AQ2086="1",BI2086,0)</f>
        <v>0</v>
      </c>
      <c r="AD2086" s="93">
        <f>IF(AQ2086="7",BH2086,0)</f>
        <v>0</v>
      </c>
      <c r="AE2086" s="93">
        <f>IF(AQ2086="7",BI2086,0)</f>
        <v>0</v>
      </c>
      <c r="AF2086" s="93">
        <f>IF(AQ2086="2",BH2086,0)</f>
        <v>0</v>
      </c>
      <c r="AG2086" s="93">
        <f>IF(AQ2086="2",BI2086,0)</f>
        <v>0</v>
      </c>
      <c r="AH2086" s="93">
        <f>IF(AQ2086="0",BJ2086,0)</f>
        <v>0</v>
      </c>
      <c r="AI2086" s="88" t="s">
        <v>55</v>
      </c>
      <c r="AJ2086" s="93">
        <f>IF(AN2086=0,L2086,0)</f>
        <v>0</v>
      </c>
      <c r="AK2086" s="93">
        <f>IF(AN2086=12,L2086,0)</f>
        <v>0</v>
      </c>
      <c r="AL2086" s="93">
        <f>IF(AN2086=21,L2086,0)</f>
        <v>0</v>
      </c>
      <c r="AN2086" s="93">
        <v>21</v>
      </c>
      <c r="AO2086" s="93">
        <f>H2086*0.996919168</f>
        <v>0</v>
      </c>
      <c r="AP2086" s="93">
        <f>H2086*(1-0.996919168)</f>
        <v>0</v>
      </c>
      <c r="AQ2086" s="94" t="s">
        <v>148</v>
      </c>
      <c r="AV2086" s="93">
        <f>AW2086+AX2086</f>
        <v>0</v>
      </c>
      <c r="AW2086" s="93">
        <f>G2086*AO2086</f>
        <v>0</v>
      </c>
      <c r="AX2086" s="93">
        <f>G2086*AP2086</f>
        <v>0</v>
      </c>
      <c r="AY2086" s="94" t="s">
        <v>2745</v>
      </c>
      <c r="AZ2086" s="94" t="s">
        <v>2710</v>
      </c>
      <c r="BA2086" s="88" t="s">
        <v>67</v>
      </c>
      <c r="BC2086" s="93">
        <f>AW2086+AX2086</f>
        <v>0</v>
      </c>
      <c r="BD2086" s="93">
        <f>H2086/(100-BE2086)*100</f>
        <v>0</v>
      </c>
      <c r="BE2086" s="93">
        <v>0</v>
      </c>
      <c r="BF2086" s="93">
        <f>O2086</f>
        <v>2.1329999999999998E-2</v>
      </c>
      <c r="BH2086" s="93">
        <f>G2086*AO2086</f>
        <v>0</v>
      </c>
      <c r="BI2086" s="93">
        <f>G2086*AP2086</f>
        <v>0</v>
      </c>
      <c r="BJ2086" s="93">
        <f>G2086*H2086</f>
        <v>0</v>
      </c>
      <c r="BK2086" s="93"/>
      <c r="BL2086" s="93">
        <v>776</v>
      </c>
      <c r="BW2086" s="93" t="str">
        <f>I2086</f>
        <v>21</v>
      </c>
      <c r="BX2086" s="2" t="s">
        <v>2806</v>
      </c>
    </row>
    <row r="2087" spans="1:76" s="81" customFormat="1" x14ac:dyDescent="0.25">
      <c r="A2087" s="95"/>
      <c r="B2087" s="95"/>
      <c r="C2087" s="95"/>
      <c r="D2087" s="76" t="s">
        <v>2807</v>
      </c>
      <c r="E2087" s="76" t="s">
        <v>2804</v>
      </c>
      <c r="F2087" s="95"/>
      <c r="G2087" s="96">
        <v>1.1850000000000001</v>
      </c>
      <c r="H2087" s="95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ht="25.5" x14ac:dyDescent="0.25">
      <c r="A2088" s="72" t="s">
        <v>2808</v>
      </c>
      <c r="B2088" s="72" t="s">
        <v>55</v>
      </c>
      <c r="C2088" s="72" t="s">
        <v>2809</v>
      </c>
      <c r="D2088" s="175" t="s">
        <v>2810</v>
      </c>
      <c r="E2088" s="175"/>
      <c r="F2088" s="72" t="s">
        <v>1449</v>
      </c>
      <c r="G2088" s="91"/>
      <c r="H2088" s="91"/>
      <c r="I2088" s="92" t="s">
        <v>63</v>
      </c>
      <c r="J2088" s="90">
        <f>G2088*AO2088</f>
        <v>0</v>
      </c>
      <c r="K2088" s="90">
        <f>G2088*AP2088</f>
        <v>0</v>
      </c>
      <c r="L2088" s="90">
        <f>G2088*H2088</f>
        <v>0</v>
      </c>
      <c r="M2088" s="90">
        <f>L2088*(1+BW2088/100)</f>
        <v>0</v>
      </c>
      <c r="N2088" s="90">
        <v>0</v>
      </c>
      <c r="O2088" s="90">
        <f>G2088*N2088</f>
        <v>0</v>
      </c>
      <c r="P2088" s="92" t="s">
        <v>64</v>
      </c>
      <c r="Z2088" s="93">
        <f>IF(AQ2088="5",BJ2088,0)</f>
        <v>0</v>
      </c>
      <c r="AB2088" s="93">
        <f>IF(AQ2088="1",BH2088,0)</f>
        <v>0</v>
      </c>
      <c r="AC2088" s="93">
        <f>IF(AQ2088="1",BI2088,0)</f>
        <v>0</v>
      </c>
      <c r="AD2088" s="93">
        <f>IF(AQ2088="7",BH2088,0)</f>
        <v>0</v>
      </c>
      <c r="AE2088" s="93">
        <f>IF(AQ2088="7",BI2088,0)</f>
        <v>0</v>
      </c>
      <c r="AF2088" s="93">
        <f>IF(AQ2088="2",BH2088,0)</f>
        <v>0</v>
      </c>
      <c r="AG2088" s="93">
        <f>IF(AQ2088="2",BI2088,0)</f>
        <v>0</v>
      </c>
      <c r="AH2088" s="93">
        <f>IF(AQ2088="0",BJ2088,0)</f>
        <v>0</v>
      </c>
      <c r="AI2088" s="88" t="s">
        <v>55</v>
      </c>
      <c r="AJ2088" s="93">
        <f>IF(AN2088=0,L2088,0)</f>
        <v>0</v>
      </c>
      <c r="AK2088" s="93">
        <f>IF(AN2088=12,L2088,0)</f>
        <v>0</v>
      </c>
      <c r="AL2088" s="93">
        <f>IF(AN2088=21,L2088,0)</f>
        <v>0</v>
      </c>
      <c r="AN2088" s="93">
        <v>21</v>
      </c>
      <c r="AO2088" s="93">
        <f>H2088*0</f>
        <v>0</v>
      </c>
      <c r="AP2088" s="93">
        <f>H2088*(1-0)</f>
        <v>0</v>
      </c>
      <c r="AQ2088" s="94" t="s">
        <v>136</v>
      </c>
      <c r="AV2088" s="93">
        <f>AW2088+AX2088</f>
        <v>0</v>
      </c>
      <c r="AW2088" s="93">
        <f>G2088*AO2088</f>
        <v>0</v>
      </c>
      <c r="AX2088" s="93">
        <f>G2088*AP2088</f>
        <v>0</v>
      </c>
      <c r="AY2088" s="94" t="s">
        <v>2745</v>
      </c>
      <c r="AZ2088" s="94" t="s">
        <v>2710</v>
      </c>
      <c r="BA2088" s="88" t="s">
        <v>67</v>
      </c>
      <c r="BC2088" s="93">
        <f>AW2088+AX2088</f>
        <v>0</v>
      </c>
      <c r="BD2088" s="93">
        <f>H2088/(100-BE2088)*100</f>
        <v>0</v>
      </c>
      <c r="BE2088" s="93">
        <v>0</v>
      </c>
      <c r="BF2088" s="93">
        <f>O2088</f>
        <v>0</v>
      </c>
      <c r="BH2088" s="93">
        <f>G2088*AO2088</f>
        <v>0</v>
      </c>
      <c r="BI2088" s="93">
        <f>G2088*AP2088</f>
        <v>0</v>
      </c>
      <c r="BJ2088" s="93">
        <f>G2088*H2088</f>
        <v>0</v>
      </c>
      <c r="BK2088" s="93"/>
      <c r="BL2088" s="93">
        <v>776</v>
      </c>
      <c r="BW2088" s="93" t="str">
        <f>I2088</f>
        <v>21</v>
      </c>
      <c r="BX2088" s="2" t="s">
        <v>2810</v>
      </c>
    </row>
    <row r="2089" spans="1:76" s="81" customFormat="1" x14ac:dyDescent="0.25">
      <c r="A2089" s="85" t="s">
        <v>54</v>
      </c>
      <c r="B2089" s="74" t="s">
        <v>55</v>
      </c>
      <c r="C2089" s="74" t="s">
        <v>2811</v>
      </c>
      <c r="D2089" s="176" t="s">
        <v>2812</v>
      </c>
      <c r="E2089" s="176"/>
      <c r="F2089" s="85" t="s">
        <v>4</v>
      </c>
      <c r="G2089" s="85" t="s">
        <v>4</v>
      </c>
      <c r="H2089" s="85" t="s">
        <v>4</v>
      </c>
      <c r="I2089" s="85" t="s">
        <v>4</v>
      </c>
      <c r="J2089" s="86">
        <f>SUM(J2090:J2135)</f>
        <v>0</v>
      </c>
      <c r="K2089" s="86">
        <f>SUM(K2090:K2135)</f>
        <v>0</v>
      </c>
      <c r="L2089" s="86">
        <f>SUM(L2090:L2135)</f>
        <v>0</v>
      </c>
      <c r="M2089" s="86">
        <f>SUM(M2090:M2135)</f>
        <v>0</v>
      </c>
      <c r="N2089" s="87" t="s">
        <v>54</v>
      </c>
      <c r="O2089" s="86">
        <f>SUM(O2090:O2135)</f>
        <v>5.7855351915000002</v>
      </c>
      <c r="P2089" s="87" t="s">
        <v>54</v>
      </c>
      <c r="AI2089" s="88" t="s">
        <v>55</v>
      </c>
      <c r="AS2089" s="89">
        <f>SUM(AJ2090:AJ2135)</f>
        <v>0</v>
      </c>
      <c r="AT2089" s="89">
        <f>SUM(AK2090:AK2135)</f>
        <v>0</v>
      </c>
      <c r="AU2089" s="89">
        <f>SUM(AL2090:AL2135)</f>
        <v>0</v>
      </c>
    </row>
    <row r="2090" spans="1:76" s="81" customFormat="1" ht="25.5" x14ac:dyDescent="0.25">
      <c r="A2090" s="72" t="s">
        <v>2813</v>
      </c>
      <c r="B2090" s="72" t="s">
        <v>55</v>
      </c>
      <c r="C2090" s="72" t="s">
        <v>2814</v>
      </c>
      <c r="D2090" s="175" t="s">
        <v>2815</v>
      </c>
      <c r="E2090" s="175"/>
      <c r="F2090" s="72" t="s">
        <v>192</v>
      </c>
      <c r="G2090" s="90">
        <v>292.05124999999998</v>
      </c>
      <c r="H2090" s="91"/>
      <c r="I2090" s="92" t="s">
        <v>63</v>
      </c>
      <c r="J2090" s="90">
        <f>G2090*AO2090</f>
        <v>0</v>
      </c>
      <c r="K2090" s="90">
        <f>G2090*AP2090</f>
        <v>0</v>
      </c>
      <c r="L2090" s="90">
        <f>G2090*H2090</f>
        <v>0</v>
      </c>
      <c r="M2090" s="90">
        <f>L2090*(1+BW2090/100)</f>
        <v>0</v>
      </c>
      <c r="N2090" s="90">
        <v>0</v>
      </c>
      <c r="O2090" s="90">
        <f>G2090*N2090</f>
        <v>0</v>
      </c>
      <c r="P2090" s="92" t="s">
        <v>64</v>
      </c>
      <c r="Z2090" s="93">
        <f>IF(AQ2090="5",BJ2090,0)</f>
        <v>0</v>
      </c>
      <c r="AB2090" s="93">
        <f>IF(AQ2090="1",BH2090,0)</f>
        <v>0</v>
      </c>
      <c r="AC2090" s="93">
        <f>IF(AQ2090="1",BI2090,0)</f>
        <v>0</v>
      </c>
      <c r="AD2090" s="93">
        <f>IF(AQ2090="7",BH2090,0)</f>
        <v>0</v>
      </c>
      <c r="AE2090" s="93">
        <f>IF(AQ2090="7",BI2090,0)</f>
        <v>0</v>
      </c>
      <c r="AF2090" s="93">
        <f>IF(AQ2090="2",BH2090,0)</f>
        <v>0</v>
      </c>
      <c r="AG2090" s="93">
        <f>IF(AQ2090="2",BI2090,0)</f>
        <v>0</v>
      </c>
      <c r="AH2090" s="93">
        <f>IF(AQ2090="0",BJ2090,0)</f>
        <v>0</v>
      </c>
      <c r="AI2090" s="88" t="s">
        <v>55</v>
      </c>
      <c r="AJ2090" s="93">
        <f>IF(AN2090=0,L2090,0)</f>
        <v>0</v>
      </c>
      <c r="AK2090" s="93">
        <f>IF(AN2090=12,L2090,0)</f>
        <v>0</v>
      </c>
      <c r="AL2090" s="93">
        <f>IF(AN2090=21,L2090,0)</f>
        <v>0</v>
      </c>
      <c r="AN2090" s="93">
        <v>21</v>
      </c>
      <c r="AO2090" s="93">
        <f>H2090*0</f>
        <v>0</v>
      </c>
      <c r="AP2090" s="93">
        <f>H2090*(1-0)</f>
        <v>0</v>
      </c>
      <c r="AQ2090" s="94" t="s">
        <v>148</v>
      </c>
      <c r="AV2090" s="93">
        <f>AW2090+AX2090</f>
        <v>0</v>
      </c>
      <c r="AW2090" s="93">
        <f>G2090*AO2090</f>
        <v>0</v>
      </c>
      <c r="AX2090" s="93">
        <f>G2090*AP2090</f>
        <v>0</v>
      </c>
      <c r="AY2090" s="94" t="s">
        <v>2816</v>
      </c>
      <c r="AZ2090" s="94" t="s">
        <v>2817</v>
      </c>
      <c r="BA2090" s="88" t="s">
        <v>67</v>
      </c>
      <c r="BC2090" s="93">
        <f>AW2090+AX2090</f>
        <v>0</v>
      </c>
      <c r="BD2090" s="93">
        <f>H2090/(100-BE2090)*100</f>
        <v>0</v>
      </c>
      <c r="BE2090" s="93">
        <v>0</v>
      </c>
      <c r="BF2090" s="93">
        <f>O2090</f>
        <v>0</v>
      </c>
      <c r="BH2090" s="93">
        <f>G2090*AO2090</f>
        <v>0</v>
      </c>
      <c r="BI2090" s="93">
        <f>G2090*AP2090</f>
        <v>0</v>
      </c>
      <c r="BJ2090" s="93">
        <f>G2090*H2090</f>
        <v>0</v>
      </c>
      <c r="BK2090" s="93"/>
      <c r="BL2090" s="93">
        <v>781</v>
      </c>
      <c r="BW2090" s="93" t="str">
        <f>I2090</f>
        <v>21</v>
      </c>
      <c r="BX2090" s="2" t="s">
        <v>2815</v>
      </c>
    </row>
    <row r="2091" spans="1:76" s="81" customFormat="1" x14ac:dyDescent="0.25">
      <c r="A2091" s="95"/>
      <c r="B2091" s="95"/>
      <c r="C2091" s="95"/>
      <c r="D2091" s="76" t="s">
        <v>54</v>
      </c>
      <c r="E2091" s="76" t="s">
        <v>299</v>
      </c>
      <c r="F2091" s="95"/>
      <c r="G2091" s="96">
        <v>0</v>
      </c>
      <c r="H2091" s="95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x14ac:dyDescent="0.25">
      <c r="A2092" s="95"/>
      <c r="B2092" s="95"/>
      <c r="C2092" s="95"/>
      <c r="D2092" s="76" t="s">
        <v>2818</v>
      </c>
      <c r="E2092" s="76" t="s">
        <v>1393</v>
      </c>
      <c r="F2092" s="95"/>
      <c r="G2092" s="96">
        <v>19.05</v>
      </c>
      <c r="H2092" s="95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x14ac:dyDescent="0.25">
      <c r="A2093" s="95"/>
      <c r="B2093" s="95"/>
      <c r="C2093" s="95"/>
      <c r="D2093" s="76" t="s">
        <v>2819</v>
      </c>
      <c r="E2093" s="76" t="s">
        <v>2820</v>
      </c>
      <c r="F2093" s="95"/>
      <c r="G2093" s="96">
        <v>16.89</v>
      </c>
      <c r="H2093" s="95"/>
      <c r="I2093" s="95"/>
      <c r="J2093" s="95"/>
      <c r="K2093" s="95"/>
      <c r="L2093" s="95"/>
      <c r="M2093" s="95"/>
      <c r="N2093" s="95"/>
      <c r="O2093" s="95"/>
      <c r="P2093" s="95"/>
    </row>
    <row r="2094" spans="1:76" s="81" customFormat="1" x14ac:dyDescent="0.25">
      <c r="A2094" s="95"/>
      <c r="B2094" s="95"/>
      <c r="C2094" s="95"/>
      <c r="D2094" s="76" t="s">
        <v>2821</v>
      </c>
      <c r="E2094" s="76" t="s">
        <v>1395</v>
      </c>
      <c r="F2094" s="95"/>
      <c r="G2094" s="96">
        <v>18.93</v>
      </c>
      <c r="H2094" s="95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x14ac:dyDescent="0.25">
      <c r="A2095" s="95"/>
      <c r="B2095" s="95"/>
      <c r="C2095" s="95"/>
      <c r="D2095" s="76" t="s">
        <v>2822</v>
      </c>
      <c r="E2095" s="76" t="s">
        <v>2823</v>
      </c>
      <c r="F2095" s="95"/>
      <c r="G2095" s="96">
        <v>17.010000000000002</v>
      </c>
      <c r="H2095" s="95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x14ac:dyDescent="0.25">
      <c r="A2096" s="95"/>
      <c r="B2096" s="95"/>
      <c r="C2096" s="95"/>
      <c r="D2096" s="76" t="s">
        <v>2824</v>
      </c>
      <c r="E2096" s="76" t="s">
        <v>2825</v>
      </c>
      <c r="F2096" s="95"/>
      <c r="G2096" s="96">
        <v>13.89</v>
      </c>
      <c r="H2096" s="95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x14ac:dyDescent="0.25">
      <c r="A2097" s="95"/>
      <c r="B2097" s="95"/>
      <c r="C2097" s="95"/>
      <c r="D2097" s="76" t="s">
        <v>2826</v>
      </c>
      <c r="E2097" s="76" t="s">
        <v>1397</v>
      </c>
      <c r="F2097" s="95"/>
      <c r="G2097" s="96">
        <v>18.690000000000001</v>
      </c>
      <c r="H2097" s="95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ht="25.5" x14ac:dyDescent="0.25">
      <c r="A2098" s="95"/>
      <c r="B2098" s="95"/>
      <c r="C2098" s="95"/>
      <c r="D2098" s="76" t="s">
        <v>2827</v>
      </c>
      <c r="E2098" s="76" t="s">
        <v>1141</v>
      </c>
      <c r="F2098" s="95"/>
      <c r="G2098" s="96">
        <v>53.396500000000003</v>
      </c>
      <c r="H2098" s="95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x14ac:dyDescent="0.25">
      <c r="A2099" s="95"/>
      <c r="B2099" s="95"/>
      <c r="C2099" s="95"/>
      <c r="D2099" s="76" t="s">
        <v>2828</v>
      </c>
      <c r="E2099" s="76" t="s">
        <v>2829</v>
      </c>
      <c r="F2099" s="95"/>
      <c r="G2099" s="96">
        <v>8.61</v>
      </c>
      <c r="H2099" s="95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x14ac:dyDescent="0.25">
      <c r="A2100" s="95"/>
      <c r="B2100" s="95"/>
      <c r="C2100" s="95"/>
      <c r="D2100" s="76" t="s">
        <v>2830</v>
      </c>
      <c r="E2100" s="76" t="s">
        <v>2831</v>
      </c>
      <c r="F2100" s="95"/>
      <c r="G2100" s="96">
        <v>4.8697499999999998</v>
      </c>
      <c r="H2100" s="95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95"/>
      <c r="B2101" s="95"/>
      <c r="C2101" s="95"/>
      <c r="D2101" s="76" t="s">
        <v>54</v>
      </c>
      <c r="E2101" s="76" t="s">
        <v>308</v>
      </c>
      <c r="F2101" s="95"/>
      <c r="G2101" s="96">
        <v>0</v>
      </c>
      <c r="H2101" s="95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95"/>
      <c r="B2102" s="95"/>
      <c r="C2102" s="95"/>
      <c r="D2102" s="76" t="s">
        <v>2832</v>
      </c>
      <c r="E2102" s="76" t="s">
        <v>2833</v>
      </c>
      <c r="F2102" s="95"/>
      <c r="G2102" s="96">
        <v>13.28</v>
      </c>
      <c r="H2102" s="95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95"/>
      <c r="B2103" s="95"/>
      <c r="C2103" s="95"/>
      <c r="D2103" s="76" t="s">
        <v>2834</v>
      </c>
      <c r="E2103" s="76" t="s">
        <v>1399</v>
      </c>
      <c r="F2103" s="95"/>
      <c r="G2103" s="96">
        <v>17.13</v>
      </c>
      <c r="H2103" s="95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95"/>
      <c r="B2104" s="95"/>
      <c r="C2104" s="95"/>
      <c r="D2104" s="76" t="s">
        <v>2835</v>
      </c>
      <c r="E2104" s="76" t="s">
        <v>2836</v>
      </c>
      <c r="F2104" s="95"/>
      <c r="G2104" s="96">
        <v>12.505000000000001</v>
      </c>
      <c r="H2104" s="95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x14ac:dyDescent="0.25">
      <c r="A2105" s="95"/>
      <c r="B2105" s="95"/>
      <c r="C2105" s="95"/>
      <c r="D2105" s="76" t="s">
        <v>2837</v>
      </c>
      <c r="E2105" s="76" t="s">
        <v>1401</v>
      </c>
      <c r="F2105" s="95"/>
      <c r="G2105" s="96">
        <v>17.13</v>
      </c>
      <c r="H2105" s="95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x14ac:dyDescent="0.25">
      <c r="A2106" s="95"/>
      <c r="B2106" s="95"/>
      <c r="C2106" s="95"/>
      <c r="D2106" s="76" t="s">
        <v>2838</v>
      </c>
      <c r="E2106" s="76" t="s">
        <v>2839</v>
      </c>
      <c r="F2106" s="95"/>
      <c r="G2106" s="96">
        <v>12.255000000000001</v>
      </c>
      <c r="H2106" s="95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x14ac:dyDescent="0.25">
      <c r="A2107" s="95"/>
      <c r="B2107" s="95"/>
      <c r="C2107" s="95"/>
      <c r="D2107" s="76" t="s">
        <v>2840</v>
      </c>
      <c r="E2107" s="76" t="s">
        <v>1403</v>
      </c>
      <c r="F2107" s="95"/>
      <c r="G2107" s="96">
        <v>15.53</v>
      </c>
      <c r="H2107" s="95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95"/>
      <c r="B2108" s="95"/>
      <c r="C2108" s="95"/>
      <c r="D2108" s="76" t="s">
        <v>2841</v>
      </c>
      <c r="E2108" s="76" t="s">
        <v>2842</v>
      </c>
      <c r="F2108" s="95"/>
      <c r="G2108" s="96">
        <v>13.28</v>
      </c>
      <c r="H2108" s="95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x14ac:dyDescent="0.25">
      <c r="A2109" s="95"/>
      <c r="B2109" s="95"/>
      <c r="C2109" s="95"/>
      <c r="D2109" s="76" t="s">
        <v>2843</v>
      </c>
      <c r="E2109" s="76" t="s">
        <v>1405</v>
      </c>
      <c r="F2109" s="95"/>
      <c r="G2109" s="96">
        <v>19.605</v>
      </c>
      <c r="H2109" s="95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ht="25.5" x14ac:dyDescent="0.25">
      <c r="A2110" s="72" t="s">
        <v>2844</v>
      </c>
      <c r="B2110" s="72" t="s">
        <v>55</v>
      </c>
      <c r="C2110" s="72" t="s">
        <v>2845</v>
      </c>
      <c r="D2110" s="175" t="s">
        <v>2846</v>
      </c>
      <c r="E2110" s="175"/>
      <c r="F2110" s="72" t="s">
        <v>192</v>
      </c>
      <c r="G2110" s="90">
        <v>292.05124999999998</v>
      </c>
      <c r="H2110" s="91"/>
      <c r="I2110" s="92" t="s">
        <v>63</v>
      </c>
      <c r="J2110" s="90">
        <f>G2110*AO2110</f>
        <v>0</v>
      </c>
      <c r="K2110" s="90">
        <f>G2110*AP2110</f>
        <v>0</v>
      </c>
      <c r="L2110" s="90">
        <f>G2110*H2110</f>
        <v>0</v>
      </c>
      <c r="M2110" s="90">
        <f>L2110*(1+BW2110/100)</f>
        <v>0</v>
      </c>
      <c r="N2110" s="90">
        <v>2.1000000000000001E-4</v>
      </c>
      <c r="O2110" s="90">
        <f>G2110*N2110</f>
        <v>6.1330762499999997E-2</v>
      </c>
      <c r="P2110" s="92" t="s">
        <v>64</v>
      </c>
      <c r="Z2110" s="93">
        <f>IF(AQ2110="5",BJ2110,0)</f>
        <v>0</v>
      </c>
      <c r="AB2110" s="93">
        <f>IF(AQ2110="1",BH2110,0)</f>
        <v>0</v>
      </c>
      <c r="AC2110" s="93">
        <f>IF(AQ2110="1",BI2110,0)</f>
        <v>0</v>
      </c>
      <c r="AD2110" s="93">
        <f>IF(AQ2110="7",BH2110,0)</f>
        <v>0</v>
      </c>
      <c r="AE2110" s="93">
        <f>IF(AQ2110="7",BI2110,0)</f>
        <v>0</v>
      </c>
      <c r="AF2110" s="93">
        <f>IF(AQ2110="2",BH2110,0)</f>
        <v>0</v>
      </c>
      <c r="AG2110" s="93">
        <f>IF(AQ2110="2",BI2110,0)</f>
        <v>0</v>
      </c>
      <c r="AH2110" s="93">
        <f>IF(AQ2110="0",BJ2110,0)</f>
        <v>0</v>
      </c>
      <c r="AI2110" s="88" t="s">
        <v>55</v>
      </c>
      <c r="AJ2110" s="93">
        <f>IF(AN2110=0,L2110,0)</f>
        <v>0</v>
      </c>
      <c r="AK2110" s="93">
        <f>IF(AN2110=12,L2110,0)</f>
        <v>0</v>
      </c>
      <c r="AL2110" s="93">
        <f>IF(AN2110=21,L2110,0)</f>
        <v>0</v>
      </c>
      <c r="AN2110" s="93">
        <v>21</v>
      </c>
      <c r="AO2110" s="93">
        <f>H2110*0.477365564</f>
        <v>0</v>
      </c>
      <c r="AP2110" s="93">
        <f>H2110*(1-0.477365564)</f>
        <v>0</v>
      </c>
      <c r="AQ2110" s="94" t="s">
        <v>148</v>
      </c>
      <c r="AV2110" s="93">
        <f>AW2110+AX2110</f>
        <v>0</v>
      </c>
      <c r="AW2110" s="93">
        <f>G2110*AO2110</f>
        <v>0</v>
      </c>
      <c r="AX2110" s="93">
        <f>G2110*AP2110</f>
        <v>0</v>
      </c>
      <c r="AY2110" s="94" t="s">
        <v>2816</v>
      </c>
      <c r="AZ2110" s="94" t="s">
        <v>2817</v>
      </c>
      <c r="BA2110" s="88" t="s">
        <v>67</v>
      </c>
      <c r="BC2110" s="93">
        <f>AW2110+AX2110</f>
        <v>0</v>
      </c>
      <c r="BD2110" s="93">
        <f>H2110/(100-BE2110)*100</f>
        <v>0</v>
      </c>
      <c r="BE2110" s="93">
        <v>0</v>
      </c>
      <c r="BF2110" s="93">
        <f>O2110</f>
        <v>6.1330762499999997E-2</v>
      </c>
      <c r="BH2110" s="93">
        <f>G2110*AO2110</f>
        <v>0</v>
      </c>
      <c r="BI2110" s="93">
        <f>G2110*AP2110</f>
        <v>0</v>
      </c>
      <c r="BJ2110" s="93">
        <f>G2110*H2110</f>
        <v>0</v>
      </c>
      <c r="BK2110" s="93"/>
      <c r="BL2110" s="93">
        <v>781</v>
      </c>
      <c r="BW2110" s="93" t="str">
        <f>I2110</f>
        <v>21</v>
      </c>
      <c r="BX2110" s="2" t="s">
        <v>2846</v>
      </c>
    </row>
    <row r="2111" spans="1:76" s="81" customFormat="1" x14ac:dyDescent="0.25">
      <c r="A2111" s="95"/>
      <c r="B2111" s="95"/>
      <c r="C2111" s="95"/>
      <c r="D2111" s="76" t="s">
        <v>54</v>
      </c>
      <c r="E2111" s="76" t="s">
        <v>299</v>
      </c>
      <c r="F2111" s="95"/>
      <c r="G2111" s="96">
        <v>0</v>
      </c>
      <c r="H2111" s="95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x14ac:dyDescent="0.25">
      <c r="A2112" s="95"/>
      <c r="B2112" s="95"/>
      <c r="C2112" s="95"/>
      <c r="D2112" s="76" t="s">
        <v>2818</v>
      </c>
      <c r="E2112" s="76" t="s">
        <v>1393</v>
      </c>
      <c r="F2112" s="95"/>
      <c r="G2112" s="96">
        <v>19.05</v>
      </c>
      <c r="H2112" s="95"/>
      <c r="I2112" s="95"/>
      <c r="J2112" s="95"/>
      <c r="K2112" s="95"/>
      <c r="L2112" s="95"/>
      <c r="M2112" s="95"/>
      <c r="N2112" s="95"/>
      <c r="O2112" s="95"/>
      <c r="P2112" s="95"/>
    </row>
    <row r="2113" spans="1:16" s="81" customFormat="1" x14ac:dyDescent="0.25">
      <c r="A2113" s="95"/>
      <c r="B2113" s="95"/>
      <c r="C2113" s="95"/>
      <c r="D2113" s="76" t="s">
        <v>2819</v>
      </c>
      <c r="E2113" s="76" t="s">
        <v>2820</v>
      </c>
      <c r="F2113" s="95"/>
      <c r="G2113" s="96">
        <v>16.89</v>
      </c>
      <c r="H2113" s="95"/>
      <c r="I2113" s="95"/>
      <c r="J2113" s="95"/>
      <c r="K2113" s="95"/>
      <c r="L2113" s="95"/>
      <c r="M2113" s="95"/>
      <c r="N2113" s="95"/>
      <c r="O2113" s="95"/>
      <c r="P2113" s="95"/>
    </row>
    <row r="2114" spans="1:16" s="81" customFormat="1" x14ac:dyDescent="0.25">
      <c r="A2114" s="95"/>
      <c r="B2114" s="95"/>
      <c r="C2114" s="95"/>
      <c r="D2114" s="76" t="s">
        <v>2821</v>
      </c>
      <c r="E2114" s="76" t="s">
        <v>1395</v>
      </c>
      <c r="F2114" s="95"/>
      <c r="G2114" s="96">
        <v>18.93</v>
      </c>
      <c r="H2114" s="95"/>
      <c r="I2114" s="95"/>
      <c r="J2114" s="95"/>
      <c r="K2114" s="95"/>
      <c r="L2114" s="95"/>
      <c r="M2114" s="95"/>
      <c r="N2114" s="95"/>
      <c r="O2114" s="95"/>
      <c r="P2114" s="95"/>
    </row>
    <row r="2115" spans="1:16" s="81" customFormat="1" x14ac:dyDescent="0.25">
      <c r="A2115" s="95"/>
      <c r="B2115" s="95"/>
      <c r="C2115" s="95"/>
      <c r="D2115" s="76" t="s">
        <v>2822</v>
      </c>
      <c r="E2115" s="76" t="s">
        <v>2823</v>
      </c>
      <c r="F2115" s="95"/>
      <c r="G2115" s="96">
        <v>17.010000000000002</v>
      </c>
      <c r="H2115" s="95"/>
      <c r="I2115" s="95"/>
      <c r="J2115" s="95"/>
      <c r="K2115" s="95"/>
      <c r="L2115" s="95"/>
      <c r="M2115" s="95"/>
      <c r="N2115" s="95"/>
      <c r="O2115" s="95"/>
      <c r="P2115" s="95"/>
    </row>
    <row r="2116" spans="1:16" s="81" customFormat="1" x14ac:dyDescent="0.25">
      <c r="A2116" s="95"/>
      <c r="B2116" s="95"/>
      <c r="C2116" s="95"/>
      <c r="D2116" s="76" t="s">
        <v>2824</v>
      </c>
      <c r="E2116" s="76" t="s">
        <v>2825</v>
      </c>
      <c r="F2116" s="95"/>
      <c r="G2116" s="96">
        <v>13.89</v>
      </c>
      <c r="H2116" s="95"/>
      <c r="I2116" s="95"/>
      <c r="J2116" s="95"/>
      <c r="K2116" s="95"/>
      <c r="L2116" s="95"/>
      <c r="M2116" s="95"/>
      <c r="N2116" s="95"/>
      <c r="O2116" s="95"/>
      <c r="P2116" s="95"/>
    </row>
    <row r="2117" spans="1:16" s="81" customFormat="1" x14ac:dyDescent="0.25">
      <c r="A2117" s="95"/>
      <c r="B2117" s="95"/>
      <c r="C2117" s="95"/>
      <c r="D2117" s="76" t="s">
        <v>2826</v>
      </c>
      <c r="E2117" s="76" t="s">
        <v>1397</v>
      </c>
      <c r="F2117" s="95"/>
      <c r="G2117" s="96">
        <v>18.690000000000001</v>
      </c>
      <c r="H2117" s="95"/>
      <c r="I2117" s="95"/>
      <c r="J2117" s="95"/>
      <c r="K2117" s="95"/>
      <c r="L2117" s="95"/>
      <c r="M2117" s="95"/>
      <c r="N2117" s="95"/>
      <c r="O2117" s="95"/>
      <c r="P2117" s="95"/>
    </row>
    <row r="2118" spans="1:16" s="81" customFormat="1" ht="25.5" x14ac:dyDescent="0.25">
      <c r="A2118" s="95"/>
      <c r="B2118" s="95"/>
      <c r="C2118" s="95"/>
      <c r="D2118" s="76" t="s">
        <v>2827</v>
      </c>
      <c r="E2118" s="76" t="s">
        <v>1141</v>
      </c>
      <c r="F2118" s="95"/>
      <c r="G2118" s="96">
        <v>53.396500000000003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16" s="81" customFormat="1" x14ac:dyDescent="0.25">
      <c r="A2119" s="95"/>
      <c r="B2119" s="95"/>
      <c r="C2119" s="95"/>
      <c r="D2119" s="76" t="s">
        <v>2828</v>
      </c>
      <c r="E2119" s="76" t="s">
        <v>2829</v>
      </c>
      <c r="F2119" s="95"/>
      <c r="G2119" s="96">
        <v>8.61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16" s="81" customFormat="1" x14ac:dyDescent="0.25">
      <c r="A2120" s="95"/>
      <c r="B2120" s="95"/>
      <c r="C2120" s="95"/>
      <c r="D2120" s="76" t="s">
        <v>2830</v>
      </c>
      <c r="E2120" s="76" t="s">
        <v>2831</v>
      </c>
      <c r="F2120" s="95"/>
      <c r="G2120" s="96">
        <v>4.8697499999999998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16" s="81" customFormat="1" x14ac:dyDescent="0.25">
      <c r="A2121" s="95"/>
      <c r="B2121" s="95"/>
      <c r="C2121" s="95"/>
      <c r="D2121" s="76" t="s">
        <v>54</v>
      </c>
      <c r="E2121" s="76" t="s">
        <v>308</v>
      </c>
      <c r="F2121" s="95"/>
      <c r="G2121" s="96">
        <v>0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16" s="81" customFormat="1" x14ac:dyDescent="0.25">
      <c r="A2122" s="95"/>
      <c r="B2122" s="95"/>
      <c r="C2122" s="95"/>
      <c r="D2122" s="76" t="s">
        <v>2832</v>
      </c>
      <c r="E2122" s="76" t="s">
        <v>2833</v>
      </c>
      <c r="F2122" s="95"/>
      <c r="G2122" s="96">
        <v>13.28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16" s="81" customFormat="1" x14ac:dyDescent="0.25">
      <c r="A2123" s="95"/>
      <c r="B2123" s="95"/>
      <c r="C2123" s="95"/>
      <c r="D2123" s="76" t="s">
        <v>2834</v>
      </c>
      <c r="E2123" s="76" t="s">
        <v>1399</v>
      </c>
      <c r="F2123" s="95"/>
      <c r="G2123" s="96">
        <v>17.13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16" s="81" customFormat="1" x14ac:dyDescent="0.25">
      <c r="A2124" s="95"/>
      <c r="B2124" s="95"/>
      <c r="C2124" s="95"/>
      <c r="D2124" s="76" t="s">
        <v>2835</v>
      </c>
      <c r="E2124" s="76" t="s">
        <v>2836</v>
      </c>
      <c r="F2124" s="95"/>
      <c r="G2124" s="96">
        <v>12.505000000000001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16" s="81" customFormat="1" x14ac:dyDescent="0.25">
      <c r="A2125" s="95"/>
      <c r="B2125" s="95"/>
      <c r="C2125" s="95"/>
      <c r="D2125" s="76" t="s">
        <v>2837</v>
      </c>
      <c r="E2125" s="76" t="s">
        <v>1401</v>
      </c>
      <c r="F2125" s="95"/>
      <c r="G2125" s="96">
        <v>17.13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16" s="81" customFormat="1" x14ac:dyDescent="0.25">
      <c r="A2126" s="95"/>
      <c r="B2126" s="95"/>
      <c r="C2126" s="95"/>
      <c r="D2126" s="76" t="s">
        <v>2838</v>
      </c>
      <c r="E2126" s="76" t="s">
        <v>2839</v>
      </c>
      <c r="F2126" s="95"/>
      <c r="G2126" s="96">
        <v>12.255000000000001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16" s="81" customFormat="1" x14ac:dyDescent="0.25">
      <c r="A2127" s="95"/>
      <c r="B2127" s="95"/>
      <c r="C2127" s="95"/>
      <c r="D2127" s="76" t="s">
        <v>2840</v>
      </c>
      <c r="E2127" s="76" t="s">
        <v>1403</v>
      </c>
      <c r="F2127" s="95"/>
      <c r="G2127" s="96">
        <v>15.53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16" s="81" customFormat="1" x14ac:dyDescent="0.25">
      <c r="A2128" s="95"/>
      <c r="B2128" s="95"/>
      <c r="C2128" s="95"/>
      <c r="D2128" s="76" t="s">
        <v>2841</v>
      </c>
      <c r="E2128" s="76" t="s">
        <v>2842</v>
      </c>
      <c r="F2128" s="95"/>
      <c r="G2128" s="96">
        <v>13.28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95"/>
      <c r="B2129" s="95"/>
      <c r="C2129" s="95"/>
      <c r="D2129" s="76" t="s">
        <v>2843</v>
      </c>
      <c r="E2129" s="76" t="s">
        <v>1405</v>
      </c>
      <c r="F2129" s="95"/>
      <c r="G2129" s="96">
        <v>19.605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ht="25.5" x14ac:dyDescent="0.25">
      <c r="A2130" s="72" t="s">
        <v>2847</v>
      </c>
      <c r="B2130" s="72" t="s">
        <v>55</v>
      </c>
      <c r="C2130" s="72" t="s">
        <v>2848</v>
      </c>
      <c r="D2130" s="175" t="s">
        <v>2849</v>
      </c>
      <c r="E2130" s="175"/>
      <c r="F2130" s="72" t="s">
        <v>192</v>
      </c>
      <c r="G2130" s="90">
        <v>292.05124999999998</v>
      </c>
      <c r="H2130" s="91"/>
      <c r="I2130" s="92" t="s">
        <v>63</v>
      </c>
      <c r="J2130" s="90">
        <f>G2130*AO2130</f>
        <v>0</v>
      </c>
      <c r="K2130" s="90">
        <f>G2130*AP2130</f>
        <v>0</v>
      </c>
      <c r="L2130" s="90">
        <f>G2130*H2130</f>
        <v>0</v>
      </c>
      <c r="M2130" s="90">
        <f>L2130*(1+BW2130/100)</f>
        <v>0</v>
      </c>
      <c r="N2130" s="90">
        <v>3.98E-3</v>
      </c>
      <c r="O2130" s="90">
        <f>G2130*N2130</f>
        <v>1.1623639749999999</v>
      </c>
      <c r="P2130" s="92" t="s">
        <v>64</v>
      </c>
      <c r="Z2130" s="93">
        <f>IF(AQ2130="5",BJ2130,0)</f>
        <v>0</v>
      </c>
      <c r="AB2130" s="93">
        <f>IF(AQ2130="1",BH2130,0)</f>
        <v>0</v>
      </c>
      <c r="AC2130" s="93">
        <f>IF(AQ2130="1",BI2130,0)</f>
        <v>0</v>
      </c>
      <c r="AD2130" s="93">
        <f>IF(AQ2130="7",BH2130,0)</f>
        <v>0</v>
      </c>
      <c r="AE2130" s="93">
        <f>IF(AQ2130="7",BI2130,0)</f>
        <v>0</v>
      </c>
      <c r="AF2130" s="93">
        <f>IF(AQ2130="2",BH2130,0)</f>
        <v>0</v>
      </c>
      <c r="AG2130" s="93">
        <f>IF(AQ2130="2",BI2130,0)</f>
        <v>0</v>
      </c>
      <c r="AH2130" s="93">
        <f>IF(AQ2130="0",BJ2130,0)</f>
        <v>0</v>
      </c>
      <c r="AI2130" s="88" t="s">
        <v>55</v>
      </c>
      <c r="AJ2130" s="93">
        <f>IF(AN2130=0,L2130,0)</f>
        <v>0</v>
      </c>
      <c r="AK2130" s="93">
        <f>IF(AN2130=12,L2130,0)</f>
        <v>0</v>
      </c>
      <c r="AL2130" s="93">
        <f>IF(AN2130=21,L2130,0)</f>
        <v>0</v>
      </c>
      <c r="AN2130" s="93">
        <v>21</v>
      </c>
      <c r="AO2130" s="93">
        <f>H2130*0.323555549</f>
        <v>0</v>
      </c>
      <c r="AP2130" s="93">
        <f>H2130*(1-0.323555549)</f>
        <v>0</v>
      </c>
      <c r="AQ2130" s="94" t="s">
        <v>148</v>
      </c>
      <c r="AV2130" s="93">
        <f>AW2130+AX2130</f>
        <v>0</v>
      </c>
      <c r="AW2130" s="93">
        <f>G2130*AO2130</f>
        <v>0</v>
      </c>
      <c r="AX2130" s="93">
        <f>G2130*AP2130</f>
        <v>0</v>
      </c>
      <c r="AY2130" s="94" t="s">
        <v>2816</v>
      </c>
      <c r="AZ2130" s="94" t="s">
        <v>2817</v>
      </c>
      <c r="BA2130" s="88" t="s">
        <v>67</v>
      </c>
      <c r="BC2130" s="93">
        <f>AW2130+AX2130</f>
        <v>0</v>
      </c>
      <c r="BD2130" s="93">
        <f>H2130/(100-BE2130)*100</f>
        <v>0</v>
      </c>
      <c r="BE2130" s="93">
        <v>0</v>
      </c>
      <c r="BF2130" s="93">
        <f>O2130</f>
        <v>1.1623639749999999</v>
      </c>
      <c r="BH2130" s="93">
        <f>G2130*AO2130</f>
        <v>0</v>
      </c>
      <c r="BI2130" s="93">
        <f>G2130*AP2130</f>
        <v>0</v>
      </c>
      <c r="BJ2130" s="93">
        <f>G2130*H2130</f>
        <v>0</v>
      </c>
      <c r="BK2130" s="93"/>
      <c r="BL2130" s="93">
        <v>781</v>
      </c>
      <c r="BW2130" s="93" t="str">
        <f>I2130</f>
        <v>21</v>
      </c>
      <c r="BX2130" s="2" t="s">
        <v>2849</v>
      </c>
    </row>
    <row r="2131" spans="1:76" s="81" customFormat="1" x14ac:dyDescent="0.25">
      <c r="A2131" s="95"/>
      <c r="B2131" s="95"/>
      <c r="C2131" s="95"/>
      <c r="D2131" s="76" t="s">
        <v>2850</v>
      </c>
      <c r="E2131" s="76" t="s">
        <v>2851</v>
      </c>
      <c r="F2131" s="95"/>
      <c r="G2131" s="96">
        <v>292.05124999999998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ht="25.5" x14ac:dyDescent="0.25">
      <c r="A2132" s="72" t="s">
        <v>2852</v>
      </c>
      <c r="B2132" s="72" t="s">
        <v>55</v>
      </c>
      <c r="C2132" s="72" t="s">
        <v>2853</v>
      </c>
      <c r="D2132" s="175" t="s">
        <v>2854</v>
      </c>
      <c r="E2132" s="175"/>
      <c r="F2132" s="72" t="s">
        <v>192</v>
      </c>
      <c r="G2132" s="90">
        <v>321.25637</v>
      </c>
      <c r="H2132" s="91"/>
      <c r="I2132" s="92" t="s">
        <v>63</v>
      </c>
      <c r="J2132" s="90">
        <f>G2132*AO2132</f>
        <v>0</v>
      </c>
      <c r="K2132" s="90">
        <f>G2132*AP2132</f>
        <v>0</v>
      </c>
      <c r="L2132" s="90">
        <f>G2132*H2132</f>
        <v>0</v>
      </c>
      <c r="M2132" s="90">
        <f>L2132*(1+BW2132/100)</f>
        <v>0</v>
      </c>
      <c r="N2132" s="90">
        <v>1.4200000000000001E-2</v>
      </c>
      <c r="O2132" s="90">
        <f>G2132*N2132</f>
        <v>4.5618404540000004</v>
      </c>
      <c r="P2132" s="92" t="s">
        <v>64</v>
      </c>
      <c r="Z2132" s="93">
        <f>IF(AQ2132="5",BJ2132,0)</f>
        <v>0</v>
      </c>
      <c r="AB2132" s="93">
        <f>IF(AQ2132="1",BH2132,0)</f>
        <v>0</v>
      </c>
      <c r="AC2132" s="93">
        <f>IF(AQ2132="1",BI2132,0)</f>
        <v>0</v>
      </c>
      <c r="AD2132" s="93">
        <f>IF(AQ2132="7",BH2132,0)</f>
        <v>0</v>
      </c>
      <c r="AE2132" s="93">
        <f>IF(AQ2132="7",BI2132,0)</f>
        <v>0</v>
      </c>
      <c r="AF2132" s="93">
        <f>IF(AQ2132="2",BH2132,0)</f>
        <v>0</v>
      </c>
      <c r="AG2132" s="93">
        <f>IF(AQ2132="2",BI2132,0)</f>
        <v>0</v>
      </c>
      <c r="AH2132" s="93">
        <f>IF(AQ2132="0",BJ2132,0)</f>
        <v>0</v>
      </c>
      <c r="AI2132" s="88" t="s">
        <v>55</v>
      </c>
      <c r="AJ2132" s="93">
        <f>IF(AN2132=0,L2132,0)</f>
        <v>0</v>
      </c>
      <c r="AK2132" s="93">
        <f>IF(AN2132=12,L2132,0)</f>
        <v>0</v>
      </c>
      <c r="AL2132" s="93">
        <f>IF(AN2132=21,L2132,0)</f>
        <v>0</v>
      </c>
      <c r="AN2132" s="93">
        <v>21</v>
      </c>
      <c r="AO2132" s="93">
        <f>H2132*1</f>
        <v>0</v>
      </c>
      <c r="AP2132" s="93">
        <f>H2132*(1-1)</f>
        <v>0</v>
      </c>
      <c r="AQ2132" s="94" t="s">
        <v>148</v>
      </c>
      <c r="AV2132" s="93">
        <f>AW2132+AX2132</f>
        <v>0</v>
      </c>
      <c r="AW2132" s="93">
        <f>G2132*AO2132</f>
        <v>0</v>
      </c>
      <c r="AX2132" s="93">
        <f>G2132*AP2132</f>
        <v>0</v>
      </c>
      <c r="AY2132" s="94" t="s">
        <v>2816</v>
      </c>
      <c r="AZ2132" s="94" t="s">
        <v>2817</v>
      </c>
      <c r="BA2132" s="88" t="s">
        <v>67</v>
      </c>
      <c r="BC2132" s="93">
        <f>AW2132+AX2132</f>
        <v>0</v>
      </c>
      <c r="BD2132" s="93">
        <f>H2132/(100-BE2132)*100</f>
        <v>0</v>
      </c>
      <c r="BE2132" s="93">
        <v>0</v>
      </c>
      <c r="BF2132" s="93">
        <f>O2132</f>
        <v>4.5618404540000004</v>
      </c>
      <c r="BH2132" s="93">
        <f>G2132*AO2132</f>
        <v>0</v>
      </c>
      <c r="BI2132" s="93">
        <f>G2132*AP2132</f>
        <v>0</v>
      </c>
      <c r="BJ2132" s="93">
        <f>G2132*H2132</f>
        <v>0</v>
      </c>
      <c r="BK2132" s="93"/>
      <c r="BL2132" s="93">
        <v>781</v>
      </c>
      <c r="BW2132" s="93" t="str">
        <f>I2132</f>
        <v>21</v>
      </c>
      <c r="BX2132" s="2" t="s">
        <v>2854</v>
      </c>
    </row>
    <row r="2133" spans="1:76" s="81" customFormat="1" x14ac:dyDescent="0.25">
      <c r="A2133" s="95"/>
      <c r="B2133" s="95"/>
      <c r="C2133" s="95"/>
      <c r="D2133" s="76" t="s">
        <v>2850</v>
      </c>
      <c r="E2133" s="76" t="s">
        <v>54</v>
      </c>
      <c r="F2133" s="95"/>
      <c r="G2133" s="96">
        <v>292.05124999999998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95"/>
      <c r="B2134" s="95"/>
      <c r="C2134" s="95"/>
      <c r="D2134" s="76" t="s">
        <v>2855</v>
      </c>
      <c r="E2134" s="76" t="s">
        <v>54</v>
      </c>
      <c r="F2134" s="95"/>
      <c r="G2134" s="96">
        <v>29.205120000000001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ht="25.5" x14ac:dyDescent="0.25">
      <c r="A2135" s="72" t="s">
        <v>2856</v>
      </c>
      <c r="B2135" s="72" t="s">
        <v>55</v>
      </c>
      <c r="C2135" s="72" t="s">
        <v>2857</v>
      </c>
      <c r="D2135" s="175" t="s">
        <v>2858</v>
      </c>
      <c r="E2135" s="175"/>
      <c r="F2135" s="72" t="s">
        <v>1449</v>
      </c>
      <c r="G2135" s="91"/>
      <c r="H2135" s="91"/>
      <c r="I2135" s="92" t="s">
        <v>63</v>
      </c>
      <c r="J2135" s="90">
        <f>G2135*AO2135</f>
        <v>0</v>
      </c>
      <c r="K2135" s="90">
        <f>G2135*AP2135</f>
        <v>0</v>
      </c>
      <c r="L2135" s="90">
        <f>G2135*H2135</f>
        <v>0</v>
      </c>
      <c r="M2135" s="90">
        <f>L2135*(1+BW2135/100)</f>
        <v>0</v>
      </c>
      <c r="N2135" s="90">
        <v>0</v>
      </c>
      <c r="O2135" s="90">
        <f>G2135*N2135</f>
        <v>0</v>
      </c>
      <c r="P2135" s="92" t="s">
        <v>64</v>
      </c>
      <c r="Z2135" s="93">
        <f>IF(AQ2135="5",BJ2135,0)</f>
        <v>0</v>
      </c>
      <c r="AB2135" s="93">
        <f>IF(AQ2135="1",BH2135,0)</f>
        <v>0</v>
      </c>
      <c r="AC2135" s="93">
        <f>IF(AQ2135="1",BI2135,0)</f>
        <v>0</v>
      </c>
      <c r="AD2135" s="93">
        <f>IF(AQ2135="7",BH2135,0)</f>
        <v>0</v>
      </c>
      <c r="AE2135" s="93">
        <f>IF(AQ2135="7",BI2135,0)</f>
        <v>0</v>
      </c>
      <c r="AF2135" s="93">
        <f>IF(AQ2135="2",BH2135,0)</f>
        <v>0</v>
      </c>
      <c r="AG2135" s="93">
        <f>IF(AQ2135="2",BI2135,0)</f>
        <v>0</v>
      </c>
      <c r="AH2135" s="93">
        <f>IF(AQ2135="0",BJ2135,0)</f>
        <v>0</v>
      </c>
      <c r="AI2135" s="88" t="s">
        <v>55</v>
      </c>
      <c r="AJ2135" s="93">
        <f>IF(AN2135=0,L2135,0)</f>
        <v>0</v>
      </c>
      <c r="AK2135" s="93">
        <f>IF(AN2135=12,L2135,0)</f>
        <v>0</v>
      </c>
      <c r="AL2135" s="93">
        <f>IF(AN2135=21,L2135,0)</f>
        <v>0</v>
      </c>
      <c r="AN2135" s="93">
        <v>21</v>
      </c>
      <c r="AO2135" s="93">
        <f>H2135*0</f>
        <v>0</v>
      </c>
      <c r="AP2135" s="93">
        <f>H2135*(1-0)</f>
        <v>0</v>
      </c>
      <c r="AQ2135" s="94" t="s">
        <v>136</v>
      </c>
      <c r="AV2135" s="93">
        <f>AW2135+AX2135</f>
        <v>0</v>
      </c>
      <c r="AW2135" s="93">
        <f>G2135*AO2135</f>
        <v>0</v>
      </c>
      <c r="AX2135" s="93">
        <f>G2135*AP2135</f>
        <v>0</v>
      </c>
      <c r="AY2135" s="94" t="s">
        <v>2816</v>
      </c>
      <c r="AZ2135" s="94" t="s">
        <v>2817</v>
      </c>
      <c r="BA2135" s="88" t="s">
        <v>67</v>
      </c>
      <c r="BC2135" s="93">
        <f>AW2135+AX2135</f>
        <v>0</v>
      </c>
      <c r="BD2135" s="93">
        <f>H2135/(100-BE2135)*100</f>
        <v>0</v>
      </c>
      <c r="BE2135" s="93">
        <v>0</v>
      </c>
      <c r="BF2135" s="93">
        <f>O2135</f>
        <v>0</v>
      </c>
      <c r="BH2135" s="93">
        <f>G2135*AO2135</f>
        <v>0</v>
      </c>
      <c r="BI2135" s="93">
        <f>G2135*AP2135</f>
        <v>0</v>
      </c>
      <c r="BJ2135" s="93">
        <f>G2135*H2135</f>
        <v>0</v>
      </c>
      <c r="BK2135" s="93"/>
      <c r="BL2135" s="93">
        <v>781</v>
      </c>
      <c r="BW2135" s="93" t="str">
        <f>I2135</f>
        <v>21</v>
      </c>
      <c r="BX2135" s="2" t="s">
        <v>2858</v>
      </c>
    </row>
    <row r="2136" spans="1:76" s="81" customFormat="1" x14ac:dyDescent="0.25">
      <c r="A2136" s="85" t="s">
        <v>54</v>
      </c>
      <c r="B2136" s="74" t="s">
        <v>55</v>
      </c>
      <c r="C2136" s="74" t="s">
        <v>2859</v>
      </c>
      <c r="D2136" s="176" t="s">
        <v>2860</v>
      </c>
      <c r="E2136" s="176"/>
      <c r="F2136" s="85" t="s">
        <v>4</v>
      </c>
      <c r="G2136" s="85" t="s">
        <v>4</v>
      </c>
      <c r="H2136" s="85" t="s">
        <v>4</v>
      </c>
      <c r="I2136" s="85" t="s">
        <v>4</v>
      </c>
      <c r="J2136" s="86">
        <f>SUM(J2137:J2209)</f>
        <v>0</v>
      </c>
      <c r="K2136" s="86">
        <f>SUM(K2137:K2209)</f>
        <v>0</v>
      </c>
      <c r="L2136" s="86">
        <f>SUM(L2137:L2209)</f>
        <v>0</v>
      </c>
      <c r="M2136" s="86">
        <f>SUM(M2137:M2209)</f>
        <v>0</v>
      </c>
      <c r="N2136" s="87" t="s">
        <v>54</v>
      </c>
      <c r="O2136" s="86">
        <f>SUM(O2137:O2209)</f>
        <v>1.3750194910000002</v>
      </c>
      <c r="P2136" s="87" t="s">
        <v>54</v>
      </c>
      <c r="AI2136" s="88" t="s">
        <v>55</v>
      </c>
      <c r="AS2136" s="89">
        <f>SUM(AJ2137:AJ2209)</f>
        <v>0</v>
      </c>
      <c r="AT2136" s="89">
        <f>SUM(AK2137:AK2209)</f>
        <v>0</v>
      </c>
      <c r="AU2136" s="89">
        <f>SUM(AL2137:AL2209)</f>
        <v>0</v>
      </c>
    </row>
    <row r="2137" spans="1:76" s="81" customFormat="1" ht="25.5" x14ac:dyDescent="0.25">
      <c r="A2137" s="72" t="s">
        <v>2861</v>
      </c>
      <c r="B2137" s="72" t="s">
        <v>55</v>
      </c>
      <c r="C2137" s="72" t="s">
        <v>2862</v>
      </c>
      <c r="D2137" s="175" t="s">
        <v>2863</v>
      </c>
      <c r="E2137" s="175"/>
      <c r="F2137" s="72" t="s">
        <v>192</v>
      </c>
      <c r="G2137" s="90">
        <v>4292.1301999999996</v>
      </c>
      <c r="H2137" s="91"/>
      <c r="I2137" s="92" t="s">
        <v>63</v>
      </c>
      <c r="J2137" s="90">
        <f>G2137*AO2137</f>
        <v>0</v>
      </c>
      <c r="K2137" s="90">
        <f>G2137*AP2137</f>
        <v>0</v>
      </c>
      <c r="L2137" s="90">
        <f>G2137*H2137</f>
        <v>0</v>
      </c>
      <c r="M2137" s="90">
        <f>L2137*(1+BW2137/100)</f>
        <v>0</v>
      </c>
      <c r="N2137" s="90">
        <v>1E-4</v>
      </c>
      <c r="O2137" s="90">
        <f>G2137*N2137</f>
        <v>0.42921302</v>
      </c>
      <c r="P2137" s="92" t="s">
        <v>64</v>
      </c>
      <c r="Z2137" s="93">
        <f>IF(AQ2137="5",BJ2137,0)</f>
        <v>0</v>
      </c>
      <c r="AB2137" s="93">
        <f>IF(AQ2137="1",BH2137,0)</f>
        <v>0</v>
      </c>
      <c r="AC2137" s="93">
        <f>IF(AQ2137="1",BI2137,0)</f>
        <v>0</v>
      </c>
      <c r="AD2137" s="93">
        <f>IF(AQ2137="7",BH2137,0)</f>
        <v>0</v>
      </c>
      <c r="AE2137" s="93">
        <f>IF(AQ2137="7",BI2137,0)</f>
        <v>0</v>
      </c>
      <c r="AF2137" s="93">
        <f>IF(AQ2137="2",BH2137,0)</f>
        <v>0</v>
      </c>
      <c r="AG2137" s="93">
        <f>IF(AQ2137="2",BI2137,0)</f>
        <v>0</v>
      </c>
      <c r="AH2137" s="93">
        <f>IF(AQ2137="0",BJ2137,0)</f>
        <v>0</v>
      </c>
      <c r="AI2137" s="88" t="s">
        <v>55</v>
      </c>
      <c r="AJ2137" s="93">
        <f>IF(AN2137=0,L2137,0)</f>
        <v>0</v>
      </c>
      <c r="AK2137" s="93">
        <f>IF(AN2137=12,L2137,0)</f>
        <v>0</v>
      </c>
      <c r="AL2137" s="93">
        <f>IF(AN2137=21,L2137,0)</f>
        <v>0</v>
      </c>
      <c r="AN2137" s="93">
        <v>21</v>
      </c>
      <c r="AO2137" s="93">
        <f>H2137*0.339350171</f>
        <v>0</v>
      </c>
      <c r="AP2137" s="93">
        <f>H2137*(1-0.339350171)</f>
        <v>0</v>
      </c>
      <c r="AQ2137" s="94" t="s">
        <v>148</v>
      </c>
      <c r="AV2137" s="93">
        <f>AW2137+AX2137</f>
        <v>0</v>
      </c>
      <c r="AW2137" s="93">
        <f>G2137*AO2137</f>
        <v>0</v>
      </c>
      <c r="AX2137" s="93">
        <f>G2137*AP2137</f>
        <v>0</v>
      </c>
      <c r="AY2137" s="94" t="s">
        <v>2864</v>
      </c>
      <c r="AZ2137" s="94" t="s">
        <v>2817</v>
      </c>
      <c r="BA2137" s="88" t="s">
        <v>67</v>
      </c>
      <c r="BC2137" s="93">
        <f>AW2137+AX2137</f>
        <v>0</v>
      </c>
      <c r="BD2137" s="93">
        <f>H2137/(100-BE2137)*100</f>
        <v>0</v>
      </c>
      <c r="BE2137" s="93">
        <v>0</v>
      </c>
      <c r="BF2137" s="93">
        <f>O2137</f>
        <v>0.42921302</v>
      </c>
      <c r="BH2137" s="93">
        <f>G2137*AO2137</f>
        <v>0</v>
      </c>
      <c r="BI2137" s="93">
        <f>G2137*AP2137</f>
        <v>0</v>
      </c>
      <c r="BJ2137" s="93">
        <f>G2137*H2137</f>
        <v>0</v>
      </c>
      <c r="BK2137" s="93"/>
      <c r="BL2137" s="93">
        <v>784</v>
      </c>
      <c r="BW2137" s="93" t="str">
        <f>I2137</f>
        <v>21</v>
      </c>
      <c r="BX2137" s="2" t="s">
        <v>2863</v>
      </c>
    </row>
    <row r="2138" spans="1:76" s="81" customFormat="1" x14ac:dyDescent="0.25">
      <c r="A2138" s="95"/>
      <c r="B2138" s="95"/>
      <c r="C2138" s="95"/>
      <c r="D2138" s="76" t="s">
        <v>54</v>
      </c>
      <c r="E2138" s="76" t="s">
        <v>308</v>
      </c>
      <c r="F2138" s="95"/>
      <c r="G2138" s="96">
        <v>0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95"/>
      <c r="B2139" s="95"/>
      <c r="C2139" s="95"/>
      <c r="D2139" s="76" t="s">
        <v>2865</v>
      </c>
      <c r="E2139" s="76" t="s">
        <v>2866</v>
      </c>
      <c r="F2139" s="95"/>
      <c r="G2139" s="96">
        <v>25.63045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ht="25.5" x14ac:dyDescent="0.25">
      <c r="A2140" s="95"/>
      <c r="B2140" s="95"/>
      <c r="C2140" s="95"/>
      <c r="D2140" s="76" t="s">
        <v>54</v>
      </c>
      <c r="E2140" s="76" t="s">
        <v>2867</v>
      </c>
      <c r="F2140" s="95"/>
      <c r="G2140" s="96">
        <v>0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95"/>
      <c r="B2141" s="95"/>
      <c r="C2141" s="95"/>
      <c r="D2141" s="76" t="s">
        <v>2868</v>
      </c>
      <c r="E2141" s="76" t="s">
        <v>54</v>
      </c>
      <c r="F2141" s="95"/>
      <c r="G2141" s="96">
        <v>1221.8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95"/>
      <c r="B2142" s="95"/>
      <c r="C2142" s="95"/>
      <c r="D2142" s="76" t="s">
        <v>54</v>
      </c>
      <c r="E2142" s="76" t="s">
        <v>396</v>
      </c>
      <c r="F2142" s="95"/>
      <c r="G2142" s="96">
        <v>0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95"/>
      <c r="B2143" s="95"/>
      <c r="C2143" s="95"/>
      <c r="D2143" s="76" t="s">
        <v>54</v>
      </c>
      <c r="E2143" s="76" t="s">
        <v>886</v>
      </c>
      <c r="F2143" s="95"/>
      <c r="G2143" s="96">
        <v>0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x14ac:dyDescent="0.25">
      <c r="A2144" s="95"/>
      <c r="B2144" s="95"/>
      <c r="C2144" s="95"/>
      <c r="D2144" s="76" t="s">
        <v>54</v>
      </c>
      <c r="E2144" s="76" t="s">
        <v>299</v>
      </c>
      <c r="F2144" s="95"/>
      <c r="G2144" s="96">
        <v>0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16" s="81" customFormat="1" x14ac:dyDescent="0.25">
      <c r="A2145" s="95"/>
      <c r="B2145" s="95"/>
      <c r="C2145" s="95"/>
      <c r="D2145" s="76" t="s">
        <v>529</v>
      </c>
      <c r="E2145" s="76" t="s">
        <v>54</v>
      </c>
      <c r="F2145" s="95"/>
      <c r="G2145" s="96">
        <v>3.4100999999999999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16" s="81" customFormat="1" x14ac:dyDescent="0.25">
      <c r="A2146" s="95"/>
      <c r="B2146" s="95"/>
      <c r="C2146" s="95"/>
      <c r="D2146" s="76" t="s">
        <v>530</v>
      </c>
      <c r="E2146" s="76" t="s">
        <v>54</v>
      </c>
      <c r="F2146" s="95"/>
      <c r="G2146" s="96">
        <v>4.3789999999999996</v>
      </c>
      <c r="H2146" s="95"/>
      <c r="I2146" s="95"/>
      <c r="J2146" s="95"/>
      <c r="K2146" s="95"/>
      <c r="L2146" s="95"/>
      <c r="M2146" s="95"/>
      <c r="N2146" s="95"/>
      <c r="O2146" s="95"/>
      <c r="P2146" s="95"/>
    </row>
    <row r="2147" spans="1:16" s="81" customFormat="1" x14ac:dyDescent="0.25">
      <c r="A2147" s="95"/>
      <c r="B2147" s="95"/>
      <c r="C2147" s="95"/>
      <c r="D2147" s="76" t="s">
        <v>54</v>
      </c>
      <c r="E2147" s="76" t="s">
        <v>308</v>
      </c>
      <c r="F2147" s="95"/>
      <c r="G2147" s="96">
        <v>0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16" s="81" customFormat="1" x14ac:dyDescent="0.25">
      <c r="A2148" s="95"/>
      <c r="B2148" s="95"/>
      <c r="C2148" s="95"/>
      <c r="D2148" s="76" t="s">
        <v>531</v>
      </c>
      <c r="E2148" s="76" t="s">
        <v>54</v>
      </c>
      <c r="F2148" s="95"/>
      <c r="G2148" s="96">
        <v>2.9834999999999998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16" s="81" customFormat="1" x14ac:dyDescent="0.25">
      <c r="A2149" s="95"/>
      <c r="B2149" s="95"/>
      <c r="C2149" s="95"/>
      <c r="D2149" s="76" t="s">
        <v>532</v>
      </c>
      <c r="E2149" s="76" t="s">
        <v>54</v>
      </c>
      <c r="F2149" s="95"/>
      <c r="G2149" s="96">
        <v>2.1648000000000001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16" s="81" customFormat="1" x14ac:dyDescent="0.25">
      <c r="A2150" s="95"/>
      <c r="B2150" s="95"/>
      <c r="C2150" s="95"/>
      <c r="D2150" s="76" t="s">
        <v>54</v>
      </c>
      <c r="E2150" s="76" t="s">
        <v>299</v>
      </c>
      <c r="F2150" s="95"/>
      <c r="G2150" s="96">
        <v>0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16" s="81" customFormat="1" x14ac:dyDescent="0.25">
      <c r="A2151" s="95"/>
      <c r="B2151" s="95"/>
      <c r="C2151" s="95"/>
      <c r="D2151" s="76" t="s">
        <v>536</v>
      </c>
      <c r="E2151" s="76" t="s">
        <v>54</v>
      </c>
      <c r="F2151" s="95"/>
      <c r="G2151" s="96">
        <v>23.823499999999999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16" s="81" customFormat="1" x14ac:dyDescent="0.25">
      <c r="A2152" s="95"/>
      <c r="B2152" s="95"/>
      <c r="C2152" s="95"/>
      <c r="D2152" s="76" t="s">
        <v>54</v>
      </c>
      <c r="E2152" s="76" t="s">
        <v>308</v>
      </c>
      <c r="F2152" s="95"/>
      <c r="G2152" s="96">
        <v>0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16" s="81" customFormat="1" x14ac:dyDescent="0.25">
      <c r="A2153" s="95"/>
      <c r="B2153" s="95"/>
      <c r="C2153" s="95"/>
      <c r="D2153" s="76" t="s">
        <v>537</v>
      </c>
      <c r="E2153" s="76" t="s">
        <v>54</v>
      </c>
      <c r="F2153" s="95"/>
      <c r="G2153" s="96">
        <v>19.78762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16" s="81" customFormat="1" x14ac:dyDescent="0.25">
      <c r="A2154" s="95"/>
      <c r="B2154" s="95"/>
      <c r="C2154" s="95"/>
      <c r="D2154" s="76" t="s">
        <v>538</v>
      </c>
      <c r="E2154" s="76" t="s">
        <v>54</v>
      </c>
      <c r="F2154" s="95"/>
      <c r="G2154" s="96">
        <v>4.8555000000000001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16" s="81" customFormat="1" x14ac:dyDescent="0.25">
      <c r="A2155" s="95"/>
      <c r="B2155" s="95"/>
      <c r="C2155" s="95"/>
      <c r="D2155" s="76" t="s">
        <v>539</v>
      </c>
      <c r="E2155" s="76" t="s">
        <v>54</v>
      </c>
      <c r="F2155" s="95"/>
      <c r="G2155" s="96">
        <v>26.229749999999999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16" s="81" customFormat="1" x14ac:dyDescent="0.25">
      <c r="A2156" s="95"/>
      <c r="B2156" s="95"/>
      <c r="C2156" s="95"/>
      <c r="D2156" s="76" t="s">
        <v>54</v>
      </c>
      <c r="E2156" s="76" t="s">
        <v>299</v>
      </c>
      <c r="F2156" s="95"/>
      <c r="G2156" s="96">
        <v>0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16" s="81" customFormat="1" x14ac:dyDescent="0.25">
      <c r="A2157" s="95"/>
      <c r="B2157" s="95"/>
      <c r="C2157" s="95"/>
      <c r="D2157" s="76" t="s">
        <v>887</v>
      </c>
      <c r="E2157" s="76" t="s">
        <v>54</v>
      </c>
      <c r="F2157" s="95"/>
      <c r="G2157" s="96">
        <v>34.655000000000001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16" s="81" customFormat="1" x14ac:dyDescent="0.25">
      <c r="A2158" s="95"/>
      <c r="B2158" s="95"/>
      <c r="C2158" s="95"/>
      <c r="D2158" s="76" t="s">
        <v>888</v>
      </c>
      <c r="E2158" s="76" t="s">
        <v>54</v>
      </c>
      <c r="F2158" s="95"/>
      <c r="G2158" s="96">
        <v>67.28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16" s="81" customFormat="1" x14ac:dyDescent="0.25">
      <c r="A2159" s="95"/>
      <c r="B2159" s="95"/>
      <c r="C2159" s="95"/>
      <c r="D2159" s="76" t="s">
        <v>889</v>
      </c>
      <c r="E2159" s="76" t="s">
        <v>54</v>
      </c>
      <c r="F2159" s="95"/>
      <c r="G2159" s="96">
        <v>15.03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16" s="81" customFormat="1" x14ac:dyDescent="0.25">
      <c r="A2160" s="95"/>
      <c r="B2160" s="95"/>
      <c r="C2160" s="95"/>
      <c r="D2160" s="76" t="s">
        <v>54</v>
      </c>
      <c r="E2160" s="76" t="s">
        <v>308</v>
      </c>
      <c r="F2160" s="95"/>
      <c r="G2160" s="96">
        <v>0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16" s="81" customFormat="1" x14ac:dyDescent="0.25">
      <c r="A2161" s="95"/>
      <c r="B2161" s="95"/>
      <c r="C2161" s="95"/>
      <c r="D2161" s="76" t="s">
        <v>2869</v>
      </c>
      <c r="E2161" s="76" t="s">
        <v>54</v>
      </c>
      <c r="F2161" s="95"/>
      <c r="G2161" s="96">
        <v>28.372499999999999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16" s="81" customFormat="1" x14ac:dyDescent="0.25">
      <c r="A2162" s="95"/>
      <c r="B2162" s="95"/>
      <c r="C2162" s="95"/>
      <c r="D2162" s="76" t="s">
        <v>2870</v>
      </c>
      <c r="E2162" s="76" t="s">
        <v>54</v>
      </c>
      <c r="F2162" s="95"/>
      <c r="G2162" s="96">
        <v>77.489999999999995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16" s="81" customFormat="1" x14ac:dyDescent="0.25">
      <c r="A2163" s="95"/>
      <c r="B2163" s="95"/>
      <c r="C2163" s="95"/>
      <c r="D2163" s="76" t="s">
        <v>54</v>
      </c>
      <c r="E2163" s="76" t="s">
        <v>299</v>
      </c>
      <c r="F2163" s="95"/>
      <c r="G2163" s="96">
        <v>0</v>
      </c>
      <c r="H2163" s="95"/>
      <c r="I2163" s="95"/>
      <c r="J2163" s="95"/>
      <c r="K2163" s="95"/>
      <c r="L2163" s="95"/>
      <c r="M2163" s="95"/>
      <c r="N2163" s="95"/>
      <c r="O2163" s="95"/>
      <c r="P2163" s="95"/>
    </row>
    <row r="2164" spans="1:16" s="81" customFormat="1" x14ac:dyDescent="0.25">
      <c r="A2164" s="95"/>
      <c r="B2164" s="95"/>
      <c r="C2164" s="95"/>
      <c r="D2164" s="76" t="s">
        <v>2871</v>
      </c>
      <c r="E2164" s="76" t="s">
        <v>54</v>
      </c>
      <c r="F2164" s="95"/>
      <c r="G2164" s="96">
        <v>41.58</v>
      </c>
      <c r="H2164" s="95"/>
      <c r="I2164" s="95"/>
      <c r="J2164" s="95"/>
      <c r="K2164" s="95"/>
      <c r="L2164" s="95"/>
      <c r="M2164" s="95"/>
      <c r="N2164" s="95"/>
      <c r="O2164" s="95"/>
      <c r="P2164" s="95"/>
    </row>
    <row r="2165" spans="1:16" s="81" customFormat="1" x14ac:dyDescent="0.25">
      <c r="A2165" s="95"/>
      <c r="B2165" s="95"/>
      <c r="C2165" s="95"/>
      <c r="D2165" s="76" t="s">
        <v>894</v>
      </c>
      <c r="E2165" s="76" t="s">
        <v>54</v>
      </c>
      <c r="F2165" s="95"/>
      <c r="G2165" s="96">
        <v>69.89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16" s="81" customFormat="1" ht="25.5" x14ac:dyDescent="0.25">
      <c r="A2166" s="95"/>
      <c r="B2166" s="95"/>
      <c r="C2166" s="95"/>
      <c r="D2166" s="76" t="s">
        <v>895</v>
      </c>
      <c r="E2166" s="76" t="s">
        <v>54</v>
      </c>
      <c r="F2166" s="95"/>
      <c r="G2166" s="96">
        <v>189.25399999999999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16" s="81" customFormat="1" x14ac:dyDescent="0.25">
      <c r="A2167" s="95"/>
      <c r="B2167" s="95"/>
      <c r="C2167" s="95"/>
      <c r="D2167" s="76" t="s">
        <v>54</v>
      </c>
      <c r="E2167" s="76" t="s">
        <v>308</v>
      </c>
      <c r="F2167" s="95"/>
      <c r="G2167" s="96">
        <v>0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16" s="81" customFormat="1" ht="25.5" x14ac:dyDescent="0.25">
      <c r="A2168" s="95"/>
      <c r="B2168" s="95"/>
      <c r="C2168" s="95"/>
      <c r="D2168" s="76" t="s">
        <v>899</v>
      </c>
      <c r="E2168" s="76" t="s">
        <v>54</v>
      </c>
      <c r="F2168" s="95"/>
      <c r="G2168" s="96">
        <v>252.1935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16" s="81" customFormat="1" x14ac:dyDescent="0.25">
      <c r="A2169" s="95"/>
      <c r="B2169" s="95"/>
      <c r="C2169" s="95"/>
      <c r="D2169" s="76" t="s">
        <v>2872</v>
      </c>
      <c r="E2169" s="76" t="s">
        <v>54</v>
      </c>
      <c r="F2169" s="95"/>
      <c r="G2169" s="96">
        <v>123.72750000000001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16" s="81" customFormat="1" x14ac:dyDescent="0.25">
      <c r="A2170" s="95"/>
      <c r="B2170" s="95"/>
      <c r="C2170" s="95"/>
      <c r="D2170" s="76" t="s">
        <v>2873</v>
      </c>
      <c r="E2170" s="76" t="s">
        <v>54</v>
      </c>
      <c r="F2170" s="95"/>
      <c r="G2170" s="96">
        <v>387.94200000000001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16" s="81" customFormat="1" x14ac:dyDescent="0.25">
      <c r="A2171" s="95"/>
      <c r="B2171" s="95"/>
      <c r="C2171" s="95"/>
      <c r="D2171" s="76" t="s">
        <v>54</v>
      </c>
      <c r="E2171" s="76" t="s">
        <v>897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16" s="81" customFormat="1" x14ac:dyDescent="0.25">
      <c r="A2172" s="95"/>
      <c r="B2172" s="95"/>
      <c r="C2172" s="95"/>
      <c r="D2172" s="76" t="s">
        <v>54</v>
      </c>
      <c r="E2172" s="76" t="s">
        <v>898</v>
      </c>
      <c r="F2172" s="95"/>
      <c r="G2172" s="96">
        <v>0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16" s="81" customFormat="1" x14ac:dyDescent="0.25">
      <c r="A2173" s="95"/>
      <c r="B2173" s="95"/>
      <c r="C2173" s="95"/>
      <c r="D2173" s="76" t="s">
        <v>2874</v>
      </c>
      <c r="E2173" s="76" t="s">
        <v>54</v>
      </c>
      <c r="F2173" s="95"/>
      <c r="G2173" s="96">
        <v>360.97586999999999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16" s="81" customFormat="1" x14ac:dyDescent="0.25">
      <c r="A2174" s="95"/>
      <c r="B2174" s="95"/>
      <c r="C2174" s="95"/>
      <c r="D2174" s="76" t="s">
        <v>905</v>
      </c>
      <c r="E2174" s="76" t="s">
        <v>54</v>
      </c>
      <c r="F2174" s="95"/>
      <c r="G2174" s="96">
        <v>1.8304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16" s="81" customFormat="1" ht="25.5" x14ac:dyDescent="0.25">
      <c r="A2175" s="95"/>
      <c r="B2175" s="95"/>
      <c r="C2175" s="95"/>
      <c r="D2175" s="76" t="s">
        <v>902</v>
      </c>
      <c r="E2175" s="76" t="s">
        <v>54</v>
      </c>
      <c r="F2175" s="95"/>
      <c r="G2175" s="96">
        <v>6.8787000000000003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16" s="81" customFormat="1" x14ac:dyDescent="0.25">
      <c r="A2176" s="95"/>
      <c r="B2176" s="95"/>
      <c r="C2176" s="95"/>
      <c r="D2176" s="76" t="s">
        <v>900</v>
      </c>
      <c r="E2176" s="76" t="s">
        <v>54</v>
      </c>
      <c r="F2176" s="95"/>
      <c r="G2176" s="96">
        <v>19.16337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95"/>
      <c r="B2177" s="95"/>
      <c r="C2177" s="95"/>
      <c r="D2177" s="76" t="s">
        <v>2875</v>
      </c>
      <c r="E2177" s="76" t="s">
        <v>54</v>
      </c>
      <c r="F2177" s="95"/>
      <c r="G2177" s="96">
        <v>232.61349999999999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95"/>
      <c r="B2178" s="95"/>
      <c r="C2178" s="95"/>
      <c r="D2178" s="76" t="s">
        <v>938</v>
      </c>
      <c r="E2178" s="76" t="s">
        <v>54</v>
      </c>
      <c r="F2178" s="95"/>
      <c r="G2178" s="96">
        <v>2.5564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95"/>
      <c r="B2179" s="95"/>
      <c r="C2179" s="95"/>
      <c r="D2179" s="76" t="s">
        <v>935</v>
      </c>
      <c r="E2179" s="76" t="s">
        <v>54</v>
      </c>
      <c r="F2179" s="95"/>
      <c r="G2179" s="96">
        <v>145.52199999999999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95"/>
      <c r="B2180" s="95"/>
      <c r="C2180" s="95"/>
      <c r="D2180" s="76" t="s">
        <v>904</v>
      </c>
      <c r="E2180" s="76" t="s">
        <v>54</v>
      </c>
      <c r="F2180" s="95"/>
      <c r="G2180" s="96">
        <v>2.6827800000000002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95"/>
      <c r="B2181" s="95"/>
      <c r="C2181" s="95"/>
      <c r="D2181" s="76" t="s">
        <v>933</v>
      </c>
      <c r="E2181" s="76" t="s">
        <v>54</v>
      </c>
      <c r="F2181" s="95"/>
      <c r="G2181" s="96">
        <v>2.64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95"/>
      <c r="B2182" s="95"/>
      <c r="C2182" s="95"/>
      <c r="D2182" s="76" t="s">
        <v>906</v>
      </c>
      <c r="E2182" s="76" t="s">
        <v>54</v>
      </c>
      <c r="F2182" s="95"/>
      <c r="G2182" s="96">
        <v>108.69199999999999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95"/>
      <c r="B2183" s="95"/>
      <c r="C2183" s="95"/>
      <c r="D2183" s="76" t="s">
        <v>908</v>
      </c>
      <c r="E2183" s="76" t="s">
        <v>54</v>
      </c>
      <c r="F2183" s="95"/>
      <c r="G2183" s="96">
        <v>10.2525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95"/>
      <c r="B2184" s="95"/>
      <c r="C2184" s="95"/>
      <c r="D2184" s="76" t="s">
        <v>909</v>
      </c>
      <c r="E2184" s="76" t="s">
        <v>54</v>
      </c>
      <c r="F2184" s="95"/>
      <c r="G2184" s="96">
        <v>80.547499999999999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95"/>
      <c r="B2185" s="95"/>
      <c r="C2185" s="95"/>
      <c r="D2185" s="76" t="s">
        <v>2876</v>
      </c>
      <c r="E2185" s="76" t="s">
        <v>54</v>
      </c>
      <c r="F2185" s="95"/>
      <c r="G2185" s="96">
        <v>1.2782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ht="25.5" x14ac:dyDescent="0.25">
      <c r="A2186" s="95"/>
      <c r="B2186" s="95"/>
      <c r="C2186" s="95"/>
      <c r="D2186" s="76" t="s">
        <v>911</v>
      </c>
      <c r="E2186" s="76" t="s">
        <v>54</v>
      </c>
      <c r="F2186" s="95"/>
      <c r="G2186" s="96">
        <v>209.75700000000001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95"/>
      <c r="B2187" s="95"/>
      <c r="C2187" s="95"/>
      <c r="D2187" s="76" t="s">
        <v>913</v>
      </c>
      <c r="E2187" s="76" t="s">
        <v>54</v>
      </c>
      <c r="F2187" s="95"/>
      <c r="G2187" s="96">
        <v>0.59399999999999997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95"/>
      <c r="B2188" s="95"/>
      <c r="C2188" s="95"/>
      <c r="D2188" s="76" t="s">
        <v>2877</v>
      </c>
      <c r="E2188" s="76" t="s">
        <v>54</v>
      </c>
      <c r="F2188" s="95"/>
      <c r="G2188" s="96">
        <v>34.725999999999999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95"/>
      <c r="B2189" s="95"/>
      <c r="C2189" s="95"/>
      <c r="D2189" s="76" t="s">
        <v>915</v>
      </c>
      <c r="E2189" s="76" t="s">
        <v>54</v>
      </c>
      <c r="F2189" s="95"/>
      <c r="G2189" s="96">
        <v>33.0075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95"/>
      <c r="B2190" s="95"/>
      <c r="C2190" s="95"/>
      <c r="D2190" s="76" t="s">
        <v>2878</v>
      </c>
      <c r="E2190" s="76" t="s">
        <v>54</v>
      </c>
      <c r="F2190" s="95"/>
      <c r="G2190" s="96">
        <v>97.555999999999997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ht="25.5" x14ac:dyDescent="0.25">
      <c r="A2191" s="95"/>
      <c r="B2191" s="95"/>
      <c r="C2191" s="95"/>
      <c r="D2191" s="76" t="s">
        <v>2879</v>
      </c>
      <c r="E2191" s="76" t="s">
        <v>54</v>
      </c>
      <c r="F2191" s="95"/>
      <c r="G2191" s="96">
        <v>-0.34399999999999997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95"/>
      <c r="B2192" s="95"/>
      <c r="C2192" s="95"/>
      <c r="D2192" s="76" t="s">
        <v>918</v>
      </c>
      <c r="E2192" s="76" t="s">
        <v>54</v>
      </c>
      <c r="F2192" s="95"/>
      <c r="G2192" s="96">
        <v>53.65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76" s="81" customFormat="1" x14ac:dyDescent="0.25">
      <c r="A2193" s="95"/>
      <c r="B2193" s="95"/>
      <c r="C2193" s="95"/>
      <c r="D2193" s="76" t="s">
        <v>2880</v>
      </c>
      <c r="E2193" s="76" t="s">
        <v>54</v>
      </c>
      <c r="F2193" s="95"/>
      <c r="G2193" s="96">
        <v>74.125349999999997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76" s="81" customFormat="1" x14ac:dyDescent="0.25">
      <c r="A2194" s="95"/>
      <c r="B2194" s="95"/>
      <c r="C2194" s="95"/>
      <c r="D2194" s="76" t="s">
        <v>54</v>
      </c>
      <c r="E2194" s="76" t="s">
        <v>930</v>
      </c>
      <c r="F2194" s="95"/>
      <c r="G2194" s="96">
        <v>0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76" s="81" customFormat="1" ht="25.5" x14ac:dyDescent="0.25">
      <c r="A2195" s="95"/>
      <c r="B2195" s="95"/>
      <c r="C2195" s="95"/>
      <c r="D2195" s="76" t="s">
        <v>921</v>
      </c>
      <c r="E2195" s="76" t="s">
        <v>54</v>
      </c>
      <c r="F2195" s="95"/>
      <c r="G2195" s="96">
        <v>137.48378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76" s="81" customFormat="1" x14ac:dyDescent="0.25">
      <c r="A2196" s="95"/>
      <c r="B2196" s="95"/>
      <c r="C2196" s="95"/>
      <c r="D2196" s="76" t="s">
        <v>2881</v>
      </c>
      <c r="E2196" s="76" t="s">
        <v>54</v>
      </c>
      <c r="F2196" s="95"/>
      <c r="G2196" s="96">
        <v>-5.9465500000000002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76" s="81" customFormat="1" x14ac:dyDescent="0.25">
      <c r="A2197" s="95"/>
      <c r="B2197" s="95"/>
      <c r="C2197" s="95"/>
      <c r="D2197" s="76" t="s">
        <v>932</v>
      </c>
      <c r="E2197" s="76" t="s">
        <v>54</v>
      </c>
      <c r="F2197" s="95"/>
      <c r="G2197" s="96">
        <v>3.1724999999999999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76" s="81" customFormat="1" ht="25.5" x14ac:dyDescent="0.25">
      <c r="A2198" s="95"/>
      <c r="B2198" s="95"/>
      <c r="C2198" s="95"/>
      <c r="D2198" s="76" t="s">
        <v>922</v>
      </c>
      <c r="E2198" s="76" t="s">
        <v>54</v>
      </c>
      <c r="F2198" s="95"/>
      <c r="G2198" s="96">
        <v>9.5145499999999998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76" s="81" customFormat="1" ht="25.5" x14ac:dyDescent="0.25">
      <c r="A2199" s="95"/>
      <c r="B2199" s="95"/>
      <c r="C2199" s="95"/>
      <c r="D2199" s="76" t="s">
        <v>2882</v>
      </c>
      <c r="E2199" s="76" t="s">
        <v>54</v>
      </c>
      <c r="F2199" s="95"/>
      <c r="G2199" s="96">
        <v>73.346630000000005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76" s="81" customFormat="1" ht="25.5" x14ac:dyDescent="0.25">
      <c r="A2200" s="95"/>
      <c r="B2200" s="95"/>
      <c r="C2200" s="95"/>
      <c r="D2200" s="76" t="s">
        <v>924</v>
      </c>
      <c r="E2200" s="76" t="s">
        <v>54</v>
      </c>
      <c r="F2200" s="95"/>
      <c r="G2200" s="96">
        <v>7.7940500000000004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76" s="81" customFormat="1" ht="25.5" x14ac:dyDescent="0.25">
      <c r="A2201" s="95"/>
      <c r="B2201" s="95"/>
      <c r="C2201" s="95"/>
      <c r="D2201" s="76" t="s">
        <v>925</v>
      </c>
      <c r="E2201" s="76" t="s">
        <v>54</v>
      </c>
      <c r="F2201" s="95"/>
      <c r="G2201" s="96">
        <v>101.79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76" s="81" customFormat="1" x14ac:dyDescent="0.25">
      <c r="A2202" s="95"/>
      <c r="B2202" s="95"/>
      <c r="C2202" s="95"/>
      <c r="D2202" s="76" t="s">
        <v>2883</v>
      </c>
      <c r="E2202" s="76" t="s">
        <v>54</v>
      </c>
      <c r="F2202" s="95"/>
      <c r="G2202" s="96">
        <v>-8.5254999999999992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76" s="81" customFormat="1" ht="25.5" x14ac:dyDescent="0.25">
      <c r="A2203" s="95"/>
      <c r="B2203" s="95"/>
      <c r="C2203" s="95"/>
      <c r="D2203" s="76" t="s">
        <v>927</v>
      </c>
      <c r="E2203" s="76" t="s">
        <v>54</v>
      </c>
      <c r="F2203" s="95"/>
      <c r="G2203" s="96">
        <v>4.6675500000000003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76" s="81" customFormat="1" x14ac:dyDescent="0.25">
      <c r="A2204" s="95"/>
      <c r="B2204" s="95"/>
      <c r="C2204" s="95"/>
      <c r="D2204" s="76" t="s">
        <v>928</v>
      </c>
      <c r="E2204" s="76" t="s">
        <v>54</v>
      </c>
      <c r="F2204" s="95"/>
      <c r="G2204" s="96">
        <v>145.23224999999999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76" s="81" customFormat="1" ht="25.5" x14ac:dyDescent="0.25">
      <c r="A2205" s="95"/>
      <c r="B2205" s="95"/>
      <c r="C2205" s="95"/>
      <c r="D2205" s="76" t="s">
        <v>2884</v>
      </c>
      <c r="E2205" s="76" t="s">
        <v>54</v>
      </c>
      <c r="F2205" s="95"/>
      <c r="G2205" s="96">
        <v>14.468400000000001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76" s="81" customFormat="1" x14ac:dyDescent="0.25">
      <c r="A2206" s="95"/>
      <c r="B2206" s="95"/>
      <c r="C2206" s="95"/>
      <c r="D2206" s="76" t="s">
        <v>942</v>
      </c>
      <c r="E2206" s="76" t="s">
        <v>943</v>
      </c>
      <c r="F2206" s="95"/>
      <c r="G2206" s="96">
        <v>-292.05124999999998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76" s="81" customFormat="1" ht="25.5" x14ac:dyDescent="0.25">
      <c r="A2207" s="72" t="s">
        <v>2885</v>
      </c>
      <c r="B2207" s="72" t="s">
        <v>55</v>
      </c>
      <c r="C2207" s="72" t="s">
        <v>2886</v>
      </c>
      <c r="D2207" s="175" t="s">
        <v>2887</v>
      </c>
      <c r="E2207" s="175"/>
      <c r="F2207" s="72" t="s">
        <v>192</v>
      </c>
      <c r="G2207" s="90">
        <v>4266.4997499999999</v>
      </c>
      <c r="H2207" s="91"/>
      <c r="I2207" s="92" t="s">
        <v>63</v>
      </c>
      <c r="J2207" s="90">
        <f>G2207*AO2207</f>
        <v>0</v>
      </c>
      <c r="K2207" s="90">
        <f>G2207*AP2207</f>
        <v>0</v>
      </c>
      <c r="L2207" s="90">
        <f>G2207*H2207</f>
        <v>0</v>
      </c>
      <c r="M2207" s="90">
        <f>L2207*(1+BW2207/100)</f>
        <v>0</v>
      </c>
      <c r="N2207" s="90">
        <v>2.2000000000000001E-4</v>
      </c>
      <c r="O2207" s="90">
        <f>G2207*N2207</f>
        <v>0.93862994500000008</v>
      </c>
      <c r="P2207" s="92" t="s">
        <v>64</v>
      </c>
      <c r="Z2207" s="93">
        <f>IF(AQ2207="5",BJ2207,0)</f>
        <v>0</v>
      </c>
      <c r="AB2207" s="93">
        <f>IF(AQ2207="1",BH2207,0)</f>
        <v>0</v>
      </c>
      <c r="AC2207" s="93">
        <f>IF(AQ2207="1",BI2207,0)</f>
        <v>0</v>
      </c>
      <c r="AD2207" s="93">
        <f>IF(AQ2207="7",BH2207,0)</f>
        <v>0</v>
      </c>
      <c r="AE2207" s="93">
        <f>IF(AQ2207="7",BI2207,0)</f>
        <v>0</v>
      </c>
      <c r="AF2207" s="93">
        <f>IF(AQ2207="2",BH2207,0)</f>
        <v>0</v>
      </c>
      <c r="AG2207" s="93">
        <f>IF(AQ2207="2",BI2207,0)</f>
        <v>0</v>
      </c>
      <c r="AH2207" s="93">
        <f>IF(AQ2207="0",BJ2207,0)</f>
        <v>0</v>
      </c>
      <c r="AI2207" s="88" t="s">
        <v>55</v>
      </c>
      <c r="AJ2207" s="93">
        <f>IF(AN2207=0,L2207,0)</f>
        <v>0</v>
      </c>
      <c r="AK2207" s="93">
        <f>IF(AN2207=12,L2207,0)</f>
        <v>0</v>
      </c>
      <c r="AL2207" s="93">
        <f>IF(AN2207=21,L2207,0)</f>
        <v>0</v>
      </c>
      <c r="AN2207" s="93">
        <v>21</v>
      </c>
      <c r="AO2207" s="93">
        <f>H2207*0.193548388</f>
        <v>0</v>
      </c>
      <c r="AP2207" s="93">
        <f>H2207*(1-0.193548388)</f>
        <v>0</v>
      </c>
      <c r="AQ2207" s="94" t="s">
        <v>148</v>
      </c>
      <c r="AV2207" s="93">
        <f>AW2207+AX2207</f>
        <v>0</v>
      </c>
      <c r="AW2207" s="93">
        <f>G2207*AO2207</f>
        <v>0</v>
      </c>
      <c r="AX2207" s="93">
        <f>G2207*AP2207</f>
        <v>0</v>
      </c>
      <c r="AY2207" s="94" t="s">
        <v>2864</v>
      </c>
      <c r="AZ2207" s="94" t="s">
        <v>2817</v>
      </c>
      <c r="BA2207" s="88" t="s">
        <v>67</v>
      </c>
      <c r="BC2207" s="93">
        <f>AW2207+AX2207</f>
        <v>0</v>
      </c>
      <c r="BD2207" s="93">
        <f>H2207/(100-BE2207)*100</f>
        <v>0</v>
      </c>
      <c r="BE2207" s="93">
        <v>0</v>
      </c>
      <c r="BF2207" s="93">
        <f>O2207</f>
        <v>0.93862994500000008</v>
      </c>
      <c r="BH2207" s="93">
        <f>G2207*AO2207</f>
        <v>0</v>
      </c>
      <c r="BI2207" s="93">
        <f>G2207*AP2207</f>
        <v>0</v>
      </c>
      <c r="BJ2207" s="93">
        <f>G2207*H2207</f>
        <v>0</v>
      </c>
      <c r="BK2207" s="93"/>
      <c r="BL2207" s="93">
        <v>784</v>
      </c>
      <c r="BW2207" s="93" t="str">
        <f>I2207</f>
        <v>21</v>
      </c>
      <c r="BX2207" s="2" t="s">
        <v>2887</v>
      </c>
    </row>
    <row r="2208" spans="1:76" s="81" customFormat="1" x14ac:dyDescent="0.25">
      <c r="A2208" s="95"/>
      <c r="B2208" s="95"/>
      <c r="C2208" s="95"/>
      <c r="D2208" s="76" t="s">
        <v>2888</v>
      </c>
      <c r="E2208" s="76" t="s">
        <v>54</v>
      </c>
      <c r="F2208" s="95"/>
      <c r="G2208" s="96">
        <v>4266.4997499999999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76" s="81" customFormat="1" ht="25.5" x14ac:dyDescent="0.25">
      <c r="A2209" s="72" t="s">
        <v>2889</v>
      </c>
      <c r="B2209" s="72" t="s">
        <v>55</v>
      </c>
      <c r="C2209" s="72" t="s">
        <v>2890</v>
      </c>
      <c r="D2209" s="175" t="s">
        <v>2891</v>
      </c>
      <c r="E2209" s="175"/>
      <c r="F2209" s="72" t="s">
        <v>192</v>
      </c>
      <c r="G2209" s="90">
        <v>25.63045</v>
      </c>
      <c r="H2209" s="91"/>
      <c r="I2209" s="92" t="s">
        <v>63</v>
      </c>
      <c r="J2209" s="90">
        <f>G2209*AO2209</f>
        <v>0</v>
      </c>
      <c r="K2209" s="90">
        <f>G2209*AP2209</f>
        <v>0</v>
      </c>
      <c r="L2209" s="90">
        <f>G2209*H2209</f>
        <v>0</v>
      </c>
      <c r="M2209" s="90">
        <f>L2209*(1+BW2209/100)</f>
        <v>0</v>
      </c>
      <c r="N2209" s="90">
        <v>2.7999999999999998E-4</v>
      </c>
      <c r="O2209" s="90">
        <f>G2209*N2209</f>
        <v>7.176525999999999E-3</v>
      </c>
      <c r="P2209" s="92" t="s">
        <v>64</v>
      </c>
      <c r="Z2209" s="93">
        <f>IF(AQ2209="5",BJ2209,0)</f>
        <v>0</v>
      </c>
      <c r="AB2209" s="93">
        <f>IF(AQ2209="1",BH2209,0)</f>
        <v>0</v>
      </c>
      <c r="AC2209" s="93">
        <f>IF(AQ2209="1",BI2209,0)</f>
        <v>0</v>
      </c>
      <c r="AD2209" s="93">
        <f>IF(AQ2209="7",BH2209,0)</f>
        <v>0</v>
      </c>
      <c r="AE2209" s="93">
        <f>IF(AQ2209="7",BI2209,0)</f>
        <v>0</v>
      </c>
      <c r="AF2209" s="93">
        <f>IF(AQ2209="2",BH2209,0)</f>
        <v>0</v>
      </c>
      <c r="AG2209" s="93">
        <f>IF(AQ2209="2",BI2209,0)</f>
        <v>0</v>
      </c>
      <c r="AH2209" s="93">
        <f>IF(AQ2209="0",BJ2209,0)</f>
        <v>0</v>
      </c>
      <c r="AI2209" s="88" t="s">
        <v>55</v>
      </c>
      <c r="AJ2209" s="93">
        <f>IF(AN2209=0,L2209,0)</f>
        <v>0</v>
      </c>
      <c r="AK2209" s="93">
        <f>IF(AN2209=12,L2209,0)</f>
        <v>0</v>
      </c>
      <c r="AL2209" s="93">
        <f>IF(AN2209=21,L2209,0)</f>
        <v>0</v>
      </c>
      <c r="AN2209" s="93">
        <v>21</v>
      </c>
      <c r="AO2209" s="93">
        <f>H2209*0.291300737</f>
        <v>0</v>
      </c>
      <c r="AP2209" s="93">
        <f>H2209*(1-0.291300737)</f>
        <v>0</v>
      </c>
      <c r="AQ2209" s="94" t="s">
        <v>148</v>
      </c>
      <c r="AV2209" s="93">
        <f>AW2209+AX2209</f>
        <v>0</v>
      </c>
      <c r="AW2209" s="93">
        <f>G2209*AO2209</f>
        <v>0</v>
      </c>
      <c r="AX2209" s="93">
        <f>G2209*AP2209</f>
        <v>0</v>
      </c>
      <c r="AY2209" s="94" t="s">
        <v>2864</v>
      </c>
      <c r="AZ2209" s="94" t="s">
        <v>2817</v>
      </c>
      <c r="BA2209" s="88" t="s">
        <v>67</v>
      </c>
      <c r="BC2209" s="93">
        <f>AW2209+AX2209</f>
        <v>0</v>
      </c>
      <c r="BD2209" s="93">
        <f>H2209/(100-BE2209)*100</f>
        <v>0</v>
      </c>
      <c r="BE2209" s="93">
        <v>0</v>
      </c>
      <c r="BF2209" s="93">
        <f>O2209</f>
        <v>7.176525999999999E-3</v>
      </c>
      <c r="BH2209" s="93">
        <f>G2209*AO2209</f>
        <v>0</v>
      </c>
      <c r="BI2209" s="93">
        <f>G2209*AP2209</f>
        <v>0</v>
      </c>
      <c r="BJ2209" s="93">
        <f>G2209*H2209</f>
        <v>0</v>
      </c>
      <c r="BK2209" s="93"/>
      <c r="BL2209" s="93">
        <v>784</v>
      </c>
      <c r="BW2209" s="93" t="str">
        <f>I2209</f>
        <v>21</v>
      </c>
      <c r="BX2209" s="2" t="s">
        <v>2891</v>
      </c>
    </row>
    <row r="2210" spans="1:76" s="81" customFormat="1" x14ac:dyDescent="0.25">
      <c r="A2210" s="95"/>
      <c r="B2210" s="95"/>
      <c r="C2210" s="95"/>
      <c r="D2210" s="76" t="s">
        <v>54</v>
      </c>
      <c r="E2210" s="76" t="s">
        <v>308</v>
      </c>
      <c r="F2210" s="95"/>
      <c r="G2210" s="96">
        <v>0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76" s="81" customFormat="1" x14ac:dyDescent="0.25">
      <c r="A2211" s="95"/>
      <c r="B2211" s="95"/>
      <c r="C2211" s="95"/>
      <c r="D2211" s="76" t="s">
        <v>2865</v>
      </c>
      <c r="E2211" s="76" t="s">
        <v>2892</v>
      </c>
      <c r="F2211" s="95"/>
      <c r="G2211" s="96">
        <v>25.63045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76" s="81" customFormat="1" x14ac:dyDescent="0.25">
      <c r="A2212" s="85" t="s">
        <v>54</v>
      </c>
      <c r="B2212" s="74" t="s">
        <v>55</v>
      </c>
      <c r="C2212" s="74" t="s">
        <v>2893</v>
      </c>
      <c r="D2212" s="176" t="s">
        <v>2894</v>
      </c>
      <c r="E2212" s="176"/>
      <c r="F2212" s="85" t="s">
        <v>4</v>
      </c>
      <c r="G2212" s="85" t="s">
        <v>4</v>
      </c>
      <c r="H2212" s="85" t="s">
        <v>4</v>
      </c>
      <c r="I2212" s="85" t="s">
        <v>4</v>
      </c>
      <c r="J2212" s="86">
        <f>SUM(J2213:J2215)</f>
        <v>0</v>
      </c>
      <c r="K2212" s="86">
        <f>SUM(K2213:K2215)</f>
        <v>0</v>
      </c>
      <c r="L2212" s="86">
        <f>SUM(L2213:L2215)</f>
        <v>0</v>
      </c>
      <c r="M2212" s="86">
        <f>SUM(M2213:M2215)</f>
        <v>0</v>
      </c>
      <c r="N2212" s="87" t="s">
        <v>54</v>
      </c>
      <c r="O2212" s="86">
        <f>SUM(O2213:O2215)</f>
        <v>0.1454</v>
      </c>
      <c r="P2212" s="87" t="s">
        <v>54</v>
      </c>
      <c r="AI2212" s="88" t="s">
        <v>55</v>
      </c>
      <c r="AS2212" s="89">
        <f>SUM(AJ2213:AJ2215)</f>
        <v>0</v>
      </c>
      <c r="AT2212" s="89">
        <f>SUM(AK2213:AK2215)</f>
        <v>0</v>
      </c>
      <c r="AU2212" s="89">
        <f>SUM(AL2213:AL2215)</f>
        <v>0</v>
      </c>
    </row>
    <row r="2213" spans="1:76" s="81" customFormat="1" ht="25.5" x14ac:dyDescent="0.25">
      <c r="A2213" s="72" t="s">
        <v>2895</v>
      </c>
      <c r="B2213" s="72" t="s">
        <v>55</v>
      </c>
      <c r="C2213" s="72" t="s">
        <v>2896</v>
      </c>
      <c r="D2213" s="175" t="s">
        <v>2897</v>
      </c>
      <c r="E2213" s="175"/>
      <c r="F2213" s="72" t="s">
        <v>203</v>
      </c>
      <c r="G2213" s="90">
        <v>18</v>
      </c>
      <c r="H2213" s="91"/>
      <c r="I2213" s="92" t="s">
        <v>63</v>
      </c>
      <c r="J2213" s="90">
        <f>G2213*AO2213</f>
        <v>0</v>
      </c>
      <c r="K2213" s="90">
        <f>G2213*AP2213</f>
        <v>0</v>
      </c>
      <c r="L2213" s="90">
        <f>G2213*H2213</f>
        <v>0</v>
      </c>
      <c r="M2213" s="90">
        <f>L2213*(1+BW2213/100)</f>
        <v>0</v>
      </c>
      <c r="N2213" s="90">
        <v>7.4000000000000003E-3</v>
      </c>
      <c r="O2213" s="90">
        <f>G2213*N2213</f>
        <v>0.13320000000000001</v>
      </c>
      <c r="P2213" s="92" t="s">
        <v>371</v>
      </c>
      <c r="Z2213" s="93">
        <f>IF(AQ2213="5",BJ2213,0)</f>
        <v>0</v>
      </c>
      <c r="AB2213" s="93">
        <f>IF(AQ2213="1",BH2213,0)</f>
        <v>0</v>
      </c>
      <c r="AC2213" s="93">
        <f>IF(AQ2213="1",BI2213,0)</f>
        <v>0</v>
      </c>
      <c r="AD2213" s="93">
        <f>IF(AQ2213="7",BH2213,0)</f>
        <v>0</v>
      </c>
      <c r="AE2213" s="93">
        <f>IF(AQ2213="7",BI2213,0)</f>
        <v>0</v>
      </c>
      <c r="AF2213" s="93">
        <f>IF(AQ2213="2",BH2213,0)</f>
        <v>0</v>
      </c>
      <c r="AG2213" s="93">
        <f>IF(AQ2213="2",BI2213,0)</f>
        <v>0</v>
      </c>
      <c r="AH2213" s="93">
        <f>IF(AQ2213="0",BJ2213,0)</f>
        <v>0</v>
      </c>
      <c r="AI2213" s="88" t="s">
        <v>55</v>
      </c>
      <c r="AJ2213" s="93">
        <f>IF(AN2213=0,L2213,0)</f>
        <v>0</v>
      </c>
      <c r="AK2213" s="93">
        <f>IF(AN2213=12,L2213,0)</f>
        <v>0</v>
      </c>
      <c r="AL2213" s="93">
        <f>IF(AN2213=21,L2213,0)</f>
        <v>0</v>
      </c>
      <c r="AN2213" s="93">
        <v>21</v>
      </c>
      <c r="AO2213" s="93">
        <f>H2213*0.840963415</f>
        <v>0</v>
      </c>
      <c r="AP2213" s="93">
        <f>H2213*(1-0.840963415)</f>
        <v>0</v>
      </c>
      <c r="AQ2213" s="94" t="s">
        <v>148</v>
      </c>
      <c r="AV2213" s="93">
        <f>AW2213+AX2213</f>
        <v>0</v>
      </c>
      <c r="AW2213" s="93">
        <f>G2213*AO2213</f>
        <v>0</v>
      </c>
      <c r="AX2213" s="93">
        <f>G2213*AP2213</f>
        <v>0</v>
      </c>
      <c r="AY2213" s="94" t="s">
        <v>2898</v>
      </c>
      <c r="AZ2213" s="94" t="s">
        <v>2817</v>
      </c>
      <c r="BA2213" s="88" t="s">
        <v>67</v>
      </c>
      <c r="BC2213" s="93">
        <f>AW2213+AX2213</f>
        <v>0</v>
      </c>
      <c r="BD2213" s="93">
        <f>H2213/(100-BE2213)*100</f>
        <v>0</v>
      </c>
      <c r="BE2213" s="93">
        <v>0</v>
      </c>
      <c r="BF2213" s="93">
        <f>O2213</f>
        <v>0.13320000000000001</v>
      </c>
      <c r="BH2213" s="93">
        <f>G2213*AO2213</f>
        <v>0</v>
      </c>
      <c r="BI2213" s="93">
        <f>G2213*AP2213</f>
        <v>0</v>
      </c>
      <c r="BJ2213" s="93">
        <f>G2213*H2213</f>
        <v>0</v>
      </c>
      <c r="BK2213" s="93"/>
      <c r="BL2213" s="93">
        <v>786</v>
      </c>
      <c r="BW2213" s="93" t="str">
        <f>I2213</f>
        <v>21</v>
      </c>
      <c r="BX2213" s="2" t="s">
        <v>2897</v>
      </c>
    </row>
    <row r="2214" spans="1:76" s="81" customFormat="1" ht="25.5" x14ac:dyDescent="0.25">
      <c r="A2214" s="72" t="s">
        <v>2899</v>
      </c>
      <c r="B2214" s="72" t="s">
        <v>55</v>
      </c>
      <c r="C2214" s="72" t="s">
        <v>2900</v>
      </c>
      <c r="D2214" s="175" t="s">
        <v>2901</v>
      </c>
      <c r="E2214" s="175"/>
      <c r="F2214" s="72" t="s">
        <v>203</v>
      </c>
      <c r="G2214" s="90">
        <v>1</v>
      </c>
      <c r="H2214" s="91"/>
      <c r="I2214" s="92" t="s">
        <v>63</v>
      </c>
      <c r="J2214" s="90">
        <f>G2214*AO2214</f>
        <v>0</v>
      </c>
      <c r="K2214" s="90">
        <f>G2214*AP2214</f>
        <v>0</v>
      </c>
      <c r="L2214" s="90">
        <f>G2214*H2214</f>
        <v>0</v>
      </c>
      <c r="M2214" s="90">
        <f>L2214*(1+BW2214/100)</f>
        <v>0</v>
      </c>
      <c r="N2214" s="90">
        <v>1.2200000000000001E-2</v>
      </c>
      <c r="O2214" s="90">
        <f>G2214*N2214</f>
        <v>1.2200000000000001E-2</v>
      </c>
      <c r="P2214" s="92" t="s">
        <v>371</v>
      </c>
      <c r="Z2214" s="93">
        <f>IF(AQ2214="5",BJ2214,0)</f>
        <v>0</v>
      </c>
      <c r="AB2214" s="93">
        <f>IF(AQ2214="1",BH2214,0)</f>
        <v>0</v>
      </c>
      <c r="AC2214" s="93">
        <f>IF(AQ2214="1",BI2214,0)</f>
        <v>0</v>
      </c>
      <c r="AD2214" s="93">
        <f>IF(AQ2214="7",BH2214,0)</f>
        <v>0</v>
      </c>
      <c r="AE2214" s="93">
        <f>IF(AQ2214="7",BI2214,0)</f>
        <v>0</v>
      </c>
      <c r="AF2214" s="93">
        <f>IF(AQ2214="2",BH2214,0)</f>
        <v>0</v>
      </c>
      <c r="AG2214" s="93">
        <f>IF(AQ2214="2",BI2214,0)</f>
        <v>0</v>
      </c>
      <c r="AH2214" s="93">
        <f>IF(AQ2214="0",BJ2214,0)</f>
        <v>0</v>
      </c>
      <c r="AI2214" s="88" t="s">
        <v>55</v>
      </c>
      <c r="AJ2214" s="93">
        <f>IF(AN2214=0,L2214,0)</f>
        <v>0</v>
      </c>
      <c r="AK2214" s="93">
        <f>IF(AN2214=12,L2214,0)</f>
        <v>0</v>
      </c>
      <c r="AL2214" s="93">
        <f>IF(AN2214=21,L2214,0)</f>
        <v>0</v>
      </c>
      <c r="AN2214" s="93">
        <v>21</v>
      </c>
      <c r="AO2214" s="93">
        <f>H2214*0.876026574</f>
        <v>0</v>
      </c>
      <c r="AP2214" s="93">
        <f>H2214*(1-0.876026574)</f>
        <v>0</v>
      </c>
      <c r="AQ2214" s="94" t="s">
        <v>148</v>
      </c>
      <c r="AV2214" s="93">
        <f>AW2214+AX2214</f>
        <v>0</v>
      </c>
      <c r="AW2214" s="93">
        <f>G2214*AO2214</f>
        <v>0</v>
      </c>
      <c r="AX2214" s="93">
        <f>G2214*AP2214</f>
        <v>0</v>
      </c>
      <c r="AY2214" s="94" t="s">
        <v>2898</v>
      </c>
      <c r="AZ2214" s="94" t="s">
        <v>2817</v>
      </c>
      <c r="BA2214" s="88" t="s">
        <v>67</v>
      </c>
      <c r="BC2214" s="93">
        <f>AW2214+AX2214</f>
        <v>0</v>
      </c>
      <c r="BD2214" s="93">
        <f>H2214/(100-BE2214)*100</f>
        <v>0</v>
      </c>
      <c r="BE2214" s="93">
        <v>0</v>
      </c>
      <c r="BF2214" s="93">
        <f>O2214</f>
        <v>1.2200000000000001E-2</v>
      </c>
      <c r="BH2214" s="93">
        <f>G2214*AO2214</f>
        <v>0</v>
      </c>
      <c r="BI2214" s="93">
        <f>G2214*AP2214</f>
        <v>0</v>
      </c>
      <c r="BJ2214" s="93">
        <f>G2214*H2214</f>
        <v>0</v>
      </c>
      <c r="BK2214" s="93"/>
      <c r="BL2214" s="93">
        <v>786</v>
      </c>
      <c r="BW2214" s="93" t="str">
        <f>I2214</f>
        <v>21</v>
      </c>
      <c r="BX2214" s="2" t="s">
        <v>2901</v>
      </c>
    </row>
    <row r="2215" spans="1:76" s="81" customFormat="1" ht="25.5" x14ac:dyDescent="0.25">
      <c r="A2215" s="72" t="s">
        <v>2902</v>
      </c>
      <c r="B2215" s="72" t="s">
        <v>55</v>
      </c>
      <c r="C2215" s="72" t="s">
        <v>2903</v>
      </c>
      <c r="D2215" s="175" t="s">
        <v>2904</v>
      </c>
      <c r="E2215" s="175"/>
      <c r="F2215" s="72" t="s">
        <v>1449</v>
      </c>
      <c r="G2215" s="91"/>
      <c r="H2215" s="91"/>
      <c r="I2215" s="92" t="s">
        <v>63</v>
      </c>
      <c r="J2215" s="90">
        <f>G2215*AO2215</f>
        <v>0</v>
      </c>
      <c r="K2215" s="90">
        <f>G2215*AP2215</f>
        <v>0</v>
      </c>
      <c r="L2215" s="90">
        <f>G2215*H2215</f>
        <v>0</v>
      </c>
      <c r="M2215" s="90">
        <f>L2215*(1+BW2215/100)</f>
        <v>0</v>
      </c>
      <c r="N2215" s="90">
        <v>0</v>
      </c>
      <c r="O2215" s="90">
        <f>G2215*N2215</f>
        <v>0</v>
      </c>
      <c r="P2215" s="92" t="s">
        <v>64</v>
      </c>
      <c r="Z2215" s="93">
        <f>IF(AQ2215="5",BJ2215,0)</f>
        <v>0</v>
      </c>
      <c r="AB2215" s="93">
        <f>IF(AQ2215="1",BH2215,0)</f>
        <v>0</v>
      </c>
      <c r="AC2215" s="93">
        <f>IF(AQ2215="1",BI2215,0)</f>
        <v>0</v>
      </c>
      <c r="AD2215" s="93">
        <f>IF(AQ2215="7",BH2215,0)</f>
        <v>0</v>
      </c>
      <c r="AE2215" s="93">
        <f>IF(AQ2215="7",BI2215,0)</f>
        <v>0</v>
      </c>
      <c r="AF2215" s="93">
        <f>IF(AQ2215="2",BH2215,0)</f>
        <v>0</v>
      </c>
      <c r="AG2215" s="93">
        <f>IF(AQ2215="2",BI2215,0)</f>
        <v>0</v>
      </c>
      <c r="AH2215" s="93">
        <f>IF(AQ2215="0",BJ2215,0)</f>
        <v>0</v>
      </c>
      <c r="AI2215" s="88" t="s">
        <v>55</v>
      </c>
      <c r="AJ2215" s="93">
        <f>IF(AN2215=0,L2215,0)</f>
        <v>0</v>
      </c>
      <c r="AK2215" s="93">
        <f>IF(AN2215=12,L2215,0)</f>
        <v>0</v>
      </c>
      <c r="AL2215" s="93">
        <f>IF(AN2215=21,L2215,0)</f>
        <v>0</v>
      </c>
      <c r="AN2215" s="93">
        <v>21</v>
      </c>
      <c r="AO2215" s="93">
        <f>H2215*0</f>
        <v>0</v>
      </c>
      <c r="AP2215" s="93">
        <f>H2215*(1-0)</f>
        <v>0</v>
      </c>
      <c r="AQ2215" s="94" t="s">
        <v>136</v>
      </c>
      <c r="AV2215" s="93">
        <f>AW2215+AX2215</f>
        <v>0</v>
      </c>
      <c r="AW2215" s="93">
        <f>G2215*AO2215</f>
        <v>0</v>
      </c>
      <c r="AX2215" s="93">
        <f>G2215*AP2215</f>
        <v>0</v>
      </c>
      <c r="AY2215" s="94" t="s">
        <v>2898</v>
      </c>
      <c r="AZ2215" s="94" t="s">
        <v>2817</v>
      </c>
      <c r="BA2215" s="88" t="s">
        <v>67</v>
      </c>
      <c r="BC2215" s="93">
        <f>AW2215+AX2215</f>
        <v>0</v>
      </c>
      <c r="BD2215" s="93">
        <f>H2215/(100-BE2215)*100</f>
        <v>0</v>
      </c>
      <c r="BE2215" s="93">
        <v>0</v>
      </c>
      <c r="BF2215" s="93">
        <f>O2215</f>
        <v>0</v>
      </c>
      <c r="BH2215" s="93">
        <f>G2215*AO2215</f>
        <v>0</v>
      </c>
      <c r="BI2215" s="93">
        <f>G2215*AP2215</f>
        <v>0</v>
      </c>
      <c r="BJ2215" s="93">
        <f>G2215*H2215</f>
        <v>0</v>
      </c>
      <c r="BK2215" s="93"/>
      <c r="BL2215" s="93">
        <v>786</v>
      </c>
      <c r="BW2215" s="93" t="str">
        <f>I2215</f>
        <v>21</v>
      </c>
      <c r="BX2215" s="2" t="s">
        <v>2904</v>
      </c>
    </row>
    <row r="2216" spans="1:76" s="81" customFormat="1" x14ac:dyDescent="0.25">
      <c r="A2216" s="85" t="s">
        <v>54</v>
      </c>
      <c r="B2216" s="74" t="s">
        <v>55</v>
      </c>
      <c r="C2216" s="74" t="s">
        <v>2905</v>
      </c>
      <c r="D2216" s="176" t="s">
        <v>2906</v>
      </c>
      <c r="E2216" s="176"/>
      <c r="F2216" s="85" t="s">
        <v>4</v>
      </c>
      <c r="G2216" s="85" t="s">
        <v>4</v>
      </c>
      <c r="H2216" s="85" t="s">
        <v>4</v>
      </c>
      <c r="I2216" s="85" t="s">
        <v>4</v>
      </c>
      <c r="J2216" s="86">
        <f>SUM(J2217:J2220)</f>
        <v>0</v>
      </c>
      <c r="K2216" s="86">
        <f>SUM(K2217:K2220)</f>
        <v>0</v>
      </c>
      <c r="L2216" s="86">
        <f>SUM(L2217:L2220)</f>
        <v>0</v>
      </c>
      <c r="M2216" s="86">
        <f>SUM(M2217:M2220)</f>
        <v>0</v>
      </c>
      <c r="N2216" s="87" t="s">
        <v>54</v>
      </c>
      <c r="O2216" s="86">
        <f>SUM(O2217:O2220)</f>
        <v>0.16669812000000001</v>
      </c>
      <c r="P2216" s="87" t="s">
        <v>54</v>
      </c>
      <c r="AI2216" s="88" t="s">
        <v>55</v>
      </c>
      <c r="AS2216" s="89">
        <f>SUM(AJ2217:AJ2220)</f>
        <v>0</v>
      </c>
      <c r="AT2216" s="89">
        <f>SUM(AK2217:AK2220)</f>
        <v>0</v>
      </c>
      <c r="AU2216" s="89">
        <f>SUM(AL2217:AL2220)</f>
        <v>0</v>
      </c>
    </row>
    <row r="2217" spans="1:76" s="81" customFormat="1" ht="25.5" x14ac:dyDescent="0.25">
      <c r="A2217" s="72" t="s">
        <v>2907</v>
      </c>
      <c r="B2217" s="72" t="s">
        <v>55</v>
      </c>
      <c r="C2217" s="72" t="s">
        <v>2908</v>
      </c>
      <c r="D2217" s="175" t="s">
        <v>2909</v>
      </c>
      <c r="E2217" s="175"/>
      <c r="F2217" s="72" t="s">
        <v>192</v>
      </c>
      <c r="G2217" s="90">
        <v>3.7109999999999999</v>
      </c>
      <c r="H2217" s="91"/>
      <c r="I2217" s="92" t="s">
        <v>63</v>
      </c>
      <c r="J2217" s="90">
        <f>G2217*AO2217</f>
        <v>0</v>
      </c>
      <c r="K2217" s="90">
        <f>G2217*AP2217</f>
        <v>0</v>
      </c>
      <c r="L2217" s="90">
        <f>G2217*H2217</f>
        <v>0</v>
      </c>
      <c r="M2217" s="90">
        <f>L2217*(1+BW2217/100)</f>
        <v>0</v>
      </c>
      <c r="N2217" s="90">
        <v>4.4920000000000002E-2</v>
      </c>
      <c r="O2217" s="90">
        <f>G2217*N2217</f>
        <v>0.16669812000000001</v>
      </c>
      <c r="P2217" s="92" t="s">
        <v>578</v>
      </c>
      <c r="Z2217" s="93">
        <f>IF(AQ2217="5",BJ2217,0)</f>
        <v>0</v>
      </c>
      <c r="AB2217" s="93">
        <f>IF(AQ2217="1",BH2217,0)</f>
        <v>0</v>
      </c>
      <c r="AC2217" s="93">
        <f>IF(AQ2217="1",BI2217,0)</f>
        <v>0</v>
      </c>
      <c r="AD2217" s="93">
        <f>IF(AQ2217="7",BH2217,0)</f>
        <v>0</v>
      </c>
      <c r="AE2217" s="93">
        <f>IF(AQ2217="7",BI2217,0)</f>
        <v>0</v>
      </c>
      <c r="AF2217" s="93">
        <f>IF(AQ2217="2",BH2217,0)</f>
        <v>0</v>
      </c>
      <c r="AG2217" s="93">
        <f>IF(AQ2217="2",BI2217,0)</f>
        <v>0</v>
      </c>
      <c r="AH2217" s="93">
        <f>IF(AQ2217="0",BJ2217,0)</f>
        <v>0</v>
      </c>
      <c r="AI2217" s="88" t="s">
        <v>55</v>
      </c>
      <c r="AJ2217" s="93">
        <f>IF(AN2217=0,L2217,0)</f>
        <v>0</v>
      </c>
      <c r="AK2217" s="93">
        <f>IF(AN2217=12,L2217,0)</f>
        <v>0</v>
      </c>
      <c r="AL2217" s="93">
        <f>IF(AN2217=21,L2217,0)</f>
        <v>0</v>
      </c>
      <c r="AN2217" s="93">
        <v>21</v>
      </c>
      <c r="AO2217" s="93">
        <f>H2217*0.8616853</f>
        <v>0</v>
      </c>
      <c r="AP2217" s="93">
        <f>H2217*(1-0.8616853)</f>
        <v>0</v>
      </c>
      <c r="AQ2217" s="94" t="s">
        <v>148</v>
      </c>
      <c r="AV2217" s="93">
        <f>AW2217+AX2217</f>
        <v>0</v>
      </c>
      <c r="AW2217" s="93">
        <f>G2217*AO2217</f>
        <v>0</v>
      </c>
      <c r="AX2217" s="93">
        <f>G2217*AP2217</f>
        <v>0</v>
      </c>
      <c r="AY2217" s="94" t="s">
        <v>2910</v>
      </c>
      <c r="AZ2217" s="94" t="s">
        <v>2817</v>
      </c>
      <c r="BA2217" s="88" t="s">
        <v>67</v>
      </c>
      <c r="BC2217" s="93">
        <f>AW2217+AX2217</f>
        <v>0</v>
      </c>
      <c r="BD2217" s="93">
        <f>H2217/(100-BE2217)*100</f>
        <v>0</v>
      </c>
      <c r="BE2217" s="93">
        <v>0</v>
      </c>
      <c r="BF2217" s="93">
        <f>O2217</f>
        <v>0.16669812000000001</v>
      </c>
      <c r="BH2217" s="93">
        <f>G2217*AO2217</f>
        <v>0</v>
      </c>
      <c r="BI2217" s="93">
        <f>G2217*AP2217</f>
        <v>0</v>
      </c>
      <c r="BJ2217" s="93">
        <f>G2217*H2217</f>
        <v>0</v>
      </c>
      <c r="BK2217" s="93"/>
      <c r="BL2217" s="93">
        <v>787</v>
      </c>
      <c r="BW2217" s="93" t="str">
        <f>I2217</f>
        <v>21</v>
      </c>
      <c r="BX2217" s="2" t="s">
        <v>2909</v>
      </c>
    </row>
    <row r="2218" spans="1:76" s="81" customFormat="1" ht="13.5" customHeight="1" x14ac:dyDescent="0.25">
      <c r="A2218" s="95"/>
      <c r="B2218" s="95"/>
      <c r="C2218" s="95"/>
      <c r="D2218" s="182" t="s">
        <v>2911</v>
      </c>
      <c r="E2218" s="182"/>
      <c r="F2218" s="182"/>
      <c r="G2218" s="182"/>
      <c r="H2218" s="182"/>
      <c r="I2218" s="182"/>
      <c r="J2218" s="182"/>
      <c r="K2218" s="182"/>
      <c r="L2218" s="182"/>
      <c r="M2218" s="182"/>
      <c r="N2218" s="182"/>
      <c r="O2218" s="182"/>
      <c r="P2218" s="182"/>
    </row>
    <row r="2219" spans="1:76" s="81" customFormat="1" x14ac:dyDescent="0.25">
      <c r="A2219" s="95"/>
      <c r="B2219" s="95"/>
      <c r="C2219" s="95"/>
      <c r="D2219" s="76" t="s">
        <v>2912</v>
      </c>
      <c r="E2219" s="76" t="s">
        <v>2913</v>
      </c>
      <c r="F2219" s="95"/>
      <c r="G2219" s="96">
        <v>3.7109999999999999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76" s="81" customFormat="1" ht="25.5" x14ac:dyDescent="0.25">
      <c r="A2220" s="72" t="s">
        <v>2914</v>
      </c>
      <c r="B2220" s="72" t="s">
        <v>55</v>
      </c>
      <c r="C2220" s="72" t="s">
        <v>2915</v>
      </c>
      <c r="D2220" s="175" t="s">
        <v>2916</v>
      </c>
      <c r="E2220" s="175"/>
      <c r="F2220" s="72" t="s">
        <v>1449</v>
      </c>
      <c r="G2220" s="91"/>
      <c r="H2220" s="91"/>
      <c r="I2220" s="92" t="s">
        <v>63</v>
      </c>
      <c r="J2220" s="90">
        <f>G2220*AO2220</f>
        <v>0</v>
      </c>
      <c r="K2220" s="90">
        <f>G2220*AP2220</f>
        <v>0</v>
      </c>
      <c r="L2220" s="90">
        <f>G2220*H2220</f>
        <v>0</v>
      </c>
      <c r="M2220" s="90">
        <f>L2220*(1+BW2220/100)</f>
        <v>0</v>
      </c>
      <c r="N2220" s="90">
        <v>0</v>
      </c>
      <c r="O2220" s="90">
        <f>G2220*N2220</f>
        <v>0</v>
      </c>
      <c r="P2220" s="92" t="s">
        <v>64</v>
      </c>
      <c r="Z2220" s="93">
        <f>IF(AQ2220="5",BJ2220,0)</f>
        <v>0</v>
      </c>
      <c r="AB2220" s="93">
        <f>IF(AQ2220="1",BH2220,0)</f>
        <v>0</v>
      </c>
      <c r="AC2220" s="93">
        <f>IF(AQ2220="1",BI2220,0)</f>
        <v>0</v>
      </c>
      <c r="AD2220" s="93">
        <f>IF(AQ2220="7",BH2220,0)</f>
        <v>0</v>
      </c>
      <c r="AE2220" s="93">
        <f>IF(AQ2220="7",BI2220,0)</f>
        <v>0</v>
      </c>
      <c r="AF2220" s="93">
        <f>IF(AQ2220="2",BH2220,0)</f>
        <v>0</v>
      </c>
      <c r="AG2220" s="93">
        <f>IF(AQ2220="2",BI2220,0)</f>
        <v>0</v>
      </c>
      <c r="AH2220" s="93">
        <f>IF(AQ2220="0",BJ2220,0)</f>
        <v>0</v>
      </c>
      <c r="AI2220" s="88" t="s">
        <v>55</v>
      </c>
      <c r="AJ2220" s="93">
        <f>IF(AN2220=0,L2220,0)</f>
        <v>0</v>
      </c>
      <c r="AK2220" s="93">
        <f>IF(AN2220=12,L2220,0)</f>
        <v>0</v>
      </c>
      <c r="AL2220" s="93">
        <f>IF(AN2220=21,L2220,0)</f>
        <v>0</v>
      </c>
      <c r="AN2220" s="93">
        <v>21</v>
      </c>
      <c r="AO2220" s="93">
        <f>H2220*0</f>
        <v>0</v>
      </c>
      <c r="AP2220" s="93">
        <f>H2220*(1-0)</f>
        <v>0</v>
      </c>
      <c r="AQ2220" s="94" t="s">
        <v>136</v>
      </c>
      <c r="AV2220" s="93">
        <f>AW2220+AX2220</f>
        <v>0</v>
      </c>
      <c r="AW2220" s="93">
        <f>G2220*AO2220</f>
        <v>0</v>
      </c>
      <c r="AX2220" s="93">
        <f>G2220*AP2220</f>
        <v>0</v>
      </c>
      <c r="AY2220" s="94" t="s">
        <v>2910</v>
      </c>
      <c r="AZ2220" s="94" t="s">
        <v>2817</v>
      </c>
      <c r="BA2220" s="88" t="s">
        <v>67</v>
      </c>
      <c r="BC2220" s="93">
        <f>AW2220+AX2220</f>
        <v>0</v>
      </c>
      <c r="BD2220" s="93">
        <f>H2220/(100-BE2220)*100</f>
        <v>0</v>
      </c>
      <c r="BE2220" s="93">
        <v>0</v>
      </c>
      <c r="BF2220" s="93">
        <f>O2220</f>
        <v>0</v>
      </c>
      <c r="BH2220" s="93">
        <f>G2220*AO2220</f>
        <v>0</v>
      </c>
      <c r="BI2220" s="93">
        <f>G2220*AP2220</f>
        <v>0</v>
      </c>
      <c r="BJ2220" s="93">
        <f>G2220*H2220</f>
        <v>0</v>
      </c>
      <c r="BK2220" s="93"/>
      <c r="BL2220" s="93">
        <v>787</v>
      </c>
      <c r="BW2220" s="93" t="str">
        <f>I2220</f>
        <v>21</v>
      </c>
      <c r="BX2220" s="2" t="s">
        <v>2916</v>
      </c>
    </row>
    <row r="2221" spans="1:76" s="81" customFormat="1" x14ac:dyDescent="0.25">
      <c r="A2221" s="85" t="s">
        <v>54</v>
      </c>
      <c r="B2221" s="74" t="s">
        <v>55</v>
      </c>
      <c r="C2221" s="74" t="s">
        <v>2917</v>
      </c>
      <c r="D2221" s="176" t="s">
        <v>2918</v>
      </c>
      <c r="E2221" s="176"/>
      <c r="F2221" s="85" t="s">
        <v>4</v>
      </c>
      <c r="G2221" s="85" t="s">
        <v>4</v>
      </c>
      <c r="H2221" s="85" t="s">
        <v>4</v>
      </c>
      <c r="I2221" s="85" t="s">
        <v>4</v>
      </c>
      <c r="J2221" s="86">
        <f>SUM(J2222:J2224)</f>
        <v>0</v>
      </c>
      <c r="K2221" s="86">
        <f>SUM(K2222:K2224)</f>
        <v>0</v>
      </c>
      <c r="L2221" s="86">
        <f>SUM(L2222:L2224)</f>
        <v>0</v>
      </c>
      <c r="M2221" s="86">
        <f>SUM(M2222:M2224)</f>
        <v>0</v>
      </c>
      <c r="N2221" s="87" t="s">
        <v>54</v>
      </c>
      <c r="O2221" s="86">
        <f>SUM(O2222:O2224)</f>
        <v>0.128</v>
      </c>
      <c r="P2221" s="87" t="s">
        <v>54</v>
      </c>
      <c r="AI2221" s="88" t="s">
        <v>55</v>
      </c>
      <c r="AS2221" s="89">
        <f>SUM(AJ2222:AJ2224)</f>
        <v>0</v>
      </c>
      <c r="AT2221" s="89">
        <f>SUM(AK2222:AK2224)</f>
        <v>0</v>
      </c>
      <c r="AU2221" s="89">
        <f>SUM(AL2222:AL2224)</f>
        <v>0</v>
      </c>
    </row>
    <row r="2222" spans="1:76" s="81" customFormat="1" ht="25.5" x14ac:dyDescent="0.25">
      <c r="A2222" s="72" t="s">
        <v>2919</v>
      </c>
      <c r="B2222" s="72" t="s">
        <v>55</v>
      </c>
      <c r="C2222" s="72" t="s">
        <v>2920</v>
      </c>
      <c r="D2222" s="175" t="s">
        <v>2921</v>
      </c>
      <c r="E2222" s="175"/>
      <c r="F2222" s="72" t="s">
        <v>203</v>
      </c>
      <c r="G2222" s="90">
        <v>1</v>
      </c>
      <c r="H2222" s="91"/>
      <c r="I2222" s="92" t="s">
        <v>63</v>
      </c>
      <c r="J2222" s="90">
        <f>G2222*AO2222</f>
        <v>0</v>
      </c>
      <c r="K2222" s="90">
        <f>G2222*AP2222</f>
        <v>0</v>
      </c>
      <c r="L2222" s="90">
        <f>G2222*H2222</f>
        <v>0</v>
      </c>
      <c r="M2222" s="90">
        <f>L2222*(1+BW2222/100)</f>
        <v>0</v>
      </c>
      <c r="N2222" s="90">
        <v>0</v>
      </c>
      <c r="O2222" s="90">
        <f>G2222*N2222</f>
        <v>0</v>
      </c>
      <c r="P2222" s="92" t="s">
        <v>64</v>
      </c>
      <c r="Z2222" s="93">
        <f>IF(AQ2222="5",BJ2222,0)</f>
        <v>0</v>
      </c>
      <c r="AB2222" s="93">
        <f>IF(AQ2222="1",BH2222,0)</f>
        <v>0</v>
      </c>
      <c r="AC2222" s="93">
        <f>IF(AQ2222="1",BI2222,0)</f>
        <v>0</v>
      </c>
      <c r="AD2222" s="93">
        <f>IF(AQ2222="7",BH2222,0)</f>
        <v>0</v>
      </c>
      <c r="AE2222" s="93">
        <f>IF(AQ2222="7",BI2222,0)</f>
        <v>0</v>
      </c>
      <c r="AF2222" s="93">
        <f>IF(AQ2222="2",BH2222,0)</f>
        <v>0</v>
      </c>
      <c r="AG2222" s="93">
        <f>IF(AQ2222="2",BI2222,0)</f>
        <v>0</v>
      </c>
      <c r="AH2222" s="93">
        <f>IF(AQ2222="0",BJ2222,0)</f>
        <v>0</v>
      </c>
      <c r="AI2222" s="88" t="s">
        <v>55</v>
      </c>
      <c r="AJ2222" s="93">
        <f>IF(AN2222=0,L2222,0)</f>
        <v>0</v>
      </c>
      <c r="AK2222" s="93">
        <f>IF(AN2222=12,L2222,0)</f>
        <v>0</v>
      </c>
      <c r="AL2222" s="93">
        <f>IF(AN2222=21,L2222,0)</f>
        <v>0</v>
      </c>
      <c r="AN2222" s="93">
        <v>21</v>
      </c>
      <c r="AO2222" s="93">
        <f>H2222*0</f>
        <v>0</v>
      </c>
      <c r="AP2222" s="93">
        <f>H2222*(1-0)</f>
        <v>0</v>
      </c>
      <c r="AQ2222" s="94" t="s">
        <v>148</v>
      </c>
      <c r="AV2222" s="93">
        <f>AW2222+AX2222</f>
        <v>0</v>
      </c>
      <c r="AW2222" s="93">
        <f>G2222*AO2222</f>
        <v>0</v>
      </c>
      <c r="AX2222" s="93">
        <f>G2222*AP2222</f>
        <v>0</v>
      </c>
      <c r="AY2222" s="94" t="s">
        <v>2922</v>
      </c>
      <c r="AZ2222" s="94" t="s">
        <v>2923</v>
      </c>
      <c r="BA2222" s="88" t="s">
        <v>67</v>
      </c>
      <c r="BC2222" s="93">
        <f>AW2222+AX2222</f>
        <v>0</v>
      </c>
      <c r="BD2222" s="93">
        <f>H2222/(100-BE2222)*100</f>
        <v>0</v>
      </c>
      <c r="BE2222" s="93">
        <v>0</v>
      </c>
      <c r="BF2222" s="93">
        <f>O2222</f>
        <v>0</v>
      </c>
      <c r="BH2222" s="93">
        <f>G2222*AO2222</f>
        <v>0</v>
      </c>
      <c r="BI2222" s="93">
        <f>G2222*AP2222</f>
        <v>0</v>
      </c>
      <c r="BJ2222" s="93">
        <f>G2222*H2222</f>
        <v>0</v>
      </c>
      <c r="BK2222" s="93"/>
      <c r="BL2222" s="93">
        <v>795</v>
      </c>
      <c r="BW2222" s="93" t="str">
        <f>I2222</f>
        <v>21</v>
      </c>
      <c r="BX2222" s="2" t="s">
        <v>2921</v>
      </c>
    </row>
    <row r="2223" spans="1:76" s="81" customFormat="1" ht="25.5" x14ac:dyDescent="0.25">
      <c r="A2223" s="72" t="s">
        <v>2924</v>
      </c>
      <c r="B2223" s="72" t="s">
        <v>55</v>
      </c>
      <c r="C2223" s="72" t="s">
        <v>2925</v>
      </c>
      <c r="D2223" s="175" t="s">
        <v>2926</v>
      </c>
      <c r="E2223" s="175"/>
      <c r="F2223" s="72" t="s">
        <v>203</v>
      </c>
      <c r="G2223" s="90">
        <v>1</v>
      </c>
      <c r="H2223" s="91"/>
      <c r="I2223" s="92" t="s">
        <v>63</v>
      </c>
      <c r="J2223" s="90">
        <f>G2223*AO2223</f>
        <v>0</v>
      </c>
      <c r="K2223" s="90">
        <f>G2223*AP2223</f>
        <v>0</v>
      </c>
      <c r="L2223" s="90">
        <f>G2223*H2223</f>
        <v>0</v>
      </c>
      <c r="M2223" s="90">
        <f>L2223*(1+BW2223/100)</f>
        <v>0</v>
      </c>
      <c r="N2223" s="90">
        <v>0.128</v>
      </c>
      <c r="O2223" s="90">
        <f>G2223*N2223</f>
        <v>0.128</v>
      </c>
      <c r="P2223" s="92" t="s">
        <v>578</v>
      </c>
      <c r="Z2223" s="93">
        <f>IF(AQ2223="5",BJ2223,0)</f>
        <v>0</v>
      </c>
      <c r="AB2223" s="93">
        <f>IF(AQ2223="1",BH2223,0)</f>
        <v>0</v>
      </c>
      <c r="AC2223" s="93">
        <f>IF(AQ2223="1",BI2223,0)</f>
        <v>0</v>
      </c>
      <c r="AD2223" s="93">
        <f>IF(AQ2223="7",BH2223,0)</f>
        <v>0</v>
      </c>
      <c r="AE2223" s="93">
        <f>IF(AQ2223="7",BI2223,0)</f>
        <v>0</v>
      </c>
      <c r="AF2223" s="93">
        <f>IF(AQ2223="2",BH2223,0)</f>
        <v>0</v>
      </c>
      <c r="AG2223" s="93">
        <f>IF(AQ2223="2",BI2223,0)</f>
        <v>0</v>
      </c>
      <c r="AH2223" s="93">
        <f>IF(AQ2223="0",BJ2223,0)</f>
        <v>0</v>
      </c>
      <c r="AI2223" s="88" t="s">
        <v>55</v>
      </c>
      <c r="AJ2223" s="93">
        <f>IF(AN2223=0,L2223,0)</f>
        <v>0</v>
      </c>
      <c r="AK2223" s="93">
        <f>IF(AN2223=12,L2223,0)</f>
        <v>0</v>
      </c>
      <c r="AL2223" s="93">
        <f>IF(AN2223=21,L2223,0)</f>
        <v>0</v>
      </c>
      <c r="AN2223" s="93">
        <v>21</v>
      </c>
      <c r="AO2223" s="93">
        <f>H2223*1</f>
        <v>0</v>
      </c>
      <c r="AP2223" s="93">
        <f>H2223*(1-1)</f>
        <v>0</v>
      </c>
      <c r="AQ2223" s="94" t="s">
        <v>148</v>
      </c>
      <c r="AV2223" s="93">
        <f>AW2223+AX2223</f>
        <v>0</v>
      </c>
      <c r="AW2223" s="93">
        <f>G2223*AO2223</f>
        <v>0</v>
      </c>
      <c r="AX2223" s="93">
        <f>G2223*AP2223</f>
        <v>0</v>
      </c>
      <c r="AY2223" s="94" t="s">
        <v>2922</v>
      </c>
      <c r="AZ2223" s="94" t="s">
        <v>2923</v>
      </c>
      <c r="BA2223" s="88" t="s">
        <v>67</v>
      </c>
      <c r="BC2223" s="93">
        <f>AW2223+AX2223</f>
        <v>0</v>
      </c>
      <c r="BD2223" s="93">
        <f>H2223/(100-BE2223)*100</f>
        <v>0</v>
      </c>
      <c r="BE2223" s="93">
        <v>0</v>
      </c>
      <c r="BF2223" s="93">
        <f>O2223</f>
        <v>0.128</v>
      </c>
      <c r="BH2223" s="93">
        <f>G2223*AO2223</f>
        <v>0</v>
      </c>
      <c r="BI2223" s="93">
        <f>G2223*AP2223</f>
        <v>0</v>
      </c>
      <c r="BJ2223" s="93">
        <f>G2223*H2223</f>
        <v>0</v>
      </c>
      <c r="BK2223" s="93"/>
      <c r="BL2223" s="93">
        <v>795</v>
      </c>
      <c r="BW2223" s="93" t="str">
        <f>I2223</f>
        <v>21</v>
      </c>
      <c r="BX2223" s="2" t="s">
        <v>2926</v>
      </c>
    </row>
    <row r="2224" spans="1:76" s="81" customFormat="1" ht="25.5" x14ac:dyDescent="0.25">
      <c r="A2224" s="72" t="s">
        <v>2927</v>
      </c>
      <c r="B2224" s="72" t="s">
        <v>55</v>
      </c>
      <c r="C2224" s="72" t="s">
        <v>2928</v>
      </c>
      <c r="D2224" s="175" t="s">
        <v>2929</v>
      </c>
      <c r="E2224" s="175"/>
      <c r="F2224" s="72" t="s">
        <v>1449</v>
      </c>
      <c r="G2224" s="91"/>
      <c r="H2224" s="91"/>
      <c r="I2224" s="92" t="s">
        <v>63</v>
      </c>
      <c r="J2224" s="90">
        <f>G2224*AO2224</f>
        <v>0</v>
      </c>
      <c r="K2224" s="90">
        <f>G2224*AP2224</f>
        <v>0</v>
      </c>
      <c r="L2224" s="90">
        <f>G2224*H2224</f>
        <v>0</v>
      </c>
      <c r="M2224" s="90">
        <f>L2224*(1+BW2224/100)</f>
        <v>0</v>
      </c>
      <c r="N2224" s="90">
        <v>0</v>
      </c>
      <c r="O2224" s="90">
        <f>G2224*N2224</f>
        <v>0</v>
      </c>
      <c r="P2224" s="92" t="s">
        <v>64</v>
      </c>
      <c r="Z2224" s="93">
        <f>IF(AQ2224="5",BJ2224,0)</f>
        <v>0</v>
      </c>
      <c r="AB2224" s="93">
        <f>IF(AQ2224="1",BH2224,0)</f>
        <v>0</v>
      </c>
      <c r="AC2224" s="93">
        <f>IF(AQ2224="1",BI2224,0)</f>
        <v>0</v>
      </c>
      <c r="AD2224" s="93">
        <f>IF(AQ2224="7",BH2224,0)</f>
        <v>0</v>
      </c>
      <c r="AE2224" s="93">
        <f>IF(AQ2224="7",BI2224,0)</f>
        <v>0</v>
      </c>
      <c r="AF2224" s="93">
        <f>IF(AQ2224="2",BH2224,0)</f>
        <v>0</v>
      </c>
      <c r="AG2224" s="93">
        <f>IF(AQ2224="2",BI2224,0)</f>
        <v>0</v>
      </c>
      <c r="AH2224" s="93">
        <f>IF(AQ2224="0",BJ2224,0)</f>
        <v>0</v>
      </c>
      <c r="AI2224" s="88" t="s">
        <v>55</v>
      </c>
      <c r="AJ2224" s="93">
        <f>IF(AN2224=0,L2224,0)</f>
        <v>0</v>
      </c>
      <c r="AK2224" s="93">
        <f>IF(AN2224=12,L2224,0)</f>
        <v>0</v>
      </c>
      <c r="AL2224" s="93">
        <f>IF(AN2224=21,L2224,0)</f>
        <v>0</v>
      </c>
      <c r="AN2224" s="93">
        <v>21</v>
      </c>
      <c r="AO2224" s="93">
        <f>H2224*0</f>
        <v>0</v>
      </c>
      <c r="AP2224" s="93">
        <f>H2224*(1-0)</f>
        <v>0</v>
      </c>
      <c r="AQ2224" s="94" t="s">
        <v>136</v>
      </c>
      <c r="AV2224" s="93">
        <f>AW2224+AX2224</f>
        <v>0</v>
      </c>
      <c r="AW2224" s="93">
        <f>G2224*AO2224</f>
        <v>0</v>
      </c>
      <c r="AX2224" s="93">
        <f>G2224*AP2224</f>
        <v>0</v>
      </c>
      <c r="AY2224" s="94" t="s">
        <v>2922</v>
      </c>
      <c r="AZ2224" s="94" t="s">
        <v>2923</v>
      </c>
      <c r="BA2224" s="88" t="s">
        <v>67</v>
      </c>
      <c r="BC2224" s="93">
        <f>AW2224+AX2224</f>
        <v>0</v>
      </c>
      <c r="BD2224" s="93">
        <f>H2224/(100-BE2224)*100</f>
        <v>0</v>
      </c>
      <c r="BE2224" s="93">
        <v>0</v>
      </c>
      <c r="BF2224" s="93">
        <f>O2224</f>
        <v>0</v>
      </c>
      <c r="BH2224" s="93">
        <f>G2224*AO2224</f>
        <v>0</v>
      </c>
      <c r="BI2224" s="93">
        <f>G2224*AP2224</f>
        <v>0</v>
      </c>
      <c r="BJ2224" s="93">
        <f>G2224*H2224</f>
        <v>0</v>
      </c>
      <c r="BK2224" s="93"/>
      <c r="BL2224" s="93">
        <v>795</v>
      </c>
      <c r="BW2224" s="93" t="str">
        <f>I2224</f>
        <v>21</v>
      </c>
      <c r="BX2224" s="2" t="s">
        <v>2929</v>
      </c>
    </row>
    <row r="2225" spans="1:76" s="81" customFormat="1" x14ac:dyDescent="0.25">
      <c r="A2225" s="85" t="s">
        <v>54</v>
      </c>
      <c r="B2225" s="74" t="s">
        <v>55</v>
      </c>
      <c r="C2225" s="74" t="s">
        <v>2930</v>
      </c>
      <c r="D2225" s="176" t="s">
        <v>2931</v>
      </c>
      <c r="E2225" s="176"/>
      <c r="F2225" s="85" t="s">
        <v>4</v>
      </c>
      <c r="G2225" s="85" t="s">
        <v>4</v>
      </c>
      <c r="H2225" s="85" t="s">
        <v>4</v>
      </c>
      <c r="I2225" s="85" t="s">
        <v>4</v>
      </c>
      <c r="J2225" s="86">
        <f>SUM(J2226:J2344)</f>
        <v>0</v>
      </c>
      <c r="K2225" s="86">
        <f>SUM(K2226:K2344)</f>
        <v>0</v>
      </c>
      <c r="L2225" s="86">
        <f>SUM(L2226:L2344)</f>
        <v>0</v>
      </c>
      <c r="M2225" s="86">
        <f>SUM(M2226:M2344)</f>
        <v>0</v>
      </c>
      <c r="N2225" s="87" t="s">
        <v>54</v>
      </c>
      <c r="O2225" s="86">
        <f>SUM(O2226:O2344)</f>
        <v>482.91546720000019</v>
      </c>
      <c r="P2225" s="87" t="s">
        <v>54</v>
      </c>
      <c r="AI2225" s="88" t="s">
        <v>55</v>
      </c>
      <c r="AS2225" s="89">
        <f>SUM(AJ2226:AJ2344)</f>
        <v>0</v>
      </c>
      <c r="AT2225" s="89">
        <f>SUM(AK2226:AK2344)</f>
        <v>0</v>
      </c>
      <c r="AU2225" s="89">
        <f>SUM(AL2226:AL2344)</f>
        <v>0</v>
      </c>
    </row>
    <row r="2226" spans="1:76" s="81" customFormat="1" ht="25.5" x14ac:dyDescent="0.25">
      <c r="A2226" s="72" t="s">
        <v>2932</v>
      </c>
      <c r="B2226" s="72" t="s">
        <v>55</v>
      </c>
      <c r="C2226" s="72" t="s">
        <v>2933</v>
      </c>
      <c r="D2226" s="175" t="s">
        <v>2934</v>
      </c>
      <c r="E2226" s="175"/>
      <c r="F2226" s="72" t="s">
        <v>62</v>
      </c>
      <c r="G2226" s="90">
        <v>478.8</v>
      </c>
      <c r="H2226" s="91"/>
      <c r="I2226" s="92" t="s">
        <v>63</v>
      </c>
      <c r="J2226" s="90">
        <f>G2226*AO2226</f>
        <v>0</v>
      </c>
      <c r="K2226" s="90">
        <f>G2226*AP2226</f>
        <v>0</v>
      </c>
      <c r="L2226" s="90">
        <f>G2226*H2226</f>
        <v>0</v>
      </c>
      <c r="M2226" s="90">
        <f>L2226*(1+BW2226/100)</f>
        <v>0</v>
      </c>
      <c r="N2226" s="90">
        <v>0</v>
      </c>
      <c r="O2226" s="90">
        <f>G2226*N2226</f>
        <v>0</v>
      </c>
      <c r="P2226" s="92" t="s">
        <v>64</v>
      </c>
      <c r="Z2226" s="93">
        <f>IF(AQ2226="5",BJ2226,0)</f>
        <v>0</v>
      </c>
      <c r="AB2226" s="93">
        <f>IF(AQ2226="1",BH2226,0)</f>
        <v>0</v>
      </c>
      <c r="AC2226" s="93">
        <f>IF(AQ2226="1",BI2226,0)</f>
        <v>0</v>
      </c>
      <c r="AD2226" s="93">
        <f>IF(AQ2226="7",BH2226,0)</f>
        <v>0</v>
      </c>
      <c r="AE2226" s="93">
        <f>IF(AQ2226="7",BI2226,0)</f>
        <v>0</v>
      </c>
      <c r="AF2226" s="93">
        <f>IF(AQ2226="2",BH2226,0)</f>
        <v>0</v>
      </c>
      <c r="AG2226" s="93">
        <f>IF(AQ2226="2",BI2226,0)</f>
        <v>0</v>
      </c>
      <c r="AH2226" s="93">
        <f>IF(AQ2226="0",BJ2226,0)</f>
        <v>0</v>
      </c>
      <c r="AI2226" s="88" t="s">
        <v>55</v>
      </c>
      <c r="AJ2226" s="93">
        <f>IF(AN2226=0,L2226,0)</f>
        <v>0</v>
      </c>
      <c r="AK2226" s="93">
        <f>IF(AN2226=12,L2226,0)</f>
        <v>0</v>
      </c>
      <c r="AL2226" s="93">
        <f>IF(AN2226=21,L2226,0)</f>
        <v>0</v>
      </c>
      <c r="AN2226" s="93">
        <v>21</v>
      </c>
      <c r="AO2226" s="93">
        <f>H2226*0</f>
        <v>0</v>
      </c>
      <c r="AP2226" s="93">
        <f>H2226*(1-0)</f>
        <v>0</v>
      </c>
      <c r="AQ2226" s="94" t="s">
        <v>148</v>
      </c>
      <c r="AV2226" s="93">
        <f>AW2226+AX2226</f>
        <v>0</v>
      </c>
      <c r="AW2226" s="93">
        <f>G2226*AO2226</f>
        <v>0</v>
      </c>
      <c r="AX2226" s="93">
        <f>G2226*AP2226</f>
        <v>0</v>
      </c>
      <c r="AY2226" s="94" t="s">
        <v>2935</v>
      </c>
      <c r="AZ2226" s="94" t="s">
        <v>2936</v>
      </c>
      <c r="BA2226" s="88" t="s">
        <v>67</v>
      </c>
      <c r="BC2226" s="93">
        <f>AW2226+AX2226</f>
        <v>0</v>
      </c>
      <c r="BD2226" s="93">
        <f>H2226/(100-BE2226)*100</f>
        <v>0</v>
      </c>
      <c r="BE2226" s="93">
        <v>0</v>
      </c>
      <c r="BF2226" s="93">
        <f>O2226</f>
        <v>0</v>
      </c>
      <c r="BH2226" s="93">
        <f>G2226*AO2226</f>
        <v>0</v>
      </c>
      <c r="BI2226" s="93">
        <f>G2226*AP2226</f>
        <v>0</v>
      </c>
      <c r="BJ2226" s="93">
        <f>G2226*H2226</f>
        <v>0</v>
      </c>
      <c r="BK2226" s="93"/>
      <c r="BL2226" s="93"/>
      <c r="BW2226" s="93" t="str">
        <f>I2226</f>
        <v>21</v>
      </c>
      <c r="BX2226" s="2" t="s">
        <v>2934</v>
      </c>
    </row>
    <row r="2227" spans="1:76" s="81" customFormat="1" x14ac:dyDescent="0.25">
      <c r="A2227" s="95"/>
      <c r="B2227" s="95"/>
      <c r="C2227" s="95"/>
      <c r="D2227" s="76" t="s">
        <v>2937</v>
      </c>
      <c r="E2227" s="76" t="s">
        <v>2624</v>
      </c>
      <c r="F2227" s="95"/>
      <c r="G2227" s="96">
        <v>478.8</v>
      </c>
      <c r="H2227" s="95"/>
      <c r="I2227" s="95"/>
      <c r="J2227" s="95"/>
      <c r="K2227" s="95"/>
      <c r="L2227" s="95"/>
      <c r="M2227" s="95"/>
      <c r="N2227" s="95"/>
      <c r="O2227" s="95"/>
      <c r="P2227" s="95"/>
    </row>
    <row r="2228" spans="1:76" s="81" customFormat="1" ht="25.5" x14ac:dyDescent="0.25">
      <c r="A2228" s="72" t="s">
        <v>2938</v>
      </c>
      <c r="B2228" s="72" t="s">
        <v>55</v>
      </c>
      <c r="C2228" s="72" t="s">
        <v>2939</v>
      </c>
      <c r="D2228" s="175" t="s">
        <v>2940</v>
      </c>
      <c r="E2228" s="175"/>
      <c r="F2228" s="72" t="s">
        <v>62</v>
      </c>
      <c r="G2228" s="90">
        <v>337.46100000000001</v>
      </c>
      <c r="H2228" s="91"/>
      <c r="I2228" s="92" t="s">
        <v>63</v>
      </c>
      <c r="J2228" s="90">
        <f>G2228*AO2228</f>
        <v>0</v>
      </c>
      <c r="K2228" s="90">
        <f>G2228*AP2228</f>
        <v>0</v>
      </c>
      <c r="L2228" s="90">
        <f>G2228*H2228</f>
        <v>0</v>
      </c>
      <c r="M2228" s="90">
        <f>L2228*(1+BW2228/100)</f>
        <v>0</v>
      </c>
      <c r="N2228" s="90">
        <v>0</v>
      </c>
      <c r="O2228" s="90">
        <f>G2228*N2228</f>
        <v>0</v>
      </c>
      <c r="P2228" s="92" t="s">
        <v>64</v>
      </c>
      <c r="Z2228" s="93">
        <f>IF(AQ2228="5",BJ2228,0)</f>
        <v>0</v>
      </c>
      <c r="AB2228" s="93">
        <f>IF(AQ2228="1",BH2228,0)</f>
        <v>0</v>
      </c>
      <c r="AC2228" s="93">
        <f>IF(AQ2228="1",BI2228,0)</f>
        <v>0</v>
      </c>
      <c r="AD2228" s="93">
        <f>IF(AQ2228="7",BH2228,0)</f>
        <v>0</v>
      </c>
      <c r="AE2228" s="93">
        <f>IF(AQ2228="7",BI2228,0)</f>
        <v>0</v>
      </c>
      <c r="AF2228" s="93">
        <f>IF(AQ2228="2",BH2228,0)</f>
        <v>0</v>
      </c>
      <c r="AG2228" s="93">
        <f>IF(AQ2228="2",BI2228,0)</f>
        <v>0</v>
      </c>
      <c r="AH2228" s="93">
        <f>IF(AQ2228="0",BJ2228,0)</f>
        <v>0</v>
      </c>
      <c r="AI2228" s="88" t="s">
        <v>55</v>
      </c>
      <c r="AJ2228" s="93">
        <f>IF(AN2228=0,L2228,0)</f>
        <v>0</v>
      </c>
      <c r="AK2228" s="93">
        <f>IF(AN2228=12,L2228,0)</f>
        <v>0</v>
      </c>
      <c r="AL2228" s="93">
        <f>IF(AN2228=21,L2228,0)</f>
        <v>0</v>
      </c>
      <c r="AN2228" s="93">
        <v>21</v>
      </c>
      <c r="AO2228" s="93">
        <f>H2228*0</f>
        <v>0</v>
      </c>
      <c r="AP2228" s="93">
        <f>H2228*(1-0)</f>
        <v>0</v>
      </c>
      <c r="AQ2228" s="94" t="s">
        <v>148</v>
      </c>
      <c r="AV2228" s="93">
        <f>AW2228+AX2228</f>
        <v>0</v>
      </c>
      <c r="AW2228" s="93">
        <f>G2228*AO2228</f>
        <v>0</v>
      </c>
      <c r="AX2228" s="93">
        <f>G2228*AP2228</f>
        <v>0</v>
      </c>
      <c r="AY2228" s="94" t="s">
        <v>2935</v>
      </c>
      <c r="AZ2228" s="94" t="s">
        <v>2936</v>
      </c>
      <c r="BA2228" s="88" t="s">
        <v>67</v>
      </c>
      <c r="BC2228" s="93">
        <f>AW2228+AX2228</f>
        <v>0</v>
      </c>
      <c r="BD2228" s="93">
        <f>H2228/(100-BE2228)*100</f>
        <v>0</v>
      </c>
      <c r="BE2228" s="93">
        <v>0</v>
      </c>
      <c r="BF2228" s="93">
        <f>O2228</f>
        <v>0</v>
      </c>
      <c r="BH2228" s="93">
        <f>G2228*AO2228</f>
        <v>0</v>
      </c>
      <c r="BI2228" s="93">
        <f>G2228*AP2228</f>
        <v>0</v>
      </c>
      <c r="BJ2228" s="93">
        <f>G2228*H2228</f>
        <v>0</v>
      </c>
      <c r="BK2228" s="93"/>
      <c r="BL2228" s="93"/>
      <c r="BW2228" s="93" t="str">
        <f>I2228</f>
        <v>21</v>
      </c>
      <c r="BX2228" s="2" t="s">
        <v>2940</v>
      </c>
    </row>
    <row r="2229" spans="1:76" s="81" customFormat="1" x14ac:dyDescent="0.25">
      <c r="A2229" s="95"/>
      <c r="B2229" s="95"/>
      <c r="C2229" s="95"/>
      <c r="D2229" s="76" t="s">
        <v>54</v>
      </c>
      <c r="E2229" s="76" t="s">
        <v>2941</v>
      </c>
      <c r="F2229" s="95"/>
      <c r="G2229" s="96">
        <v>0</v>
      </c>
      <c r="H2229" s="95"/>
      <c r="I2229" s="95"/>
      <c r="J2229" s="95"/>
      <c r="K2229" s="95"/>
      <c r="L2229" s="95"/>
      <c r="M2229" s="95"/>
      <c r="N2229" s="95"/>
      <c r="O2229" s="95"/>
      <c r="P2229" s="95"/>
    </row>
    <row r="2230" spans="1:76" s="81" customFormat="1" x14ac:dyDescent="0.25">
      <c r="A2230" s="95"/>
      <c r="B2230" s="95"/>
      <c r="C2230" s="95"/>
      <c r="D2230" s="76" t="s">
        <v>2942</v>
      </c>
      <c r="E2230" s="76" t="s">
        <v>54</v>
      </c>
      <c r="F2230" s="95"/>
      <c r="G2230" s="96">
        <v>186.62100000000001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x14ac:dyDescent="0.25">
      <c r="A2231" s="95"/>
      <c r="B2231" s="95"/>
      <c r="C2231" s="95"/>
      <c r="D2231" s="76" t="s">
        <v>54</v>
      </c>
      <c r="E2231" s="76" t="s">
        <v>2943</v>
      </c>
      <c r="F2231" s="95"/>
      <c r="G2231" s="96">
        <v>0</v>
      </c>
      <c r="H2231" s="95"/>
      <c r="I2231" s="95"/>
      <c r="J2231" s="95"/>
      <c r="K2231" s="95"/>
      <c r="L2231" s="95"/>
      <c r="M2231" s="95"/>
      <c r="N2231" s="95"/>
      <c r="O2231" s="95"/>
      <c r="P2231" s="95"/>
    </row>
    <row r="2232" spans="1:76" s="81" customFormat="1" x14ac:dyDescent="0.25">
      <c r="A2232" s="95"/>
      <c r="B2232" s="95"/>
      <c r="C2232" s="95"/>
      <c r="D2232" s="76" t="s">
        <v>2944</v>
      </c>
      <c r="E2232" s="76" t="s">
        <v>54</v>
      </c>
      <c r="F2232" s="95"/>
      <c r="G2232" s="96">
        <v>150.84</v>
      </c>
      <c r="H2232" s="95"/>
      <c r="I2232" s="95"/>
      <c r="J2232" s="95"/>
      <c r="K2232" s="95"/>
      <c r="L2232" s="95"/>
      <c r="M2232" s="95"/>
      <c r="N2232" s="95"/>
      <c r="O2232" s="95"/>
      <c r="P2232" s="95"/>
    </row>
    <row r="2233" spans="1:76" s="81" customFormat="1" ht="25.5" x14ac:dyDescent="0.25">
      <c r="A2233" s="72" t="s">
        <v>2631</v>
      </c>
      <c r="B2233" s="72" t="s">
        <v>55</v>
      </c>
      <c r="C2233" s="72" t="s">
        <v>131</v>
      </c>
      <c r="D2233" s="175" t="s">
        <v>132</v>
      </c>
      <c r="E2233" s="175"/>
      <c r="F2233" s="72" t="s">
        <v>62</v>
      </c>
      <c r="G2233" s="90">
        <v>168.73050000000001</v>
      </c>
      <c r="H2233" s="91"/>
      <c r="I2233" s="92" t="s">
        <v>63</v>
      </c>
      <c r="J2233" s="90">
        <f>G2233*AO2233</f>
        <v>0</v>
      </c>
      <c r="K2233" s="90">
        <f>G2233*AP2233</f>
        <v>0</v>
      </c>
      <c r="L2233" s="90">
        <f>G2233*H2233</f>
        <v>0</v>
      </c>
      <c r="M2233" s="90">
        <f>L2233*(1+BW2233/100)</f>
        <v>0</v>
      </c>
      <c r="N2233" s="90">
        <v>0</v>
      </c>
      <c r="O2233" s="90">
        <f>G2233*N2233</f>
        <v>0</v>
      </c>
      <c r="P2233" s="92" t="s">
        <v>64</v>
      </c>
      <c r="Z2233" s="93">
        <f>IF(AQ2233="5",BJ2233,0)</f>
        <v>0</v>
      </c>
      <c r="AB2233" s="93">
        <f>IF(AQ2233="1",BH2233,0)</f>
        <v>0</v>
      </c>
      <c r="AC2233" s="93">
        <f>IF(AQ2233="1",BI2233,0)</f>
        <v>0</v>
      </c>
      <c r="AD2233" s="93">
        <f>IF(AQ2233="7",BH2233,0)</f>
        <v>0</v>
      </c>
      <c r="AE2233" s="93">
        <f>IF(AQ2233="7",BI2233,0)</f>
        <v>0</v>
      </c>
      <c r="AF2233" s="93">
        <f>IF(AQ2233="2",BH2233,0)</f>
        <v>0</v>
      </c>
      <c r="AG2233" s="93">
        <f>IF(AQ2233="2",BI2233,0)</f>
        <v>0</v>
      </c>
      <c r="AH2233" s="93">
        <f>IF(AQ2233="0",BJ2233,0)</f>
        <v>0</v>
      </c>
      <c r="AI2233" s="88" t="s">
        <v>55</v>
      </c>
      <c r="AJ2233" s="93">
        <f>IF(AN2233=0,L2233,0)</f>
        <v>0</v>
      </c>
      <c r="AK2233" s="93">
        <f>IF(AN2233=12,L2233,0)</f>
        <v>0</v>
      </c>
      <c r="AL2233" s="93">
        <f>IF(AN2233=21,L2233,0)</f>
        <v>0</v>
      </c>
      <c r="AN2233" s="93">
        <v>21</v>
      </c>
      <c r="AO2233" s="93">
        <f>H2233*0</f>
        <v>0</v>
      </c>
      <c r="AP2233" s="93">
        <f>H2233*(1-0)</f>
        <v>0</v>
      </c>
      <c r="AQ2233" s="94" t="s">
        <v>148</v>
      </c>
      <c r="AV2233" s="93">
        <f>AW2233+AX2233</f>
        <v>0</v>
      </c>
      <c r="AW2233" s="93">
        <f>G2233*AO2233</f>
        <v>0</v>
      </c>
      <c r="AX2233" s="93">
        <f>G2233*AP2233</f>
        <v>0</v>
      </c>
      <c r="AY2233" s="94" t="s">
        <v>2935</v>
      </c>
      <c r="AZ2233" s="94" t="s">
        <v>2936</v>
      </c>
      <c r="BA2233" s="88" t="s">
        <v>67</v>
      </c>
      <c r="BC2233" s="93">
        <f>AW2233+AX2233</f>
        <v>0</v>
      </c>
      <c r="BD2233" s="93">
        <f>H2233/(100-BE2233)*100</f>
        <v>0</v>
      </c>
      <c r="BE2233" s="93">
        <v>0</v>
      </c>
      <c r="BF2233" s="93">
        <f>O2233</f>
        <v>0</v>
      </c>
      <c r="BH2233" s="93">
        <f>G2233*AO2233</f>
        <v>0</v>
      </c>
      <c r="BI2233" s="93">
        <f>G2233*AP2233</f>
        <v>0</v>
      </c>
      <c r="BJ2233" s="93">
        <f>G2233*H2233</f>
        <v>0</v>
      </c>
      <c r="BK2233" s="93"/>
      <c r="BL2233" s="93"/>
      <c r="BW2233" s="93" t="str">
        <f>I2233</f>
        <v>21</v>
      </c>
      <c r="BX2233" s="2" t="s">
        <v>132</v>
      </c>
    </row>
    <row r="2234" spans="1:76" s="81" customFormat="1" x14ac:dyDescent="0.25">
      <c r="A2234" s="95"/>
      <c r="B2234" s="95"/>
      <c r="C2234" s="95"/>
      <c r="D2234" s="76" t="s">
        <v>2945</v>
      </c>
      <c r="E2234" s="76" t="s">
        <v>54</v>
      </c>
      <c r="F2234" s="95"/>
      <c r="G2234" s="96">
        <v>168.73050000000001</v>
      </c>
      <c r="H2234" s="95"/>
      <c r="I2234" s="95"/>
      <c r="J2234" s="95"/>
      <c r="K2234" s="95"/>
      <c r="L2234" s="95"/>
      <c r="M2234" s="95"/>
      <c r="N2234" s="95"/>
      <c r="O2234" s="95"/>
      <c r="P2234" s="95"/>
    </row>
    <row r="2235" spans="1:76" s="81" customFormat="1" ht="25.5" x14ac:dyDescent="0.25">
      <c r="A2235" s="72" t="s">
        <v>2946</v>
      </c>
      <c r="B2235" s="72" t="s">
        <v>55</v>
      </c>
      <c r="C2235" s="72" t="s">
        <v>60</v>
      </c>
      <c r="D2235" s="175" t="s">
        <v>61</v>
      </c>
      <c r="E2235" s="175"/>
      <c r="F2235" s="72" t="s">
        <v>62</v>
      </c>
      <c r="G2235" s="90">
        <v>942.29624999999999</v>
      </c>
      <c r="H2235" s="91"/>
      <c r="I2235" s="92" t="s">
        <v>63</v>
      </c>
      <c r="J2235" s="90">
        <f>G2235*AO2235</f>
        <v>0</v>
      </c>
      <c r="K2235" s="90">
        <f>G2235*AP2235</f>
        <v>0</v>
      </c>
      <c r="L2235" s="90">
        <f>G2235*H2235</f>
        <v>0</v>
      </c>
      <c r="M2235" s="90">
        <f>L2235*(1+BW2235/100)</f>
        <v>0</v>
      </c>
      <c r="N2235" s="90">
        <v>0</v>
      </c>
      <c r="O2235" s="90">
        <f>G2235*N2235</f>
        <v>0</v>
      </c>
      <c r="P2235" s="92" t="s">
        <v>64</v>
      </c>
      <c r="Z2235" s="93">
        <f>IF(AQ2235="5",BJ2235,0)</f>
        <v>0</v>
      </c>
      <c r="AB2235" s="93">
        <f>IF(AQ2235="1",BH2235,0)</f>
        <v>0</v>
      </c>
      <c r="AC2235" s="93">
        <f>IF(AQ2235="1",BI2235,0)</f>
        <v>0</v>
      </c>
      <c r="AD2235" s="93">
        <f>IF(AQ2235="7",BH2235,0)</f>
        <v>0</v>
      </c>
      <c r="AE2235" s="93">
        <f>IF(AQ2235="7",BI2235,0)</f>
        <v>0</v>
      </c>
      <c r="AF2235" s="93">
        <f>IF(AQ2235="2",BH2235,0)</f>
        <v>0</v>
      </c>
      <c r="AG2235" s="93">
        <f>IF(AQ2235="2",BI2235,0)</f>
        <v>0</v>
      </c>
      <c r="AH2235" s="93">
        <f>IF(AQ2235="0",BJ2235,0)</f>
        <v>0</v>
      </c>
      <c r="AI2235" s="88" t="s">
        <v>55</v>
      </c>
      <c r="AJ2235" s="93">
        <f>IF(AN2235=0,L2235,0)</f>
        <v>0</v>
      </c>
      <c r="AK2235" s="93">
        <f>IF(AN2235=12,L2235,0)</f>
        <v>0</v>
      </c>
      <c r="AL2235" s="93">
        <f>IF(AN2235=21,L2235,0)</f>
        <v>0</v>
      </c>
      <c r="AN2235" s="93">
        <v>21</v>
      </c>
      <c r="AO2235" s="93">
        <f>H2235*0</f>
        <v>0</v>
      </c>
      <c r="AP2235" s="93">
        <f>H2235*(1-0)</f>
        <v>0</v>
      </c>
      <c r="AQ2235" s="94" t="s">
        <v>148</v>
      </c>
      <c r="AV2235" s="93">
        <f>AW2235+AX2235</f>
        <v>0</v>
      </c>
      <c r="AW2235" s="93">
        <f>G2235*AO2235</f>
        <v>0</v>
      </c>
      <c r="AX2235" s="93">
        <f>G2235*AP2235</f>
        <v>0</v>
      </c>
      <c r="AY2235" s="94" t="s">
        <v>2935</v>
      </c>
      <c r="AZ2235" s="94" t="s">
        <v>2936</v>
      </c>
      <c r="BA2235" s="88" t="s">
        <v>67</v>
      </c>
      <c r="BC2235" s="93">
        <f>AW2235+AX2235</f>
        <v>0</v>
      </c>
      <c r="BD2235" s="93">
        <f>H2235/(100-BE2235)*100</f>
        <v>0</v>
      </c>
      <c r="BE2235" s="93">
        <v>0</v>
      </c>
      <c r="BF2235" s="93">
        <f>O2235</f>
        <v>0</v>
      </c>
      <c r="BH2235" s="93">
        <f>G2235*AO2235</f>
        <v>0</v>
      </c>
      <c r="BI2235" s="93">
        <f>G2235*AP2235</f>
        <v>0</v>
      </c>
      <c r="BJ2235" s="93">
        <f>G2235*H2235</f>
        <v>0</v>
      </c>
      <c r="BK2235" s="93"/>
      <c r="BL2235" s="93"/>
      <c r="BW2235" s="93" t="str">
        <f>I2235</f>
        <v>21</v>
      </c>
      <c r="BX2235" s="2" t="s">
        <v>61</v>
      </c>
    </row>
    <row r="2236" spans="1:76" s="81" customFormat="1" x14ac:dyDescent="0.25">
      <c r="A2236" s="95"/>
      <c r="B2236" s="95"/>
      <c r="C2236" s="95"/>
      <c r="D2236" s="76" t="s">
        <v>54</v>
      </c>
      <c r="E2236" s="76" t="s">
        <v>2947</v>
      </c>
      <c r="F2236" s="95"/>
      <c r="G2236" s="96">
        <v>0</v>
      </c>
      <c r="H2236" s="95"/>
      <c r="I2236" s="95"/>
      <c r="J2236" s="95"/>
      <c r="K2236" s="95"/>
      <c r="L2236" s="95"/>
      <c r="M2236" s="95"/>
      <c r="N2236" s="95"/>
      <c r="O2236" s="95"/>
      <c r="P2236" s="95"/>
    </row>
    <row r="2237" spans="1:76" s="81" customFormat="1" x14ac:dyDescent="0.25">
      <c r="A2237" s="95"/>
      <c r="B2237" s="95"/>
      <c r="C2237" s="95"/>
      <c r="D2237" s="76" t="s">
        <v>2948</v>
      </c>
      <c r="E2237" s="76" t="s">
        <v>54</v>
      </c>
      <c r="F2237" s="95"/>
      <c r="G2237" s="96">
        <v>103.27625</v>
      </c>
      <c r="H2237" s="95"/>
      <c r="I2237" s="95"/>
      <c r="J2237" s="95"/>
      <c r="K2237" s="95"/>
      <c r="L2237" s="95"/>
      <c r="M2237" s="95"/>
      <c r="N2237" s="95"/>
      <c r="O2237" s="95"/>
      <c r="P2237" s="95"/>
    </row>
    <row r="2238" spans="1:76" s="81" customFormat="1" x14ac:dyDescent="0.25">
      <c r="A2238" s="95"/>
      <c r="B2238" s="95"/>
      <c r="C2238" s="95"/>
      <c r="D2238" s="76" t="s">
        <v>54</v>
      </c>
      <c r="E2238" s="76" t="s">
        <v>2949</v>
      </c>
      <c r="F2238" s="95"/>
      <c r="G2238" s="96">
        <v>0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ht="25.5" x14ac:dyDescent="0.25">
      <c r="A2239" s="95"/>
      <c r="B2239" s="95"/>
      <c r="C2239" s="95"/>
      <c r="D2239" s="76" t="s">
        <v>2950</v>
      </c>
      <c r="E2239" s="76" t="s">
        <v>54</v>
      </c>
      <c r="F2239" s="95"/>
      <c r="G2239" s="96">
        <v>839.02</v>
      </c>
      <c r="H2239" s="95"/>
      <c r="I2239" s="95"/>
      <c r="J2239" s="95"/>
      <c r="K2239" s="95"/>
      <c r="L2239" s="95"/>
      <c r="M2239" s="95"/>
      <c r="N2239" s="95"/>
      <c r="O2239" s="95"/>
      <c r="P2239" s="95"/>
    </row>
    <row r="2240" spans="1:76" s="81" customFormat="1" ht="25.5" x14ac:dyDescent="0.25">
      <c r="A2240" s="72" t="s">
        <v>2951</v>
      </c>
      <c r="B2240" s="72" t="s">
        <v>55</v>
      </c>
      <c r="C2240" s="72" t="s">
        <v>119</v>
      </c>
      <c r="D2240" s="175" t="s">
        <v>2952</v>
      </c>
      <c r="E2240" s="175"/>
      <c r="F2240" s="72" t="s">
        <v>62</v>
      </c>
      <c r="G2240" s="90">
        <v>471.14812000000001</v>
      </c>
      <c r="H2240" s="91"/>
      <c r="I2240" s="92" t="s">
        <v>63</v>
      </c>
      <c r="J2240" s="90">
        <f>G2240*AO2240</f>
        <v>0</v>
      </c>
      <c r="K2240" s="90">
        <f>G2240*AP2240</f>
        <v>0</v>
      </c>
      <c r="L2240" s="90">
        <f>G2240*H2240</f>
        <v>0</v>
      </c>
      <c r="M2240" s="90">
        <f>L2240*(1+BW2240/100)</f>
        <v>0</v>
      </c>
      <c r="N2240" s="90">
        <v>0</v>
      </c>
      <c r="O2240" s="90">
        <f>G2240*N2240</f>
        <v>0</v>
      </c>
      <c r="P2240" s="92" t="s">
        <v>64</v>
      </c>
      <c r="Z2240" s="93">
        <f>IF(AQ2240="5",BJ2240,0)</f>
        <v>0</v>
      </c>
      <c r="AB2240" s="93">
        <f>IF(AQ2240="1",BH2240,0)</f>
        <v>0</v>
      </c>
      <c r="AC2240" s="93">
        <f>IF(AQ2240="1",BI2240,0)</f>
        <v>0</v>
      </c>
      <c r="AD2240" s="93">
        <f>IF(AQ2240="7",BH2240,0)</f>
        <v>0</v>
      </c>
      <c r="AE2240" s="93">
        <f>IF(AQ2240="7",BI2240,0)</f>
        <v>0</v>
      </c>
      <c r="AF2240" s="93">
        <f>IF(AQ2240="2",BH2240,0)</f>
        <v>0</v>
      </c>
      <c r="AG2240" s="93">
        <f>IF(AQ2240="2",BI2240,0)</f>
        <v>0</v>
      </c>
      <c r="AH2240" s="93">
        <f>IF(AQ2240="0",BJ2240,0)</f>
        <v>0</v>
      </c>
      <c r="AI2240" s="88" t="s">
        <v>55</v>
      </c>
      <c r="AJ2240" s="93">
        <f>IF(AN2240=0,L2240,0)</f>
        <v>0</v>
      </c>
      <c r="AK2240" s="93">
        <f>IF(AN2240=12,L2240,0)</f>
        <v>0</v>
      </c>
      <c r="AL2240" s="93">
        <f>IF(AN2240=21,L2240,0)</f>
        <v>0</v>
      </c>
      <c r="AN2240" s="93">
        <v>21</v>
      </c>
      <c r="AO2240" s="93">
        <f>H2240*0</f>
        <v>0</v>
      </c>
      <c r="AP2240" s="93">
        <f>H2240*(1-0)</f>
        <v>0</v>
      </c>
      <c r="AQ2240" s="94" t="s">
        <v>148</v>
      </c>
      <c r="AV2240" s="93">
        <f>AW2240+AX2240</f>
        <v>0</v>
      </c>
      <c r="AW2240" s="93">
        <f>G2240*AO2240</f>
        <v>0</v>
      </c>
      <c r="AX2240" s="93">
        <f>G2240*AP2240</f>
        <v>0</v>
      </c>
      <c r="AY2240" s="94" t="s">
        <v>2935</v>
      </c>
      <c r="AZ2240" s="94" t="s">
        <v>2936</v>
      </c>
      <c r="BA2240" s="88" t="s">
        <v>67</v>
      </c>
      <c r="BC2240" s="93">
        <f>AW2240+AX2240</f>
        <v>0</v>
      </c>
      <c r="BD2240" s="93">
        <f>H2240/(100-BE2240)*100</f>
        <v>0</v>
      </c>
      <c r="BE2240" s="93">
        <v>0</v>
      </c>
      <c r="BF2240" s="93">
        <f>O2240</f>
        <v>0</v>
      </c>
      <c r="BH2240" s="93">
        <f>G2240*AO2240</f>
        <v>0</v>
      </c>
      <c r="BI2240" s="93">
        <f>G2240*AP2240</f>
        <v>0</v>
      </c>
      <c r="BJ2240" s="93">
        <f>G2240*H2240</f>
        <v>0</v>
      </c>
      <c r="BK2240" s="93"/>
      <c r="BL2240" s="93"/>
      <c r="BW2240" s="93" t="str">
        <f>I2240</f>
        <v>21</v>
      </c>
      <c r="BX2240" s="2" t="s">
        <v>2952</v>
      </c>
    </row>
    <row r="2241" spans="1:76" s="81" customFormat="1" x14ac:dyDescent="0.25">
      <c r="A2241" s="95"/>
      <c r="B2241" s="95"/>
      <c r="C2241" s="95"/>
      <c r="D2241" s="76" t="s">
        <v>2953</v>
      </c>
      <c r="E2241" s="76" t="s">
        <v>54</v>
      </c>
      <c r="F2241" s="95"/>
      <c r="G2241" s="96">
        <v>471.14812000000001</v>
      </c>
      <c r="H2241" s="95"/>
      <c r="I2241" s="95"/>
      <c r="J2241" s="95"/>
      <c r="K2241" s="95"/>
      <c r="L2241" s="95"/>
      <c r="M2241" s="95"/>
      <c r="N2241" s="95"/>
      <c r="O2241" s="95"/>
      <c r="P2241" s="95"/>
    </row>
    <row r="2242" spans="1:76" s="81" customFormat="1" ht="25.5" x14ac:dyDescent="0.25">
      <c r="A2242" s="72" t="s">
        <v>2954</v>
      </c>
      <c r="B2242" s="72" t="s">
        <v>55</v>
      </c>
      <c r="C2242" s="72" t="s">
        <v>2955</v>
      </c>
      <c r="D2242" s="175" t="s">
        <v>2956</v>
      </c>
      <c r="E2242" s="175"/>
      <c r="F2242" s="72" t="s">
        <v>192</v>
      </c>
      <c r="G2242" s="90">
        <v>27.5</v>
      </c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9.8999999999999999E-4</v>
      </c>
      <c r="O2242" s="90">
        <f>G2242*N2242</f>
        <v>2.7224999999999999E-2</v>
      </c>
      <c r="P2242" s="92" t="s">
        <v>64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H2242*0.085202872</f>
        <v>0</v>
      </c>
      <c r="AP2242" s="93">
        <f>H2242*(1-0.085202872)</f>
        <v>0</v>
      </c>
      <c r="AQ2242" s="94" t="s">
        <v>148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2935</v>
      </c>
      <c r="AZ2242" s="94" t="s">
        <v>2936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2.7224999999999999E-2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/>
      <c r="BW2242" s="93" t="str">
        <f>I2242</f>
        <v>21</v>
      </c>
      <c r="BX2242" s="2" t="s">
        <v>2956</v>
      </c>
    </row>
    <row r="2243" spans="1:76" s="81" customFormat="1" ht="25.5" x14ac:dyDescent="0.25">
      <c r="A2243" s="72" t="s">
        <v>2957</v>
      </c>
      <c r="B2243" s="72" t="s">
        <v>55</v>
      </c>
      <c r="C2243" s="72" t="s">
        <v>2958</v>
      </c>
      <c r="D2243" s="175" t="s">
        <v>2959</v>
      </c>
      <c r="E2243" s="175"/>
      <c r="F2243" s="72" t="s">
        <v>192</v>
      </c>
      <c r="G2243" s="90">
        <v>27.5</v>
      </c>
      <c r="H2243" s="91"/>
      <c r="I2243" s="92" t="s">
        <v>63</v>
      </c>
      <c r="J2243" s="90">
        <f>G2243*AO2243</f>
        <v>0</v>
      </c>
      <c r="K2243" s="90">
        <f>G2243*AP2243</f>
        <v>0</v>
      </c>
      <c r="L2243" s="90">
        <f>G2243*H2243</f>
        <v>0</v>
      </c>
      <c r="M2243" s="90">
        <f>L2243*(1+BW2243/100)</f>
        <v>0</v>
      </c>
      <c r="N2243" s="90">
        <v>0</v>
      </c>
      <c r="O2243" s="90">
        <f>G2243*N2243</f>
        <v>0</v>
      </c>
      <c r="P2243" s="92" t="s">
        <v>64</v>
      </c>
      <c r="Z2243" s="93">
        <f>IF(AQ2243="5",BJ2243,0)</f>
        <v>0</v>
      </c>
      <c r="AB2243" s="93">
        <f>IF(AQ2243="1",BH2243,0)</f>
        <v>0</v>
      </c>
      <c r="AC2243" s="93">
        <f>IF(AQ2243="1",BI2243,0)</f>
        <v>0</v>
      </c>
      <c r="AD2243" s="93">
        <f>IF(AQ2243="7",BH2243,0)</f>
        <v>0</v>
      </c>
      <c r="AE2243" s="93">
        <f>IF(AQ2243="7",BI2243,0)</f>
        <v>0</v>
      </c>
      <c r="AF2243" s="93">
        <f>IF(AQ2243="2",BH2243,0)</f>
        <v>0</v>
      </c>
      <c r="AG2243" s="93">
        <f>IF(AQ2243="2",BI2243,0)</f>
        <v>0</v>
      </c>
      <c r="AH2243" s="93">
        <f>IF(AQ2243="0",BJ2243,0)</f>
        <v>0</v>
      </c>
      <c r="AI2243" s="88" t="s">
        <v>55</v>
      </c>
      <c r="AJ2243" s="93">
        <f>IF(AN2243=0,L2243,0)</f>
        <v>0</v>
      </c>
      <c r="AK2243" s="93">
        <f>IF(AN2243=12,L2243,0)</f>
        <v>0</v>
      </c>
      <c r="AL2243" s="93">
        <f>IF(AN2243=21,L2243,0)</f>
        <v>0</v>
      </c>
      <c r="AN2243" s="93">
        <v>21</v>
      </c>
      <c r="AO2243" s="93">
        <f>H2243*0</f>
        <v>0</v>
      </c>
      <c r="AP2243" s="93">
        <f>H2243*(1-0)</f>
        <v>0</v>
      </c>
      <c r="AQ2243" s="94" t="s">
        <v>148</v>
      </c>
      <c r="AV2243" s="93">
        <f>AW2243+AX2243</f>
        <v>0</v>
      </c>
      <c r="AW2243" s="93">
        <f>G2243*AO2243</f>
        <v>0</v>
      </c>
      <c r="AX2243" s="93">
        <f>G2243*AP2243</f>
        <v>0</v>
      </c>
      <c r="AY2243" s="94" t="s">
        <v>2935</v>
      </c>
      <c r="AZ2243" s="94" t="s">
        <v>2936</v>
      </c>
      <c r="BA2243" s="88" t="s">
        <v>67</v>
      </c>
      <c r="BC2243" s="93">
        <f>AW2243+AX2243</f>
        <v>0</v>
      </c>
      <c r="BD2243" s="93">
        <f>H2243/(100-BE2243)*100</f>
        <v>0</v>
      </c>
      <c r="BE2243" s="93">
        <v>0</v>
      </c>
      <c r="BF2243" s="93">
        <f>O2243</f>
        <v>0</v>
      </c>
      <c r="BH2243" s="93">
        <f>G2243*AO2243</f>
        <v>0</v>
      </c>
      <c r="BI2243" s="93">
        <f>G2243*AP2243</f>
        <v>0</v>
      </c>
      <c r="BJ2243" s="93">
        <f>G2243*H2243</f>
        <v>0</v>
      </c>
      <c r="BK2243" s="93"/>
      <c r="BL2243" s="93"/>
      <c r="BW2243" s="93" t="str">
        <f>I2243</f>
        <v>21</v>
      </c>
      <c r="BX2243" s="2" t="s">
        <v>2959</v>
      </c>
    </row>
    <row r="2244" spans="1:76" s="81" customFormat="1" ht="25.5" x14ac:dyDescent="0.25">
      <c r="A2244" s="72" t="s">
        <v>2960</v>
      </c>
      <c r="B2244" s="72" t="s">
        <v>55</v>
      </c>
      <c r="C2244" s="72" t="s">
        <v>2961</v>
      </c>
      <c r="D2244" s="175" t="s">
        <v>2962</v>
      </c>
      <c r="E2244" s="175"/>
      <c r="F2244" s="72" t="s">
        <v>192</v>
      </c>
      <c r="G2244" s="90">
        <v>645</v>
      </c>
      <c r="H2244" s="91"/>
      <c r="I2244" s="92" t="s">
        <v>63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8.5999999999999998E-4</v>
      </c>
      <c r="O2244" s="90">
        <f>G2244*N2244</f>
        <v>0.55469999999999997</v>
      </c>
      <c r="P2244" s="92" t="s">
        <v>64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55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H2244*0.083527397</f>
        <v>0</v>
      </c>
      <c r="AP2244" s="93">
        <f>H2244*(1-0.083527397)</f>
        <v>0</v>
      </c>
      <c r="AQ2244" s="94" t="s">
        <v>148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2935</v>
      </c>
      <c r="AZ2244" s="94" t="s">
        <v>2936</v>
      </c>
      <c r="BA2244" s="88" t="s">
        <v>67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0.55469999999999997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/>
      <c r="BW2244" s="93" t="str">
        <f>I2244</f>
        <v>21</v>
      </c>
      <c r="BX2244" s="2" t="s">
        <v>2962</v>
      </c>
    </row>
    <row r="2245" spans="1:76" s="81" customFormat="1" ht="25.5" x14ac:dyDescent="0.25">
      <c r="A2245" s="72" t="s">
        <v>2963</v>
      </c>
      <c r="B2245" s="72" t="s">
        <v>55</v>
      </c>
      <c r="C2245" s="72" t="s">
        <v>2964</v>
      </c>
      <c r="D2245" s="175" t="s">
        <v>2965</v>
      </c>
      <c r="E2245" s="175"/>
      <c r="F2245" s="72" t="s">
        <v>192</v>
      </c>
      <c r="G2245" s="90">
        <v>645</v>
      </c>
      <c r="H2245" s="91"/>
      <c r="I2245" s="92" t="s">
        <v>63</v>
      </c>
      <c r="J2245" s="90">
        <f>G2245*AO2245</f>
        <v>0</v>
      </c>
      <c r="K2245" s="90">
        <f>G2245*AP2245</f>
        <v>0</v>
      </c>
      <c r="L2245" s="90">
        <f>G2245*H2245</f>
        <v>0</v>
      </c>
      <c r="M2245" s="90">
        <f>L2245*(1+BW2245/100)</f>
        <v>0</v>
      </c>
      <c r="N2245" s="90">
        <v>0</v>
      </c>
      <c r="O2245" s="90">
        <f>G2245*N2245</f>
        <v>0</v>
      </c>
      <c r="P2245" s="92" t="s">
        <v>64</v>
      </c>
      <c r="Z2245" s="93">
        <f>IF(AQ2245="5",BJ2245,0)</f>
        <v>0</v>
      </c>
      <c r="AB2245" s="93">
        <f>IF(AQ2245="1",BH2245,0)</f>
        <v>0</v>
      </c>
      <c r="AC2245" s="93">
        <f>IF(AQ2245="1",BI2245,0)</f>
        <v>0</v>
      </c>
      <c r="AD2245" s="93">
        <f>IF(AQ2245="7",BH2245,0)</f>
        <v>0</v>
      </c>
      <c r="AE2245" s="93">
        <f>IF(AQ2245="7",BI2245,0)</f>
        <v>0</v>
      </c>
      <c r="AF2245" s="93">
        <f>IF(AQ2245="2",BH2245,0)</f>
        <v>0</v>
      </c>
      <c r="AG2245" s="93">
        <f>IF(AQ2245="2",BI2245,0)</f>
        <v>0</v>
      </c>
      <c r="AH2245" s="93">
        <f>IF(AQ2245="0",BJ2245,0)</f>
        <v>0</v>
      </c>
      <c r="AI2245" s="88" t="s">
        <v>55</v>
      </c>
      <c r="AJ2245" s="93">
        <f>IF(AN2245=0,L2245,0)</f>
        <v>0</v>
      </c>
      <c r="AK2245" s="93">
        <f>IF(AN2245=12,L2245,0)</f>
        <v>0</v>
      </c>
      <c r="AL2245" s="93">
        <f>IF(AN2245=21,L2245,0)</f>
        <v>0</v>
      </c>
      <c r="AN2245" s="93">
        <v>21</v>
      </c>
      <c r="AO2245" s="93">
        <f>H2245*0</f>
        <v>0</v>
      </c>
      <c r="AP2245" s="93">
        <f>H2245*(1-0)</f>
        <v>0</v>
      </c>
      <c r="AQ2245" s="94" t="s">
        <v>148</v>
      </c>
      <c r="AV2245" s="93">
        <f>AW2245+AX2245</f>
        <v>0</v>
      </c>
      <c r="AW2245" s="93">
        <f>G2245*AO2245</f>
        <v>0</v>
      </c>
      <c r="AX2245" s="93">
        <f>G2245*AP2245</f>
        <v>0</v>
      </c>
      <c r="AY2245" s="94" t="s">
        <v>2935</v>
      </c>
      <c r="AZ2245" s="94" t="s">
        <v>2936</v>
      </c>
      <c r="BA2245" s="88" t="s">
        <v>67</v>
      </c>
      <c r="BC2245" s="93">
        <f>AW2245+AX2245</f>
        <v>0</v>
      </c>
      <c r="BD2245" s="93">
        <f>H2245/(100-BE2245)*100</f>
        <v>0</v>
      </c>
      <c r="BE2245" s="93">
        <v>0</v>
      </c>
      <c r="BF2245" s="93">
        <f>O2245</f>
        <v>0</v>
      </c>
      <c r="BH2245" s="93">
        <f>G2245*AO2245</f>
        <v>0</v>
      </c>
      <c r="BI2245" s="93">
        <f>G2245*AP2245</f>
        <v>0</v>
      </c>
      <c r="BJ2245" s="93">
        <f>G2245*H2245</f>
        <v>0</v>
      </c>
      <c r="BK2245" s="93"/>
      <c r="BL2245" s="93"/>
      <c r="BW2245" s="93" t="str">
        <f>I2245</f>
        <v>21</v>
      </c>
      <c r="BX2245" s="2" t="s">
        <v>2965</v>
      </c>
    </row>
    <row r="2246" spans="1:76" s="81" customFormat="1" ht="25.5" x14ac:dyDescent="0.25">
      <c r="A2246" s="72" t="s">
        <v>2966</v>
      </c>
      <c r="B2246" s="72" t="s">
        <v>55</v>
      </c>
      <c r="C2246" s="72" t="s">
        <v>2967</v>
      </c>
      <c r="D2246" s="175" t="s">
        <v>2968</v>
      </c>
      <c r="E2246" s="175"/>
      <c r="F2246" s="72" t="s">
        <v>62</v>
      </c>
      <c r="G2246" s="90">
        <v>2237.35725</v>
      </c>
      <c r="H2246" s="91"/>
      <c r="I2246" s="92" t="s">
        <v>63</v>
      </c>
      <c r="J2246" s="90">
        <f>G2246*AO2246</f>
        <v>0</v>
      </c>
      <c r="K2246" s="90">
        <f>G2246*AP2246</f>
        <v>0</v>
      </c>
      <c r="L2246" s="90">
        <f>G2246*H2246</f>
        <v>0</v>
      </c>
      <c r="M2246" s="90">
        <f>L2246*(1+BW2246/100)</f>
        <v>0</v>
      </c>
      <c r="N2246" s="90">
        <v>0</v>
      </c>
      <c r="O2246" s="90">
        <f>G2246*N2246</f>
        <v>0</v>
      </c>
      <c r="P2246" s="92" t="s">
        <v>64</v>
      </c>
      <c r="Z2246" s="93">
        <f>IF(AQ2246="5",BJ2246,0)</f>
        <v>0</v>
      </c>
      <c r="AB2246" s="93">
        <f>IF(AQ2246="1",BH2246,0)</f>
        <v>0</v>
      </c>
      <c r="AC2246" s="93">
        <f>IF(AQ2246="1",BI2246,0)</f>
        <v>0</v>
      </c>
      <c r="AD2246" s="93">
        <f>IF(AQ2246="7",BH2246,0)</f>
        <v>0</v>
      </c>
      <c r="AE2246" s="93">
        <f>IF(AQ2246="7",BI2246,0)</f>
        <v>0</v>
      </c>
      <c r="AF2246" s="93">
        <f>IF(AQ2246="2",BH2246,0)</f>
        <v>0</v>
      </c>
      <c r="AG2246" s="93">
        <f>IF(AQ2246="2",BI2246,0)</f>
        <v>0</v>
      </c>
      <c r="AH2246" s="93">
        <f>IF(AQ2246="0",BJ2246,0)</f>
        <v>0</v>
      </c>
      <c r="AI2246" s="88" t="s">
        <v>55</v>
      </c>
      <c r="AJ2246" s="93">
        <f>IF(AN2246=0,L2246,0)</f>
        <v>0</v>
      </c>
      <c r="AK2246" s="93">
        <f>IF(AN2246=12,L2246,0)</f>
        <v>0</v>
      </c>
      <c r="AL2246" s="93">
        <f>IF(AN2246=21,L2246,0)</f>
        <v>0</v>
      </c>
      <c r="AN2246" s="93">
        <v>21</v>
      </c>
      <c r="AO2246" s="93">
        <f>H2246*0</f>
        <v>0</v>
      </c>
      <c r="AP2246" s="93">
        <f>H2246*(1-0)</f>
        <v>0</v>
      </c>
      <c r="AQ2246" s="94" t="s">
        <v>148</v>
      </c>
      <c r="AV2246" s="93">
        <f>AW2246+AX2246</f>
        <v>0</v>
      </c>
      <c r="AW2246" s="93">
        <f>G2246*AO2246</f>
        <v>0</v>
      </c>
      <c r="AX2246" s="93">
        <f>G2246*AP2246</f>
        <v>0</v>
      </c>
      <c r="AY2246" s="94" t="s">
        <v>2935</v>
      </c>
      <c r="AZ2246" s="94" t="s">
        <v>2936</v>
      </c>
      <c r="BA2246" s="88" t="s">
        <v>67</v>
      </c>
      <c r="BC2246" s="93">
        <f>AW2246+AX2246</f>
        <v>0</v>
      </c>
      <c r="BD2246" s="93">
        <f>H2246/(100-BE2246)*100</f>
        <v>0</v>
      </c>
      <c r="BE2246" s="93">
        <v>0</v>
      </c>
      <c r="BF2246" s="93">
        <f>O2246</f>
        <v>0</v>
      </c>
      <c r="BH2246" s="93">
        <f>G2246*AO2246</f>
        <v>0</v>
      </c>
      <c r="BI2246" s="93">
        <f>G2246*AP2246</f>
        <v>0</v>
      </c>
      <c r="BJ2246" s="93">
        <f>G2246*H2246</f>
        <v>0</v>
      </c>
      <c r="BK2246" s="93"/>
      <c r="BL2246" s="93"/>
      <c r="BW2246" s="93" t="str">
        <f>I2246</f>
        <v>21</v>
      </c>
      <c r="BX2246" s="2" t="s">
        <v>2968</v>
      </c>
    </row>
    <row r="2247" spans="1:76" s="81" customFormat="1" x14ac:dyDescent="0.25">
      <c r="A2247" s="95"/>
      <c r="B2247" s="95"/>
      <c r="C2247" s="95"/>
      <c r="D2247" s="76" t="s">
        <v>2969</v>
      </c>
      <c r="E2247" s="76" t="s">
        <v>2970</v>
      </c>
      <c r="F2247" s="95"/>
      <c r="G2247" s="96">
        <v>2237.35725</v>
      </c>
      <c r="H2247" s="95"/>
      <c r="I2247" s="95"/>
      <c r="J2247" s="95"/>
      <c r="K2247" s="95"/>
      <c r="L2247" s="95"/>
      <c r="M2247" s="95"/>
      <c r="N2247" s="95"/>
      <c r="O2247" s="95"/>
      <c r="P2247" s="95"/>
    </row>
    <row r="2248" spans="1:76" s="81" customFormat="1" ht="25.5" x14ac:dyDescent="0.25">
      <c r="A2248" s="72" t="s">
        <v>2971</v>
      </c>
      <c r="B2248" s="72" t="s">
        <v>55</v>
      </c>
      <c r="C2248" s="72" t="s">
        <v>145</v>
      </c>
      <c r="D2248" s="175" t="s">
        <v>146</v>
      </c>
      <c r="E2248" s="175"/>
      <c r="F2248" s="72" t="s">
        <v>62</v>
      </c>
      <c r="G2248" s="90">
        <v>322.15724999999998</v>
      </c>
      <c r="H2248" s="91"/>
      <c r="I2248" s="92" t="s">
        <v>63</v>
      </c>
      <c r="J2248" s="90">
        <f>G2248*AO2248</f>
        <v>0</v>
      </c>
      <c r="K2248" s="90">
        <f>G2248*AP2248</f>
        <v>0</v>
      </c>
      <c r="L2248" s="90">
        <f>G2248*H2248</f>
        <v>0</v>
      </c>
      <c r="M2248" s="90">
        <f>L2248*(1+BW2248/100)</f>
        <v>0</v>
      </c>
      <c r="N2248" s="90">
        <v>0</v>
      </c>
      <c r="O2248" s="90">
        <f>G2248*N2248</f>
        <v>0</v>
      </c>
      <c r="P2248" s="92" t="s">
        <v>64</v>
      </c>
      <c r="Z2248" s="93">
        <f>IF(AQ2248="5",BJ2248,0)</f>
        <v>0</v>
      </c>
      <c r="AB2248" s="93">
        <f>IF(AQ2248="1",BH2248,0)</f>
        <v>0</v>
      </c>
      <c r="AC2248" s="93">
        <f>IF(AQ2248="1",BI2248,0)</f>
        <v>0</v>
      </c>
      <c r="AD2248" s="93">
        <f>IF(AQ2248="7",BH2248,0)</f>
        <v>0</v>
      </c>
      <c r="AE2248" s="93">
        <f>IF(AQ2248="7",BI2248,0)</f>
        <v>0</v>
      </c>
      <c r="AF2248" s="93">
        <f>IF(AQ2248="2",BH2248,0)</f>
        <v>0</v>
      </c>
      <c r="AG2248" s="93">
        <f>IF(AQ2248="2",BI2248,0)</f>
        <v>0</v>
      </c>
      <c r="AH2248" s="93">
        <f>IF(AQ2248="0",BJ2248,0)</f>
        <v>0</v>
      </c>
      <c r="AI2248" s="88" t="s">
        <v>55</v>
      </c>
      <c r="AJ2248" s="93">
        <f>IF(AN2248=0,L2248,0)</f>
        <v>0</v>
      </c>
      <c r="AK2248" s="93">
        <f>IF(AN2248=12,L2248,0)</f>
        <v>0</v>
      </c>
      <c r="AL2248" s="93">
        <f>IF(AN2248=21,L2248,0)</f>
        <v>0</v>
      </c>
      <c r="AN2248" s="93">
        <v>21</v>
      </c>
      <c r="AO2248" s="93">
        <f>H2248*0</f>
        <v>0</v>
      </c>
      <c r="AP2248" s="93">
        <f>H2248*(1-0)</f>
        <v>0</v>
      </c>
      <c r="AQ2248" s="94" t="s">
        <v>148</v>
      </c>
      <c r="AV2248" s="93">
        <f>AW2248+AX2248</f>
        <v>0</v>
      </c>
      <c r="AW2248" s="93">
        <f>G2248*AO2248</f>
        <v>0</v>
      </c>
      <c r="AX2248" s="93">
        <f>G2248*AP2248</f>
        <v>0</v>
      </c>
      <c r="AY2248" s="94" t="s">
        <v>2935</v>
      </c>
      <c r="AZ2248" s="94" t="s">
        <v>2936</v>
      </c>
      <c r="BA2248" s="88" t="s">
        <v>67</v>
      </c>
      <c r="BC2248" s="93">
        <f>AW2248+AX2248</f>
        <v>0</v>
      </c>
      <c r="BD2248" s="93">
        <f>H2248/(100-BE2248)*100</f>
        <v>0</v>
      </c>
      <c r="BE2248" s="93">
        <v>0</v>
      </c>
      <c r="BF2248" s="93">
        <f>O2248</f>
        <v>0</v>
      </c>
      <c r="BH2248" s="93">
        <f>G2248*AO2248</f>
        <v>0</v>
      </c>
      <c r="BI2248" s="93">
        <f>G2248*AP2248</f>
        <v>0</v>
      </c>
      <c r="BJ2248" s="93">
        <f>G2248*H2248</f>
        <v>0</v>
      </c>
      <c r="BK2248" s="93"/>
      <c r="BL2248" s="93"/>
      <c r="BW2248" s="93" t="str">
        <f>I2248</f>
        <v>21</v>
      </c>
      <c r="BX2248" s="2" t="s">
        <v>146</v>
      </c>
    </row>
    <row r="2249" spans="1:76" s="81" customFormat="1" x14ac:dyDescent="0.25">
      <c r="A2249" s="95"/>
      <c r="B2249" s="95"/>
      <c r="C2249" s="95"/>
      <c r="D2249" s="76" t="s">
        <v>2972</v>
      </c>
      <c r="E2249" s="76" t="s">
        <v>54</v>
      </c>
      <c r="F2249" s="95"/>
      <c r="G2249" s="96">
        <v>322.15724999999998</v>
      </c>
      <c r="H2249" s="95"/>
      <c r="I2249" s="95"/>
      <c r="J2249" s="95"/>
      <c r="K2249" s="95"/>
      <c r="L2249" s="95"/>
      <c r="M2249" s="95"/>
      <c r="N2249" s="95"/>
      <c r="O2249" s="95"/>
      <c r="P2249" s="95"/>
    </row>
    <row r="2250" spans="1:76" s="81" customFormat="1" ht="25.5" x14ac:dyDescent="0.25">
      <c r="A2250" s="72" t="s">
        <v>2973</v>
      </c>
      <c r="B2250" s="72" t="s">
        <v>55</v>
      </c>
      <c r="C2250" s="72" t="s">
        <v>149</v>
      </c>
      <c r="D2250" s="175" t="s">
        <v>150</v>
      </c>
      <c r="E2250" s="175"/>
      <c r="F2250" s="72" t="s">
        <v>62</v>
      </c>
      <c r="G2250" s="90">
        <v>3221.5725000000002</v>
      </c>
      <c r="H2250" s="91"/>
      <c r="I2250" s="92" t="s">
        <v>63</v>
      </c>
      <c r="J2250" s="90">
        <f>G2250*AO2250</f>
        <v>0</v>
      </c>
      <c r="K2250" s="90">
        <f>G2250*AP2250</f>
        <v>0</v>
      </c>
      <c r="L2250" s="90">
        <f>G2250*H2250</f>
        <v>0</v>
      </c>
      <c r="M2250" s="90">
        <f>L2250*(1+BW2250/100)</f>
        <v>0</v>
      </c>
      <c r="N2250" s="90">
        <v>0</v>
      </c>
      <c r="O2250" s="90">
        <f>G2250*N2250</f>
        <v>0</v>
      </c>
      <c r="P2250" s="92" t="s">
        <v>64</v>
      </c>
      <c r="Z2250" s="93">
        <f>IF(AQ2250="5",BJ2250,0)</f>
        <v>0</v>
      </c>
      <c r="AB2250" s="93">
        <f>IF(AQ2250="1",BH2250,0)</f>
        <v>0</v>
      </c>
      <c r="AC2250" s="93">
        <f>IF(AQ2250="1",BI2250,0)</f>
        <v>0</v>
      </c>
      <c r="AD2250" s="93">
        <f>IF(AQ2250="7",BH2250,0)</f>
        <v>0</v>
      </c>
      <c r="AE2250" s="93">
        <f>IF(AQ2250="7",BI2250,0)</f>
        <v>0</v>
      </c>
      <c r="AF2250" s="93">
        <f>IF(AQ2250="2",BH2250,0)</f>
        <v>0</v>
      </c>
      <c r="AG2250" s="93">
        <f>IF(AQ2250="2",BI2250,0)</f>
        <v>0</v>
      </c>
      <c r="AH2250" s="93">
        <f>IF(AQ2250="0",BJ2250,0)</f>
        <v>0</v>
      </c>
      <c r="AI2250" s="88" t="s">
        <v>55</v>
      </c>
      <c r="AJ2250" s="93">
        <f>IF(AN2250=0,L2250,0)</f>
        <v>0</v>
      </c>
      <c r="AK2250" s="93">
        <f>IF(AN2250=12,L2250,0)</f>
        <v>0</v>
      </c>
      <c r="AL2250" s="93">
        <f>IF(AN2250=21,L2250,0)</f>
        <v>0</v>
      </c>
      <c r="AN2250" s="93">
        <v>21</v>
      </c>
      <c r="AO2250" s="93">
        <f>H2250*0</f>
        <v>0</v>
      </c>
      <c r="AP2250" s="93">
        <f>H2250*(1-0)</f>
        <v>0</v>
      </c>
      <c r="AQ2250" s="94" t="s">
        <v>148</v>
      </c>
      <c r="AV2250" s="93">
        <f>AW2250+AX2250</f>
        <v>0</v>
      </c>
      <c r="AW2250" s="93">
        <f>G2250*AO2250</f>
        <v>0</v>
      </c>
      <c r="AX2250" s="93">
        <f>G2250*AP2250</f>
        <v>0</v>
      </c>
      <c r="AY2250" s="94" t="s">
        <v>2935</v>
      </c>
      <c r="AZ2250" s="94" t="s">
        <v>2936</v>
      </c>
      <c r="BA2250" s="88" t="s">
        <v>67</v>
      </c>
      <c r="BC2250" s="93">
        <f>AW2250+AX2250</f>
        <v>0</v>
      </c>
      <c r="BD2250" s="93">
        <f>H2250/(100-BE2250)*100</f>
        <v>0</v>
      </c>
      <c r="BE2250" s="93">
        <v>0</v>
      </c>
      <c r="BF2250" s="93">
        <f>O2250</f>
        <v>0</v>
      </c>
      <c r="BH2250" s="93">
        <f>G2250*AO2250</f>
        <v>0</v>
      </c>
      <c r="BI2250" s="93">
        <f>G2250*AP2250</f>
        <v>0</v>
      </c>
      <c r="BJ2250" s="93">
        <f>G2250*H2250</f>
        <v>0</v>
      </c>
      <c r="BK2250" s="93"/>
      <c r="BL2250" s="93"/>
      <c r="BW2250" s="93" t="str">
        <f>I2250</f>
        <v>21</v>
      </c>
      <c r="BX2250" s="2" t="s">
        <v>150</v>
      </c>
    </row>
    <row r="2251" spans="1:76" s="81" customFormat="1" x14ac:dyDescent="0.25">
      <c r="A2251" s="95"/>
      <c r="B2251" s="95"/>
      <c r="C2251" s="95"/>
      <c r="D2251" s="76" t="s">
        <v>2974</v>
      </c>
      <c r="E2251" s="76" t="s">
        <v>54</v>
      </c>
      <c r="F2251" s="95"/>
      <c r="G2251" s="96">
        <v>3221.5725000000002</v>
      </c>
      <c r="H2251" s="95"/>
      <c r="I2251" s="95"/>
      <c r="J2251" s="95"/>
      <c r="K2251" s="95"/>
      <c r="L2251" s="95"/>
      <c r="M2251" s="95"/>
      <c r="N2251" s="95"/>
      <c r="O2251" s="95"/>
      <c r="P2251" s="95"/>
    </row>
    <row r="2252" spans="1:76" s="81" customFormat="1" ht="25.5" x14ac:dyDescent="0.25">
      <c r="A2252" s="72" t="s">
        <v>2975</v>
      </c>
      <c r="B2252" s="72" t="s">
        <v>55</v>
      </c>
      <c r="C2252" s="72" t="s">
        <v>153</v>
      </c>
      <c r="D2252" s="175" t="s">
        <v>154</v>
      </c>
      <c r="E2252" s="175"/>
      <c r="F2252" s="72" t="s">
        <v>62</v>
      </c>
      <c r="G2252" s="90">
        <v>322.15724999999998</v>
      </c>
      <c r="H2252" s="91"/>
      <c r="I2252" s="92" t="s">
        <v>63</v>
      </c>
      <c r="J2252" s="90">
        <f>G2252*AO2252</f>
        <v>0</v>
      </c>
      <c r="K2252" s="90">
        <f>G2252*AP2252</f>
        <v>0</v>
      </c>
      <c r="L2252" s="90">
        <f>G2252*H2252</f>
        <v>0</v>
      </c>
      <c r="M2252" s="90">
        <f>L2252*(1+BW2252/100)</f>
        <v>0</v>
      </c>
      <c r="N2252" s="90">
        <v>0</v>
      </c>
      <c r="O2252" s="90">
        <f>G2252*N2252</f>
        <v>0</v>
      </c>
      <c r="P2252" s="92" t="s">
        <v>64</v>
      </c>
      <c r="Z2252" s="93">
        <f>IF(AQ2252="5",BJ2252,0)</f>
        <v>0</v>
      </c>
      <c r="AB2252" s="93">
        <f>IF(AQ2252="1",BH2252,0)</f>
        <v>0</v>
      </c>
      <c r="AC2252" s="93">
        <f>IF(AQ2252="1",BI2252,0)</f>
        <v>0</v>
      </c>
      <c r="AD2252" s="93">
        <f>IF(AQ2252="7",BH2252,0)</f>
        <v>0</v>
      </c>
      <c r="AE2252" s="93">
        <f>IF(AQ2252="7",BI2252,0)</f>
        <v>0</v>
      </c>
      <c r="AF2252" s="93">
        <f>IF(AQ2252="2",BH2252,0)</f>
        <v>0</v>
      </c>
      <c r="AG2252" s="93">
        <f>IF(AQ2252="2",BI2252,0)</f>
        <v>0</v>
      </c>
      <c r="AH2252" s="93">
        <f>IF(AQ2252="0",BJ2252,0)</f>
        <v>0</v>
      </c>
      <c r="AI2252" s="88" t="s">
        <v>55</v>
      </c>
      <c r="AJ2252" s="93">
        <f>IF(AN2252=0,L2252,0)</f>
        <v>0</v>
      </c>
      <c r="AK2252" s="93">
        <f>IF(AN2252=12,L2252,0)</f>
        <v>0</v>
      </c>
      <c r="AL2252" s="93">
        <f>IF(AN2252=21,L2252,0)</f>
        <v>0</v>
      </c>
      <c r="AN2252" s="93">
        <v>21</v>
      </c>
      <c r="AO2252" s="93">
        <f>H2252*0</f>
        <v>0</v>
      </c>
      <c r="AP2252" s="93">
        <f>H2252*(1-0)</f>
        <v>0</v>
      </c>
      <c r="AQ2252" s="94" t="s">
        <v>148</v>
      </c>
      <c r="AV2252" s="93">
        <f>AW2252+AX2252</f>
        <v>0</v>
      </c>
      <c r="AW2252" s="93">
        <f>G2252*AO2252</f>
        <v>0</v>
      </c>
      <c r="AX2252" s="93">
        <f>G2252*AP2252</f>
        <v>0</v>
      </c>
      <c r="AY2252" s="94" t="s">
        <v>2935</v>
      </c>
      <c r="AZ2252" s="94" t="s">
        <v>2936</v>
      </c>
      <c r="BA2252" s="88" t="s">
        <v>67</v>
      </c>
      <c r="BC2252" s="93">
        <f>AW2252+AX2252</f>
        <v>0</v>
      </c>
      <c r="BD2252" s="93">
        <f>H2252/(100-BE2252)*100</f>
        <v>0</v>
      </c>
      <c r="BE2252" s="93">
        <v>0</v>
      </c>
      <c r="BF2252" s="93">
        <f>O2252</f>
        <v>0</v>
      </c>
      <c r="BH2252" s="93">
        <f>G2252*AO2252</f>
        <v>0</v>
      </c>
      <c r="BI2252" s="93">
        <f>G2252*AP2252</f>
        <v>0</v>
      </c>
      <c r="BJ2252" s="93">
        <f>G2252*H2252</f>
        <v>0</v>
      </c>
      <c r="BK2252" s="93"/>
      <c r="BL2252" s="93"/>
      <c r="BW2252" s="93" t="str">
        <f>I2252</f>
        <v>21</v>
      </c>
      <c r="BX2252" s="2" t="s">
        <v>154</v>
      </c>
    </row>
    <row r="2253" spans="1:76" s="81" customFormat="1" x14ac:dyDescent="0.25">
      <c r="A2253" s="95"/>
      <c r="B2253" s="95"/>
      <c r="C2253" s="95"/>
      <c r="D2253" s="76" t="s">
        <v>2976</v>
      </c>
      <c r="E2253" s="76" t="s">
        <v>54</v>
      </c>
      <c r="F2253" s="95"/>
      <c r="G2253" s="96">
        <v>322.15724999999998</v>
      </c>
      <c r="H2253" s="95"/>
      <c r="I2253" s="95"/>
      <c r="J2253" s="95"/>
      <c r="K2253" s="95"/>
      <c r="L2253" s="95"/>
      <c r="M2253" s="95"/>
      <c r="N2253" s="95"/>
      <c r="O2253" s="95"/>
      <c r="P2253" s="95"/>
    </row>
    <row r="2254" spans="1:76" s="81" customFormat="1" ht="25.5" x14ac:dyDescent="0.25">
      <c r="A2254" s="72" t="s">
        <v>2977</v>
      </c>
      <c r="B2254" s="72" t="s">
        <v>55</v>
      </c>
      <c r="C2254" s="72" t="s">
        <v>156</v>
      </c>
      <c r="D2254" s="175" t="s">
        <v>2978</v>
      </c>
      <c r="E2254" s="175"/>
      <c r="F2254" s="72" t="s">
        <v>62</v>
      </c>
      <c r="G2254" s="90">
        <v>1279.7572500000001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2935</v>
      </c>
      <c r="AZ2254" s="94" t="s">
        <v>2936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2978</v>
      </c>
    </row>
    <row r="2255" spans="1:76" s="81" customFormat="1" x14ac:dyDescent="0.25">
      <c r="A2255" s="95"/>
      <c r="B2255" s="95"/>
      <c r="C2255" s="95"/>
      <c r="D2255" s="76" t="s">
        <v>2976</v>
      </c>
      <c r="E2255" s="76" t="s">
        <v>2979</v>
      </c>
      <c r="F2255" s="95"/>
      <c r="G2255" s="96">
        <v>322.15724999999998</v>
      </c>
      <c r="H2255" s="95"/>
      <c r="I2255" s="95"/>
      <c r="J2255" s="95"/>
      <c r="K2255" s="95"/>
      <c r="L2255" s="95"/>
      <c r="M2255" s="95"/>
      <c r="N2255" s="95"/>
      <c r="O2255" s="95"/>
      <c r="P2255" s="95"/>
    </row>
    <row r="2256" spans="1:76" s="81" customFormat="1" x14ac:dyDescent="0.25">
      <c r="A2256" s="95"/>
      <c r="B2256" s="95"/>
      <c r="C2256" s="95"/>
      <c r="D2256" s="76" t="s">
        <v>2980</v>
      </c>
      <c r="E2256" s="76" t="s">
        <v>2981</v>
      </c>
      <c r="F2256" s="95"/>
      <c r="G2256" s="96">
        <v>957.6</v>
      </c>
      <c r="H2256" s="95"/>
      <c r="I2256" s="95"/>
      <c r="J2256" s="95"/>
      <c r="K2256" s="95"/>
      <c r="L2256" s="95"/>
      <c r="M2256" s="95"/>
      <c r="N2256" s="95"/>
      <c r="O2256" s="95"/>
      <c r="P2256" s="95"/>
    </row>
    <row r="2257" spans="1:76" s="81" customFormat="1" ht="25.5" x14ac:dyDescent="0.25">
      <c r="A2257" s="72" t="s">
        <v>2982</v>
      </c>
      <c r="B2257" s="72" t="s">
        <v>55</v>
      </c>
      <c r="C2257" s="72" t="s">
        <v>163</v>
      </c>
      <c r="D2257" s="175" t="s">
        <v>164</v>
      </c>
      <c r="E2257" s="175"/>
      <c r="F2257" s="72" t="s">
        <v>62</v>
      </c>
      <c r="G2257" s="90">
        <v>957.6</v>
      </c>
      <c r="H2257" s="91"/>
      <c r="I2257" s="92" t="s">
        <v>63</v>
      </c>
      <c r="J2257" s="90">
        <f>G2257*AO2257</f>
        <v>0</v>
      </c>
      <c r="K2257" s="90">
        <f>G2257*AP2257</f>
        <v>0</v>
      </c>
      <c r="L2257" s="90">
        <f>G2257*H2257</f>
        <v>0</v>
      </c>
      <c r="M2257" s="90">
        <f>L2257*(1+BW2257/100)</f>
        <v>0</v>
      </c>
      <c r="N2257" s="90">
        <v>0</v>
      </c>
      <c r="O2257" s="90">
        <f>G2257*N2257</f>
        <v>0</v>
      </c>
      <c r="P2257" s="92" t="s">
        <v>64</v>
      </c>
      <c r="Z2257" s="93">
        <f>IF(AQ2257="5",BJ2257,0)</f>
        <v>0</v>
      </c>
      <c r="AB2257" s="93">
        <f>IF(AQ2257="1",BH2257,0)</f>
        <v>0</v>
      </c>
      <c r="AC2257" s="93">
        <f>IF(AQ2257="1",BI2257,0)</f>
        <v>0</v>
      </c>
      <c r="AD2257" s="93">
        <f>IF(AQ2257="7",BH2257,0)</f>
        <v>0</v>
      </c>
      <c r="AE2257" s="93">
        <f>IF(AQ2257="7",BI2257,0)</f>
        <v>0</v>
      </c>
      <c r="AF2257" s="93">
        <f>IF(AQ2257="2",BH2257,0)</f>
        <v>0</v>
      </c>
      <c r="AG2257" s="93">
        <f>IF(AQ2257="2",BI2257,0)</f>
        <v>0</v>
      </c>
      <c r="AH2257" s="93">
        <f>IF(AQ2257="0",BJ2257,0)</f>
        <v>0</v>
      </c>
      <c r="AI2257" s="88" t="s">
        <v>55</v>
      </c>
      <c r="AJ2257" s="93">
        <f>IF(AN2257=0,L2257,0)</f>
        <v>0</v>
      </c>
      <c r="AK2257" s="93">
        <f>IF(AN2257=12,L2257,0)</f>
        <v>0</v>
      </c>
      <c r="AL2257" s="93">
        <f>IF(AN2257=21,L2257,0)</f>
        <v>0</v>
      </c>
      <c r="AN2257" s="93">
        <v>21</v>
      </c>
      <c r="AO2257" s="93">
        <f>H2257*0</f>
        <v>0</v>
      </c>
      <c r="AP2257" s="93">
        <f>H2257*(1-0)</f>
        <v>0</v>
      </c>
      <c r="AQ2257" s="94" t="s">
        <v>148</v>
      </c>
      <c r="AV2257" s="93">
        <f>AW2257+AX2257</f>
        <v>0</v>
      </c>
      <c r="AW2257" s="93">
        <f>G2257*AO2257</f>
        <v>0</v>
      </c>
      <c r="AX2257" s="93">
        <f>G2257*AP2257</f>
        <v>0</v>
      </c>
      <c r="AY2257" s="94" t="s">
        <v>2935</v>
      </c>
      <c r="AZ2257" s="94" t="s">
        <v>2936</v>
      </c>
      <c r="BA2257" s="88" t="s">
        <v>67</v>
      </c>
      <c r="BC2257" s="93">
        <f>AW2257+AX2257</f>
        <v>0</v>
      </c>
      <c r="BD2257" s="93">
        <f>H2257/(100-BE2257)*100</f>
        <v>0</v>
      </c>
      <c r="BE2257" s="93">
        <v>0</v>
      </c>
      <c r="BF2257" s="93">
        <f>O2257</f>
        <v>0</v>
      </c>
      <c r="BH2257" s="93">
        <f>G2257*AO2257</f>
        <v>0</v>
      </c>
      <c r="BI2257" s="93">
        <f>G2257*AP2257</f>
        <v>0</v>
      </c>
      <c r="BJ2257" s="93">
        <f>G2257*H2257</f>
        <v>0</v>
      </c>
      <c r="BK2257" s="93"/>
      <c r="BL2257" s="93"/>
      <c r="BW2257" s="93" t="str">
        <f>I2257</f>
        <v>21</v>
      </c>
      <c r="BX2257" s="2" t="s">
        <v>164</v>
      </c>
    </row>
    <row r="2258" spans="1:76" s="81" customFormat="1" x14ac:dyDescent="0.25">
      <c r="A2258" s="95"/>
      <c r="B2258" s="95"/>
      <c r="C2258" s="95"/>
      <c r="D2258" s="76" t="s">
        <v>54</v>
      </c>
      <c r="E2258" s="76" t="s">
        <v>2983</v>
      </c>
      <c r="F2258" s="95"/>
      <c r="G2258" s="96">
        <v>0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x14ac:dyDescent="0.25">
      <c r="A2259" s="95"/>
      <c r="B2259" s="95"/>
      <c r="C2259" s="95"/>
      <c r="D2259" s="76" t="s">
        <v>2984</v>
      </c>
      <c r="E2259" s="76" t="s">
        <v>54</v>
      </c>
      <c r="F2259" s="95"/>
      <c r="G2259" s="96">
        <v>143.1</v>
      </c>
      <c r="H2259" s="95"/>
      <c r="I2259" s="95"/>
      <c r="J2259" s="95"/>
      <c r="K2259" s="95"/>
      <c r="L2259" s="95"/>
      <c r="M2259" s="95"/>
      <c r="N2259" s="95"/>
      <c r="O2259" s="95"/>
      <c r="P2259" s="95"/>
    </row>
    <row r="2260" spans="1:76" s="81" customFormat="1" x14ac:dyDescent="0.25">
      <c r="A2260" s="95"/>
      <c r="B2260" s="95"/>
      <c r="C2260" s="95"/>
      <c r="D2260" s="76" t="s">
        <v>54</v>
      </c>
      <c r="E2260" s="76" t="s">
        <v>2985</v>
      </c>
      <c r="F2260" s="95"/>
      <c r="G2260" s="96">
        <v>0</v>
      </c>
      <c r="H2260" s="95"/>
      <c r="I2260" s="95"/>
      <c r="J2260" s="95"/>
      <c r="K2260" s="95"/>
      <c r="L2260" s="95"/>
      <c r="M2260" s="95"/>
      <c r="N2260" s="95"/>
      <c r="O2260" s="95"/>
      <c r="P2260" s="95"/>
    </row>
    <row r="2261" spans="1:76" s="81" customFormat="1" x14ac:dyDescent="0.25">
      <c r="A2261" s="95"/>
      <c r="B2261" s="95"/>
      <c r="C2261" s="95"/>
      <c r="D2261" s="76" t="s">
        <v>2986</v>
      </c>
      <c r="E2261" s="76" t="s">
        <v>54</v>
      </c>
      <c r="F2261" s="95"/>
      <c r="G2261" s="96">
        <v>77.599999999999994</v>
      </c>
      <c r="H2261" s="95"/>
      <c r="I2261" s="95"/>
      <c r="J2261" s="95"/>
      <c r="K2261" s="95"/>
      <c r="L2261" s="95"/>
      <c r="M2261" s="95"/>
      <c r="N2261" s="95"/>
      <c r="O2261" s="95"/>
      <c r="P2261" s="95"/>
    </row>
    <row r="2262" spans="1:76" s="81" customFormat="1" x14ac:dyDescent="0.25">
      <c r="A2262" s="95"/>
      <c r="B2262" s="95"/>
      <c r="C2262" s="95"/>
      <c r="D2262" s="76" t="s">
        <v>54</v>
      </c>
      <c r="E2262" s="76" t="s">
        <v>2947</v>
      </c>
      <c r="F2262" s="95"/>
      <c r="G2262" s="96">
        <v>0</v>
      </c>
      <c r="H2262" s="95"/>
      <c r="I2262" s="95"/>
      <c r="J2262" s="95"/>
      <c r="K2262" s="95"/>
      <c r="L2262" s="95"/>
      <c r="M2262" s="95"/>
      <c r="N2262" s="95"/>
      <c r="O2262" s="95"/>
      <c r="P2262" s="95"/>
    </row>
    <row r="2263" spans="1:76" s="81" customFormat="1" x14ac:dyDescent="0.25">
      <c r="A2263" s="95"/>
      <c r="B2263" s="95"/>
      <c r="C2263" s="95"/>
      <c r="D2263" s="76" t="s">
        <v>2987</v>
      </c>
      <c r="E2263" s="76" t="s">
        <v>54</v>
      </c>
      <c r="F2263" s="95"/>
      <c r="G2263" s="96">
        <v>61.8</v>
      </c>
      <c r="H2263" s="95"/>
      <c r="I2263" s="95"/>
      <c r="J2263" s="95"/>
      <c r="K2263" s="95"/>
      <c r="L2263" s="95"/>
      <c r="M2263" s="95"/>
      <c r="N2263" s="95"/>
      <c r="O2263" s="95"/>
      <c r="P2263" s="95"/>
    </row>
    <row r="2264" spans="1:76" s="81" customFormat="1" x14ac:dyDescent="0.25">
      <c r="A2264" s="95"/>
      <c r="B2264" s="95"/>
      <c r="C2264" s="95"/>
      <c r="D2264" s="76" t="s">
        <v>54</v>
      </c>
      <c r="E2264" s="76" t="s">
        <v>2949</v>
      </c>
      <c r="F2264" s="95"/>
      <c r="G2264" s="96">
        <v>0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95"/>
      <c r="B2265" s="95"/>
      <c r="C2265" s="95"/>
      <c r="D2265" s="76" t="s">
        <v>2988</v>
      </c>
      <c r="E2265" s="76" t="s">
        <v>54</v>
      </c>
      <c r="F2265" s="95"/>
      <c r="G2265" s="96">
        <v>675.1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72" t="s">
        <v>2989</v>
      </c>
      <c r="B2266" s="72" t="s">
        <v>55</v>
      </c>
      <c r="C2266" s="72" t="s">
        <v>2990</v>
      </c>
      <c r="D2266" s="175" t="s">
        <v>2991</v>
      </c>
      <c r="E2266" s="175"/>
      <c r="F2266" s="72" t="s">
        <v>62</v>
      </c>
      <c r="G2266" s="90">
        <v>136.30000000000001</v>
      </c>
      <c r="H2266" s="91"/>
      <c r="I2266" s="92" t="s">
        <v>63</v>
      </c>
      <c r="J2266" s="90">
        <f>G2266*AO2266</f>
        <v>0</v>
      </c>
      <c r="K2266" s="90">
        <f>G2266*AP2266</f>
        <v>0</v>
      </c>
      <c r="L2266" s="90">
        <f>G2266*H2266</f>
        <v>0</v>
      </c>
      <c r="M2266" s="90">
        <f>L2266*(1+BW2266/100)</f>
        <v>0</v>
      </c>
      <c r="N2266" s="90">
        <v>1.67</v>
      </c>
      <c r="O2266" s="90">
        <f>G2266*N2266</f>
        <v>227.62100000000001</v>
      </c>
      <c r="P2266" s="92" t="s">
        <v>64</v>
      </c>
      <c r="Z2266" s="93">
        <f>IF(AQ2266="5",BJ2266,0)</f>
        <v>0</v>
      </c>
      <c r="AB2266" s="93">
        <f>IF(AQ2266="1",BH2266,0)</f>
        <v>0</v>
      </c>
      <c r="AC2266" s="93">
        <f>IF(AQ2266="1",BI2266,0)</f>
        <v>0</v>
      </c>
      <c r="AD2266" s="93">
        <f>IF(AQ2266="7",BH2266,0)</f>
        <v>0</v>
      </c>
      <c r="AE2266" s="93">
        <f>IF(AQ2266="7",BI2266,0)</f>
        <v>0</v>
      </c>
      <c r="AF2266" s="93">
        <f>IF(AQ2266="2",BH2266,0)</f>
        <v>0</v>
      </c>
      <c r="AG2266" s="93">
        <f>IF(AQ2266="2",BI2266,0)</f>
        <v>0</v>
      </c>
      <c r="AH2266" s="93">
        <f>IF(AQ2266="0",BJ2266,0)</f>
        <v>0</v>
      </c>
      <c r="AI2266" s="88" t="s">
        <v>55</v>
      </c>
      <c r="AJ2266" s="93">
        <f>IF(AN2266=0,L2266,0)</f>
        <v>0</v>
      </c>
      <c r="AK2266" s="93">
        <f>IF(AN2266=12,L2266,0)</f>
        <v>0</v>
      </c>
      <c r="AL2266" s="93">
        <f>IF(AN2266=21,L2266,0)</f>
        <v>0</v>
      </c>
      <c r="AN2266" s="93">
        <v>21</v>
      </c>
      <c r="AO2266" s="93">
        <f>H2266*0.309007113</f>
        <v>0</v>
      </c>
      <c r="AP2266" s="93">
        <f>H2266*(1-0.309007113)</f>
        <v>0</v>
      </c>
      <c r="AQ2266" s="94" t="s">
        <v>148</v>
      </c>
      <c r="AV2266" s="93">
        <f>AW2266+AX2266</f>
        <v>0</v>
      </c>
      <c r="AW2266" s="93">
        <f>G2266*AO2266</f>
        <v>0</v>
      </c>
      <c r="AX2266" s="93">
        <f>G2266*AP2266</f>
        <v>0</v>
      </c>
      <c r="AY2266" s="94" t="s">
        <v>2935</v>
      </c>
      <c r="AZ2266" s="94" t="s">
        <v>2936</v>
      </c>
      <c r="BA2266" s="88" t="s">
        <v>67</v>
      </c>
      <c r="BC2266" s="93">
        <f>AW2266+AX2266</f>
        <v>0</v>
      </c>
      <c r="BD2266" s="93">
        <f>H2266/(100-BE2266)*100</f>
        <v>0</v>
      </c>
      <c r="BE2266" s="93">
        <v>0</v>
      </c>
      <c r="BF2266" s="93">
        <f>O2266</f>
        <v>227.62100000000001</v>
      </c>
      <c r="BH2266" s="93">
        <f>G2266*AO2266</f>
        <v>0</v>
      </c>
      <c r="BI2266" s="93">
        <f>G2266*AP2266</f>
        <v>0</v>
      </c>
      <c r="BJ2266" s="93">
        <f>G2266*H2266</f>
        <v>0</v>
      </c>
      <c r="BK2266" s="93"/>
      <c r="BL2266" s="93"/>
      <c r="BW2266" s="93" t="str">
        <f>I2266</f>
        <v>21</v>
      </c>
      <c r="BX2266" s="2" t="s">
        <v>2991</v>
      </c>
    </row>
    <row r="2267" spans="1:76" s="81" customFormat="1" x14ac:dyDescent="0.25">
      <c r="A2267" s="95"/>
      <c r="B2267" s="95"/>
      <c r="C2267" s="95"/>
      <c r="D2267" s="76" t="s">
        <v>54</v>
      </c>
      <c r="E2267" s="76" t="s">
        <v>2947</v>
      </c>
      <c r="F2267" s="95"/>
      <c r="G2267" s="96">
        <v>0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x14ac:dyDescent="0.25">
      <c r="A2268" s="95"/>
      <c r="B2268" s="95"/>
      <c r="C2268" s="95"/>
      <c r="D2268" s="76" t="s">
        <v>2992</v>
      </c>
      <c r="E2268" s="76" t="s">
        <v>54</v>
      </c>
      <c r="F2268" s="95"/>
      <c r="G2268" s="96">
        <v>28.7</v>
      </c>
      <c r="H2268" s="95"/>
      <c r="I2268" s="95"/>
      <c r="J2268" s="95"/>
      <c r="K2268" s="95"/>
      <c r="L2268" s="95"/>
      <c r="M2268" s="95"/>
      <c r="N2268" s="95"/>
      <c r="O2268" s="95"/>
      <c r="P2268" s="95"/>
    </row>
    <row r="2269" spans="1:76" s="81" customFormat="1" x14ac:dyDescent="0.25">
      <c r="A2269" s="95"/>
      <c r="B2269" s="95"/>
      <c r="C2269" s="95"/>
      <c r="D2269" s="76" t="s">
        <v>54</v>
      </c>
      <c r="E2269" s="76" t="s">
        <v>2949</v>
      </c>
      <c r="F2269" s="95"/>
      <c r="G2269" s="96">
        <v>0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x14ac:dyDescent="0.25">
      <c r="A2270" s="95"/>
      <c r="B2270" s="95"/>
      <c r="C2270" s="95"/>
      <c r="D2270" s="76" t="s">
        <v>2993</v>
      </c>
      <c r="E2270" s="76" t="s">
        <v>54</v>
      </c>
      <c r="F2270" s="95"/>
      <c r="G2270" s="96">
        <v>107.6</v>
      </c>
      <c r="H2270" s="95"/>
      <c r="I2270" s="95"/>
      <c r="J2270" s="95"/>
      <c r="K2270" s="95"/>
      <c r="L2270" s="95"/>
      <c r="M2270" s="95"/>
      <c r="N2270" s="95"/>
      <c r="O2270" s="95"/>
      <c r="P2270" s="95"/>
    </row>
    <row r="2271" spans="1:76" s="81" customFormat="1" ht="25.5" x14ac:dyDescent="0.25">
      <c r="A2271" s="72" t="s">
        <v>2994</v>
      </c>
      <c r="B2271" s="72" t="s">
        <v>55</v>
      </c>
      <c r="C2271" s="72" t="s">
        <v>2995</v>
      </c>
      <c r="D2271" s="175" t="s">
        <v>2996</v>
      </c>
      <c r="E2271" s="175"/>
      <c r="F2271" s="72" t="s">
        <v>62</v>
      </c>
      <c r="G2271" s="90">
        <v>957.6</v>
      </c>
      <c r="H2271" s="91"/>
      <c r="I2271" s="92" t="s">
        <v>63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0</v>
      </c>
      <c r="O2271" s="90">
        <f>G2271*N2271</f>
        <v>0</v>
      </c>
      <c r="P2271" s="92" t="s">
        <v>64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55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</f>
        <v>0</v>
      </c>
      <c r="AP2271" s="93">
        <f>H2271*(1-0)</f>
        <v>0</v>
      </c>
      <c r="AQ2271" s="94" t="s">
        <v>148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2935</v>
      </c>
      <c r="AZ2271" s="94" t="s">
        <v>2936</v>
      </c>
      <c r="BA2271" s="88" t="s">
        <v>67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2996</v>
      </c>
    </row>
    <row r="2272" spans="1:76" s="81" customFormat="1" ht="25.5" x14ac:dyDescent="0.25">
      <c r="A2272" s="72" t="s">
        <v>2997</v>
      </c>
      <c r="B2272" s="72" t="s">
        <v>55</v>
      </c>
      <c r="C2272" s="72" t="s">
        <v>2998</v>
      </c>
      <c r="D2272" s="175" t="s">
        <v>2999</v>
      </c>
      <c r="E2272" s="175"/>
      <c r="F2272" s="72" t="s">
        <v>192</v>
      </c>
      <c r="G2272" s="90">
        <v>94.6</v>
      </c>
      <c r="H2272" s="91"/>
      <c r="I2272" s="92" t="s">
        <v>63</v>
      </c>
      <c r="J2272" s="90">
        <f>G2272*AO2272</f>
        <v>0</v>
      </c>
      <c r="K2272" s="90">
        <f>G2272*AP2272</f>
        <v>0</v>
      </c>
      <c r="L2272" s="90">
        <f>G2272*H2272</f>
        <v>0</v>
      </c>
      <c r="M2272" s="90">
        <f>L2272*(1+BW2272/100)</f>
        <v>0</v>
      </c>
      <c r="N2272" s="90">
        <v>3.0000000000000001E-5</v>
      </c>
      <c r="O2272" s="90">
        <f>G2272*N2272</f>
        <v>2.8379999999999998E-3</v>
      </c>
      <c r="P2272" s="92" t="s">
        <v>64</v>
      </c>
      <c r="Z2272" s="93">
        <f>IF(AQ2272="5",BJ2272,0)</f>
        <v>0</v>
      </c>
      <c r="AB2272" s="93">
        <f>IF(AQ2272="1",BH2272,0)</f>
        <v>0</v>
      </c>
      <c r="AC2272" s="93">
        <f>IF(AQ2272="1",BI2272,0)</f>
        <v>0</v>
      </c>
      <c r="AD2272" s="93">
        <f>IF(AQ2272="7",BH2272,0)</f>
        <v>0</v>
      </c>
      <c r="AE2272" s="93">
        <f>IF(AQ2272="7",BI2272,0)</f>
        <v>0</v>
      </c>
      <c r="AF2272" s="93">
        <f>IF(AQ2272="2",BH2272,0)</f>
        <v>0</v>
      </c>
      <c r="AG2272" s="93">
        <f>IF(AQ2272="2",BI2272,0)</f>
        <v>0</v>
      </c>
      <c r="AH2272" s="93">
        <f>IF(AQ2272="0",BJ2272,0)</f>
        <v>0</v>
      </c>
      <c r="AI2272" s="88" t="s">
        <v>55</v>
      </c>
      <c r="AJ2272" s="93">
        <f>IF(AN2272=0,L2272,0)</f>
        <v>0</v>
      </c>
      <c r="AK2272" s="93">
        <f>IF(AN2272=12,L2272,0)</f>
        <v>0</v>
      </c>
      <c r="AL2272" s="93">
        <f>IF(AN2272=21,L2272,0)</f>
        <v>0</v>
      </c>
      <c r="AN2272" s="93">
        <v>21</v>
      </c>
      <c r="AO2272" s="93">
        <f>H2272*0.053326011</f>
        <v>0</v>
      </c>
      <c r="AP2272" s="93">
        <f>H2272*(1-0.053326011)</f>
        <v>0</v>
      </c>
      <c r="AQ2272" s="94" t="s">
        <v>148</v>
      </c>
      <c r="AV2272" s="93">
        <f>AW2272+AX2272</f>
        <v>0</v>
      </c>
      <c r="AW2272" s="93">
        <f>G2272*AO2272</f>
        <v>0</v>
      </c>
      <c r="AX2272" s="93">
        <f>G2272*AP2272</f>
        <v>0</v>
      </c>
      <c r="AY2272" s="94" t="s">
        <v>2935</v>
      </c>
      <c r="AZ2272" s="94" t="s">
        <v>2936</v>
      </c>
      <c r="BA2272" s="88" t="s">
        <v>67</v>
      </c>
      <c r="BC2272" s="93">
        <f>AW2272+AX2272</f>
        <v>0</v>
      </c>
      <c r="BD2272" s="93">
        <f>H2272/(100-BE2272)*100</f>
        <v>0</v>
      </c>
      <c r="BE2272" s="93">
        <v>0</v>
      </c>
      <c r="BF2272" s="93">
        <f>O2272</f>
        <v>2.8379999999999998E-3</v>
      </c>
      <c r="BH2272" s="93">
        <f>G2272*AO2272</f>
        <v>0</v>
      </c>
      <c r="BI2272" s="93">
        <f>G2272*AP2272</f>
        <v>0</v>
      </c>
      <c r="BJ2272" s="93">
        <f>G2272*H2272</f>
        <v>0</v>
      </c>
      <c r="BK2272" s="93"/>
      <c r="BL2272" s="93"/>
      <c r="BW2272" s="93" t="str">
        <f>I2272</f>
        <v>21</v>
      </c>
      <c r="BX2272" s="2" t="s">
        <v>2999</v>
      </c>
    </row>
    <row r="2273" spans="1:76" s="81" customFormat="1" ht="13.5" customHeight="1" x14ac:dyDescent="0.25">
      <c r="A2273" s="95"/>
      <c r="B2273" s="95"/>
      <c r="C2273" s="95"/>
      <c r="D2273" s="182" t="s">
        <v>3000</v>
      </c>
      <c r="E2273" s="182"/>
      <c r="F2273" s="182"/>
      <c r="G2273" s="182"/>
      <c r="H2273" s="182"/>
      <c r="I2273" s="182"/>
      <c r="J2273" s="182"/>
      <c r="K2273" s="182"/>
      <c r="L2273" s="182"/>
      <c r="M2273" s="182"/>
      <c r="N2273" s="182"/>
      <c r="O2273" s="182"/>
      <c r="P2273" s="182"/>
    </row>
    <row r="2274" spans="1:76" s="81" customFormat="1" ht="25.5" x14ac:dyDescent="0.25">
      <c r="A2274" s="72" t="s">
        <v>3001</v>
      </c>
      <c r="B2274" s="72" t="s">
        <v>55</v>
      </c>
      <c r="C2274" s="72" t="s">
        <v>3002</v>
      </c>
      <c r="D2274" s="175" t="s">
        <v>3003</v>
      </c>
      <c r="E2274" s="175"/>
      <c r="F2274" s="72" t="s">
        <v>192</v>
      </c>
      <c r="G2274" s="90">
        <v>243.22499999999999</v>
      </c>
      <c r="H2274" s="91"/>
      <c r="I2274" s="92" t="s">
        <v>63</v>
      </c>
      <c r="J2274" s="90">
        <f>G2274*AO2274</f>
        <v>0</v>
      </c>
      <c r="K2274" s="90">
        <f>G2274*AP2274</f>
        <v>0</v>
      </c>
      <c r="L2274" s="90">
        <f>G2274*H2274</f>
        <v>0</v>
      </c>
      <c r="M2274" s="90">
        <f>L2274*(1+BW2274/100)</f>
        <v>0</v>
      </c>
      <c r="N2274" s="90">
        <v>1.8000000000000001E-4</v>
      </c>
      <c r="O2274" s="90">
        <f>G2274*N2274</f>
        <v>4.37805E-2</v>
      </c>
      <c r="P2274" s="92" t="s">
        <v>64</v>
      </c>
      <c r="Z2274" s="93">
        <f>IF(AQ2274="5",BJ2274,0)</f>
        <v>0</v>
      </c>
      <c r="AB2274" s="93">
        <f>IF(AQ2274="1",BH2274,0)</f>
        <v>0</v>
      </c>
      <c r="AC2274" s="93">
        <f>IF(AQ2274="1",BI2274,0)</f>
        <v>0</v>
      </c>
      <c r="AD2274" s="93">
        <f>IF(AQ2274="7",BH2274,0)</f>
        <v>0</v>
      </c>
      <c r="AE2274" s="93">
        <f>IF(AQ2274="7",BI2274,0)</f>
        <v>0</v>
      </c>
      <c r="AF2274" s="93">
        <f>IF(AQ2274="2",BH2274,0)</f>
        <v>0</v>
      </c>
      <c r="AG2274" s="93">
        <f>IF(AQ2274="2",BI2274,0)</f>
        <v>0</v>
      </c>
      <c r="AH2274" s="93">
        <f>IF(AQ2274="0",BJ2274,0)</f>
        <v>0</v>
      </c>
      <c r="AI2274" s="88" t="s">
        <v>55</v>
      </c>
      <c r="AJ2274" s="93">
        <f>IF(AN2274=0,L2274,0)</f>
        <v>0</v>
      </c>
      <c r="AK2274" s="93">
        <f>IF(AN2274=12,L2274,0)</f>
        <v>0</v>
      </c>
      <c r="AL2274" s="93">
        <f>IF(AN2274=21,L2274,0)</f>
        <v>0</v>
      </c>
      <c r="AN2274" s="93">
        <v>21</v>
      </c>
      <c r="AO2274" s="93">
        <f>H2274*0.092624378</f>
        <v>0</v>
      </c>
      <c r="AP2274" s="93">
        <f>H2274*(1-0.092624378)</f>
        <v>0</v>
      </c>
      <c r="AQ2274" s="94" t="s">
        <v>148</v>
      </c>
      <c r="AV2274" s="93">
        <f>AW2274+AX2274</f>
        <v>0</v>
      </c>
      <c r="AW2274" s="93">
        <f>G2274*AO2274</f>
        <v>0</v>
      </c>
      <c r="AX2274" s="93">
        <f>G2274*AP2274</f>
        <v>0</v>
      </c>
      <c r="AY2274" s="94" t="s">
        <v>2935</v>
      </c>
      <c r="AZ2274" s="94" t="s">
        <v>2936</v>
      </c>
      <c r="BA2274" s="88" t="s">
        <v>67</v>
      </c>
      <c r="BC2274" s="93">
        <f>AW2274+AX2274</f>
        <v>0</v>
      </c>
      <c r="BD2274" s="93">
        <f>H2274/(100-BE2274)*100</f>
        <v>0</v>
      </c>
      <c r="BE2274" s="93">
        <v>0</v>
      </c>
      <c r="BF2274" s="93">
        <f>O2274</f>
        <v>4.37805E-2</v>
      </c>
      <c r="BH2274" s="93">
        <f>G2274*AO2274</f>
        <v>0</v>
      </c>
      <c r="BI2274" s="93">
        <f>G2274*AP2274</f>
        <v>0</v>
      </c>
      <c r="BJ2274" s="93">
        <f>G2274*H2274</f>
        <v>0</v>
      </c>
      <c r="BK2274" s="93"/>
      <c r="BL2274" s="93"/>
      <c r="BW2274" s="93" t="str">
        <f>I2274</f>
        <v>21</v>
      </c>
      <c r="BX2274" s="2" t="s">
        <v>3003</v>
      </c>
    </row>
    <row r="2275" spans="1:76" s="81" customFormat="1" x14ac:dyDescent="0.25">
      <c r="A2275" s="95"/>
      <c r="B2275" s="95"/>
      <c r="C2275" s="95"/>
      <c r="D2275" s="76" t="s">
        <v>3004</v>
      </c>
      <c r="E2275" s="76" t="s">
        <v>54</v>
      </c>
      <c r="F2275" s="95"/>
      <c r="G2275" s="96">
        <v>243.22499999999999</v>
      </c>
      <c r="H2275" s="95"/>
      <c r="I2275" s="95"/>
      <c r="J2275" s="95"/>
      <c r="K2275" s="95"/>
      <c r="L2275" s="95"/>
      <c r="M2275" s="95"/>
      <c r="N2275" s="95"/>
      <c r="O2275" s="95"/>
      <c r="P2275" s="95"/>
    </row>
    <row r="2276" spans="1:76" s="81" customFormat="1" ht="25.5" x14ac:dyDescent="0.25">
      <c r="A2276" s="72" t="s">
        <v>3005</v>
      </c>
      <c r="B2276" s="72" t="s">
        <v>55</v>
      </c>
      <c r="C2276" s="72" t="s">
        <v>3006</v>
      </c>
      <c r="D2276" s="175" t="s">
        <v>3007</v>
      </c>
      <c r="E2276" s="175"/>
      <c r="F2276" s="72" t="s">
        <v>62</v>
      </c>
      <c r="G2276" s="90">
        <v>45</v>
      </c>
      <c r="H2276" s="91"/>
      <c r="I2276" s="92" t="s">
        <v>63</v>
      </c>
      <c r="J2276" s="90">
        <f>G2276*AO2276</f>
        <v>0</v>
      </c>
      <c r="K2276" s="90">
        <f>G2276*AP2276</f>
        <v>0</v>
      </c>
      <c r="L2276" s="90">
        <f>G2276*H2276</f>
        <v>0</v>
      </c>
      <c r="M2276" s="90">
        <f>L2276*(1+BW2276/100)</f>
        <v>0</v>
      </c>
      <c r="N2276" s="90">
        <v>1.63</v>
      </c>
      <c r="O2276" s="90">
        <f>G2276*N2276</f>
        <v>73.349999999999994</v>
      </c>
      <c r="P2276" s="92" t="s">
        <v>64</v>
      </c>
      <c r="Z2276" s="93">
        <f>IF(AQ2276="5",BJ2276,0)</f>
        <v>0</v>
      </c>
      <c r="AB2276" s="93">
        <f>IF(AQ2276="1",BH2276,0)</f>
        <v>0</v>
      </c>
      <c r="AC2276" s="93">
        <f>IF(AQ2276="1",BI2276,0)</f>
        <v>0</v>
      </c>
      <c r="AD2276" s="93">
        <f>IF(AQ2276="7",BH2276,0)</f>
        <v>0</v>
      </c>
      <c r="AE2276" s="93">
        <f>IF(AQ2276="7",BI2276,0)</f>
        <v>0</v>
      </c>
      <c r="AF2276" s="93">
        <f>IF(AQ2276="2",BH2276,0)</f>
        <v>0</v>
      </c>
      <c r="AG2276" s="93">
        <f>IF(AQ2276="2",BI2276,0)</f>
        <v>0</v>
      </c>
      <c r="AH2276" s="93">
        <f>IF(AQ2276="0",BJ2276,0)</f>
        <v>0</v>
      </c>
      <c r="AI2276" s="88" t="s">
        <v>55</v>
      </c>
      <c r="AJ2276" s="93">
        <f>IF(AN2276=0,L2276,0)</f>
        <v>0</v>
      </c>
      <c r="AK2276" s="93">
        <f>IF(AN2276=12,L2276,0)</f>
        <v>0</v>
      </c>
      <c r="AL2276" s="93">
        <f>IF(AN2276=21,L2276,0)</f>
        <v>0</v>
      </c>
      <c r="AN2276" s="93">
        <v>21</v>
      </c>
      <c r="AO2276" s="93">
        <f>H2276*0.696431751</f>
        <v>0</v>
      </c>
      <c r="AP2276" s="93">
        <f>H2276*(1-0.696431751)</f>
        <v>0</v>
      </c>
      <c r="AQ2276" s="94" t="s">
        <v>148</v>
      </c>
      <c r="AV2276" s="93">
        <f>AW2276+AX2276</f>
        <v>0</v>
      </c>
      <c r="AW2276" s="93">
        <f>G2276*AO2276</f>
        <v>0</v>
      </c>
      <c r="AX2276" s="93">
        <f>G2276*AP2276</f>
        <v>0</v>
      </c>
      <c r="AY2276" s="94" t="s">
        <v>2935</v>
      </c>
      <c r="AZ2276" s="94" t="s">
        <v>2936</v>
      </c>
      <c r="BA2276" s="88" t="s">
        <v>67</v>
      </c>
      <c r="BC2276" s="93">
        <f>AW2276+AX2276</f>
        <v>0</v>
      </c>
      <c r="BD2276" s="93">
        <f>H2276/(100-BE2276)*100</f>
        <v>0</v>
      </c>
      <c r="BE2276" s="93">
        <v>0</v>
      </c>
      <c r="BF2276" s="93">
        <f>O2276</f>
        <v>73.349999999999994</v>
      </c>
      <c r="BH2276" s="93">
        <f>G2276*AO2276</f>
        <v>0</v>
      </c>
      <c r="BI2276" s="93">
        <f>G2276*AP2276</f>
        <v>0</v>
      </c>
      <c r="BJ2276" s="93">
        <f>G2276*H2276</f>
        <v>0</v>
      </c>
      <c r="BK2276" s="93"/>
      <c r="BL2276" s="93"/>
      <c r="BW2276" s="93" t="str">
        <f>I2276</f>
        <v>21</v>
      </c>
      <c r="BX2276" s="2" t="s">
        <v>3007</v>
      </c>
    </row>
    <row r="2277" spans="1:76" s="81" customFormat="1" x14ac:dyDescent="0.25">
      <c r="A2277" s="95"/>
      <c r="B2277" s="95"/>
      <c r="C2277" s="95"/>
      <c r="D2277" s="76" t="s">
        <v>3008</v>
      </c>
      <c r="E2277" s="76" t="s">
        <v>54</v>
      </c>
      <c r="F2277" s="95"/>
      <c r="G2277" s="96">
        <v>45</v>
      </c>
      <c r="H2277" s="95"/>
      <c r="I2277" s="95"/>
      <c r="J2277" s="95"/>
      <c r="K2277" s="95"/>
      <c r="L2277" s="95"/>
      <c r="M2277" s="95"/>
      <c r="N2277" s="95"/>
      <c r="O2277" s="95"/>
      <c r="P2277" s="95"/>
    </row>
    <row r="2278" spans="1:76" s="81" customFormat="1" ht="25.5" x14ac:dyDescent="0.25">
      <c r="A2278" s="72" t="s">
        <v>3009</v>
      </c>
      <c r="B2278" s="72" t="s">
        <v>55</v>
      </c>
      <c r="C2278" s="72" t="s">
        <v>3010</v>
      </c>
      <c r="D2278" s="175" t="s">
        <v>3011</v>
      </c>
      <c r="E2278" s="175"/>
      <c r="F2278" s="72" t="s">
        <v>62</v>
      </c>
      <c r="G2278" s="90">
        <v>14.04</v>
      </c>
      <c r="H2278" s="91"/>
      <c r="I2278" s="92" t="s">
        <v>63</v>
      </c>
      <c r="J2278" s="90">
        <f>G2278*AO2278</f>
        <v>0</v>
      </c>
      <c r="K2278" s="90">
        <f>G2278*AP2278</f>
        <v>0</v>
      </c>
      <c r="L2278" s="90">
        <f>G2278*H2278</f>
        <v>0</v>
      </c>
      <c r="M2278" s="90">
        <f>L2278*(1+BW2278/100)</f>
        <v>0</v>
      </c>
      <c r="N2278" s="90">
        <v>1.665</v>
      </c>
      <c r="O2278" s="90">
        <f>G2278*N2278</f>
        <v>23.3766</v>
      </c>
      <c r="P2278" s="92" t="s">
        <v>64</v>
      </c>
      <c r="Z2278" s="93">
        <f>IF(AQ2278="5",BJ2278,0)</f>
        <v>0</v>
      </c>
      <c r="AB2278" s="93">
        <f>IF(AQ2278="1",BH2278,0)</f>
        <v>0</v>
      </c>
      <c r="AC2278" s="93">
        <f>IF(AQ2278="1",BI2278,0)</f>
        <v>0</v>
      </c>
      <c r="AD2278" s="93">
        <f>IF(AQ2278="7",BH2278,0)</f>
        <v>0</v>
      </c>
      <c r="AE2278" s="93">
        <f>IF(AQ2278="7",BI2278,0)</f>
        <v>0</v>
      </c>
      <c r="AF2278" s="93">
        <f>IF(AQ2278="2",BH2278,0)</f>
        <v>0</v>
      </c>
      <c r="AG2278" s="93">
        <f>IF(AQ2278="2",BI2278,0)</f>
        <v>0</v>
      </c>
      <c r="AH2278" s="93">
        <f>IF(AQ2278="0",BJ2278,0)</f>
        <v>0</v>
      </c>
      <c r="AI2278" s="88" t="s">
        <v>55</v>
      </c>
      <c r="AJ2278" s="93">
        <f>IF(AN2278=0,L2278,0)</f>
        <v>0</v>
      </c>
      <c r="AK2278" s="93">
        <f>IF(AN2278=12,L2278,0)</f>
        <v>0</v>
      </c>
      <c r="AL2278" s="93">
        <f>IF(AN2278=21,L2278,0)</f>
        <v>0</v>
      </c>
      <c r="AN2278" s="93">
        <v>21</v>
      </c>
      <c r="AO2278" s="93">
        <f>H2278*0.741006329</f>
        <v>0</v>
      </c>
      <c r="AP2278" s="93">
        <f>H2278*(1-0.741006329)</f>
        <v>0</v>
      </c>
      <c r="AQ2278" s="94" t="s">
        <v>148</v>
      </c>
      <c r="AV2278" s="93">
        <f>AW2278+AX2278</f>
        <v>0</v>
      </c>
      <c r="AW2278" s="93">
        <f>G2278*AO2278</f>
        <v>0</v>
      </c>
      <c r="AX2278" s="93">
        <f>G2278*AP2278</f>
        <v>0</v>
      </c>
      <c r="AY2278" s="94" t="s">
        <v>2935</v>
      </c>
      <c r="AZ2278" s="94" t="s">
        <v>2936</v>
      </c>
      <c r="BA2278" s="88" t="s">
        <v>67</v>
      </c>
      <c r="BC2278" s="93">
        <f>AW2278+AX2278</f>
        <v>0</v>
      </c>
      <c r="BD2278" s="93">
        <f>H2278/(100-BE2278)*100</f>
        <v>0</v>
      </c>
      <c r="BE2278" s="93">
        <v>0</v>
      </c>
      <c r="BF2278" s="93">
        <f>O2278</f>
        <v>23.3766</v>
      </c>
      <c r="BH2278" s="93">
        <f>G2278*AO2278</f>
        <v>0</v>
      </c>
      <c r="BI2278" s="93">
        <f>G2278*AP2278</f>
        <v>0</v>
      </c>
      <c r="BJ2278" s="93">
        <f>G2278*H2278</f>
        <v>0</v>
      </c>
      <c r="BK2278" s="93"/>
      <c r="BL2278" s="93"/>
      <c r="BW2278" s="93" t="str">
        <f>I2278</f>
        <v>21</v>
      </c>
      <c r="BX2278" s="2" t="s">
        <v>3011</v>
      </c>
    </row>
    <row r="2279" spans="1:76" s="81" customFormat="1" x14ac:dyDescent="0.25">
      <c r="A2279" s="95"/>
      <c r="B2279" s="95"/>
      <c r="C2279" s="95"/>
      <c r="D2279" s="76" t="s">
        <v>54</v>
      </c>
      <c r="E2279" s="76" t="s">
        <v>3012</v>
      </c>
      <c r="F2279" s="95"/>
      <c r="G2279" s="96">
        <v>0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x14ac:dyDescent="0.25">
      <c r="A2280" s="95"/>
      <c r="B2280" s="95"/>
      <c r="C2280" s="95"/>
      <c r="D2280" s="76" t="s">
        <v>3013</v>
      </c>
      <c r="E2280" s="76" t="s">
        <v>54</v>
      </c>
      <c r="F2280" s="95"/>
      <c r="G2280" s="96">
        <v>14.04</v>
      </c>
      <c r="H2280" s="95"/>
      <c r="I2280" s="95"/>
      <c r="J2280" s="95"/>
      <c r="K2280" s="95"/>
      <c r="L2280" s="95"/>
      <c r="M2280" s="95"/>
      <c r="N2280" s="95"/>
      <c r="O2280" s="95"/>
      <c r="P2280" s="95"/>
    </row>
    <row r="2281" spans="1:76" s="81" customFormat="1" ht="25.5" x14ac:dyDescent="0.25">
      <c r="A2281" s="72" t="s">
        <v>3014</v>
      </c>
      <c r="B2281" s="72" t="s">
        <v>55</v>
      </c>
      <c r="C2281" s="72" t="s">
        <v>3015</v>
      </c>
      <c r="D2281" s="175" t="s">
        <v>3016</v>
      </c>
      <c r="E2281" s="175"/>
      <c r="F2281" s="72" t="s">
        <v>62</v>
      </c>
      <c r="G2281" s="90">
        <v>38.6</v>
      </c>
      <c r="H2281" s="91"/>
      <c r="I2281" s="92" t="s">
        <v>63</v>
      </c>
      <c r="J2281" s="90">
        <f>G2281*AO2281</f>
        <v>0</v>
      </c>
      <c r="K2281" s="90">
        <f>G2281*AP2281</f>
        <v>0</v>
      </c>
      <c r="L2281" s="90">
        <f>G2281*H2281</f>
        <v>0</v>
      </c>
      <c r="M2281" s="90">
        <f>L2281*(1+BW2281/100)</f>
        <v>0</v>
      </c>
      <c r="N2281" s="90">
        <v>1.8907700000000001</v>
      </c>
      <c r="O2281" s="90">
        <f>G2281*N2281</f>
        <v>72.983722</v>
      </c>
      <c r="P2281" s="92" t="s">
        <v>64</v>
      </c>
      <c r="Z2281" s="93">
        <f>IF(AQ2281="5",BJ2281,0)</f>
        <v>0</v>
      </c>
      <c r="AB2281" s="93">
        <f>IF(AQ2281="1",BH2281,0)</f>
        <v>0</v>
      </c>
      <c r="AC2281" s="93">
        <f>IF(AQ2281="1",BI2281,0)</f>
        <v>0</v>
      </c>
      <c r="AD2281" s="93">
        <f>IF(AQ2281="7",BH2281,0)</f>
        <v>0</v>
      </c>
      <c r="AE2281" s="93">
        <f>IF(AQ2281="7",BI2281,0)</f>
        <v>0</v>
      </c>
      <c r="AF2281" s="93">
        <f>IF(AQ2281="2",BH2281,0)</f>
        <v>0</v>
      </c>
      <c r="AG2281" s="93">
        <f>IF(AQ2281="2",BI2281,0)</f>
        <v>0</v>
      </c>
      <c r="AH2281" s="93">
        <f>IF(AQ2281="0",BJ2281,0)</f>
        <v>0</v>
      </c>
      <c r="AI2281" s="88" t="s">
        <v>55</v>
      </c>
      <c r="AJ2281" s="93">
        <f>IF(AN2281=0,L2281,0)</f>
        <v>0</v>
      </c>
      <c r="AK2281" s="93">
        <f>IF(AN2281=12,L2281,0)</f>
        <v>0</v>
      </c>
      <c r="AL2281" s="93">
        <f>IF(AN2281=21,L2281,0)</f>
        <v>0</v>
      </c>
      <c r="AN2281" s="93">
        <v>21</v>
      </c>
      <c r="AO2281" s="93">
        <f>H2281*0.488167006</f>
        <v>0</v>
      </c>
      <c r="AP2281" s="93">
        <f>H2281*(1-0.488167006)</f>
        <v>0</v>
      </c>
      <c r="AQ2281" s="94" t="s">
        <v>148</v>
      </c>
      <c r="AV2281" s="93">
        <f>AW2281+AX2281</f>
        <v>0</v>
      </c>
      <c r="AW2281" s="93">
        <f>G2281*AO2281</f>
        <v>0</v>
      </c>
      <c r="AX2281" s="93">
        <f>G2281*AP2281</f>
        <v>0</v>
      </c>
      <c r="AY2281" s="94" t="s">
        <v>2935</v>
      </c>
      <c r="AZ2281" s="94" t="s">
        <v>2936</v>
      </c>
      <c r="BA2281" s="88" t="s">
        <v>67</v>
      </c>
      <c r="BC2281" s="93">
        <f>AW2281+AX2281</f>
        <v>0</v>
      </c>
      <c r="BD2281" s="93">
        <f>H2281/(100-BE2281)*100</f>
        <v>0</v>
      </c>
      <c r="BE2281" s="93">
        <v>0</v>
      </c>
      <c r="BF2281" s="93">
        <f>O2281</f>
        <v>72.983722</v>
      </c>
      <c r="BH2281" s="93">
        <f>G2281*AO2281</f>
        <v>0</v>
      </c>
      <c r="BI2281" s="93">
        <f>G2281*AP2281</f>
        <v>0</v>
      </c>
      <c r="BJ2281" s="93">
        <f>G2281*H2281</f>
        <v>0</v>
      </c>
      <c r="BK2281" s="93"/>
      <c r="BL2281" s="93"/>
      <c r="BW2281" s="93" t="str">
        <f>I2281</f>
        <v>21</v>
      </c>
      <c r="BX2281" s="2" t="s">
        <v>3016</v>
      </c>
    </row>
    <row r="2282" spans="1:76" s="81" customFormat="1" x14ac:dyDescent="0.25">
      <c r="A2282" s="95"/>
      <c r="B2282" s="95"/>
      <c r="C2282" s="95"/>
      <c r="D2282" s="76" t="s">
        <v>54</v>
      </c>
      <c r="E2282" s="76" t="s">
        <v>3017</v>
      </c>
      <c r="F2282" s="95"/>
      <c r="G2282" s="96">
        <v>0</v>
      </c>
      <c r="H2282" s="95"/>
      <c r="I2282" s="95"/>
      <c r="J2282" s="95"/>
      <c r="K2282" s="95"/>
      <c r="L2282" s="95"/>
      <c r="M2282" s="95"/>
      <c r="N2282" s="95"/>
      <c r="O2282" s="95"/>
      <c r="P2282" s="95"/>
    </row>
    <row r="2283" spans="1:76" s="81" customFormat="1" x14ac:dyDescent="0.25">
      <c r="A2283" s="95"/>
      <c r="B2283" s="95"/>
      <c r="C2283" s="95"/>
      <c r="D2283" s="76" t="s">
        <v>54</v>
      </c>
      <c r="E2283" s="76" t="s">
        <v>2947</v>
      </c>
      <c r="F2283" s="95"/>
      <c r="G2283" s="96">
        <v>0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x14ac:dyDescent="0.25">
      <c r="A2284" s="95"/>
      <c r="B2284" s="95"/>
      <c r="C2284" s="95"/>
      <c r="D2284" s="76" t="s">
        <v>3018</v>
      </c>
      <c r="E2284" s="76" t="s">
        <v>54</v>
      </c>
      <c r="F2284" s="95"/>
      <c r="G2284" s="96">
        <v>8.6</v>
      </c>
      <c r="H2284" s="95"/>
      <c r="I2284" s="95"/>
      <c r="J2284" s="95"/>
      <c r="K2284" s="95"/>
      <c r="L2284" s="95"/>
      <c r="M2284" s="95"/>
      <c r="N2284" s="95"/>
      <c r="O2284" s="95"/>
      <c r="P2284" s="95"/>
    </row>
    <row r="2285" spans="1:76" s="81" customFormat="1" x14ac:dyDescent="0.25">
      <c r="A2285" s="95"/>
      <c r="B2285" s="95"/>
      <c r="C2285" s="95"/>
      <c r="D2285" s="76" t="s">
        <v>54</v>
      </c>
      <c r="E2285" s="76" t="s">
        <v>2949</v>
      </c>
      <c r="F2285" s="95"/>
      <c r="G2285" s="96">
        <v>0</v>
      </c>
      <c r="H2285" s="95"/>
      <c r="I2285" s="95"/>
      <c r="J2285" s="95"/>
      <c r="K2285" s="95"/>
      <c r="L2285" s="95"/>
      <c r="M2285" s="95"/>
      <c r="N2285" s="95"/>
      <c r="O2285" s="95"/>
      <c r="P2285" s="95"/>
    </row>
    <row r="2286" spans="1:76" s="81" customFormat="1" x14ac:dyDescent="0.25">
      <c r="A2286" s="95"/>
      <c r="B2286" s="95"/>
      <c r="C2286" s="95"/>
      <c r="D2286" s="76" t="s">
        <v>291</v>
      </c>
      <c r="E2286" s="76" t="s">
        <v>54</v>
      </c>
      <c r="F2286" s="95"/>
      <c r="G2286" s="96">
        <v>30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ht="25.5" x14ac:dyDescent="0.25">
      <c r="A2287" s="72" t="s">
        <v>3019</v>
      </c>
      <c r="B2287" s="72" t="s">
        <v>55</v>
      </c>
      <c r="C2287" s="72" t="s">
        <v>3020</v>
      </c>
      <c r="D2287" s="175" t="s">
        <v>3021</v>
      </c>
      <c r="E2287" s="175"/>
      <c r="F2287" s="72" t="s">
        <v>62</v>
      </c>
      <c r="G2287" s="90">
        <v>2.6</v>
      </c>
      <c r="H2287" s="91"/>
      <c r="I2287" s="92" t="s">
        <v>63</v>
      </c>
      <c r="J2287" s="90">
        <f>G2287*AO2287</f>
        <v>0</v>
      </c>
      <c r="K2287" s="90">
        <f>G2287*AP2287</f>
        <v>0</v>
      </c>
      <c r="L2287" s="90">
        <f>G2287*H2287</f>
        <v>0</v>
      </c>
      <c r="M2287" s="90">
        <f>L2287*(1+BW2287/100)</f>
        <v>0</v>
      </c>
      <c r="N2287" s="90">
        <v>2.5</v>
      </c>
      <c r="O2287" s="90">
        <f>G2287*N2287</f>
        <v>6.5</v>
      </c>
      <c r="P2287" s="92" t="s">
        <v>64</v>
      </c>
      <c r="Z2287" s="93">
        <f>IF(AQ2287="5",BJ2287,0)</f>
        <v>0</v>
      </c>
      <c r="AB2287" s="93">
        <f>IF(AQ2287="1",BH2287,0)</f>
        <v>0</v>
      </c>
      <c r="AC2287" s="93">
        <f>IF(AQ2287="1",BI2287,0)</f>
        <v>0</v>
      </c>
      <c r="AD2287" s="93">
        <f>IF(AQ2287="7",BH2287,0)</f>
        <v>0</v>
      </c>
      <c r="AE2287" s="93">
        <f>IF(AQ2287="7",BI2287,0)</f>
        <v>0</v>
      </c>
      <c r="AF2287" s="93">
        <f>IF(AQ2287="2",BH2287,0)</f>
        <v>0</v>
      </c>
      <c r="AG2287" s="93">
        <f>IF(AQ2287="2",BI2287,0)</f>
        <v>0</v>
      </c>
      <c r="AH2287" s="93">
        <f>IF(AQ2287="0",BJ2287,0)</f>
        <v>0</v>
      </c>
      <c r="AI2287" s="88" t="s">
        <v>55</v>
      </c>
      <c r="AJ2287" s="93">
        <f>IF(AN2287=0,L2287,0)</f>
        <v>0</v>
      </c>
      <c r="AK2287" s="93">
        <f>IF(AN2287=12,L2287,0)</f>
        <v>0</v>
      </c>
      <c r="AL2287" s="93">
        <f>IF(AN2287=21,L2287,0)</f>
        <v>0</v>
      </c>
      <c r="AN2287" s="93">
        <v>21</v>
      </c>
      <c r="AO2287" s="93">
        <f>H2287*0.816246784</f>
        <v>0</v>
      </c>
      <c r="AP2287" s="93">
        <f>H2287*(1-0.816246784)</f>
        <v>0</v>
      </c>
      <c r="AQ2287" s="94" t="s">
        <v>148</v>
      </c>
      <c r="AV2287" s="93">
        <f>AW2287+AX2287</f>
        <v>0</v>
      </c>
      <c r="AW2287" s="93">
        <f>G2287*AO2287</f>
        <v>0</v>
      </c>
      <c r="AX2287" s="93">
        <f>G2287*AP2287</f>
        <v>0</v>
      </c>
      <c r="AY2287" s="94" t="s">
        <v>2935</v>
      </c>
      <c r="AZ2287" s="94" t="s">
        <v>2936</v>
      </c>
      <c r="BA2287" s="88" t="s">
        <v>67</v>
      </c>
      <c r="BC2287" s="93">
        <f>AW2287+AX2287</f>
        <v>0</v>
      </c>
      <c r="BD2287" s="93">
        <f>H2287/(100-BE2287)*100</f>
        <v>0</v>
      </c>
      <c r="BE2287" s="93">
        <v>0</v>
      </c>
      <c r="BF2287" s="93">
        <f>O2287</f>
        <v>6.5</v>
      </c>
      <c r="BH2287" s="93">
        <f>G2287*AO2287</f>
        <v>0</v>
      </c>
      <c r="BI2287" s="93">
        <f>G2287*AP2287</f>
        <v>0</v>
      </c>
      <c r="BJ2287" s="93">
        <f>G2287*H2287</f>
        <v>0</v>
      </c>
      <c r="BK2287" s="93"/>
      <c r="BL2287" s="93"/>
      <c r="BW2287" s="93" t="str">
        <f>I2287</f>
        <v>21</v>
      </c>
      <c r="BX2287" s="2" t="s">
        <v>3021</v>
      </c>
    </row>
    <row r="2288" spans="1:76" s="81" customFormat="1" ht="25.5" x14ac:dyDescent="0.25">
      <c r="A2288" s="72" t="s">
        <v>3022</v>
      </c>
      <c r="B2288" s="72" t="s">
        <v>55</v>
      </c>
      <c r="C2288" s="72" t="s">
        <v>3023</v>
      </c>
      <c r="D2288" s="175" t="s">
        <v>3024</v>
      </c>
      <c r="E2288" s="175"/>
      <c r="F2288" s="72" t="s">
        <v>62</v>
      </c>
      <c r="G2288" s="90">
        <v>3.5</v>
      </c>
      <c r="H2288" s="91"/>
      <c r="I2288" s="92" t="s">
        <v>63</v>
      </c>
      <c r="J2288" s="90">
        <f>G2288*AO2288</f>
        <v>0</v>
      </c>
      <c r="K2288" s="90">
        <f>G2288*AP2288</f>
        <v>0</v>
      </c>
      <c r="L2288" s="90">
        <f>G2288*H2288</f>
        <v>0</v>
      </c>
      <c r="M2288" s="90">
        <f>L2288*(1+BW2288/100)</f>
        <v>0</v>
      </c>
      <c r="N2288" s="90">
        <v>2.0880000000000001</v>
      </c>
      <c r="O2288" s="90">
        <f>G2288*N2288</f>
        <v>7.3079999999999998</v>
      </c>
      <c r="P2288" s="92" t="s">
        <v>64</v>
      </c>
      <c r="Z2288" s="93">
        <f>IF(AQ2288="5",BJ2288,0)</f>
        <v>0</v>
      </c>
      <c r="AB2288" s="93">
        <f>IF(AQ2288="1",BH2288,0)</f>
        <v>0</v>
      </c>
      <c r="AC2288" s="93">
        <f>IF(AQ2288="1",BI2288,0)</f>
        <v>0</v>
      </c>
      <c r="AD2288" s="93">
        <f>IF(AQ2288="7",BH2288,0)</f>
        <v>0</v>
      </c>
      <c r="AE2288" s="93">
        <f>IF(AQ2288="7",BI2288,0)</f>
        <v>0</v>
      </c>
      <c r="AF2288" s="93">
        <f>IF(AQ2288="2",BH2288,0)</f>
        <v>0</v>
      </c>
      <c r="AG2288" s="93">
        <f>IF(AQ2288="2",BI2288,0)</f>
        <v>0</v>
      </c>
      <c r="AH2288" s="93">
        <f>IF(AQ2288="0",BJ2288,0)</f>
        <v>0</v>
      </c>
      <c r="AI2288" s="88" t="s">
        <v>55</v>
      </c>
      <c r="AJ2288" s="93">
        <f>IF(AN2288=0,L2288,0)</f>
        <v>0</v>
      </c>
      <c r="AK2288" s="93">
        <f>IF(AN2288=12,L2288,0)</f>
        <v>0</v>
      </c>
      <c r="AL2288" s="93">
        <f>IF(AN2288=21,L2288,0)</f>
        <v>0</v>
      </c>
      <c r="AN2288" s="93">
        <v>21</v>
      </c>
      <c r="AO2288" s="93">
        <f>H2288*0.54148532</f>
        <v>0</v>
      </c>
      <c r="AP2288" s="93">
        <f>H2288*(1-0.54148532)</f>
        <v>0</v>
      </c>
      <c r="AQ2288" s="94" t="s">
        <v>148</v>
      </c>
      <c r="AV2288" s="93">
        <f>AW2288+AX2288</f>
        <v>0</v>
      </c>
      <c r="AW2288" s="93">
        <f>G2288*AO2288</f>
        <v>0</v>
      </c>
      <c r="AX2288" s="93">
        <f>G2288*AP2288</f>
        <v>0</v>
      </c>
      <c r="AY2288" s="94" t="s">
        <v>2935</v>
      </c>
      <c r="AZ2288" s="94" t="s">
        <v>2936</v>
      </c>
      <c r="BA2288" s="88" t="s">
        <v>67</v>
      </c>
      <c r="BC2288" s="93">
        <f>AW2288+AX2288</f>
        <v>0</v>
      </c>
      <c r="BD2288" s="93">
        <f>H2288/(100-BE2288)*100</f>
        <v>0</v>
      </c>
      <c r="BE2288" s="93">
        <v>0</v>
      </c>
      <c r="BF2288" s="93">
        <f>O2288</f>
        <v>7.3079999999999998</v>
      </c>
      <c r="BH2288" s="93">
        <f>G2288*AO2288</f>
        <v>0</v>
      </c>
      <c r="BI2288" s="93">
        <f>G2288*AP2288</f>
        <v>0</v>
      </c>
      <c r="BJ2288" s="93">
        <f>G2288*H2288</f>
        <v>0</v>
      </c>
      <c r="BK2288" s="93"/>
      <c r="BL2288" s="93"/>
      <c r="BW2288" s="93" t="str">
        <f>I2288</f>
        <v>21</v>
      </c>
      <c r="BX2288" s="2" t="s">
        <v>3024</v>
      </c>
    </row>
    <row r="2289" spans="1:76" s="81" customFormat="1" ht="25.5" x14ac:dyDescent="0.25">
      <c r="A2289" s="72" t="s">
        <v>3025</v>
      </c>
      <c r="B2289" s="72" t="s">
        <v>55</v>
      </c>
      <c r="C2289" s="72" t="s">
        <v>3026</v>
      </c>
      <c r="D2289" s="175" t="s">
        <v>3027</v>
      </c>
      <c r="E2289" s="175"/>
      <c r="F2289" s="72" t="s">
        <v>203</v>
      </c>
      <c r="G2289" s="90">
        <v>12</v>
      </c>
      <c r="H2289" s="91"/>
      <c r="I2289" s="92" t="s">
        <v>63</v>
      </c>
      <c r="J2289" s="90">
        <f>G2289*AO2289</f>
        <v>0</v>
      </c>
      <c r="K2289" s="90">
        <f>G2289*AP2289</f>
        <v>0</v>
      </c>
      <c r="L2289" s="90">
        <f>G2289*H2289</f>
        <v>0</v>
      </c>
      <c r="M2289" s="90">
        <f>L2289*(1+BW2289/100)</f>
        <v>0</v>
      </c>
      <c r="N2289" s="90">
        <v>1.191E-2</v>
      </c>
      <c r="O2289" s="90">
        <f>G2289*N2289</f>
        <v>0.14291999999999999</v>
      </c>
      <c r="P2289" s="92" t="s">
        <v>371</v>
      </c>
      <c r="Z2289" s="93">
        <f>IF(AQ2289="5",BJ2289,0)</f>
        <v>0</v>
      </c>
      <c r="AB2289" s="93">
        <f>IF(AQ2289="1",BH2289,0)</f>
        <v>0</v>
      </c>
      <c r="AC2289" s="93">
        <f>IF(AQ2289="1",BI2289,0)</f>
        <v>0</v>
      </c>
      <c r="AD2289" s="93">
        <f>IF(AQ2289="7",BH2289,0)</f>
        <v>0</v>
      </c>
      <c r="AE2289" s="93">
        <f>IF(AQ2289="7",BI2289,0)</f>
        <v>0</v>
      </c>
      <c r="AF2289" s="93">
        <f>IF(AQ2289="2",BH2289,0)</f>
        <v>0</v>
      </c>
      <c r="AG2289" s="93">
        <f>IF(AQ2289="2",BI2289,0)</f>
        <v>0</v>
      </c>
      <c r="AH2289" s="93">
        <f>IF(AQ2289="0",BJ2289,0)</f>
        <v>0</v>
      </c>
      <c r="AI2289" s="88" t="s">
        <v>55</v>
      </c>
      <c r="AJ2289" s="93">
        <f>IF(AN2289=0,L2289,0)</f>
        <v>0</v>
      </c>
      <c r="AK2289" s="93">
        <f>IF(AN2289=12,L2289,0)</f>
        <v>0</v>
      </c>
      <c r="AL2289" s="93">
        <f>IF(AN2289=21,L2289,0)</f>
        <v>0</v>
      </c>
      <c r="AN2289" s="93">
        <v>21</v>
      </c>
      <c r="AO2289" s="93">
        <f>H2289*0.971237113</f>
        <v>0</v>
      </c>
      <c r="AP2289" s="93">
        <f>H2289*(1-0.971237113)</f>
        <v>0</v>
      </c>
      <c r="AQ2289" s="94" t="s">
        <v>148</v>
      </c>
      <c r="AV2289" s="93">
        <f>AW2289+AX2289</f>
        <v>0</v>
      </c>
      <c r="AW2289" s="93">
        <f>G2289*AO2289</f>
        <v>0</v>
      </c>
      <c r="AX2289" s="93">
        <f>G2289*AP2289</f>
        <v>0</v>
      </c>
      <c r="AY2289" s="94" t="s">
        <v>2935</v>
      </c>
      <c r="AZ2289" s="94" t="s">
        <v>2936</v>
      </c>
      <c r="BA2289" s="88" t="s">
        <v>67</v>
      </c>
      <c r="BC2289" s="93">
        <f>AW2289+AX2289</f>
        <v>0</v>
      </c>
      <c r="BD2289" s="93">
        <f>H2289/(100-BE2289)*100</f>
        <v>0</v>
      </c>
      <c r="BE2289" s="93">
        <v>0</v>
      </c>
      <c r="BF2289" s="93">
        <f>O2289</f>
        <v>0.14291999999999999</v>
      </c>
      <c r="BH2289" s="93">
        <f>G2289*AO2289</f>
        <v>0</v>
      </c>
      <c r="BI2289" s="93">
        <f>G2289*AP2289</f>
        <v>0</v>
      </c>
      <c r="BJ2289" s="93">
        <f>G2289*H2289</f>
        <v>0</v>
      </c>
      <c r="BK2289" s="93"/>
      <c r="BL2289" s="93"/>
      <c r="BW2289" s="93" t="str">
        <f>I2289</f>
        <v>21</v>
      </c>
      <c r="BX2289" s="2" t="s">
        <v>3027</v>
      </c>
    </row>
    <row r="2290" spans="1:76" s="81" customFormat="1" ht="25.5" x14ac:dyDescent="0.25">
      <c r="A2290" s="72" t="s">
        <v>3028</v>
      </c>
      <c r="B2290" s="72" t="s">
        <v>55</v>
      </c>
      <c r="C2290" s="72" t="s">
        <v>3029</v>
      </c>
      <c r="D2290" s="175" t="s">
        <v>3030</v>
      </c>
      <c r="E2290" s="175"/>
      <c r="F2290" s="72" t="s">
        <v>213</v>
      </c>
      <c r="G2290" s="90">
        <v>82</v>
      </c>
      <c r="H2290" s="91"/>
      <c r="I2290" s="92" t="s">
        <v>63</v>
      </c>
      <c r="J2290" s="90">
        <f>G2290*AO2290</f>
        <v>0</v>
      </c>
      <c r="K2290" s="90">
        <f>G2290*AP2290</f>
        <v>0</v>
      </c>
      <c r="L2290" s="90">
        <f>G2290*H2290</f>
        <v>0</v>
      </c>
      <c r="M2290" s="90">
        <f>L2290*(1+BW2290/100)</f>
        <v>0</v>
      </c>
      <c r="N2290" s="90">
        <v>0</v>
      </c>
      <c r="O2290" s="90">
        <f>G2290*N2290</f>
        <v>0</v>
      </c>
      <c r="P2290" s="92" t="s">
        <v>64</v>
      </c>
      <c r="Z2290" s="93">
        <f>IF(AQ2290="5",BJ2290,0)</f>
        <v>0</v>
      </c>
      <c r="AB2290" s="93">
        <f>IF(AQ2290="1",BH2290,0)</f>
        <v>0</v>
      </c>
      <c r="AC2290" s="93">
        <f>IF(AQ2290="1",BI2290,0)</f>
        <v>0</v>
      </c>
      <c r="AD2290" s="93">
        <f>IF(AQ2290="7",BH2290,0)</f>
        <v>0</v>
      </c>
      <c r="AE2290" s="93">
        <f>IF(AQ2290="7",BI2290,0)</f>
        <v>0</v>
      </c>
      <c r="AF2290" s="93">
        <f>IF(AQ2290="2",BH2290,0)</f>
        <v>0</v>
      </c>
      <c r="AG2290" s="93">
        <f>IF(AQ2290="2",BI2290,0)</f>
        <v>0</v>
      </c>
      <c r="AH2290" s="93">
        <f>IF(AQ2290="0",BJ2290,0)</f>
        <v>0</v>
      </c>
      <c r="AI2290" s="88" t="s">
        <v>55</v>
      </c>
      <c r="AJ2290" s="93">
        <f>IF(AN2290=0,L2290,0)</f>
        <v>0</v>
      </c>
      <c r="AK2290" s="93">
        <f>IF(AN2290=12,L2290,0)</f>
        <v>0</v>
      </c>
      <c r="AL2290" s="93">
        <f>IF(AN2290=21,L2290,0)</f>
        <v>0</v>
      </c>
      <c r="AN2290" s="93">
        <v>21</v>
      </c>
      <c r="AO2290" s="93">
        <f>H2290*0</f>
        <v>0</v>
      </c>
      <c r="AP2290" s="93">
        <f>H2290*(1-0)</f>
        <v>0</v>
      </c>
      <c r="AQ2290" s="94" t="s">
        <v>148</v>
      </c>
      <c r="AV2290" s="93">
        <f>AW2290+AX2290</f>
        <v>0</v>
      </c>
      <c r="AW2290" s="93">
        <f>G2290*AO2290</f>
        <v>0</v>
      </c>
      <c r="AX2290" s="93">
        <f>G2290*AP2290</f>
        <v>0</v>
      </c>
      <c r="AY2290" s="94" t="s">
        <v>2935</v>
      </c>
      <c r="AZ2290" s="94" t="s">
        <v>2936</v>
      </c>
      <c r="BA2290" s="88" t="s">
        <v>67</v>
      </c>
      <c r="BC2290" s="93">
        <f>AW2290+AX2290</f>
        <v>0</v>
      </c>
      <c r="BD2290" s="93">
        <f>H2290/(100-BE2290)*100</f>
        <v>0</v>
      </c>
      <c r="BE2290" s="93">
        <v>0</v>
      </c>
      <c r="BF2290" s="93">
        <f>O2290</f>
        <v>0</v>
      </c>
      <c r="BH2290" s="93">
        <f>G2290*AO2290</f>
        <v>0</v>
      </c>
      <c r="BI2290" s="93">
        <f>G2290*AP2290</f>
        <v>0</v>
      </c>
      <c r="BJ2290" s="93">
        <f>G2290*H2290</f>
        <v>0</v>
      </c>
      <c r="BK2290" s="93"/>
      <c r="BL2290" s="93"/>
      <c r="BW2290" s="93" t="str">
        <f>I2290</f>
        <v>21</v>
      </c>
      <c r="BX2290" s="2" t="s">
        <v>3030</v>
      </c>
    </row>
    <row r="2291" spans="1:76" s="81" customFormat="1" ht="13.5" customHeight="1" x14ac:dyDescent="0.25">
      <c r="A2291" s="95"/>
      <c r="B2291" s="95"/>
      <c r="C2291" s="95"/>
      <c r="D2291" s="182" t="s">
        <v>3031</v>
      </c>
      <c r="E2291" s="182"/>
      <c r="F2291" s="182"/>
      <c r="G2291" s="182"/>
      <c r="H2291" s="182"/>
      <c r="I2291" s="182"/>
      <c r="J2291" s="182"/>
      <c r="K2291" s="182"/>
      <c r="L2291" s="182"/>
      <c r="M2291" s="182"/>
      <c r="N2291" s="182"/>
      <c r="O2291" s="182"/>
      <c r="P2291" s="182"/>
    </row>
    <row r="2292" spans="1:76" s="81" customFormat="1" ht="25.5" x14ac:dyDescent="0.25">
      <c r="A2292" s="72" t="s">
        <v>3032</v>
      </c>
      <c r="B2292" s="72" t="s">
        <v>55</v>
      </c>
      <c r="C2292" s="72" t="s">
        <v>3033</v>
      </c>
      <c r="D2292" s="175" t="s">
        <v>3034</v>
      </c>
      <c r="E2292" s="175"/>
      <c r="F2292" s="72" t="s">
        <v>213</v>
      </c>
      <c r="G2292" s="90">
        <v>86.1</v>
      </c>
      <c r="H2292" s="91"/>
      <c r="I2292" s="92" t="s">
        <v>63</v>
      </c>
      <c r="J2292" s="90">
        <f>G2292*AO2292</f>
        <v>0</v>
      </c>
      <c r="K2292" s="90">
        <f>G2292*AP2292</f>
        <v>0</v>
      </c>
      <c r="L2292" s="90">
        <f>G2292*H2292</f>
        <v>0</v>
      </c>
      <c r="M2292" s="90">
        <f>L2292*(1+BW2292/100)</f>
        <v>0</v>
      </c>
      <c r="N2292" s="90">
        <v>2.7999999999999998E-4</v>
      </c>
      <c r="O2292" s="90">
        <f>G2292*N2292</f>
        <v>2.4107999999999997E-2</v>
      </c>
      <c r="P2292" s="92" t="s">
        <v>64</v>
      </c>
      <c r="Z2292" s="93">
        <f>IF(AQ2292="5",BJ2292,0)</f>
        <v>0</v>
      </c>
      <c r="AB2292" s="93">
        <f>IF(AQ2292="1",BH2292,0)</f>
        <v>0</v>
      </c>
      <c r="AC2292" s="93">
        <f>IF(AQ2292="1",BI2292,0)</f>
        <v>0</v>
      </c>
      <c r="AD2292" s="93">
        <f>IF(AQ2292="7",BH2292,0)</f>
        <v>0</v>
      </c>
      <c r="AE2292" s="93">
        <f>IF(AQ2292="7",BI2292,0)</f>
        <v>0</v>
      </c>
      <c r="AF2292" s="93">
        <f>IF(AQ2292="2",BH2292,0)</f>
        <v>0</v>
      </c>
      <c r="AG2292" s="93">
        <f>IF(AQ2292="2",BI2292,0)</f>
        <v>0</v>
      </c>
      <c r="AH2292" s="93">
        <f>IF(AQ2292="0",BJ2292,0)</f>
        <v>0</v>
      </c>
      <c r="AI2292" s="88" t="s">
        <v>55</v>
      </c>
      <c r="AJ2292" s="93">
        <f>IF(AN2292=0,L2292,0)</f>
        <v>0</v>
      </c>
      <c r="AK2292" s="93">
        <f>IF(AN2292=12,L2292,0)</f>
        <v>0</v>
      </c>
      <c r="AL2292" s="93">
        <f>IF(AN2292=21,L2292,0)</f>
        <v>0</v>
      </c>
      <c r="AN2292" s="93">
        <v>21</v>
      </c>
      <c r="AO2292" s="93">
        <f>H2292*1</f>
        <v>0</v>
      </c>
      <c r="AP2292" s="93">
        <f>H2292*(1-1)</f>
        <v>0</v>
      </c>
      <c r="AQ2292" s="94" t="s">
        <v>148</v>
      </c>
      <c r="AV2292" s="93">
        <f>AW2292+AX2292</f>
        <v>0</v>
      </c>
      <c r="AW2292" s="93">
        <f>G2292*AO2292</f>
        <v>0</v>
      </c>
      <c r="AX2292" s="93">
        <f>G2292*AP2292</f>
        <v>0</v>
      </c>
      <c r="AY2292" s="94" t="s">
        <v>2935</v>
      </c>
      <c r="AZ2292" s="94" t="s">
        <v>2936</v>
      </c>
      <c r="BA2292" s="88" t="s">
        <v>67</v>
      </c>
      <c r="BC2292" s="93">
        <f>AW2292+AX2292</f>
        <v>0</v>
      </c>
      <c r="BD2292" s="93">
        <f>H2292/(100-BE2292)*100</f>
        <v>0</v>
      </c>
      <c r="BE2292" s="93">
        <v>0</v>
      </c>
      <c r="BF2292" s="93">
        <f>O2292</f>
        <v>2.4107999999999997E-2</v>
      </c>
      <c r="BH2292" s="93">
        <f>G2292*AO2292</f>
        <v>0</v>
      </c>
      <c r="BI2292" s="93">
        <f>G2292*AP2292</f>
        <v>0</v>
      </c>
      <c r="BJ2292" s="93">
        <f>G2292*H2292</f>
        <v>0</v>
      </c>
      <c r="BK2292" s="93"/>
      <c r="BL2292" s="93"/>
      <c r="BW2292" s="93" t="str">
        <f>I2292</f>
        <v>21</v>
      </c>
      <c r="BX2292" s="2" t="s">
        <v>3034</v>
      </c>
    </row>
    <row r="2293" spans="1:76" s="81" customFormat="1" x14ac:dyDescent="0.25">
      <c r="A2293" s="95"/>
      <c r="B2293" s="95"/>
      <c r="C2293" s="95"/>
      <c r="D2293" s="76" t="s">
        <v>674</v>
      </c>
      <c r="E2293" s="76" t="s">
        <v>54</v>
      </c>
      <c r="F2293" s="95"/>
      <c r="G2293" s="96">
        <v>82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x14ac:dyDescent="0.25">
      <c r="A2294" s="95"/>
      <c r="B2294" s="95"/>
      <c r="C2294" s="95"/>
      <c r="D2294" s="76" t="s">
        <v>3035</v>
      </c>
      <c r="E2294" s="76" t="s">
        <v>54</v>
      </c>
      <c r="F2294" s="95"/>
      <c r="G2294" s="96">
        <v>4.0999999999999996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ht="25.5" x14ac:dyDescent="0.25">
      <c r="A2295" s="72" t="s">
        <v>3036</v>
      </c>
      <c r="B2295" s="72" t="s">
        <v>55</v>
      </c>
      <c r="C2295" s="72" t="s">
        <v>3037</v>
      </c>
      <c r="D2295" s="175" t="s">
        <v>3038</v>
      </c>
      <c r="E2295" s="175"/>
      <c r="F2295" s="72" t="s">
        <v>213</v>
      </c>
      <c r="G2295" s="90">
        <v>18.2</v>
      </c>
      <c r="H2295" s="91"/>
      <c r="I2295" s="92" t="s">
        <v>63</v>
      </c>
      <c r="J2295" s="90">
        <f>G2295*AO2295</f>
        <v>0</v>
      </c>
      <c r="K2295" s="90">
        <f>G2295*AP2295</f>
        <v>0</v>
      </c>
      <c r="L2295" s="90">
        <f>G2295*H2295</f>
        <v>0</v>
      </c>
      <c r="M2295" s="90">
        <f>L2295*(1+BW2295/100)</f>
        <v>0</v>
      </c>
      <c r="N2295" s="90">
        <v>0</v>
      </c>
      <c r="O2295" s="90">
        <f>G2295*N2295</f>
        <v>0</v>
      </c>
      <c r="P2295" s="92" t="s">
        <v>64</v>
      </c>
      <c r="Z2295" s="93">
        <f>IF(AQ2295="5",BJ2295,0)</f>
        <v>0</v>
      </c>
      <c r="AB2295" s="93">
        <f>IF(AQ2295="1",BH2295,0)</f>
        <v>0</v>
      </c>
      <c r="AC2295" s="93">
        <f>IF(AQ2295="1",BI2295,0)</f>
        <v>0</v>
      </c>
      <c r="AD2295" s="93">
        <f>IF(AQ2295="7",BH2295,0)</f>
        <v>0</v>
      </c>
      <c r="AE2295" s="93">
        <f>IF(AQ2295="7",BI2295,0)</f>
        <v>0</v>
      </c>
      <c r="AF2295" s="93">
        <f>IF(AQ2295="2",BH2295,0)</f>
        <v>0</v>
      </c>
      <c r="AG2295" s="93">
        <f>IF(AQ2295="2",BI2295,0)</f>
        <v>0</v>
      </c>
      <c r="AH2295" s="93">
        <f>IF(AQ2295="0",BJ2295,0)</f>
        <v>0</v>
      </c>
      <c r="AI2295" s="88" t="s">
        <v>55</v>
      </c>
      <c r="AJ2295" s="93">
        <f>IF(AN2295=0,L2295,0)</f>
        <v>0</v>
      </c>
      <c r="AK2295" s="93">
        <f>IF(AN2295=12,L2295,0)</f>
        <v>0</v>
      </c>
      <c r="AL2295" s="93">
        <f>IF(AN2295=21,L2295,0)</f>
        <v>0</v>
      </c>
      <c r="AN2295" s="93">
        <v>21</v>
      </c>
      <c r="AO2295" s="93">
        <f>H2295*0</f>
        <v>0</v>
      </c>
      <c r="AP2295" s="93">
        <f>H2295*(1-0)</f>
        <v>0</v>
      </c>
      <c r="AQ2295" s="94" t="s">
        <v>148</v>
      </c>
      <c r="AV2295" s="93">
        <f>AW2295+AX2295</f>
        <v>0</v>
      </c>
      <c r="AW2295" s="93">
        <f>G2295*AO2295</f>
        <v>0</v>
      </c>
      <c r="AX2295" s="93">
        <f>G2295*AP2295</f>
        <v>0</v>
      </c>
      <c r="AY2295" s="94" t="s">
        <v>2935</v>
      </c>
      <c r="AZ2295" s="94" t="s">
        <v>2936</v>
      </c>
      <c r="BA2295" s="88" t="s">
        <v>67</v>
      </c>
      <c r="BC2295" s="93">
        <f>AW2295+AX2295</f>
        <v>0</v>
      </c>
      <c r="BD2295" s="93">
        <f>H2295/(100-BE2295)*100</f>
        <v>0</v>
      </c>
      <c r="BE2295" s="93">
        <v>0</v>
      </c>
      <c r="BF2295" s="93">
        <f>O2295</f>
        <v>0</v>
      </c>
      <c r="BH2295" s="93">
        <f>G2295*AO2295</f>
        <v>0</v>
      </c>
      <c r="BI2295" s="93">
        <f>G2295*AP2295</f>
        <v>0</v>
      </c>
      <c r="BJ2295" s="93">
        <f>G2295*H2295</f>
        <v>0</v>
      </c>
      <c r="BK2295" s="93"/>
      <c r="BL2295" s="93"/>
      <c r="BW2295" s="93" t="str">
        <f>I2295</f>
        <v>21</v>
      </c>
      <c r="BX2295" s="2" t="s">
        <v>3038</v>
      </c>
    </row>
    <row r="2296" spans="1:76" s="81" customFormat="1" ht="13.5" customHeight="1" x14ac:dyDescent="0.25">
      <c r="A2296" s="95"/>
      <c r="B2296" s="95"/>
      <c r="C2296" s="95"/>
      <c r="D2296" s="182" t="s">
        <v>3031</v>
      </c>
      <c r="E2296" s="182"/>
      <c r="F2296" s="182"/>
      <c r="G2296" s="182"/>
      <c r="H2296" s="182"/>
      <c r="I2296" s="182"/>
      <c r="J2296" s="182"/>
      <c r="K2296" s="182"/>
      <c r="L2296" s="182"/>
      <c r="M2296" s="182"/>
      <c r="N2296" s="182"/>
      <c r="O2296" s="182"/>
      <c r="P2296" s="182"/>
    </row>
    <row r="2297" spans="1:76" s="81" customFormat="1" ht="25.5" x14ac:dyDescent="0.25">
      <c r="A2297" s="72" t="s">
        <v>3039</v>
      </c>
      <c r="B2297" s="72" t="s">
        <v>55</v>
      </c>
      <c r="C2297" s="72" t="s">
        <v>3040</v>
      </c>
      <c r="D2297" s="175" t="s">
        <v>3041</v>
      </c>
      <c r="E2297" s="175"/>
      <c r="F2297" s="72" t="s">
        <v>213</v>
      </c>
      <c r="G2297" s="90">
        <v>19.11</v>
      </c>
      <c r="H2297" s="91"/>
      <c r="I2297" s="92" t="s">
        <v>63</v>
      </c>
      <c r="J2297" s="90">
        <f>G2297*AO2297</f>
        <v>0</v>
      </c>
      <c r="K2297" s="90">
        <f>G2297*AP2297</f>
        <v>0</v>
      </c>
      <c r="L2297" s="90">
        <f>G2297*H2297</f>
        <v>0</v>
      </c>
      <c r="M2297" s="90">
        <f>L2297*(1+BW2297/100)</f>
        <v>0</v>
      </c>
      <c r="N2297" s="90">
        <v>6.7000000000000002E-4</v>
      </c>
      <c r="O2297" s="90">
        <f>G2297*N2297</f>
        <v>1.2803699999999999E-2</v>
      </c>
      <c r="P2297" s="92" t="s">
        <v>64</v>
      </c>
      <c r="Z2297" s="93">
        <f>IF(AQ2297="5",BJ2297,0)</f>
        <v>0</v>
      </c>
      <c r="AB2297" s="93">
        <f>IF(AQ2297="1",BH2297,0)</f>
        <v>0</v>
      </c>
      <c r="AC2297" s="93">
        <f>IF(AQ2297="1",BI2297,0)</f>
        <v>0</v>
      </c>
      <c r="AD2297" s="93">
        <f>IF(AQ2297="7",BH2297,0)</f>
        <v>0</v>
      </c>
      <c r="AE2297" s="93">
        <f>IF(AQ2297="7",BI2297,0)</f>
        <v>0</v>
      </c>
      <c r="AF2297" s="93">
        <f>IF(AQ2297="2",BH2297,0)</f>
        <v>0</v>
      </c>
      <c r="AG2297" s="93">
        <f>IF(AQ2297="2",BI2297,0)</f>
        <v>0</v>
      </c>
      <c r="AH2297" s="93">
        <f>IF(AQ2297="0",BJ2297,0)</f>
        <v>0</v>
      </c>
      <c r="AI2297" s="88" t="s">
        <v>55</v>
      </c>
      <c r="AJ2297" s="93">
        <f>IF(AN2297=0,L2297,0)</f>
        <v>0</v>
      </c>
      <c r="AK2297" s="93">
        <f>IF(AN2297=12,L2297,0)</f>
        <v>0</v>
      </c>
      <c r="AL2297" s="93">
        <f>IF(AN2297=21,L2297,0)</f>
        <v>0</v>
      </c>
      <c r="AN2297" s="93">
        <v>21</v>
      </c>
      <c r="AO2297" s="93">
        <f>H2297*1</f>
        <v>0</v>
      </c>
      <c r="AP2297" s="93">
        <f>H2297*(1-1)</f>
        <v>0</v>
      </c>
      <c r="AQ2297" s="94" t="s">
        <v>148</v>
      </c>
      <c r="AV2297" s="93">
        <f>AW2297+AX2297</f>
        <v>0</v>
      </c>
      <c r="AW2297" s="93">
        <f>G2297*AO2297</f>
        <v>0</v>
      </c>
      <c r="AX2297" s="93">
        <f>G2297*AP2297</f>
        <v>0</v>
      </c>
      <c r="AY2297" s="94" t="s">
        <v>2935</v>
      </c>
      <c r="AZ2297" s="94" t="s">
        <v>2936</v>
      </c>
      <c r="BA2297" s="88" t="s">
        <v>67</v>
      </c>
      <c r="BC2297" s="93">
        <f>AW2297+AX2297</f>
        <v>0</v>
      </c>
      <c r="BD2297" s="93">
        <f>H2297/(100-BE2297)*100</f>
        <v>0</v>
      </c>
      <c r="BE2297" s="93">
        <v>0</v>
      </c>
      <c r="BF2297" s="93">
        <f>O2297</f>
        <v>1.2803699999999999E-2</v>
      </c>
      <c r="BH2297" s="93">
        <f>G2297*AO2297</f>
        <v>0</v>
      </c>
      <c r="BI2297" s="93">
        <f>G2297*AP2297</f>
        <v>0</v>
      </c>
      <c r="BJ2297" s="93">
        <f>G2297*H2297</f>
        <v>0</v>
      </c>
      <c r="BK2297" s="93"/>
      <c r="BL2297" s="93"/>
      <c r="BW2297" s="93" t="str">
        <f>I2297</f>
        <v>21</v>
      </c>
      <c r="BX2297" s="2" t="s">
        <v>3041</v>
      </c>
    </row>
    <row r="2298" spans="1:76" s="81" customFormat="1" x14ac:dyDescent="0.25">
      <c r="A2298" s="95"/>
      <c r="B2298" s="95"/>
      <c r="C2298" s="95"/>
      <c r="D2298" s="76" t="s">
        <v>3042</v>
      </c>
      <c r="E2298" s="76" t="s">
        <v>54</v>
      </c>
      <c r="F2298" s="95"/>
      <c r="G2298" s="96">
        <v>18.2</v>
      </c>
      <c r="H2298" s="95"/>
      <c r="I2298" s="95"/>
      <c r="J2298" s="95"/>
      <c r="K2298" s="95"/>
      <c r="L2298" s="95"/>
      <c r="M2298" s="95"/>
      <c r="N2298" s="95"/>
      <c r="O2298" s="95"/>
      <c r="P2298" s="95"/>
    </row>
    <row r="2299" spans="1:76" s="81" customFormat="1" x14ac:dyDescent="0.25">
      <c r="A2299" s="95"/>
      <c r="B2299" s="95"/>
      <c r="C2299" s="95"/>
      <c r="D2299" s="76" t="s">
        <v>3043</v>
      </c>
      <c r="E2299" s="76" t="s">
        <v>54</v>
      </c>
      <c r="F2299" s="95"/>
      <c r="G2299" s="96">
        <v>0.91</v>
      </c>
      <c r="H2299" s="95"/>
      <c r="I2299" s="95"/>
      <c r="J2299" s="95"/>
      <c r="K2299" s="95"/>
      <c r="L2299" s="95"/>
      <c r="M2299" s="95"/>
      <c r="N2299" s="95"/>
      <c r="O2299" s="95"/>
      <c r="P2299" s="95"/>
    </row>
    <row r="2300" spans="1:76" s="81" customFormat="1" ht="25.5" x14ac:dyDescent="0.25">
      <c r="A2300" s="72" t="s">
        <v>3044</v>
      </c>
      <c r="B2300" s="72" t="s">
        <v>55</v>
      </c>
      <c r="C2300" s="72" t="s">
        <v>3045</v>
      </c>
      <c r="D2300" s="175" t="s">
        <v>3046</v>
      </c>
      <c r="E2300" s="175"/>
      <c r="F2300" s="72" t="s">
        <v>203</v>
      </c>
      <c r="G2300" s="90">
        <v>1</v>
      </c>
      <c r="H2300" s="91"/>
      <c r="I2300" s="92" t="s">
        <v>63</v>
      </c>
      <c r="J2300" s="90">
        <f>G2300*AO2300</f>
        <v>0</v>
      </c>
      <c r="K2300" s="90">
        <f>G2300*AP2300</f>
        <v>0</v>
      </c>
      <c r="L2300" s="90">
        <f>G2300*H2300</f>
        <v>0</v>
      </c>
      <c r="M2300" s="90">
        <f>L2300*(1+BW2300/100)</f>
        <v>0</v>
      </c>
      <c r="N2300" s="90">
        <v>8.0000000000000007E-5</v>
      </c>
      <c r="O2300" s="90">
        <f>G2300*N2300</f>
        <v>8.0000000000000007E-5</v>
      </c>
      <c r="P2300" s="92" t="s">
        <v>64</v>
      </c>
      <c r="Z2300" s="93">
        <f>IF(AQ2300="5",BJ2300,0)</f>
        <v>0</v>
      </c>
      <c r="AB2300" s="93">
        <f>IF(AQ2300="1",BH2300,0)</f>
        <v>0</v>
      </c>
      <c r="AC2300" s="93">
        <f>IF(AQ2300="1",BI2300,0)</f>
        <v>0</v>
      </c>
      <c r="AD2300" s="93">
        <f>IF(AQ2300="7",BH2300,0)</f>
        <v>0</v>
      </c>
      <c r="AE2300" s="93">
        <f>IF(AQ2300="7",BI2300,0)</f>
        <v>0</v>
      </c>
      <c r="AF2300" s="93">
        <f>IF(AQ2300="2",BH2300,0)</f>
        <v>0</v>
      </c>
      <c r="AG2300" s="93">
        <f>IF(AQ2300="2",BI2300,0)</f>
        <v>0</v>
      </c>
      <c r="AH2300" s="93">
        <f>IF(AQ2300="0",BJ2300,0)</f>
        <v>0</v>
      </c>
      <c r="AI2300" s="88" t="s">
        <v>55</v>
      </c>
      <c r="AJ2300" s="93">
        <f>IF(AN2300=0,L2300,0)</f>
        <v>0</v>
      </c>
      <c r="AK2300" s="93">
        <f>IF(AN2300=12,L2300,0)</f>
        <v>0</v>
      </c>
      <c r="AL2300" s="93">
        <f>IF(AN2300=21,L2300,0)</f>
        <v>0</v>
      </c>
      <c r="AN2300" s="93">
        <v>21</v>
      </c>
      <c r="AO2300" s="93">
        <f>H2300*0.008498024</f>
        <v>0</v>
      </c>
      <c r="AP2300" s="93">
        <f>H2300*(1-0.008498024)</f>
        <v>0</v>
      </c>
      <c r="AQ2300" s="94" t="s">
        <v>148</v>
      </c>
      <c r="AV2300" s="93">
        <f>AW2300+AX2300</f>
        <v>0</v>
      </c>
      <c r="AW2300" s="93">
        <f>G2300*AO2300</f>
        <v>0</v>
      </c>
      <c r="AX2300" s="93">
        <f>G2300*AP2300</f>
        <v>0</v>
      </c>
      <c r="AY2300" s="94" t="s">
        <v>2935</v>
      </c>
      <c r="AZ2300" s="94" t="s">
        <v>2936</v>
      </c>
      <c r="BA2300" s="88" t="s">
        <v>67</v>
      </c>
      <c r="BC2300" s="93">
        <f>AW2300+AX2300</f>
        <v>0</v>
      </c>
      <c r="BD2300" s="93">
        <f>H2300/(100-BE2300)*100</f>
        <v>0</v>
      </c>
      <c r="BE2300" s="93">
        <v>0</v>
      </c>
      <c r="BF2300" s="93">
        <f>O2300</f>
        <v>8.0000000000000007E-5</v>
      </c>
      <c r="BH2300" s="93">
        <f>G2300*AO2300</f>
        <v>0</v>
      </c>
      <c r="BI2300" s="93">
        <f>G2300*AP2300</f>
        <v>0</v>
      </c>
      <c r="BJ2300" s="93">
        <f>G2300*H2300</f>
        <v>0</v>
      </c>
      <c r="BK2300" s="93"/>
      <c r="BL2300" s="93"/>
      <c r="BW2300" s="93" t="str">
        <f>I2300</f>
        <v>21</v>
      </c>
      <c r="BX2300" s="2" t="s">
        <v>3046</v>
      </c>
    </row>
    <row r="2301" spans="1:76" s="81" customFormat="1" ht="25.5" x14ac:dyDescent="0.25">
      <c r="A2301" s="72" t="s">
        <v>3047</v>
      </c>
      <c r="B2301" s="72" t="s">
        <v>55</v>
      </c>
      <c r="C2301" s="72" t="s">
        <v>3048</v>
      </c>
      <c r="D2301" s="175" t="s">
        <v>3049</v>
      </c>
      <c r="E2301" s="175"/>
      <c r="F2301" s="72" t="s">
        <v>213</v>
      </c>
      <c r="G2301" s="90">
        <v>100.2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0</v>
      </c>
      <c r="O2301" s="90">
        <f>G2301*N2301</f>
        <v>0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H2301*0.005820722</f>
        <v>0</v>
      </c>
      <c r="AP2301" s="93">
        <f>H2301*(1-0.005820722)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2935</v>
      </c>
      <c r="AZ2301" s="94" t="s">
        <v>2936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0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3049</v>
      </c>
    </row>
    <row r="2302" spans="1:76" s="81" customFormat="1" x14ac:dyDescent="0.25">
      <c r="A2302" s="95"/>
      <c r="B2302" s="95"/>
      <c r="C2302" s="95"/>
      <c r="D2302" s="76" t="s">
        <v>3050</v>
      </c>
      <c r="E2302" s="76" t="s">
        <v>54</v>
      </c>
      <c r="F2302" s="95"/>
      <c r="G2302" s="96">
        <v>100.2</v>
      </c>
      <c r="H2302" s="95"/>
      <c r="I2302" s="95"/>
      <c r="J2302" s="95"/>
      <c r="K2302" s="95"/>
      <c r="L2302" s="95"/>
      <c r="M2302" s="95"/>
      <c r="N2302" s="95"/>
      <c r="O2302" s="95"/>
      <c r="P2302" s="95"/>
    </row>
    <row r="2303" spans="1:76" s="81" customFormat="1" ht="25.5" x14ac:dyDescent="0.25">
      <c r="A2303" s="72" t="s">
        <v>3051</v>
      </c>
      <c r="B2303" s="72" t="s">
        <v>55</v>
      </c>
      <c r="C2303" s="72" t="s">
        <v>3052</v>
      </c>
      <c r="D2303" s="175" t="s">
        <v>3053</v>
      </c>
      <c r="E2303" s="175"/>
      <c r="F2303" s="72" t="s">
        <v>213</v>
      </c>
      <c r="G2303" s="90">
        <v>106.2</v>
      </c>
      <c r="H2303" s="91"/>
      <c r="I2303" s="92" t="s">
        <v>63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5.0000000000000002E-5</v>
      </c>
      <c r="O2303" s="90">
        <f>G2303*N2303</f>
        <v>5.3100000000000005E-3</v>
      </c>
      <c r="P2303" s="92" t="s">
        <v>64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55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H2303*0.469638159</f>
        <v>0</v>
      </c>
      <c r="AP2303" s="93">
        <f>H2303*(1-0.469638159)</f>
        <v>0</v>
      </c>
      <c r="AQ2303" s="94" t="s">
        <v>148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2935</v>
      </c>
      <c r="AZ2303" s="94" t="s">
        <v>2936</v>
      </c>
      <c r="BA2303" s="88" t="s">
        <v>67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5.3100000000000005E-3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3053</v>
      </c>
    </row>
    <row r="2304" spans="1:76" s="81" customFormat="1" ht="25.5" x14ac:dyDescent="0.25">
      <c r="A2304" s="72" t="s">
        <v>3054</v>
      </c>
      <c r="B2304" s="72" t="s">
        <v>55</v>
      </c>
      <c r="C2304" s="72" t="s">
        <v>3055</v>
      </c>
      <c r="D2304" s="175" t="s">
        <v>3056</v>
      </c>
      <c r="E2304" s="175"/>
      <c r="F2304" s="72" t="s">
        <v>213</v>
      </c>
      <c r="G2304" s="90">
        <v>106.2</v>
      </c>
      <c r="H2304" s="91"/>
      <c r="I2304" s="92" t="s">
        <v>63</v>
      </c>
      <c r="J2304" s="90">
        <f>G2304*AO2304</f>
        <v>0</v>
      </c>
      <c r="K2304" s="90">
        <f>G2304*AP2304</f>
        <v>0</v>
      </c>
      <c r="L2304" s="90">
        <f>G2304*H2304</f>
        <v>0</v>
      </c>
      <c r="M2304" s="90">
        <f>L2304*(1+BW2304/100)</f>
        <v>0</v>
      </c>
      <c r="N2304" s="90">
        <v>0</v>
      </c>
      <c r="O2304" s="90">
        <f>G2304*N2304</f>
        <v>0</v>
      </c>
      <c r="P2304" s="92" t="s">
        <v>64</v>
      </c>
      <c r="Z2304" s="93">
        <f>IF(AQ2304="5",BJ2304,0)</f>
        <v>0</v>
      </c>
      <c r="AB2304" s="93">
        <f>IF(AQ2304="1",BH2304,0)</f>
        <v>0</v>
      </c>
      <c r="AC2304" s="93">
        <f>IF(AQ2304="1",BI2304,0)</f>
        <v>0</v>
      </c>
      <c r="AD2304" s="93">
        <f>IF(AQ2304="7",BH2304,0)</f>
        <v>0</v>
      </c>
      <c r="AE2304" s="93">
        <f>IF(AQ2304="7",BI2304,0)</f>
        <v>0</v>
      </c>
      <c r="AF2304" s="93">
        <f>IF(AQ2304="2",BH2304,0)</f>
        <v>0</v>
      </c>
      <c r="AG2304" s="93">
        <f>IF(AQ2304="2",BI2304,0)</f>
        <v>0</v>
      </c>
      <c r="AH2304" s="93">
        <f>IF(AQ2304="0",BJ2304,0)</f>
        <v>0</v>
      </c>
      <c r="AI2304" s="88" t="s">
        <v>55</v>
      </c>
      <c r="AJ2304" s="93">
        <f>IF(AN2304=0,L2304,0)</f>
        <v>0</v>
      </c>
      <c r="AK2304" s="93">
        <f>IF(AN2304=12,L2304,0)</f>
        <v>0</v>
      </c>
      <c r="AL2304" s="93">
        <f>IF(AN2304=21,L2304,0)</f>
        <v>0</v>
      </c>
      <c r="AN2304" s="93">
        <v>21</v>
      </c>
      <c r="AO2304" s="93">
        <f>H2304*0.353992555</f>
        <v>0</v>
      </c>
      <c r="AP2304" s="93">
        <f>H2304*(1-0.353992555)</f>
        <v>0</v>
      </c>
      <c r="AQ2304" s="94" t="s">
        <v>148</v>
      </c>
      <c r="AV2304" s="93">
        <f>AW2304+AX2304</f>
        <v>0</v>
      </c>
      <c r="AW2304" s="93">
        <f>G2304*AO2304</f>
        <v>0</v>
      </c>
      <c r="AX2304" s="93">
        <f>G2304*AP2304</f>
        <v>0</v>
      </c>
      <c r="AY2304" s="94" t="s">
        <v>2935</v>
      </c>
      <c r="AZ2304" s="94" t="s">
        <v>2936</v>
      </c>
      <c r="BA2304" s="88" t="s">
        <v>67</v>
      </c>
      <c r="BC2304" s="93">
        <f>AW2304+AX2304</f>
        <v>0</v>
      </c>
      <c r="BD2304" s="93">
        <f>H2304/(100-BE2304)*100</f>
        <v>0</v>
      </c>
      <c r="BE2304" s="93">
        <v>0</v>
      </c>
      <c r="BF2304" s="93">
        <f>O2304</f>
        <v>0</v>
      </c>
      <c r="BH2304" s="93">
        <f>G2304*AO2304</f>
        <v>0</v>
      </c>
      <c r="BI2304" s="93">
        <f>G2304*AP2304</f>
        <v>0</v>
      </c>
      <c r="BJ2304" s="93">
        <f>G2304*H2304</f>
        <v>0</v>
      </c>
      <c r="BK2304" s="93"/>
      <c r="BL2304" s="93"/>
      <c r="BW2304" s="93" t="str">
        <f>I2304</f>
        <v>21</v>
      </c>
      <c r="BX2304" s="2" t="s">
        <v>3056</v>
      </c>
    </row>
    <row r="2305" spans="1:76" s="81" customFormat="1" ht="25.5" x14ac:dyDescent="0.25">
      <c r="A2305" s="72" t="s">
        <v>3057</v>
      </c>
      <c r="B2305" s="72" t="s">
        <v>55</v>
      </c>
      <c r="C2305" s="72" t="s">
        <v>3058</v>
      </c>
      <c r="D2305" s="175" t="s">
        <v>3059</v>
      </c>
      <c r="E2305" s="175"/>
      <c r="F2305" s="72" t="s">
        <v>213</v>
      </c>
      <c r="G2305" s="90">
        <v>100.2</v>
      </c>
      <c r="H2305" s="91"/>
      <c r="I2305" s="92" t="s">
        <v>63</v>
      </c>
      <c r="J2305" s="90">
        <f>G2305*AO2305</f>
        <v>0</v>
      </c>
      <c r="K2305" s="90">
        <f>G2305*AP2305</f>
        <v>0</v>
      </c>
      <c r="L2305" s="90">
        <f>G2305*H2305</f>
        <v>0</v>
      </c>
      <c r="M2305" s="90">
        <f>L2305*(1+BW2305/100)</f>
        <v>0</v>
      </c>
      <c r="N2305" s="90">
        <v>0</v>
      </c>
      <c r="O2305" s="90">
        <f>G2305*N2305</f>
        <v>0</v>
      </c>
      <c r="P2305" s="92" t="s">
        <v>64</v>
      </c>
      <c r="Z2305" s="93">
        <f>IF(AQ2305="5",BJ2305,0)</f>
        <v>0</v>
      </c>
      <c r="AB2305" s="93">
        <f>IF(AQ2305="1",BH2305,0)</f>
        <v>0</v>
      </c>
      <c r="AC2305" s="93">
        <f>IF(AQ2305="1",BI2305,0)</f>
        <v>0</v>
      </c>
      <c r="AD2305" s="93">
        <f>IF(AQ2305="7",BH2305,0)</f>
        <v>0</v>
      </c>
      <c r="AE2305" s="93">
        <f>IF(AQ2305="7",BI2305,0)</f>
        <v>0</v>
      </c>
      <c r="AF2305" s="93">
        <f>IF(AQ2305="2",BH2305,0)</f>
        <v>0</v>
      </c>
      <c r="AG2305" s="93">
        <f>IF(AQ2305="2",BI2305,0)</f>
        <v>0</v>
      </c>
      <c r="AH2305" s="93">
        <f>IF(AQ2305="0",BJ2305,0)</f>
        <v>0</v>
      </c>
      <c r="AI2305" s="88" t="s">
        <v>55</v>
      </c>
      <c r="AJ2305" s="93">
        <f>IF(AN2305=0,L2305,0)</f>
        <v>0</v>
      </c>
      <c r="AK2305" s="93">
        <f>IF(AN2305=12,L2305,0)</f>
        <v>0</v>
      </c>
      <c r="AL2305" s="93">
        <f>IF(AN2305=21,L2305,0)</f>
        <v>0</v>
      </c>
      <c r="AN2305" s="93">
        <v>21</v>
      </c>
      <c r="AO2305" s="93">
        <f>H2305*0.025107866</f>
        <v>0</v>
      </c>
      <c r="AP2305" s="93">
        <f>H2305*(1-0.025107866)</f>
        <v>0</v>
      </c>
      <c r="AQ2305" s="94" t="s">
        <v>148</v>
      </c>
      <c r="AV2305" s="93">
        <f>AW2305+AX2305</f>
        <v>0</v>
      </c>
      <c r="AW2305" s="93">
        <f>G2305*AO2305</f>
        <v>0</v>
      </c>
      <c r="AX2305" s="93">
        <f>G2305*AP2305</f>
        <v>0</v>
      </c>
      <c r="AY2305" s="94" t="s">
        <v>2935</v>
      </c>
      <c r="AZ2305" s="94" t="s">
        <v>2936</v>
      </c>
      <c r="BA2305" s="88" t="s">
        <v>67</v>
      </c>
      <c r="BC2305" s="93">
        <f>AW2305+AX2305</f>
        <v>0</v>
      </c>
      <c r="BD2305" s="93">
        <f>H2305/(100-BE2305)*100</f>
        <v>0</v>
      </c>
      <c r="BE2305" s="93">
        <v>0</v>
      </c>
      <c r="BF2305" s="93">
        <f>O2305</f>
        <v>0</v>
      </c>
      <c r="BH2305" s="93">
        <f>G2305*AO2305</f>
        <v>0</v>
      </c>
      <c r="BI2305" s="93">
        <f>G2305*AP2305</f>
        <v>0</v>
      </c>
      <c r="BJ2305" s="93">
        <f>G2305*H2305</f>
        <v>0</v>
      </c>
      <c r="BK2305" s="93"/>
      <c r="BL2305" s="93"/>
      <c r="BW2305" s="93" t="str">
        <f>I2305</f>
        <v>21</v>
      </c>
      <c r="BX2305" s="2" t="s">
        <v>3059</v>
      </c>
    </row>
    <row r="2306" spans="1:76" s="81" customFormat="1" ht="25.5" x14ac:dyDescent="0.25">
      <c r="A2306" s="72" t="s">
        <v>3060</v>
      </c>
      <c r="B2306" s="72" t="s">
        <v>55</v>
      </c>
      <c r="C2306" s="72" t="s">
        <v>3061</v>
      </c>
      <c r="D2306" s="175" t="s">
        <v>3062</v>
      </c>
      <c r="E2306" s="175"/>
      <c r="F2306" s="72" t="s">
        <v>203</v>
      </c>
      <c r="G2306" s="90">
        <v>1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5.4710099999999997</v>
      </c>
      <c r="O2306" s="90">
        <f>G2306*N2306</f>
        <v>5.4710099999999997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H2306*0.818328213</f>
        <v>0</v>
      </c>
      <c r="AP2306" s="93">
        <f>H2306*(1-0.818328213)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2935</v>
      </c>
      <c r="AZ2306" s="94" t="s">
        <v>2936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5.4710099999999997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3062</v>
      </c>
    </row>
    <row r="2307" spans="1:76" s="81" customFormat="1" ht="13.5" customHeight="1" x14ac:dyDescent="0.25">
      <c r="A2307" s="95"/>
      <c r="B2307" s="95"/>
      <c r="C2307" s="95"/>
      <c r="D2307" s="182" t="s">
        <v>3063</v>
      </c>
      <c r="E2307" s="182"/>
      <c r="F2307" s="182"/>
      <c r="G2307" s="182"/>
      <c r="H2307" s="182"/>
      <c r="I2307" s="182"/>
      <c r="J2307" s="182"/>
      <c r="K2307" s="182"/>
      <c r="L2307" s="182"/>
      <c r="M2307" s="182"/>
      <c r="N2307" s="182"/>
      <c r="O2307" s="182"/>
      <c r="P2307" s="182"/>
    </row>
    <row r="2308" spans="1:76" s="81" customFormat="1" ht="25.5" x14ac:dyDescent="0.25">
      <c r="A2308" s="72" t="s">
        <v>3064</v>
      </c>
      <c r="B2308" s="72" t="s">
        <v>55</v>
      </c>
      <c r="C2308" s="72" t="s">
        <v>3065</v>
      </c>
      <c r="D2308" s="175" t="s">
        <v>3066</v>
      </c>
      <c r="E2308" s="175"/>
      <c r="F2308" s="72" t="s">
        <v>203</v>
      </c>
      <c r="G2308" s="90">
        <v>1</v>
      </c>
      <c r="H2308" s="91"/>
      <c r="I2308" s="92" t="s">
        <v>63</v>
      </c>
      <c r="J2308" s="90">
        <f>G2308*AO2308</f>
        <v>0</v>
      </c>
      <c r="K2308" s="90">
        <f>G2308*AP2308</f>
        <v>0</v>
      </c>
      <c r="L2308" s="90">
        <f>G2308*H2308</f>
        <v>0</v>
      </c>
      <c r="M2308" s="90">
        <f>L2308*(1+BW2308/100)</f>
        <v>0</v>
      </c>
      <c r="N2308" s="90">
        <v>4.7317099999999996</v>
      </c>
      <c r="O2308" s="90">
        <f>G2308*N2308</f>
        <v>4.7317099999999996</v>
      </c>
      <c r="P2308" s="92" t="s">
        <v>64</v>
      </c>
      <c r="Z2308" s="93">
        <f>IF(AQ2308="5",BJ2308,0)</f>
        <v>0</v>
      </c>
      <c r="AB2308" s="93">
        <f>IF(AQ2308="1",BH2308,0)</f>
        <v>0</v>
      </c>
      <c r="AC2308" s="93">
        <f>IF(AQ2308="1",BI2308,0)</f>
        <v>0</v>
      </c>
      <c r="AD2308" s="93">
        <f>IF(AQ2308="7",BH2308,0)</f>
        <v>0</v>
      </c>
      <c r="AE2308" s="93">
        <f>IF(AQ2308="7",BI2308,0)</f>
        <v>0</v>
      </c>
      <c r="AF2308" s="93">
        <f>IF(AQ2308="2",BH2308,0)</f>
        <v>0</v>
      </c>
      <c r="AG2308" s="93">
        <f>IF(AQ2308="2",BI2308,0)</f>
        <v>0</v>
      </c>
      <c r="AH2308" s="93">
        <f>IF(AQ2308="0",BJ2308,0)</f>
        <v>0</v>
      </c>
      <c r="AI2308" s="88" t="s">
        <v>55</v>
      </c>
      <c r="AJ2308" s="93">
        <f>IF(AN2308=0,L2308,0)</f>
        <v>0</v>
      </c>
      <c r="AK2308" s="93">
        <f>IF(AN2308=12,L2308,0)</f>
        <v>0</v>
      </c>
      <c r="AL2308" s="93">
        <f>IF(AN2308=21,L2308,0)</f>
        <v>0</v>
      </c>
      <c r="AN2308" s="93">
        <v>21</v>
      </c>
      <c r="AO2308" s="93">
        <f>H2308*0.820603951</f>
        <v>0</v>
      </c>
      <c r="AP2308" s="93">
        <f>H2308*(1-0.820603951)</f>
        <v>0</v>
      </c>
      <c r="AQ2308" s="94" t="s">
        <v>148</v>
      </c>
      <c r="AV2308" s="93">
        <f>AW2308+AX2308</f>
        <v>0</v>
      </c>
      <c r="AW2308" s="93">
        <f>G2308*AO2308</f>
        <v>0</v>
      </c>
      <c r="AX2308" s="93">
        <f>G2308*AP2308</f>
        <v>0</v>
      </c>
      <c r="AY2308" s="94" t="s">
        <v>2935</v>
      </c>
      <c r="AZ2308" s="94" t="s">
        <v>2936</v>
      </c>
      <c r="BA2308" s="88" t="s">
        <v>67</v>
      </c>
      <c r="BC2308" s="93">
        <f>AW2308+AX2308</f>
        <v>0</v>
      </c>
      <c r="BD2308" s="93">
        <f>H2308/(100-BE2308)*100</f>
        <v>0</v>
      </c>
      <c r="BE2308" s="93">
        <v>0</v>
      </c>
      <c r="BF2308" s="93">
        <f>O2308</f>
        <v>4.7317099999999996</v>
      </c>
      <c r="BH2308" s="93">
        <f>G2308*AO2308</f>
        <v>0</v>
      </c>
      <c r="BI2308" s="93">
        <f>G2308*AP2308</f>
        <v>0</v>
      </c>
      <c r="BJ2308" s="93">
        <f>G2308*H2308</f>
        <v>0</v>
      </c>
      <c r="BK2308" s="93"/>
      <c r="BL2308" s="93"/>
      <c r="BW2308" s="93" t="str">
        <f>I2308</f>
        <v>21</v>
      </c>
      <c r="BX2308" s="2" t="s">
        <v>3066</v>
      </c>
    </row>
    <row r="2309" spans="1:76" s="81" customFormat="1" ht="13.5" customHeight="1" x14ac:dyDescent="0.25">
      <c r="A2309" s="95"/>
      <c r="B2309" s="95"/>
      <c r="C2309" s="95"/>
      <c r="D2309" s="182" t="s">
        <v>3067</v>
      </c>
      <c r="E2309" s="182"/>
      <c r="F2309" s="182"/>
      <c r="G2309" s="182"/>
      <c r="H2309" s="182"/>
      <c r="I2309" s="182"/>
      <c r="J2309" s="182"/>
      <c r="K2309" s="182"/>
      <c r="L2309" s="182"/>
      <c r="M2309" s="182"/>
      <c r="N2309" s="182"/>
      <c r="O2309" s="182"/>
      <c r="P2309" s="182"/>
    </row>
    <row r="2310" spans="1:76" s="81" customFormat="1" ht="25.5" x14ac:dyDescent="0.25">
      <c r="A2310" s="72" t="s">
        <v>3068</v>
      </c>
      <c r="B2310" s="72" t="s">
        <v>55</v>
      </c>
      <c r="C2310" s="72" t="s">
        <v>3065</v>
      </c>
      <c r="D2310" s="175" t="s">
        <v>3066</v>
      </c>
      <c r="E2310" s="175"/>
      <c r="F2310" s="72" t="s">
        <v>203</v>
      </c>
      <c r="G2310" s="90">
        <v>1</v>
      </c>
      <c r="H2310" s="91"/>
      <c r="I2310" s="92" t="s">
        <v>63</v>
      </c>
      <c r="J2310" s="90">
        <f>G2310*AO2310</f>
        <v>0</v>
      </c>
      <c r="K2310" s="90">
        <f>G2310*AP2310</f>
        <v>0</v>
      </c>
      <c r="L2310" s="90">
        <f>G2310*H2310</f>
        <v>0</v>
      </c>
      <c r="M2310" s="90">
        <f>L2310*(1+BW2310/100)</f>
        <v>0</v>
      </c>
      <c r="N2310" s="90">
        <v>4.7317099999999996</v>
      </c>
      <c r="O2310" s="90">
        <f>G2310*N2310</f>
        <v>4.7317099999999996</v>
      </c>
      <c r="P2310" s="92" t="s">
        <v>64</v>
      </c>
      <c r="Z2310" s="93">
        <f>IF(AQ2310="5",BJ2310,0)</f>
        <v>0</v>
      </c>
      <c r="AB2310" s="93">
        <f>IF(AQ2310="1",BH2310,0)</f>
        <v>0</v>
      </c>
      <c r="AC2310" s="93">
        <f>IF(AQ2310="1",BI2310,0)</f>
        <v>0</v>
      </c>
      <c r="AD2310" s="93">
        <f>IF(AQ2310="7",BH2310,0)</f>
        <v>0</v>
      </c>
      <c r="AE2310" s="93">
        <f>IF(AQ2310="7",BI2310,0)</f>
        <v>0</v>
      </c>
      <c r="AF2310" s="93">
        <f>IF(AQ2310="2",BH2310,0)</f>
        <v>0</v>
      </c>
      <c r="AG2310" s="93">
        <f>IF(AQ2310="2",BI2310,0)</f>
        <v>0</v>
      </c>
      <c r="AH2310" s="93">
        <f>IF(AQ2310="0",BJ2310,0)</f>
        <v>0</v>
      </c>
      <c r="AI2310" s="88" t="s">
        <v>55</v>
      </c>
      <c r="AJ2310" s="93">
        <f>IF(AN2310=0,L2310,0)</f>
        <v>0</v>
      </c>
      <c r="AK2310" s="93">
        <f>IF(AN2310=12,L2310,0)</f>
        <v>0</v>
      </c>
      <c r="AL2310" s="93">
        <f>IF(AN2310=21,L2310,0)</f>
        <v>0</v>
      </c>
      <c r="AN2310" s="93">
        <v>21</v>
      </c>
      <c r="AO2310" s="93">
        <f>H2310*0.820603951</f>
        <v>0</v>
      </c>
      <c r="AP2310" s="93">
        <f>H2310*(1-0.820603951)</f>
        <v>0</v>
      </c>
      <c r="AQ2310" s="94" t="s">
        <v>148</v>
      </c>
      <c r="AV2310" s="93">
        <f>AW2310+AX2310</f>
        <v>0</v>
      </c>
      <c r="AW2310" s="93">
        <f>G2310*AO2310</f>
        <v>0</v>
      </c>
      <c r="AX2310" s="93">
        <f>G2310*AP2310</f>
        <v>0</v>
      </c>
      <c r="AY2310" s="94" t="s">
        <v>2935</v>
      </c>
      <c r="AZ2310" s="94" t="s">
        <v>2936</v>
      </c>
      <c r="BA2310" s="88" t="s">
        <v>67</v>
      </c>
      <c r="BC2310" s="93">
        <f>AW2310+AX2310</f>
        <v>0</v>
      </c>
      <c r="BD2310" s="93">
        <f>H2310/(100-BE2310)*100</f>
        <v>0</v>
      </c>
      <c r="BE2310" s="93">
        <v>0</v>
      </c>
      <c r="BF2310" s="93">
        <f>O2310</f>
        <v>4.7317099999999996</v>
      </c>
      <c r="BH2310" s="93">
        <f>G2310*AO2310</f>
        <v>0</v>
      </c>
      <c r="BI2310" s="93">
        <f>G2310*AP2310</f>
        <v>0</v>
      </c>
      <c r="BJ2310" s="93">
        <f>G2310*H2310</f>
        <v>0</v>
      </c>
      <c r="BK2310" s="93"/>
      <c r="BL2310" s="93"/>
      <c r="BW2310" s="93" t="str">
        <f>I2310</f>
        <v>21</v>
      </c>
      <c r="BX2310" s="2" t="s">
        <v>3066</v>
      </c>
    </row>
    <row r="2311" spans="1:76" s="81" customFormat="1" ht="13.5" customHeight="1" x14ac:dyDescent="0.25">
      <c r="A2311" s="95"/>
      <c r="B2311" s="95"/>
      <c r="C2311" s="95"/>
      <c r="D2311" s="182" t="s">
        <v>3067</v>
      </c>
      <c r="E2311" s="182"/>
      <c r="F2311" s="182"/>
      <c r="G2311" s="182"/>
      <c r="H2311" s="182"/>
      <c r="I2311" s="182"/>
      <c r="J2311" s="182"/>
      <c r="K2311" s="182"/>
      <c r="L2311" s="182"/>
      <c r="M2311" s="182"/>
      <c r="N2311" s="182"/>
      <c r="O2311" s="182"/>
      <c r="P2311" s="182"/>
    </row>
    <row r="2312" spans="1:76" s="81" customFormat="1" ht="25.5" x14ac:dyDescent="0.25">
      <c r="A2312" s="72" t="s">
        <v>3069</v>
      </c>
      <c r="B2312" s="72" t="s">
        <v>55</v>
      </c>
      <c r="C2312" s="72" t="s">
        <v>3070</v>
      </c>
      <c r="D2312" s="175" t="s">
        <v>3062</v>
      </c>
      <c r="E2312" s="175"/>
      <c r="F2312" s="72" t="s">
        <v>203</v>
      </c>
      <c r="G2312" s="90">
        <v>1</v>
      </c>
      <c r="H2312" s="91"/>
      <c r="I2312" s="92" t="s">
        <v>63</v>
      </c>
      <c r="J2312" s="90">
        <f>G2312*AO2312</f>
        <v>0</v>
      </c>
      <c r="K2312" s="90">
        <f>G2312*AP2312</f>
        <v>0</v>
      </c>
      <c r="L2312" s="90">
        <f>G2312*H2312</f>
        <v>0</v>
      </c>
      <c r="M2312" s="90">
        <f>L2312*(1+BW2312/100)</f>
        <v>0</v>
      </c>
      <c r="N2312" s="90">
        <v>3.7197100000000001</v>
      </c>
      <c r="O2312" s="90">
        <f>G2312*N2312</f>
        <v>3.7197100000000001</v>
      </c>
      <c r="P2312" s="92" t="s">
        <v>64</v>
      </c>
      <c r="Z2312" s="93">
        <f>IF(AQ2312="5",BJ2312,0)</f>
        <v>0</v>
      </c>
      <c r="AB2312" s="93">
        <f>IF(AQ2312="1",BH2312,0)</f>
        <v>0</v>
      </c>
      <c r="AC2312" s="93">
        <f>IF(AQ2312="1",BI2312,0)</f>
        <v>0</v>
      </c>
      <c r="AD2312" s="93">
        <f>IF(AQ2312="7",BH2312,0)</f>
        <v>0</v>
      </c>
      <c r="AE2312" s="93">
        <f>IF(AQ2312="7",BI2312,0)</f>
        <v>0</v>
      </c>
      <c r="AF2312" s="93">
        <f>IF(AQ2312="2",BH2312,0)</f>
        <v>0</v>
      </c>
      <c r="AG2312" s="93">
        <f>IF(AQ2312="2",BI2312,0)</f>
        <v>0</v>
      </c>
      <c r="AH2312" s="93">
        <f>IF(AQ2312="0",BJ2312,0)</f>
        <v>0</v>
      </c>
      <c r="AI2312" s="88" t="s">
        <v>55</v>
      </c>
      <c r="AJ2312" s="93">
        <f>IF(AN2312=0,L2312,0)</f>
        <v>0</v>
      </c>
      <c r="AK2312" s="93">
        <f>IF(AN2312=12,L2312,0)</f>
        <v>0</v>
      </c>
      <c r="AL2312" s="93">
        <f>IF(AN2312=21,L2312,0)</f>
        <v>0</v>
      </c>
      <c r="AN2312" s="93">
        <v>21</v>
      </c>
      <c r="AO2312" s="93">
        <f>H2312*0.817699021</f>
        <v>0</v>
      </c>
      <c r="AP2312" s="93">
        <f>H2312*(1-0.817699021)</f>
        <v>0</v>
      </c>
      <c r="AQ2312" s="94" t="s">
        <v>148</v>
      </c>
      <c r="AV2312" s="93">
        <f>AW2312+AX2312</f>
        <v>0</v>
      </c>
      <c r="AW2312" s="93">
        <f>G2312*AO2312</f>
        <v>0</v>
      </c>
      <c r="AX2312" s="93">
        <f>G2312*AP2312</f>
        <v>0</v>
      </c>
      <c r="AY2312" s="94" t="s">
        <v>2935</v>
      </c>
      <c r="AZ2312" s="94" t="s">
        <v>2936</v>
      </c>
      <c r="BA2312" s="88" t="s">
        <v>67</v>
      </c>
      <c r="BC2312" s="93">
        <f>AW2312+AX2312</f>
        <v>0</v>
      </c>
      <c r="BD2312" s="93">
        <f>H2312/(100-BE2312)*100</f>
        <v>0</v>
      </c>
      <c r="BE2312" s="93">
        <v>0</v>
      </c>
      <c r="BF2312" s="93">
        <f>O2312</f>
        <v>3.7197100000000001</v>
      </c>
      <c r="BH2312" s="93">
        <f>G2312*AO2312</f>
        <v>0</v>
      </c>
      <c r="BI2312" s="93">
        <f>G2312*AP2312</f>
        <v>0</v>
      </c>
      <c r="BJ2312" s="93">
        <f>G2312*H2312</f>
        <v>0</v>
      </c>
      <c r="BK2312" s="93"/>
      <c r="BL2312" s="93"/>
      <c r="BW2312" s="93" t="str">
        <f>I2312</f>
        <v>21</v>
      </c>
      <c r="BX2312" s="2" t="s">
        <v>3062</v>
      </c>
    </row>
    <row r="2313" spans="1:76" s="81" customFormat="1" ht="13.5" customHeight="1" x14ac:dyDescent="0.25">
      <c r="A2313" s="95"/>
      <c r="B2313" s="95"/>
      <c r="C2313" s="95"/>
      <c r="D2313" s="182" t="s">
        <v>3071</v>
      </c>
      <c r="E2313" s="182"/>
      <c r="F2313" s="182"/>
      <c r="G2313" s="182"/>
      <c r="H2313" s="182"/>
      <c r="I2313" s="182"/>
      <c r="J2313" s="182"/>
      <c r="K2313" s="182"/>
      <c r="L2313" s="182"/>
      <c r="M2313" s="182"/>
      <c r="N2313" s="182"/>
      <c r="O2313" s="182"/>
      <c r="P2313" s="182"/>
    </row>
    <row r="2314" spans="1:76" s="81" customFormat="1" ht="25.5" x14ac:dyDescent="0.25">
      <c r="A2314" s="72" t="s">
        <v>3072</v>
      </c>
      <c r="B2314" s="72" t="s">
        <v>55</v>
      </c>
      <c r="C2314" s="72" t="s">
        <v>3073</v>
      </c>
      <c r="D2314" s="175" t="s">
        <v>3074</v>
      </c>
      <c r="E2314" s="175"/>
      <c r="F2314" s="72" t="s">
        <v>203</v>
      </c>
      <c r="G2314" s="90">
        <v>2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3.6587100000000001</v>
      </c>
      <c r="O2314" s="90">
        <f>G2314*N2314</f>
        <v>7.3174200000000003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H2314*0.814036628</f>
        <v>0</v>
      </c>
      <c r="AP2314" s="93">
        <f>H2314*(1-0.814036628)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2935</v>
      </c>
      <c r="AZ2314" s="94" t="s">
        <v>2936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7.3174200000000003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3074</v>
      </c>
    </row>
    <row r="2315" spans="1:76" s="81" customFormat="1" ht="13.5" customHeight="1" x14ac:dyDescent="0.25">
      <c r="A2315" s="95"/>
      <c r="B2315" s="95"/>
      <c r="C2315" s="95"/>
      <c r="D2315" s="182" t="s">
        <v>3075</v>
      </c>
      <c r="E2315" s="182"/>
      <c r="F2315" s="182"/>
      <c r="G2315" s="182"/>
      <c r="H2315" s="182"/>
      <c r="I2315" s="182"/>
      <c r="J2315" s="182"/>
      <c r="K2315" s="182"/>
      <c r="L2315" s="182"/>
      <c r="M2315" s="182"/>
      <c r="N2315" s="182"/>
      <c r="O2315" s="182"/>
      <c r="P2315" s="182"/>
    </row>
    <row r="2316" spans="1:76" s="81" customFormat="1" ht="25.5" x14ac:dyDescent="0.25">
      <c r="A2316" s="72" t="s">
        <v>3076</v>
      </c>
      <c r="B2316" s="72" t="s">
        <v>55</v>
      </c>
      <c r="C2316" s="72" t="s">
        <v>3077</v>
      </c>
      <c r="D2316" s="175" t="s">
        <v>3078</v>
      </c>
      <c r="E2316" s="175"/>
      <c r="F2316" s="72" t="s">
        <v>203</v>
      </c>
      <c r="G2316" s="90">
        <v>1</v>
      </c>
      <c r="H2316" s="91"/>
      <c r="I2316" s="92" t="s">
        <v>63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4.9889900000000003</v>
      </c>
      <c r="O2316" s="90">
        <f>G2316*N2316</f>
        <v>4.9889900000000003</v>
      </c>
      <c r="P2316" s="92" t="s">
        <v>64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55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H2316*0.303116229</f>
        <v>0</v>
      </c>
      <c r="AP2316" s="93">
        <f>H2316*(1-0.303116229)</f>
        <v>0</v>
      </c>
      <c r="AQ2316" s="94" t="s">
        <v>148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2935</v>
      </c>
      <c r="AZ2316" s="94" t="s">
        <v>2936</v>
      </c>
      <c r="BA2316" s="88" t="s">
        <v>67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4.9889900000000003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3078</v>
      </c>
    </row>
    <row r="2317" spans="1:76" s="81" customFormat="1" ht="25.5" x14ac:dyDescent="0.25">
      <c r="A2317" s="72" t="s">
        <v>3079</v>
      </c>
      <c r="B2317" s="72" t="s">
        <v>55</v>
      </c>
      <c r="C2317" s="72" t="s">
        <v>3080</v>
      </c>
      <c r="D2317" s="175" t="s">
        <v>3081</v>
      </c>
      <c r="E2317" s="175"/>
      <c r="F2317" s="72" t="s">
        <v>203</v>
      </c>
      <c r="G2317" s="90">
        <v>1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5.1120000000000001</v>
      </c>
      <c r="O2317" s="90">
        <f>G2317*N2317</f>
        <v>5.1120000000000001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H2317*0.319855713</f>
        <v>0</v>
      </c>
      <c r="AP2317" s="93">
        <f>H2317*(1-0.319855713)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2935</v>
      </c>
      <c r="AZ2317" s="94" t="s">
        <v>2936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5.1120000000000001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3081</v>
      </c>
    </row>
    <row r="2318" spans="1:76" s="81" customFormat="1" ht="25.5" x14ac:dyDescent="0.25">
      <c r="A2318" s="72" t="s">
        <v>3082</v>
      </c>
      <c r="B2318" s="72" t="s">
        <v>55</v>
      </c>
      <c r="C2318" s="72" t="s">
        <v>3083</v>
      </c>
      <c r="D2318" s="175" t="s">
        <v>3084</v>
      </c>
      <c r="E2318" s="175"/>
      <c r="F2318" s="72" t="s">
        <v>213</v>
      </c>
      <c r="G2318" s="90">
        <v>230.5</v>
      </c>
      <c r="H2318" s="91"/>
      <c r="I2318" s="92" t="s">
        <v>63</v>
      </c>
      <c r="J2318" s="90">
        <f>G2318*AO2318</f>
        <v>0</v>
      </c>
      <c r="K2318" s="90">
        <f>G2318*AP2318</f>
        <v>0</v>
      </c>
      <c r="L2318" s="90">
        <f>G2318*H2318</f>
        <v>0</v>
      </c>
      <c r="M2318" s="90">
        <f>L2318*(1+BW2318/100)</f>
        <v>0</v>
      </c>
      <c r="N2318" s="90">
        <v>0</v>
      </c>
      <c r="O2318" s="90">
        <f>G2318*N2318</f>
        <v>0</v>
      </c>
      <c r="P2318" s="92" t="s">
        <v>64</v>
      </c>
      <c r="Z2318" s="93">
        <f>IF(AQ2318="5",BJ2318,0)</f>
        <v>0</v>
      </c>
      <c r="AB2318" s="93">
        <f>IF(AQ2318="1",BH2318,0)</f>
        <v>0</v>
      </c>
      <c r="AC2318" s="93">
        <f>IF(AQ2318="1",BI2318,0)</f>
        <v>0</v>
      </c>
      <c r="AD2318" s="93">
        <f>IF(AQ2318="7",BH2318,0)</f>
        <v>0</v>
      </c>
      <c r="AE2318" s="93">
        <f>IF(AQ2318="7",BI2318,0)</f>
        <v>0</v>
      </c>
      <c r="AF2318" s="93">
        <f>IF(AQ2318="2",BH2318,0)</f>
        <v>0</v>
      </c>
      <c r="AG2318" s="93">
        <f>IF(AQ2318="2",BI2318,0)</f>
        <v>0</v>
      </c>
      <c r="AH2318" s="93">
        <f>IF(AQ2318="0",BJ2318,0)</f>
        <v>0</v>
      </c>
      <c r="AI2318" s="88" t="s">
        <v>55</v>
      </c>
      <c r="AJ2318" s="93">
        <f>IF(AN2318=0,L2318,0)</f>
        <v>0</v>
      </c>
      <c r="AK2318" s="93">
        <f>IF(AN2318=12,L2318,0)</f>
        <v>0</v>
      </c>
      <c r="AL2318" s="93">
        <f>IF(AN2318=21,L2318,0)</f>
        <v>0</v>
      </c>
      <c r="AN2318" s="93">
        <v>21</v>
      </c>
      <c r="AO2318" s="93">
        <f>H2318*0.05694051</f>
        <v>0</v>
      </c>
      <c r="AP2318" s="93">
        <f>H2318*(1-0.05694051)</f>
        <v>0</v>
      </c>
      <c r="AQ2318" s="94" t="s">
        <v>148</v>
      </c>
      <c r="AV2318" s="93">
        <f>AW2318+AX2318</f>
        <v>0</v>
      </c>
      <c r="AW2318" s="93">
        <f>G2318*AO2318</f>
        <v>0</v>
      </c>
      <c r="AX2318" s="93">
        <f>G2318*AP2318</f>
        <v>0</v>
      </c>
      <c r="AY2318" s="94" t="s">
        <v>2935</v>
      </c>
      <c r="AZ2318" s="94" t="s">
        <v>2936</v>
      </c>
      <c r="BA2318" s="88" t="s">
        <v>67</v>
      </c>
      <c r="BC2318" s="93">
        <f>AW2318+AX2318</f>
        <v>0</v>
      </c>
      <c r="BD2318" s="93">
        <f>H2318/(100-BE2318)*100</f>
        <v>0</v>
      </c>
      <c r="BE2318" s="93">
        <v>0</v>
      </c>
      <c r="BF2318" s="93">
        <f>O2318</f>
        <v>0</v>
      </c>
      <c r="BH2318" s="93">
        <f>G2318*AO2318</f>
        <v>0</v>
      </c>
      <c r="BI2318" s="93">
        <f>G2318*AP2318</f>
        <v>0</v>
      </c>
      <c r="BJ2318" s="93">
        <f>G2318*H2318</f>
        <v>0</v>
      </c>
      <c r="BK2318" s="93"/>
      <c r="BL2318" s="93"/>
      <c r="BW2318" s="93" t="str">
        <f>I2318</f>
        <v>21</v>
      </c>
      <c r="BX2318" s="2" t="s">
        <v>3084</v>
      </c>
    </row>
    <row r="2319" spans="1:76" s="81" customFormat="1" ht="25.5" x14ac:dyDescent="0.25">
      <c r="A2319" s="72" t="s">
        <v>3085</v>
      </c>
      <c r="B2319" s="72" t="s">
        <v>55</v>
      </c>
      <c r="C2319" s="72" t="s">
        <v>3086</v>
      </c>
      <c r="D2319" s="175" t="s">
        <v>3087</v>
      </c>
      <c r="E2319" s="175"/>
      <c r="F2319" s="72" t="s">
        <v>213</v>
      </c>
      <c r="G2319" s="90">
        <v>230.5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0</v>
      </c>
      <c r="O2319" s="90">
        <f>G2319*N2319</f>
        <v>0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H2319*0</f>
        <v>0</v>
      </c>
      <c r="AP2319" s="93">
        <f>H2319*(1-0)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2935</v>
      </c>
      <c r="AZ2319" s="94" t="s">
        <v>2936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0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3087</v>
      </c>
    </row>
    <row r="2320" spans="1:76" s="81" customFormat="1" ht="25.5" x14ac:dyDescent="0.25">
      <c r="A2320" s="72" t="s">
        <v>3088</v>
      </c>
      <c r="B2320" s="72" t="s">
        <v>55</v>
      </c>
      <c r="C2320" s="72" t="s">
        <v>3089</v>
      </c>
      <c r="D2320" s="175" t="s">
        <v>3090</v>
      </c>
      <c r="E2320" s="175"/>
      <c r="F2320" s="72" t="s">
        <v>213</v>
      </c>
      <c r="G2320" s="90">
        <v>37</v>
      </c>
      <c r="H2320" s="91"/>
      <c r="I2320" s="92" t="s">
        <v>63</v>
      </c>
      <c r="J2320" s="90">
        <f>G2320*AO2320</f>
        <v>0</v>
      </c>
      <c r="K2320" s="90">
        <f>G2320*AP2320</f>
        <v>0</v>
      </c>
      <c r="L2320" s="90">
        <f>G2320*H2320</f>
        <v>0</v>
      </c>
      <c r="M2320" s="90">
        <f>L2320*(1+BW2320/100)</f>
        <v>0</v>
      </c>
      <c r="N2320" s="90">
        <v>1.73E-3</v>
      </c>
      <c r="O2320" s="90">
        <f>G2320*N2320</f>
        <v>6.4009999999999997E-2</v>
      </c>
      <c r="P2320" s="92" t="s">
        <v>64</v>
      </c>
      <c r="Z2320" s="93">
        <f>IF(AQ2320="5",BJ2320,0)</f>
        <v>0</v>
      </c>
      <c r="AB2320" s="93">
        <f>IF(AQ2320="1",BH2320,0)</f>
        <v>0</v>
      </c>
      <c r="AC2320" s="93">
        <f>IF(AQ2320="1",BI2320,0)</f>
        <v>0</v>
      </c>
      <c r="AD2320" s="93">
        <f>IF(AQ2320="7",BH2320,0)</f>
        <v>0</v>
      </c>
      <c r="AE2320" s="93">
        <f>IF(AQ2320="7",BI2320,0)</f>
        <v>0</v>
      </c>
      <c r="AF2320" s="93">
        <f>IF(AQ2320="2",BH2320,0)</f>
        <v>0</v>
      </c>
      <c r="AG2320" s="93">
        <f>IF(AQ2320="2",BI2320,0)</f>
        <v>0</v>
      </c>
      <c r="AH2320" s="93">
        <f>IF(AQ2320="0",BJ2320,0)</f>
        <v>0</v>
      </c>
      <c r="AI2320" s="88" t="s">
        <v>55</v>
      </c>
      <c r="AJ2320" s="93">
        <f>IF(AN2320=0,L2320,0)</f>
        <v>0</v>
      </c>
      <c r="AK2320" s="93">
        <f>IF(AN2320=12,L2320,0)</f>
        <v>0</v>
      </c>
      <c r="AL2320" s="93">
        <f>IF(AN2320=21,L2320,0)</f>
        <v>0</v>
      </c>
      <c r="AN2320" s="93">
        <v>21</v>
      </c>
      <c r="AO2320" s="93">
        <f>H2320*0.879087838</f>
        <v>0</v>
      </c>
      <c r="AP2320" s="93">
        <f>H2320*(1-0.879087838)</f>
        <v>0</v>
      </c>
      <c r="AQ2320" s="94" t="s">
        <v>148</v>
      </c>
      <c r="AV2320" s="93">
        <f>AW2320+AX2320</f>
        <v>0</v>
      </c>
      <c r="AW2320" s="93">
        <f>G2320*AO2320</f>
        <v>0</v>
      </c>
      <c r="AX2320" s="93">
        <f>G2320*AP2320</f>
        <v>0</v>
      </c>
      <c r="AY2320" s="94" t="s">
        <v>2935</v>
      </c>
      <c r="AZ2320" s="94" t="s">
        <v>2936</v>
      </c>
      <c r="BA2320" s="88" t="s">
        <v>67</v>
      </c>
      <c r="BC2320" s="93">
        <f>AW2320+AX2320</f>
        <v>0</v>
      </c>
      <c r="BD2320" s="93">
        <f>H2320/(100-BE2320)*100</f>
        <v>0</v>
      </c>
      <c r="BE2320" s="93">
        <v>0</v>
      </c>
      <c r="BF2320" s="93">
        <f>O2320</f>
        <v>6.4009999999999997E-2</v>
      </c>
      <c r="BH2320" s="93">
        <f>G2320*AO2320</f>
        <v>0</v>
      </c>
      <c r="BI2320" s="93">
        <f>G2320*AP2320</f>
        <v>0</v>
      </c>
      <c r="BJ2320" s="93">
        <f>G2320*H2320</f>
        <v>0</v>
      </c>
      <c r="BK2320" s="93"/>
      <c r="BL2320" s="93"/>
      <c r="BW2320" s="93" t="str">
        <f>I2320</f>
        <v>21</v>
      </c>
      <c r="BX2320" s="2" t="s">
        <v>3090</v>
      </c>
    </row>
    <row r="2321" spans="1:76" s="81" customFormat="1" ht="13.5" customHeight="1" x14ac:dyDescent="0.25">
      <c r="A2321" s="95"/>
      <c r="B2321" s="95"/>
      <c r="C2321" s="95"/>
      <c r="D2321" s="182" t="s">
        <v>3091</v>
      </c>
      <c r="E2321" s="182"/>
      <c r="F2321" s="182"/>
      <c r="G2321" s="182"/>
      <c r="H2321" s="182"/>
      <c r="I2321" s="182"/>
      <c r="J2321" s="182"/>
      <c r="K2321" s="182"/>
      <c r="L2321" s="182"/>
      <c r="M2321" s="182"/>
      <c r="N2321" s="182"/>
      <c r="O2321" s="182"/>
      <c r="P2321" s="182"/>
    </row>
    <row r="2322" spans="1:76" s="81" customFormat="1" ht="25.5" x14ac:dyDescent="0.25">
      <c r="A2322" s="72" t="s">
        <v>3092</v>
      </c>
      <c r="B2322" s="72" t="s">
        <v>55</v>
      </c>
      <c r="C2322" s="72" t="s">
        <v>3093</v>
      </c>
      <c r="D2322" s="175" t="s">
        <v>3090</v>
      </c>
      <c r="E2322" s="175"/>
      <c r="F2322" s="72" t="s">
        <v>213</v>
      </c>
      <c r="G2322" s="90">
        <v>46.5</v>
      </c>
      <c r="H2322" s="91"/>
      <c r="I2322" s="92" t="s">
        <v>63</v>
      </c>
      <c r="J2322" s="90">
        <f>G2322*AO2322</f>
        <v>0</v>
      </c>
      <c r="K2322" s="90">
        <f>G2322*AP2322</f>
        <v>0</v>
      </c>
      <c r="L2322" s="90">
        <f>G2322*H2322</f>
        <v>0</v>
      </c>
      <c r="M2322" s="90">
        <f>L2322*(1+BW2322/100)</f>
        <v>0</v>
      </c>
      <c r="N2322" s="90">
        <v>2.64E-3</v>
      </c>
      <c r="O2322" s="90">
        <f>G2322*N2322</f>
        <v>0.12275999999999999</v>
      </c>
      <c r="P2322" s="92" t="s">
        <v>64</v>
      </c>
      <c r="Z2322" s="93">
        <f>IF(AQ2322="5",BJ2322,0)</f>
        <v>0</v>
      </c>
      <c r="AB2322" s="93">
        <f>IF(AQ2322="1",BH2322,0)</f>
        <v>0</v>
      </c>
      <c r="AC2322" s="93">
        <f>IF(AQ2322="1",BI2322,0)</f>
        <v>0</v>
      </c>
      <c r="AD2322" s="93">
        <f>IF(AQ2322="7",BH2322,0)</f>
        <v>0</v>
      </c>
      <c r="AE2322" s="93">
        <f>IF(AQ2322="7",BI2322,0)</f>
        <v>0</v>
      </c>
      <c r="AF2322" s="93">
        <f>IF(AQ2322="2",BH2322,0)</f>
        <v>0</v>
      </c>
      <c r="AG2322" s="93">
        <f>IF(AQ2322="2",BI2322,0)</f>
        <v>0</v>
      </c>
      <c r="AH2322" s="93">
        <f>IF(AQ2322="0",BJ2322,0)</f>
        <v>0</v>
      </c>
      <c r="AI2322" s="88" t="s">
        <v>55</v>
      </c>
      <c r="AJ2322" s="93">
        <f>IF(AN2322=0,L2322,0)</f>
        <v>0</v>
      </c>
      <c r="AK2322" s="93">
        <f>IF(AN2322=12,L2322,0)</f>
        <v>0</v>
      </c>
      <c r="AL2322" s="93">
        <f>IF(AN2322=21,L2322,0)</f>
        <v>0</v>
      </c>
      <c r="AN2322" s="93">
        <v>21</v>
      </c>
      <c r="AO2322" s="93">
        <f>H2322*0.915985915</f>
        <v>0</v>
      </c>
      <c r="AP2322" s="93">
        <f>H2322*(1-0.915985915)</f>
        <v>0</v>
      </c>
      <c r="AQ2322" s="94" t="s">
        <v>148</v>
      </c>
      <c r="AV2322" s="93">
        <f>AW2322+AX2322</f>
        <v>0</v>
      </c>
      <c r="AW2322" s="93">
        <f>G2322*AO2322</f>
        <v>0</v>
      </c>
      <c r="AX2322" s="93">
        <f>G2322*AP2322</f>
        <v>0</v>
      </c>
      <c r="AY2322" s="94" t="s">
        <v>2935</v>
      </c>
      <c r="AZ2322" s="94" t="s">
        <v>2936</v>
      </c>
      <c r="BA2322" s="88" t="s">
        <v>67</v>
      </c>
      <c r="BC2322" s="93">
        <f>AW2322+AX2322</f>
        <v>0</v>
      </c>
      <c r="BD2322" s="93">
        <f>H2322/(100-BE2322)*100</f>
        <v>0</v>
      </c>
      <c r="BE2322" s="93">
        <v>0</v>
      </c>
      <c r="BF2322" s="93">
        <f>O2322</f>
        <v>0.12275999999999999</v>
      </c>
      <c r="BH2322" s="93">
        <f>G2322*AO2322</f>
        <v>0</v>
      </c>
      <c r="BI2322" s="93">
        <f>G2322*AP2322</f>
        <v>0</v>
      </c>
      <c r="BJ2322" s="93">
        <f>G2322*H2322</f>
        <v>0</v>
      </c>
      <c r="BK2322" s="93"/>
      <c r="BL2322" s="93"/>
      <c r="BW2322" s="93" t="str">
        <f>I2322</f>
        <v>21</v>
      </c>
      <c r="BX2322" s="2" t="s">
        <v>3090</v>
      </c>
    </row>
    <row r="2323" spans="1:76" s="81" customFormat="1" ht="13.5" customHeight="1" x14ac:dyDescent="0.25">
      <c r="A2323" s="95"/>
      <c r="B2323" s="95"/>
      <c r="C2323" s="95"/>
      <c r="D2323" s="182" t="s">
        <v>3094</v>
      </c>
      <c r="E2323" s="182"/>
      <c r="F2323" s="182"/>
      <c r="G2323" s="182"/>
      <c r="H2323" s="182"/>
      <c r="I2323" s="182"/>
      <c r="J2323" s="182"/>
      <c r="K2323" s="182"/>
      <c r="L2323" s="182"/>
      <c r="M2323" s="182"/>
      <c r="N2323" s="182"/>
      <c r="O2323" s="182"/>
      <c r="P2323" s="182"/>
    </row>
    <row r="2324" spans="1:76" s="81" customFormat="1" ht="25.5" x14ac:dyDescent="0.25">
      <c r="A2324" s="72" t="s">
        <v>3095</v>
      </c>
      <c r="B2324" s="72" t="s">
        <v>55</v>
      </c>
      <c r="C2324" s="72" t="s">
        <v>3096</v>
      </c>
      <c r="D2324" s="175" t="s">
        <v>3097</v>
      </c>
      <c r="E2324" s="175"/>
      <c r="F2324" s="72" t="s">
        <v>213</v>
      </c>
      <c r="G2324" s="90">
        <v>147</v>
      </c>
      <c r="H2324" s="91"/>
      <c r="I2324" s="92" t="s">
        <v>63</v>
      </c>
      <c r="J2324" s="90">
        <f>G2324*AO2324</f>
        <v>0</v>
      </c>
      <c r="K2324" s="90">
        <f>G2324*AP2324</f>
        <v>0</v>
      </c>
      <c r="L2324" s="90">
        <f>G2324*H2324</f>
        <v>0</v>
      </c>
      <c r="M2324" s="90">
        <f>L2324*(1+BW2324/100)</f>
        <v>0</v>
      </c>
      <c r="N2324" s="90">
        <v>1.0000000000000001E-5</v>
      </c>
      <c r="O2324" s="90">
        <f>G2324*N2324</f>
        <v>1.4700000000000002E-3</v>
      </c>
      <c r="P2324" s="92" t="s">
        <v>64</v>
      </c>
      <c r="Z2324" s="93">
        <f>IF(AQ2324="5",BJ2324,0)</f>
        <v>0</v>
      </c>
      <c r="AB2324" s="93">
        <f>IF(AQ2324="1",BH2324,0)</f>
        <v>0</v>
      </c>
      <c r="AC2324" s="93">
        <f>IF(AQ2324="1",BI2324,0)</f>
        <v>0</v>
      </c>
      <c r="AD2324" s="93">
        <f>IF(AQ2324="7",BH2324,0)</f>
        <v>0</v>
      </c>
      <c r="AE2324" s="93">
        <f>IF(AQ2324="7",BI2324,0)</f>
        <v>0</v>
      </c>
      <c r="AF2324" s="93">
        <f>IF(AQ2324="2",BH2324,0)</f>
        <v>0</v>
      </c>
      <c r="AG2324" s="93">
        <f>IF(AQ2324="2",BI2324,0)</f>
        <v>0</v>
      </c>
      <c r="AH2324" s="93">
        <f>IF(AQ2324="0",BJ2324,0)</f>
        <v>0</v>
      </c>
      <c r="AI2324" s="88" t="s">
        <v>55</v>
      </c>
      <c r="AJ2324" s="93">
        <f>IF(AN2324=0,L2324,0)</f>
        <v>0</v>
      </c>
      <c r="AK2324" s="93">
        <f>IF(AN2324=12,L2324,0)</f>
        <v>0</v>
      </c>
      <c r="AL2324" s="93">
        <f>IF(AN2324=21,L2324,0)</f>
        <v>0</v>
      </c>
      <c r="AN2324" s="93">
        <v>21</v>
      </c>
      <c r="AO2324" s="93">
        <f>H2324*0.005034325</f>
        <v>0</v>
      </c>
      <c r="AP2324" s="93">
        <f>H2324*(1-0.005034325)</f>
        <v>0</v>
      </c>
      <c r="AQ2324" s="94" t="s">
        <v>148</v>
      </c>
      <c r="AV2324" s="93">
        <f>AW2324+AX2324</f>
        <v>0</v>
      </c>
      <c r="AW2324" s="93">
        <f>G2324*AO2324</f>
        <v>0</v>
      </c>
      <c r="AX2324" s="93">
        <f>G2324*AP2324</f>
        <v>0</v>
      </c>
      <c r="AY2324" s="94" t="s">
        <v>2935</v>
      </c>
      <c r="AZ2324" s="94" t="s">
        <v>2936</v>
      </c>
      <c r="BA2324" s="88" t="s">
        <v>67</v>
      </c>
      <c r="BC2324" s="93">
        <f>AW2324+AX2324</f>
        <v>0</v>
      </c>
      <c r="BD2324" s="93">
        <f>H2324/(100-BE2324)*100</f>
        <v>0</v>
      </c>
      <c r="BE2324" s="93">
        <v>0</v>
      </c>
      <c r="BF2324" s="93">
        <f>O2324</f>
        <v>1.4700000000000002E-3</v>
      </c>
      <c r="BH2324" s="93">
        <f>G2324*AO2324</f>
        <v>0</v>
      </c>
      <c r="BI2324" s="93">
        <f>G2324*AP2324</f>
        <v>0</v>
      </c>
      <c r="BJ2324" s="93">
        <f>G2324*H2324</f>
        <v>0</v>
      </c>
      <c r="BK2324" s="93"/>
      <c r="BL2324" s="93"/>
      <c r="BW2324" s="93" t="str">
        <f>I2324</f>
        <v>21</v>
      </c>
      <c r="BX2324" s="2" t="s">
        <v>3097</v>
      </c>
    </row>
    <row r="2325" spans="1:76" s="81" customFormat="1" ht="13.5" customHeight="1" x14ac:dyDescent="0.25">
      <c r="A2325" s="95"/>
      <c r="B2325" s="95"/>
      <c r="C2325" s="95"/>
      <c r="D2325" s="182" t="s">
        <v>3031</v>
      </c>
      <c r="E2325" s="182"/>
      <c r="F2325" s="182"/>
      <c r="G2325" s="182"/>
      <c r="H2325" s="182"/>
      <c r="I2325" s="182"/>
      <c r="J2325" s="182"/>
      <c r="K2325" s="182"/>
      <c r="L2325" s="182"/>
      <c r="M2325" s="182"/>
      <c r="N2325" s="182"/>
      <c r="O2325" s="182"/>
      <c r="P2325" s="182"/>
    </row>
    <row r="2326" spans="1:76" s="81" customFormat="1" ht="25.5" x14ac:dyDescent="0.25">
      <c r="A2326" s="72" t="s">
        <v>3098</v>
      </c>
      <c r="B2326" s="72" t="s">
        <v>55</v>
      </c>
      <c r="C2326" s="72" t="s">
        <v>3099</v>
      </c>
      <c r="D2326" s="175" t="s">
        <v>3100</v>
      </c>
      <c r="E2326" s="175"/>
      <c r="F2326" s="72" t="s">
        <v>203</v>
      </c>
      <c r="G2326" s="90">
        <v>154.35</v>
      </c>
      <c r="H2326" s="91"/>
      <c r="I2326" s="92" t="s">
        <v>63</v>
      </c>
      <c r="J2326" s="90">
        <f>G2326*AO2326</f>
        <v>0</v>
      </c>
      <c r="K2326" s="90">
        <f>G2326*AP2326</f>
        <v>0</v>
      </c>
      <c r="L2326" s="90">
        <f>G2326*H2326</f>
        <v>0</v>
      </c>
      <c r="M2326" s="90">
        <f>L2326*(1+BW2326/100)</f>
        <v>0</v>
      </c>
      <c r="N2326" s="90">
        <v>6.0000000000000001E-3</v>
      </c>
      <c r="O2326" s="90">
        <f>G2326*N2326</f>
        <v>0.92610000000000003</v>
      </c>
      <c r="P2326" s="92" t="s">
        <v>64</v>
      </c>
      <c r="Z2326" s="93">
        <f>IF(AQ2326="5",BJ2326,0)</f>
        <v>0</v>
      </c>
      <c r="AB2326" s="93">
        <f>IF(AQ2326="1",BH2326,0)</f>
        <v>0</v>
      </c>
      <c r="AC2326" s="93">
        <f>IF(AQ2326="1",BI2326,0)</f>
        <v>0</v>
      </c>
      <c r="AD2326" s="93">
        <f>IF(AQ2326="7",BH2326,0)</f>
        <v>0</v>
      </c>
      <c r="AE2326" s="93">
        <f>IF(AQ2326="7",BI2326,0)</f>
        <v>0</v>
      </c>
      <c r="AF2326" s="93">
        <f>IF(AQ2326="2",BH2326,0)</f>
        <v>0</v>
      </c>
      <c r="AG2326" s="93">
        <f>IF(AQ2326="2",BI2326,0)</f>
        <v>0</v>
      </c>
      <c r="AH2326" s="93">
        <f>IF(AQ2326="0",BJ2326,0)</f>
        <v>0</v>
      </c>
      <c r="AI2326" s="88" t="s">
        <v>55</v>
      </c>
      <c r="AJ2326" s="93">
        <f>IF(AN2326=0,L2326,0)</f>
        <v>0</v>
      </c>
      <c r="AK2326" s="93">
        <f>IF(AN2326=12,L2326,0)</f>
        <v>0</v>
      </c>
      <c r="AL2326" s="93">
        <f>IF(AN2326=21,L2326,0)</f>
        <v>0</v>
      </c>
      <c r="AN2326" s="93">
        <v>21</v>
      </c>
      <c r="AO2326" s="93">
        <f>H2326*1</f>
        <v>0</v>
      </c>
      <c r="AP2326" s="93">
        <f>H2326*(1-1)</f>
        <v>0</v>
      </c>
      <c r="AQ2326" s="94" t="s">
        <v>148</v>
      </c>
      <c r="AV2326" s="93">
        <f>AW2326+AX2326</f>
        <v>0</v>
      </c>
      <c r="AW2326" s="93">
        <f>G2326*AO2326</f>
        <v>0</v>
      </c>
      <c r="AX2326" s="93">
        <f>G2326*AP2326</f>
        <v>0</v>
      </c>
      <c r="AY2326" s="94" t="s">
        <v>2935</v>
      </c>
      <c r="AZ2326" s="94" t="s">
        <v>2936</v>
      </c>
      <c r="BA2326" s="88" t="s">
        <v>67</v>
      </c>
      <c r="BC2326" s="93">
        <f>AW2326+AX2326</f>
        <v>0</v>
      </c>
      <c r="BD2326" s="93">
        <f>H2326/(100-BE2326)*100</f>
        <v>0</v>
      </c>
      <c r="BE2326" s="93">
        <v>0</v>
      </c>
      <c r="BF2326" s="93">
        <f>O2326</f>
        <v>0.92610000000000003</v>
      </c>
      <c r="BH2326" s="93">
        <f>G2326*AO2326</f>
        <v>0</v>
      </c>
      <c r="BI2326" s="93">
        <f>G2326*AP2326</f>
        <v>0</v>
      </c>
      <c r="BJ2326" s="93">
        <f>G2326*H2326</f>
        <v>0</v>
      </c>
      <c r="BK2326" s="93"/>
      <c r="BL2326" s="93"/>
      <c r="BW2326" s="93" t="str">
        <f>I2326</f>
        <v>21</v>
      </c>
      <c r="BX2326" s="2" t="s">
        <v>3100</v>
      </c>
    </row>
    <row r="2327" spans="1:76" s="81" customFormat="1" x14ac:dyDescent="0.25">
      <c r="A2327" s="95"/>
      <c r="B2327" s="95"/>
      <c r="C2327" s="95"/>
      <c r="D2327" s="76" t="s">
        <v>1221</v>
      </c>
      <c r="E2327" s="76" t="s">
        <v>54</v>
      </c>
      <c r="F2327" s="95"/>
      <c r="G2327" s="96">
        <v>147</v>
      </c>
      <c r="H2327" s="95"/>
      <c r="I2327" s="95"/>
      <c r="J2327" s="95"/>
      <c r="K2327" s="95"/>
      <c r="L2327" s="95"/>
      <c r="M2327" s="95"/>
      <c r="N2327" s="95"/>
      <c r="O2327" s="95"/>
      <c r="P2327" s="95"/>
    </row>
    <row r="2328" spans="1:76" s="81" customFormat="1" x14ac:dyDescent="0.25">
      <c r="A2328" s="95"/>
      <c r="B2328" s="95"/>
      <c r="C2328" s="95"/>
      <c r="D2328" s="76" t="s">
        <v>3101</v>
      </c>
      <c r="E2328" s="76" t="s">
        <v>54</v>
      </c>
      <c r="F2328" s="95"/>
      <c r="G2328" s="96">
        <v>7.35</v>
      </c>
      <c r="H2328" s="95"/>
      <c r="I2328" s="95"/>
      <c r="J2328" s="95"/>
      <c r="K2328" s="95"/>
      <c r="L2328" s="95"/>
      <c r="M2328" s="95"/>
      <c r="N2328" s="95"/>
      <c r="O2328" s="95"/>
      <c r="P2328" s="95"/>
    </row>
    <row r="2329" spans="1:76" s="81" customFormat="1" ht="25.5" x14ac:dyDescent="0.25">
      <c r="A2329" s="72" t="s">
        <v>3102</v>
      </c>
      <c r="B2329" s="72" t="s">
        <v>55</v>
      </c>
      <c r="C2329" s="72" t="s">
        <v>3103</v>
      </c>
      <c r="D2329" s="175" t="s">
        <v>3104</v>
      </c>
      <c r="E2329" s="175"/>
      <c r="F2329" s="72" t="s">
        <v>203</v>
      </c>
      <c r="G2329" s="90">
        <v>1</v>
      </c>
      <c r="H2329" s="91"/>
      <c r="I2329" s="92" t="s">
        <v>63</v>
      </c>
      <c r="J2329" s="90">
        <f>G2329*AO2329</f>
        <v>0</v>
      </c>
      <c r="K2329" s="90">
        <f>G2329*AP2329</f>
        <v>0</v>
      </c>
      <c r="L2329" s="90">
        <f>G2329*H2329</f>
        <v>0</v>
      </c>
      <c r="M2329" s="90">
        <f>L2329*(1+BW2329/100)</f>
        <v>0</v>
      </c>
      <c r="N2329" s="90">
        <v>2.0000000000000002E-5</v>
      </c>
      <c r="O2329" s="90">
        <f>G2329*N2329</f>
        <v>2.0000000000000002E-5</v>
      </c>
      <c r="P2329" s="92" t="s">
        <v>64</v>
      </c>
      <c r="Z2329" s="93">
        <f>IF(AQ2329="5",BJ2329,0)</f>
        <v>0</v>
      </c>
      <c r="AB2329" s="93">
        <f>IF(AQ2329="1",BH2329,0)</f>
        <v>0</v>
      </c>
      <c r="AC2329" s="93">
        <f>IF(AQ2329="1",BI2329,0)</f>
        <v>0</v>
      </c>
      <c r="AD2329" s="93">
        <f>IF(AQ2329="7",BH2329,0)</f>
        <v>0</v>
      </c>
      <c r="AE2329" s="93">
        <f>IF(AQ2329="7",BI2329,0)</f>
        <v>0</v>
      </c>
      <c r="AF2329" s="93">
        <f>IF(AQ2329="2",BH2329,0)</f>
        <v>0</v>
      </c>
      <c r="AG2329" s="93">
        <f>IF(AQ2329="2",BI2329,0)</f>
        <v>0</v>
      </c>
      <c r="AH2329" s="93">
        <f>IF(AQ2329="0",BJ2329,0)</f>
        <v>0</v>
      </c>
      <c r="AI2329" s="88" t="s">
        <v>55</v>
      </c>
      <c r="AJ2329" s="93">
        <f>IF(AN2329=0,L2329,0)</f>
        <v>0</v>
      </c>
      <c r="AK2329" s="93">
        <f>IF(AN2329=12,L2329,0)</f>
        <v>0</v>
      </c>
      <c r="AL2329" s="93">
        <f>IF(AN2329=21,L2329,0)</f>
        <v>0</v>
      </c>
      <c r="AN2329" s="93">
        <v>21</v>
      </c>
      <c r="AO2329" s="93">
        <f>H2329*0.050052151</f>
        <v>0</v>
      </c>
      <c r="AP2329" s="93">
        <f>H2329*(1-0.050052151)</f>
        <v>0</v>
      </c>
      <c r="AQ2329" s="94" t="s">
        <v>148</v>
      </c>
      <c r="AV2329" s="93">
        <f>AW2329+AX2329</f>
        <v>0</v>
      </c>
      <c r="AW2329" s="93">
        <f>G2329*AO2329</f>
        <v>0</v>
      </c>
      <c r="AX2329" s="93">
        <f>G2329*AP2329</f>
        <v>0</v>
      </c>
      <c r="AY2329" s="94" t="s">
        <v>2935</v>
      </c>
      <c r="AZ2329" s="94" t="s">
        <v>2936</v>
      </c>
      <c r="BA2329" s="88" t="s">
        <v>67</v>
      </c>
      <c r="BC2329" s="93">
        <f>AW2329+AX2329</f>
        <v>0</v>
      </c>
      <c r="BD2329" s="93">
        <f>H2329/(100-BE2329)*100</f>
        <v>0</v>
      </c>
      <c r="BE2329" s="93">
        <v>0</v>
      </c>
      <c r="BF2329" s="93">
        <f>O2329</f>
        <v>2.0000000000000002E-5</v>
      </c>
      <c r="BH2329" s="93">
        <f>G2329*AO2329</f>
        <v>0</v>
      </c>
      <c r="BI2329" s="93">
        <f>G2329*AP2329</f>
        <v>0</v>
      </c>
      <c r="BJ2329" s="93">
        <f>G2329*H2329</f>
        <v>0</v>
      </c>
      <c r="BK2329" s="93"/>
      <c r="BL2329" s="93"/>
      <c r="BW2329" s="93" t="str">
        <f>I2329</f>
        <v>21</v>
      </c>
      <c r="BX2329" s="2" t="s">
        <v>3104</v>
      </c>
    </row>
    <row r="2330" spans="1:76" s="81" customFormat="1" ht="25.5" x14ac:dyDescent="0.25">
      <c r="A2330" s="72" t="s">
        <v>3105</v>
      </c>
      <c r="B2330" s="72" t="s">
        <v>55</v>
      </c>
      <c r="C2330" s="72" t="s">
        <v>3106</v>
      </c>
      <c r="D2330" s="175" t="s">
        <v>3107</v>
      </c>
      <c r="E2330" s="175"/>
      <c r="F2330" s="72" t="s">
        <v>203</v>
      </c>
      <c r="G2330" s="90">
        <v>1</v>
      </c>
      <c r="H2330" s="91"/>
      <c r="I2330" s="92" t="s">
        <v>63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17.334499999999998</v>
      </c>
      <c r="O2330" s="90">
        <f>G2330*N2330</f>
        <v>17.334499999999998</v>
      </c>
      <c r="P2330" s="92" t="s">
        <v>578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55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H2330*0.4777107</f>
        <v>0</v>
      </c>
      <c r="AP2330" s="93">
        <f>H2330*(1-0.4777107)</f>
        <v>0</v>
      </c>
      <c r="AQ2330" s="94" t="s">
        <v>148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2935</v>
      </c>
      <c r="AZ2330" s="94" t="s">
        <v>2936</v>
      </c>
      <c r="BA2330" s="88" t="s">
        <v>67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17.334499999999998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3107</v>
      </c>
    </row>
    <row r="2331" spans="1:76" s="81" customFormat="1" ht="13.5" customHeight="1" x14ac:dyDescent="0.25">
      <c r="A2331" s="95"/>
      <c r="B2331" s="95"/>
      <c r="C2331" s="95"/>
      <c r="D2331" s="182" t="s">
        <v>3108</v>
      </c>
      <c r="E2331" s="182"/>
      <c r="F2331" s="182"/>
      <c r="G2331" s="182"/>
      <c r="H2331" s="182"/>
      <c r="I2331" s="182"/>
      <c r="J2331" s="182"/>
      <c r="K2331" s="182"/>
      <c r="L2331" s="182"/>
      <c r="M2331" s="182"/>
      <c r="N2331" s="182"/>
      <c r="O2331" s="182"/>
      <c r="P2331" s="182"/>
    </row>
    <row r="2332" spans="1:76" s="81" customFormat="1" ht="25.5" x14ac:dyDescent="0.25">
      <c r="A2332" s="72" t="s">
        <v>3109</v>
      </c>
      <c r="B2332" s="72" t="s">
        <v>55</v>
      </c>
      <c r="C2332" s="72" t="s">
        <v>3106</v>
      </c>
      <c r="D2332" s="175" t="s">
        <v>3110</v>
      </c>
      <c r="E2332" s="175"/>
      <c r="F2332" s="72" t="s">
        <v>203</v>
      </c>
      <c r="G2332" s="90">
        <v>1</v>
      </c>
      <c r="H2332" s="91"/>
      <c r="I2332" s="92" t="s">
        <v>63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7.6966999999999999</v>
      </c>
      <c r="O2332" s="90">
        <f>G2332*N2332</f>
        <v>7.6966999999999999</v>
      </c>
      <c r="P2332" s="92" t="s">
        <v>578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55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H2332*0.289902717</f>
        <v>0</v>
      </c>
      <c r="AP2332" s="93">
        <f>H2332*(1-0.289902717)</f>
        <v>0</v>
      </c>
      <c r="AQ2332" s="94" t="s">
        <v>148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2935</v>
      </c>
      <c r="AZ2332" s="94" t="s">
        <v>2936</v>
      </c>
      <c r="BA2332" s="88" t="s">
        <v>67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7.6966999999999999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3110</v>
      </c>
    </row>
    <row r="2333" spans="1:76" s="81" customFormat="1" ht="13.5" customHeight="1" x14ac:dyDescent="0.25">
      <c r="A2333" s="95"/>
      <c r="B2333" s="95"/>
      <c r="C2333" s="95"/>
      <c r="D2333" s="182" t="s">
        <v>3111</v>
      </c>
      <c r="E2333" s="182"/>
      <c r="F2333" s="182"/>
      <c r="G2333" s="182"/>
      <c r="H2333" s="182"/>
      <c r="I2333" s="182"/>
      <c r="J2333" s="182"/>
      <c r="K2333" s="182"/>
      <c r="L2333" s="182"/>
      <c r="M2333" s="182"/>
      <c r="N2333" s="182"/>
      <c r="O2333" s="182"/>
      <c r="P2333" s="182"/>
    </row>
    <row r="2334" spans="1:76" s="81" customFormat="1" ht="25.5" x14ac:dyDescent="0.25">
      <c r="A2334" s="72" t="s">
        <v>3112</v>
      </c>
      <c r="B2334" s="72" t="s">
        <v>55</v>
      </c>
      <c r="C2334" s="72" t="s">
        <v>3113</v>
      </c>
      <c r="D2334" s="175" t="s">
        <v>3114</v>
      </c>
      <c r="E2334" s="175"/>
      <c r="F2334" s="72" t="s">
        <v>203</v>
      </c>
      <c r="G2334" s="90">
        <v>1</v>
      </c>
      <c r="H2334" s="91"/>
      <c r="I2334" s="92" t="s">
        <v>63</v>
      </c>
      <c r="J2334" s="90">
        <f>G2334*AO2334</f>
        <v>0</v>
      </c>
      <c r="K2334" s="90">
        <f>G2334*AP2334</f>
        <v>0</v>
      </c>
      <c r="L2334" s="90">
        <f>G2334*H2334</f>
        <v>0</v>
      </c>
      <c r="M2334" s="90">
        <f>L2334*(1+BW2334/100)</f>
        <v>0</v>
      </c>
      <c r="N2334" s="90">
        <v>7.6966999999999999</v>
      </c>
      <c r="O2334" s="90">
        <f>G2334*N2334</f>
        <v>7.6966999999999999</v>
      </c>
      <c r="P2334" s="92" t="s">
        <v>578</v>
      </c>
      <c r="Z2334" s="93">
        <f>IF(AQ2334="5",BJ2334,0)</f>
        <v>0</v>
      </c>
      <c r="AB2334" s="93">
        <f>IF(AQ2334="1",BH2334,0)</f>
        <v>0</v>
      </c>
      <c r="AC2334" s="93">
        <f>IF(AQ2334="1",BI2334,0)</f>
        <v>0</v>
      </c>
      <c r="AD2334" s="93">
        <f>IF(AQ2334="7",BH2334,0)</f>
        <v>0</v>
      </c>
      <c r="AE2334" s="93">
        <f>IF(AQ2334="7",BI2334,0)</f>
        <v>0</v>
      </c>
      <c r="AF2334" s="93">
        <f>IF(AQ2334="2",BH2334,0)</f>
        <v>0</v>
      </c>
      <c r="AG2334" s="93">
        <f>IF(AQ2334="2",BI2334,0)</f>
        <v>0</v>
      </c>
      <c r="AH2334" s="93">
        <f>IF(AQ2334="0",BJ2334,0)</f>
        <v>0</v>
      </c>
      <c r="AI2334" s="88" t="s">
        <v>55</v>
      </c>
      <c r="AJ2334" s="93">
        <f>IF(AN2334=0,L2334,0)</f>
        <v>0</v>
      </c>
      <c r="AK2334" s="93">
        <f>IF(AN2334=12,L2334,0)</f>
        <v>0</v>
      </c>
      <c r="AL2334" s="93">
        <f>IF(AN2334=21,L2334,0)</f>
        <v>0</v>
      </c>
      <c r="AN2334" s="93">
        <v>21</v>
      </c>
      <c r="AO2334" s="93">
        <f>H2334*0</f>
        <v>0</v>
      </c>
      <c r="AP2334" s="93">
        <f>H2334*(1-0)</f>
        <v>0</v>
      </c>
      <c r="AQ2334" s="94" t="s">
        <v>148</v>
      </c>
      <c r="AV2334" s="93">
        <f>AW2334+AX2334</f>
        <v>0</v>
      </c>
      <c r="AW2334" s="93">
        <f>G2334*AO2334</f>
        <v>0</v>
      </c>
      <c r="AX2334" s="93">
        <f>G2334*AP2334</f>
        <v>0</v>
      </c>
      <c r="AY2334" s="94" t="s">
        <v>2935</v>
      </c>
      <c r="AZ2334" s="94" t="s">
        <v>2936</v>
      </c>
      <c r="BA2334" s="88" t="s">
        <v>67</v>
      </c>
      <c r="BC2334" s="93">
        <f>AW2334+AX2334</f>
        <v>0</v>
      </c>
      <c r="BD2334" s="93">
        <f>H2334/(100-BE2334)*100</f>
        <v>0</v>
      </c>
      <c r="BE2334" s="93">
        <v>0</v>
      </c>
      <c r="BF2334" s="93">
        <f>O2334</f>
        <v>7.6966999999999999</v>
      </c>
      <c r="BH2334" s="93">
        <f>G2334*AO2334</f>
        <v>0</v>
      </c>
      <c r="BI2334" s="93">
        <f>G2334*AP2334</f>
        <v>0</v>
      </c>
      <c r="BJ2334" s="93">
        <f>G2334*H2334</f>
        <v>0</v>
      </c>
      <c r="BK2334" s="93"/>
      <c r="BL2334" s="93"/>
      <c r="BW2334" s="93" t="str">
        <f>I2334</f>
        <v>21</v>
      </c>
      <c r="BX2334" s="2" t="s">
        <v>3114</v>
      </c>
    </row>
    <row r="2335" spans="1:76" s="81" customFormat="1" ht="13.5" customHeight="1" x14ac:dyDescent="0.25">
      <c r="A2335" s="95"/>
      <c r="B2335" s="95"/>
      <c r="C2335" s="95"/>
      <c r="D2335" s="182" t="s">
        <v>3111</v>
      </c>
      <c r="E2335" s="182"/>
      <c r="F2335" s="182"/>
      <c r="G2335" s="182"/>
      <c r="H2335" s="182"/>
      <c r="I2335" s="182"/>
      <c r="J2335" s="182"/>
      <c r="K2335" s="182"/>
      <c r="L2335" s="182"/>
      <c r="M2335" s="182"/>
      <c r="N2335" s="182"/>
      <c r="O2335" s="182"/>
      <c r="P2335" s="182"/>
    </row>
    <row r="2336" spans="1:76" s="81" customFormat="1" ht="25.5" x14ac:dyDescent="0.25">
      <c r="A2336" s="72" t="s">
        <v>3115</v>
      </c>
      <c r="B2336" s="72" t="s">
        <v>55</v>
      </c>
      <c r="C2336" s="72" t="s">
        <v>3116</v>
      </c>
      <c r="D2336" s="175" t="s">
        <v>3117</v>
      </c>
      <c r="E2336" s="175"/>
      <c r="F2336" s="72" t="s">
        <v>203</v>
      </c>
      <c r="G2336" s="90">
        <v>1</v>
      </c>
      <c r="H2336" s="91"/>
      <c r="I2336" s="92" t="s">
        <v>63</v>
      </c>
      <c r="J2336" s="90">
        <f>G2336*AO2336</f>
        <v>0</v>
      </c>
      <c r="K2336" s="90">
        <f>G2336*AP2336</f>
        <v>0</v>
      </c>
      <c r="L2336" s="90">
        <f>G2336*H2336</f>
        <v>0</v>
      </c>
      <c r="M2336" s="90">
        <f>L2336*(1+BW2336/100)</f>
        <v>0</v>
      </c>
      <c r="N2336" s="90">
        <v>6.4400000000000004E-3</v>
      </c>
      <c r="O2336" s="90">
        <f>G2336*N2336</f>
        <v>6.4400000000000004E-3</v>
      </c>
      <c r="P2336" s="92" t="s">
        <v>64</v>
      </c>
      <c r="Z2336" s="93">
        <f>IF(AQ2336="5",BJ2336,0)</f>
        <v>0</v>
      </c>
      <c r="AB2336" s="93">
        <f>IF(AQ2336="1",BH2336,0)</f>
        <v>0</v>
      </c>
      <c r="AC2336" s="93">
        <f>IF(AQ2336="1",BI2336,0)</f>
        <v>0</v>
      </c>
      <c r="AD2336" s="93">
        <f>IF(AQ2336="7",BH2336,0)</f>
        <v>0</v>
      </c>
      <c r="AE2336" s="93">
        <f>IF(AQ2336="7",BI2336,0)</f>
        <v>0</v>
      </c>
      <c r="AF2336" s="93">
        <f>IF(AQ2336="2",BH2336,0)</f>
        <v>0</v>
      </c>
      <c r="AG2336" s="93">
        <f>IF(AQ2336="2",BI2336,0)</f>
        <v>0</v>
      </c>
      <c r="AH2336" s="93">
        <f>IF(AQ2336="0",BJ2336,0)</f>
        <v>0</v>
      </c>
      <c r="AI2336" s="88" t="s">
        <v>55</v>
      </c>
      <c r="AJ2336" s="93">
        <f>IF(AN2336=0,L2336,0)</f>
        <v>0</v>
      </c>
      <c r="AK2336" s="93">
        <f>IF(AN2336=12,L2336,0)</f>
        <v>0</v>
      </c>
      <c r="AL2336" s="93">
        <f>IF(AN2336=21,L2336,0)</f>
        <v>0</v>
      </c>
      <c r="AN2336" s="93">
        <v>21</v>
      </c>
      <c r="AO2336" s="93">
        <f>H2336*0.941121844</f>
        <v>0</v>
      </c>
      <c r="AP2336" s="93">
        <f>H2336*(1-0.941121844)</f>
        <v>0</v>
      </c>
      <c r="AQ2336" s="94" t="s">
        <v>148</v>
      </c>
      <c r="AV2336" s="93">
        <f>AW2336+AX2336</f>
        <v>0</v>
      </c>
      <c r="AW2336" s="93">
        <f>G2336*AO2336</f>
        <v>0</v>
      </c>
      <c r="AX2336" s="93">
        <f>G2336*AP2336</f>
        <v>0</v>
      </c>
      <c r="AY2336" s="94" t="s">
        <v>2935</v>
      </c>
      <c r="AZ2336" s="94" t="s">
        <v>2936</v>
      </c>
      <c r="BA2336" s="88" t="s">
        <v>67</v>
      </c>
      <c r="BC2336" s="93">
        <f>AW2336+AX2336</f>
        <v>0</v>
      </c>
      <c r="BD2336" s="93">
        <f>H2336/(100-BE2336)*100</f>
        <v>0</v>
      </c>
      <c r="BE2336" s="93">
        <v>0</v>
      </c>
      <c r="BF2336" s="93">
        <f>O2336</f>
        <v>6.4400000000000004E-3</v>
      </c>
      <c r="BH2336" s="93">
        <f>G2336*AO2336</f>
        <v>0</v>
      </c>
      <c r="BI2336" s="93">
        <f>G2336*AP2336</f>
        <v>0</v>
      </c>
      <c r="BJ2336" s="93">
        <f>G2336*H2336</f>
        <v>0</v>
      </c>
      <c r="BK2336" s="93"/>
      <c r="BL2336" s="93"/>
      <c r="BW2336" s="93" t="str">
        <f>I2336</f>
        <v>21</v>
      </c>
      <c r="BX2336" s="2" t="s">
        <v>3117</v>
      </c>
    </row>
    <row r="2337" spans="1:76" s="81" customFormat="1" ht="13.5" customHeight="1" x14ac:dyDescent="0.25">
      <c r="A2337" s="95"/>
      <c r="B2337" s="95"/>
      <c r="C2337" s="95"/>
      <c r="D2337" s="182" t="s">
        <v>3118</v>
      </c>
      <c r="E2337" s="182"/>
      <c r="F2337" s="182"/>
      <c r="G2337" s="182"/>
      <c r="H2337" s="182"/>
      <c r="I2337" s="182"/>
      <c r="J2337" s="182"/>
      <c r="K2337" s="182"/>
      <c r="L2337" s="182"/>
      <c r="M2337" s="182"/>
      <c r="N2337" s="182"/>
      <c r="O2337" s="182"/>
      <c r="P2337" s="182"/>
    </row>
    <row r="2338" spans="1:76" s="81" customFormat="1" ht="25.5" x14ac:dyDescent="0.25">
      <c r="A2338" s="72" t="s">
        <v>3119</v>
      </c>
      <c r="B2338" s="72" t="s">
        <v>55</v>
      </c>
      <c r="C2338" s="72" t="s">
        <v>3120</v>
      </c>
      <c r="D2338" s="175" t="s">
        <v>3121</v>
      </c>
      <c r="E2338" s="175"/>
      <c r="F2338" s="72" t="s">
        <v>1334</v>
      </c>
      <c r="G2338" s="90">
        <v>1</v>
      </c>
      <c r="H2338" s="91"/>
      <c r="I2338" s="92" t="s">
        <v>63</v>
      </c>
      <c r="J2338" s="90">
        <f>G2338*AO2338</f>
        <v>0</v>
      </c>
      <c r="K2338" s="90">
        <f>G2338*AP2338</f>
        <v>0</v>
      </c>
      <c r="L2338" s="90">
        <f>G2338*H2338</f>
        <v>0</v>
      </c>
      <c r="M2338" s="90">
        <f>L2338*(1+BW2338/100)</f>
        <v>0</v>
      </c>
      <c r="N2338" s="90">
        <v>0.5</v>
      </c>
      <c r="O2338" s="90">
        <f>G2338*N2338</f>
        <v>0.5</v>
      </c>
      <c r="P2338" s="92" t="s">
        <v>578</v>
      </c>
      <c r="Z2338" s="93">
        <f>IF(AQ2338="5",BJ2338,0)</f>
        <v>0</v>
      </c>
      <c r="AB2338" s="93">
        <f>IF(AQ2338="1",BH2338,0)</f>
        <v>0</v>
      </c>
      <c r="AC2338" s="93">
        <f>IF(AQ2338="1",BI2338,0)</f>
        <v>0</v>
      </c>
      <c r="AD2338" s="93">
        <f>IF(AQ2338="7",BH2338,0)</f>
        <v>0</v>
      </c>
      <c r="AE2338" s="93">
        <f>IF(AQ2338="7",BI2338,0)</f>
        <v>0</v>
      </c>
      <c r="AF2338" s="93">
        <f>IF(AQ2338="2",BH2338,0)</f>
        <v>0</v>
      </c>
      <c r="AG2338" s="93">
        <f>IF(AQ2338="2",BI2338,0)</f>
        <v>0</v>
      </c>
      <c r="AH2338" s="93">
        <f>IF(AQ2338="0",BJ2338,0)</f>
        <v>0</v>
      </c>
      <c r="AI2338" s="88" t="s">
        <v>55</v>
      </c>
      <c r="AJ2338" s="93">
        <f>IF(AN2338=0,L2338,0)</f>
        <v>0</v>
      </c>
      <c r="AK2338" s="93">
        <f>IF(AN2338=12,L2338,0)</f>
        <v>0</v>
      </c>
      <c r="AL2338" s="93">
        <f>IF(AN2338=21,L2338,0)</f>
        <v>0</v>
      </c>
      <c r="AN2338" s="93">
        <v>21</v>
      </c>
      <c r="AO2338" s="93">
        <f>H2338*0.022293</f>
        <v>0</v>
      </c>
      <c r="AP2338" s="93">
        <f>H2338*(1-0.022293)</f>
        <v>0</v>
      </c>
      <c r="AQ2338" s="94" t="s">
        <v>148</v>
      </c>
      <c r="AV2338" s="93">
        <f>AW2338+AX2338</f>
        <v>0</v>
      </c>
      <c r="AW2338" s="93">
        <f>G2338*AO2338</f>
        <v>0</v>
      </c>
      <c r="AX2338" s="93">
        <f>G2338*AP2338</f>
        <v>0</v>
      </c>
      <c r="AY2338" s="94" t="s">
        <v>2935</v>
      </c>
      <c r="AZ2338" s="94" t="s">
        <v>2936</v>
      </c>
      <c r="BA2338" s="88" t="s">
        <v>67</v>
      </c>
      <c r="BC2338" s="93">
        <f>AW2338+AX2338</f>
        <v>0</v>
      </c>
      <c r="BD2338" s="93">
        <f>H2338/(100-BE2338)*100</f>
        <v>0</v>
      </c>
      <c r="BE2338" s="93">
        <v>0</v>
      </c>
      <c r="BF2338" s="93">
        <f>O2338</f>
        <v>0.5</v>
      </c>
      <c r="BH2338" s="93">
        <f>G2338*AO2338</f>
        <v>0</v>
      </c>
      <c r="BI2338" s="93">
        <f>G2338*AP2338</f>
        <v>0</v>
      </c>
      <c r="BJ2338" s="93">
        <f>G2338*H2338</f>
        <v>0</v>
      </c>
      <c r="BK2338" s="93"/>
      <c r="BL2338" s="93"/>
      <c r="BW2338" s="93" t="str">
        <f>I2338</f>
        <v>21</v>
      </c>
      <c r="BX2338" s="2" t="s">
        <v>3121</v>
      </c>
    </row>
    <row r="2339" spans="1:76" s="81" customFormat="1" ht="25.5" x14ac:dyDescent="0.25">
      <c r="A2339" s="72" t="s">
        <v>3122</v>
      </c>
      <c r="B2339" s="72" t="s">
        <v>55</v>
      </c>
      <c r="C2339" s="72" t="s">
        <v>3123</v>
      </c>
      <c r="D2339" s="175" t="s">
        <v>3124</v>
      </c>
      <c r="E2339" s="175"/>
      <c r="F2339" s="72" t="s">
        <v>1334</v>
      </c>
      <c r="G2339" s="90">
        <v>1</v>
      </c>
      <c r="H2339" s="91"/>
      <c r="I2339" s="92" t="s">
        <v>63</v>
      </c>
      <c r="J2339" s="90">
        <f>G2339*AO2339</f>
        <v>0</v>
      </c>
      <c r="K2339" s="90">
        <f>G2339*AP2339</f>
        <v>0</v>
      </c>
      <c r="L2339" s="90">
        <f>G2339*H2339</f>
        <v>0</v>
      </c>
      <c r="M2339" s="90">
        <f>L2339*(1+BW2339/100)</f>
        <v>0</v>
      </c>
      <c r="N2339" s="90">
        <v>3.8159999999999999E-2</v>
      </c>
      <c r="O2339" s="90">
        <f>G2339*N2339</f>
        <v>3.8159999999999999E-2</v>
      </c>
      <c r="P2339" s="92" t="s">
        <v>64</v>
      </c>
      <c r="Z2339" s="93">
        <f>IF(AQ2339="5",BJ2339,0)</f>
        <v>0</v>
      </c>
      <c r="AB2339" s="93">
        <f>IF(AQ2339="1",BH2339,0)</f>
        <v>0</v>
      </c>
      <c r="AC2339" s="93">
        <f>IF(AQ2339="1",BI2339,0)</f>
        <v>0</v>
      </c>
      <c r="AD2339" s="93">
        <f>IF(AQ2339="7",BH2339,0)</f>
        <v>0</v>
      </c>
      <c r="AE2339" s="93">
        <f>IF(AQ2339="7",BI2339,0)</f>
        <v>0</v>
      </c>
      <c r="AF2339" s="93">
        <f>IF(AQ2339="2",BH2339,0)</f>
        <v>0</v>
      </c>
      <c r="AG2339" s="93">
        <f>IF(AQ2339="2",BI2339,0)</f>
        <v>0</v>
      </c>
      <c r="AH2339" s="93">
        <f>IF(AQ2339="0",BJ2339,0)</f>
        <v>0</v>
      </c>
      <c r="AI2339" s="88" t="s">
        <v>55</v>
      </c>
      <c r="AJ2339" s="93">
        <f>IF(AN2339=0,L2339,0)</f>
        <v>0</v>
      </c>
      <c r="AK2339" s="93">
        <f>IF(AN2339=12,L2339,0)</f>
        <v>0</v>
      </c>
      <c r="AL2339" s="93">
        <f>IF(AN2339=21,L2339,0)</f>
        <v>0</v>
      </c>
      <c r="AN2339" s="93">
        <v>21</v>
      </c>
      <c r="AO2339" s="93">
        <f>H2339*0.922633415</f>
        <v>0</v>
      </c>
      <c r="AP2339" s="93">
        <f>H2339*(1-0.922633415)</f>
        <v>0</v>
      </c>
      <c r="AQ2339" s="94" t="s">
        <v>148</v>
      </c>
      <c r="AV2339" s="93">
        <f>AW2339+AX2339</f>
        <v>0</v>
      </c>
      <c r="AW2339" s="93">
        <f>G2339*AO2339</f>
        <v>0</v>
      </c>
      <c r="AX2339" s="93">
        <f>G2339*AP2339</f>
        <v>0</v>
      </c>
      <c r="AY2339" s="94" t="s">
        <v>2935</v>
      </c>
      <c r="AZ2339" s="94" t="s">
        <v>2936</v>
      </c>
      <c r="BA2339" s="88" t="s">
        <v>67</v>
      </c>
      <c r="BC2339" s="93">
        <f>AW2339+AX2339</f>
        <v>0</v>
      </c>
      <c r="BD2339" s="93">
        <f>H2339/(100-BE2339)*100</f>
        <v>0</v>
      </c>
      <c r="BE2339" s="93">
        <v>0</v>
      </c>
      <c r="BF2339" s="93">
        <f>O2339</f>
        <v>3.8159999999999999E-2</v>
      </c>
      <c r="BH2339" s="93">
        <f>G2339*AO2339</f>
        <v>0</v>
      </c>
      <c r="BI2339" s="93">
        <f>G2339*AP2339</f>
        <v>0</v>
      </c>
      <c r="BJ2339" s="93">
        <f>G2339*H2339</f>
        <v>0</v>
      </c>
      <c r="BK2339" s="93"/>
      <c r="BL2339" s="93"/>
      <c r="BW2339" s="93" t="str">
        <f>I2339</f>
        <v>21</v>
      </c>
      <c r="BX2339" s="2" t="s">
        <v>3124</v>
      </c>
    </row>
    <row r="2340" spans="1:76" s="81" customFormat="1" ht="13.5" customHeight="1" x14ac:dyDescent="0.25">
      <c r="A2340" s="95"/>
      <c r="B2340" s="95"/>
      <c r="C2340" s="95"/>
      <c r="D2340" s="182" t="s">
        <v>3125</v>
      </c>
      <c r="E2340" s="182"/>
      <c r="F2340" s="182"/>
      <c r="G2340" s="182"/>
      <c r="H2340" s="182"/>
      <c r="I2340" s="182"/>
      <c r="J2340" s="182"/>
      <c r="K2340" s="182"/>
      <c r="L2340" s="182"/>
      <c r="M2340" s="182"/>
      <c r="N2340" s="182"/>
      <c r="O2340" s="182"/>
      <c r="P2340" s="182"/>
    </row>
    <row r="2341" spans="1:76" s="81" customFormat="1" ht="25.5" x14ac:dyDescent="0.25">
      <c r="A2341" s="72" t="s">
        <v>3126</v>
      </c>
      <c r="B2341" s="72" t="s">
        <v>55</v>
      </c>
      <c r="C2341" s="72" t="s">
        <v>1332</v>
      </c>
      <c r="D2341" s="175" t="s">
        <v>3127</v>
      </c>
      <c r="E2341" s="175"/>
      <c r="F2341" s="72" t="s">
        <v>1334</v>
      </c>
      <c r="G2341" s="90">
        <v>1</v>
      </c>
      <c r="H2341" s="91"/>
      <c r="I2341" s="92" t="s">
        <v>63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0.5</v>
      </c>
      <c r="O2341" s="90">
        <f>G2341*N2341</f>
        <v>0.5</v>
      </c>
      <c r="P2341" s="92" t="s">
        <v>578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55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H2341*0.022293333</f>
        <v>0</v>
      </c>
      <c r="AP2341" s="93">
        <f>H2341*(1-0.022293333)</f>
        <v>0</v>
      </c>
      <c r="AQ2341" s="94" t="s">
        <v>148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2935</v>
      </c>
      <c r="AZ2341" s="94" t="s">
        <v>2936</v>
      </c>
      <c r="BA2341" s="88" t="s">
        <v>67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0.5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3127</v>
      </c>
    </row>
    <row r="2342" spans="1:76" s="81" customFormat="1" ht="25.5" x14ac:dyDescent="0.25">
      <c r="A2342" s="72" t="s">
        <v>3128</v>
      </c>
      <c r="B2342" s="72" t="s">
        <v>55</v>
      </c>
      <c r="C2342" s="72" t="s">
        <v>3129</v>
      </c>
      <c r="D2342" s="175" t="s">
        <v>3130</v>
      </c>
      <c r="E2342" s="175"/>
      <c r="F2342" s="72" t="s">
        <v>203</v>
      </c>
      <c r="G2342" s="90">
        <v>2</v>
      </c>
      <c r="H2342" s="91"/>
      <c r="I2342" s="92" t="s">
        <v>63</v>
      </c>
      <c r="J2342" s="90">
        <f>G2342*AO2342</f>
        <v>0</v>
      </c>
      <c r="K2342" s="90">
        <f>G2342*AP2342</f>
        <v>0</v>
      </c>
      <c r="L2342" s="90">
        <f>G2342*H2342</f>
        <v>0</v>
      </c>
      <c r="M2342" s="90">
        <f>L2342*(1+BW2342/100)</f>
        <v>0</v>
      </c>
      <c r="N2342" s="90">
        <v>1.3600000000000001E-3</v>
      </c>
      <c r="O2342" s="90">
        <f>G2342*N2342</f>
        <v>2.7200000000000002E-3</v>
      </c>
      <c r="P2342" s="92" t="s">
        <v>64</v>
      </c>
      <c r="Z2342" s="93">
        <f>IF(AQ2342="5",BJ2342,0)</f>
        <v>0</v>
      </c>
      <c r="AB2342" s="93">
        <f>IF(AQ2342="1",BH2342,0)</f>
        <v>0</v>
      </c>
      <c r="AC2342" s="93">
        <f>IF(AQ2342="1",BI2342,0)</f>
        <v>0</v>
      </c>
      <c r="AD2342" s="93">
        <f>IF(AQ2342="7",BH2342,0)</f>
        <v>0</v>
      </c>
      <c r="AE2342" s="93">
        <f>IF(AQ2342="7",BI2342,0)</f>
        <v>0</v>
      </c>
      <c r="AF2342" s="93">
        <f>IF(AQ2342="2",BH2342,0)</f>
        <v>0</v>
      </c>
      <c r="AG2342" s="93">
        <f>IF(AQ2342="2",BI2342,0)</f>
        <v>0</v>
      </c>
      <c r="AH2342" s="93">
        <f>IF(AQ2342="0",BJ2342,0)</f>
        <v>0</v>
      </c>
      <c r="AI2342" s="88" t="s">
        <v>55</v>
      </c>
      <c r="AJ2342" s="93">
        <f>IF(AN2342=0,L2342,0)</f>
        <v>0</v>
      </c>
      <c r="AK2342" s="93">
        <f>IF(AN2342=12,L2342,0)</f>
        <v>0</v>
      </c>
      <c r="AL2342" s="93">
        <f>IF(AN2342=21,L2342,0)</f>
        <v>0</v>
      </c>
      <c r="AN2342" s="93">
        <v>21</v>
      </c>
      <c r="AO2342" s="93">
        <f>H2342*0.962354108</f>
        <v>0</v>
      </c>
      <c r="AP2342" s="93">
        <f>H2342*(1-0.962354108)</f>
        <v>0</v>
      </c>
      <c r="AQ2342" s="94" t="s">
        <v>148</v>
      </c>
      <c r="AV2342" s="93">
        <f>AW2342+AX2342</f>
        <v>0</v>
      </c>
      <c r="AW2342" s="93">
        <f>G2342*AO2342</f>
        <v>0</v>
      </c>
      <c r="AX2342" s="93">
        <f>G2342*AP2342</f>
        <v>0</v>
      </c>
      <c r="AY2342" s="94" t="s">
        <v>2935</v>
      </c>
      <c r="AZ2342" s="94" t="s">
        <v>2936</v>
      </c>
      <c r="BA2342" s="88" t="s">
        <v>67</v>
      </c>
      <c r="BC2342" s="93">
        <f>AW2342+AX2342</f>
        <v>0</v>
      </c>
      <c r="BD2342" s="93">
        <f>H2342/(100-BE2342)*100</f>
        <v>0</v>
      </c>
      <c r="BE2342" s="93">
        <v>0</v>
      </c>
      <c r="BF2342" s="93">
        <f>O2342</f>
        <v>2.7200000000000002E-3</v>
      </c>
      <c r="BH2342" s="93">
        <f>G2342*AO2342</f>
        <v>0</v>
      </c>
      <c r="BI2342" s="93">
        <f>G2342*AP2342</f>
        <v>0</v>
      </c>
      <c r="BJ2342" s="93">
        <f>G2342*H2342</f>
        <v>0</v>
      </c>
      <c r="BK2342" s="93"/>
      <c r="BL2342" s="93"/>
      <c r="BW2342" s="93" t="str">
        <f>I2342</f>
        <v>21</v>
      </c>
      <c r="BX2342" s="2" t="s">
        <v>3130</v>
      </c>
    </row>
    <row r="2343" spans="1:76" s="81" customFormat="1" ht="25.5" x14ac:dyDescent="0.25">
      <c r="A2343" s="72" t="s">
        <v>3131</v>
      </c>
      <c r="B2343" s="72" t="s">
        <v>55</v>
      </c>
      <c r="C2343" s="72" t="s">
        <v>3132</v>
      </c>
      <c r="D2343" s="175" t="s">
        <v>3133</v>
      </c>
      <c r="E2343" s="175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2.5000000000000001E-4</v>
      </c>
      <c r="O2343" s="90">
        <f>G2343*N2343</f>
        <v>2.5000000000000001E-4</v>
      </c>
      <c r="P2343" s="92" t="s">
        <v>64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H2343*0.83721166</f>
        <v>0</v>
      </c>
      <c r="AP2343" s="93">
        <f>H2343*(1-0.83721166)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2935</v>
      </c>
      <c r="AZ2343" s="94" t="s">
        <v>2936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2.5000000000000001E-4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3133</v>
      </c>
    </row>
    <row r="2344" spans="1:76" s="81" customFormat="1" ht="25.5" x14ac:dyDescent="0.25">
      <c r="A2344" s="72" t="s">
        <v>3134</v>
      </c>
      <c r="B2344" s="72" t="s">
        <v>55</v>
      </c>
      <c r="C2344" s="72" t="s">
        <v>3135</v>
      </c>
      <c r="D2344" s="175" t="s">
        <v>3136</v>
      </c>
      <c r="E2344" s="175"/>
      <c r="F2344" s="72" t="s">
        <v>222</v>
      </c>
      <c r="G2344" s="90">
        <v>475.21879999999999</v>
      </c>
      <c r="H2344" s="91"/>
      <c r="I2344" s="92" t="s">
        <v>63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0</v>
      </c>
      <c r="O2344" s="90">
        <f>G2344*N2344</f>
        <v>0</v>
      </c>
      <c r="P2344" s="92" t="s">
        <v>64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55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</f>
        <v>0</v>
      </c>
      <c r="AP2344" s="93">
        <f>H2344*(1-0)</f>
        <v>0</v>
      </c>
      <c r="AQ2344" s="94" t="s">
        <v>136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2935</v>
      </c>
      <c r="AZ2344" s="94" t="s">
        <v>2936</v>
      </c>
      <c r="BA2344" s="88" t="s">
        <v>67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0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3136</v>
      </c>
    </row>
    <row r="2345" spans="1:76" s="81" customFormat="1" x14ac:dyDescent="0.25">
      <c r="A2345" s="85" t="s">
        <v>54</v>
      </c>
      <c r="B2345" s="74" t="s">
        <v>55</v>
      </c>
      <c r="C2345" s="74" t="s">
        <v>3137</v>
      </c>
      <c r="D2345" s="176" t="s">
        <v>3138</v>
      </c>
      <c r="E2345" s="176"/>
      <c r="F2345" s="85" t="s">
        <v>4</v>
      </c>
      <c r="G2345" s="85" t="s">
        <v>4</v>
      </c>
      <c r="H2345" s="85" t="s">
        <v>4</v>
      </c>
      <c r="I2345" s="85" t="s">
        <v>4</v>
      </c>
      <c r="J2345" s="86">
        <f>SUM(J2346:J2515)</f>
        <v>0</v>
      </c>
      <c r="K2345" s="86">
        <f>SUM(K2346:K2515)</f>
        <v>0</v>
      </c>
      <c r="L2345" s="86">
        <f>SUM(L2346:L2515)</f>
        <v>0</v>
      </c>
      <c r="M2345" s="86">
        <f>SUM(M2346:M2515)</f>
        <v>0</v>
      </c>
      <c r="N2345" s="87" t="s">
        <v>54</v>
      </c>
      <c r="O2345" s="86">
        <f>SUM(O2346:O2515)</f>
        <v>170.8777069999999</v>
      </c>
      <c r="P2345" s="87" t="s">
        <v>54</v>
      </c>
      <c r="AI2345" s="88" t="s">
        <v>55</v>
      </c>
      <c r="AS2345" s="89">
        <f>SUM(AJ2346:AJ2515)</f>
        <v>0</v>
      </c>
      <c r="AT2345" s="89">
        <f>SUM(AK2346:AK2515)</f>
        <v>0</v>
      </c>
      <c r="AU2345" s="89">
        <f>SUM(AL2346:AL2515)</f>
        <v>0</v>
      </c>
    </row>
    <row r="2346" spans="1:76" s="81" customFormat="1" ht="25.5" x14ac:dyDescent="0.25">
      <c r="A2346" s="72" t="s">
        <v>3139</v>
      </c>
      <c r="B2346" s="72" t="s">
        <v>55</v>
      </c>
      <c r="C2346" s="72" t="s">
        <v>60</v>
      </c>
      <c r="D2346" s="175" t="s">
        <v>61</v>
      </c>
      <c r="E2346" s="175"/>
      <c r="F2346" s="72" t="s">
        <v>62</v>
      </c>
      <c r="G2346" s="90">
        <v>280.8</v>
      </c>
      <c r="H2346" s="91"/>
      <c r="I2346" s="92" t="s">
        <v>63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0</v>
      </c>
      <c r="O2346" s="90">
        <f>G2346*N2346</f>
        <v>0</v>
      </c>
      <c r="P2346" s="92" t="s">
        <v>64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55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</f>
        <v>0</v>
      </c>
      <c r="AP2346" s="93">
        <f>H2346*(1-0)</f>
        <v>0</v>
      </c>
      <c r="AQ2346" s="94" t="s">
        <v>148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3140</v>
      </c>
      <c r="AZ2346" s="94" t="s">
        <v>2936</v>
      </c>
      <c r="BA2346" s="88" t="s">
        <v>67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0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61</v>
      </c>
    </row>
    <row r="2347" spans="1:76" s="81" customFormat="1" x14ac:dyDescent="0.25">
      <c r="A2347" s="95"/>
      <c r="B2347" s="95"/>
      <c r="C2347" s="95"/>
      <c r="D2347" s="76" t="s">
        <v>3141</v>
      </c>
      <c r="E2347" s="76" t="s">
        <v>3017</v>
      </c>
      <c r="F2347" s="95"/>
      <c r="G2347" s="96">
        <v>280.8</v>
      </c>
      <c r="H2347" s="95"/>
      <c r="I2347" s="95"/>
      <c r="J2347" s="95"/>
      <c r="K2347" s="95"/>
      <c r="L2347" s="95"/>
      <c r="M2347" s="95"/>
      <c r="N2347" s="95"/>
      <c r="O2347" s="95"/>
      <c r="P2347" s="95"/>
    </row>
    <row r="2348" spans="1:76" s="81" customFormat="1" ht="25.5" x14ac:dyDescent="0.25">
      <c r="A2348" s="72" t="s">
        <v>3142</v>
      </c>
      <c r="B2348" s="72" t="s">
        <v>55</v>
      </c>
      <c r="C2348" s="72" t="s">
        <v>119</v>
      </c>
      <c r="D2348" s="175" t="s">
        <v>2952</v>
      </c>
      <c r="E2348" s="175"/>
      <c r="F2348" s="72" t="s">
        <v>62</v>
      </c>
      <c r="G2348" s="90">
        <v>140.4</v>
      </c>
      <c r="H2348" s="91"/>
      <c r="I2348" s="92" t="s">
        <v>63</v>
      </c>
      <c r="J2348" s="90">
        <f>G2348*AO2348</f>
        <v>0</v>
      </c>
      <c r="K2348" s="90">
        <f>G2348*AP2348</f>
        <v>0</v>
      </c>
      <c r="L2348" s="90">
        <f>G2348*H2348</f>
        <v>0</v>
      </c>
      <c r="M2348" s="90">
        <f>L2348*(1+BW2348/100)</f>
        <v>0</v>
      </c>
      <c r="N2348" s="90">
        <v>0</v>
      </c>
      <c r="O2348" s="90">
        <f>G2348*N2348</f>
        <v>0</v>
      </c>
      <c r="P2348" s="92" t="s">
        <v>64</v>
      </c>
      <c r="Z2348" s="93">
        <f>IF(AQ2348="5",BJ2348,0)</f>
        <v>0</v>
      </c>
      <c r="AB2348" s="93">
        <f>IF(AQ2348="1",BH2348,0)</f>
        <v>0</v>
      </c>
      <c r="AC2348" s="93">
        <f>IF(AQ2348="1",BI2348,0)</f>
        <v>0</v>
      </c>
      <c r="AD2348" s="93">
        <f>IF(AQ2348="7",BH2348,0)</f>
        <v>0</v>
      </c>
      <c r="AE2348" s="93">
        <f>IF(AQ2348="7",BI2348,0)</f>
        <v>0</v>
      </c>
      <c r="AF2348" s="93">
        <f>IF(AQ2348="2",BH2348,0)</f>
        <v>0</v>
      </c>
      <c r="AG2348" s="93">
        <f>IF(AQ2348="2",BI2348,0)</f>
        <v>0</v>
      </c>
      <c r="AH2348" s="93">
        <f>IF(AQ2348="0",BJ2348,0)</f>
        <v>0</v>
      </c>
      <c r="AI2348" s="88" t="s">
        <v>55</v>
      </c>
      <c r="AJ2348" s="93">
        <f>IF(AN2348=0,L2348,0)</f>
        <v>0</v>
      </c>
      <c r="AK2348" s="93">
        <f>IF(AN2348=12,L2348,0)</f>
        <v>0</v>
      </c>
      <c r="AL2348" s="93">
        <f>IF(AN2348=21,L2348,0)</f>
        <v>0</v>
      </c>
      <c r="AN2348" s="93">
        <v>21</v>
      </c>
      <c r="AO2348" s="93">
        <f>H2348*0</f>
        <v>0</v>
      </c>
      <c r="AP2348" s="93">
        <f>H2348*(1-0)</f>
        <v>0</v>
      </c>
      <c r="AQ2348" s="94" t="s">
        <v>148</v>
      </c>
      <c r="AV2348" s="93">
        <f>AW2348+AX2348</f>
        <v>0</v>
      </c>
      <c r="AW2348" s="93">
        <f>G2348*AO2348</f>
        <v>0</v>
      </c>
      <c r="AX2348" s="93">
        <f>G2348*AP2348</f>
        <v>0</v>
      </c>
      <c r="AY2348" s="94" t="s">
        <v>3140</v>
      </c>
      <c r="AZ2348" s="94" t="s">
        <v>2936</v>
      </c>
      <c r="BA2348" s="88" t="s">
        <v>67</v>
      </c>
      <c r="BC2348" s="93">
        <f>AW2348+AX2348</f>
        <v>0</v>
      </c>
      <c r="BD2348" s="93">
        <f>H2348/(100-BE2348)*100</f>
        <v>0</v>
      </c>
      <c r="BE2348" s="93">
        <v>0</v>
      </c>
      <c r="BF2348" s="93">
        <f>O2348</f>
        <v>0</v>
      </c>
      <c r="BH2348" s="93">
        <f>G2348*AO2348</f>
        <v>0</v>
      </c>
      <c r="BI2348" s="93">
        <f>G2348*AP2348</f>
        <v>0</v>
      </c>
      <c r="BJ2348" s="93">
        <f>G2348*H2348</f>
        <v>0</v>
      </c>
      <c r="BK2348" s="93"/>
      <c r="BL2348" s="93"/>
      <c r="BW2348" s="93" t="str">
        <f>I2348</f>
        <v>21</v>
      </c>
      <c r="BX2348" s="2" t="s">
        <v>2952</v>
      </c>
    </row>
    <row r="2349" spans="1:76" s="81" customFormat="1" x14ac:dyDescent="0.25">
      <c r="A2349" s="95"/>
      <c r="B2349" s="95"/>
      <c r="C2349" s="95"/>
      <c r="D2349" s="76" t="s">
        <v>3143</v>
      </c>
      <c r="E2349" s="76" t="s">
        <v>54</v>
      </c>
      <c r="F2349" s="95"/>
      <c r="G2349" s="96">
        <v>140.4</v>
      </c>
      <c r="H2349" s="95"/>
      <c r="I2349" s="95"/>
      <c r="J2349" s="95"/>
      <c r="K2349" s="95"/>
      <c r="L2349" s="95"/>
      <c r="M2349" s="95"/>
      <c r="N2349" s="95"/>
      <c r="O2349" s="95"/>
      <c r="P2349" s="95"/>
    </row>
    <row r="2350" spans="1:76" s="81" customFormat="1" ht="25.5" x14ac:dyDescent="0.25">
      <c r="A2350" s="72" t="s">
        <v>3144</v>
      </c>
      <c r="B2350" s="72" t="s">
        <v>55</v>
      </c>
      <c r="C2350" s="72" t="s">
        <v>2955</v>
      </c>
      <c r="D2350" s="175" t="s">
        <v>2956</v>
      </c>
      <c r="E2350" s="175"/>
      <c r="F2350" s="72" t="s">
        <v>192</v>
      </c>
      <c r="G2350" s="90">
        <v>140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9.8999999999999999E-4</v>
      </c>
      <c r="O2350" s="90">
        <f>G2350*N2350</f>
        <v>0.1386</v>
      </c>
      <c r="P2350" s="92" t="s">
        <v>64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H2350*0.085202974</f>
        <v>0</v>
      </c>
      <c r="AP2350" s="93">
        <f>H2350*(1-0.085202974)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3140</v>
      </c>
      <c r="AZ2350" s="94" t="s">
        <v>2936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0.1386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2956</v>
      </c>
    </row>
    <row r="2351" spans="1:76" s="81" customFormat="1" ht="25.5" x14ac:dyDescent="0.25">
      <c r="A2351" s="72" t="s">
        <v>3145</v>
      </c>
      <c r="B2351" s="72" t="s">
        <v>55</v>
      </c>
      <c r="C2351" s="72" t="s">
        <v>2958</v>
      </c>
      <c r="D2351" s="175" t="s">
        <v>2959</v>
      </c>
      <c r="E2351" s="175"/>
      <c r="F2351" s="72" t="s">
        <v>192</v>
      </c>
      <c r="G2351" s="90">
        <v>140</v>
      </c>
      <c r="H2351" s="91"/>
      <c r="I2351" s="92" t="s">
        <v>63</v>
      </c>
      <c r="J2351" s="90">
        <f>G2351*AO2351</f>
        <v>0</v>
      </c>
      <c r="K2351" s="90">
        <f>G2351*AP2351</f>
        <v>0</v>
      </c>
      <c r="L2351" s="90">
        <f>G2351*H2351</f>
        <v>0</v>
      </c>
      <c r="M2351" s="90">
        <f>L2351*(1+BW2351/100)</f>
        <v>0</v>
      </c>
      <c r="N2351" s="90">
        <v>0</v>
      </c>
      <c r="O2351" s="90">
        <f>G2351*N2351</f>
        <v>0</v>
      </c>
      <c r="P2351" s="92" t="s">
        <v>64</v>
      </c>
      <c r="Z2351" s="93">
        <f>IF(AQ2351="5",BJ2351,0)</f>
        <v>0</v>
      </c>
      <c r="AB2351" s="93">
        <f>IF(AQ2351="1",BH2351,0)</f>
        <v>0</v>
      </c>
      <c r="AC2351" s="93">
        <f>IF(AQ2351="1",BI2351,0)</f>
        <v>0</v>
      </c>
      <c r="AD2351" s="93">
        <f>IF(AQ2351="7",BH2351,0)</f>
        <v>0</v>
      </c>
      <c r="AE2351" s="93">
        <f>IF(AQ2351="7",BI2351,0)</f>
        <v>0</v>
      </c>
      <c r="AF2351" s="93">
        <f>IF(AQ2351="2",BH2351,0)</f>
        <v>0</v>
      </c>
      <c r="AG2351" s="93">
        <f>IF(AQ2351="2",BI2351,0)</f>
        <v>0</v>
      </c>
      <c r="AH2351" s="93">
        <f>IF(AQ2351="0",BJ2351,0)</f>
        <v>0</v>
      </c>
      <c r="AI2351" s="88" t="s">
        <v>55</v>
      </c>
      <c r="AJ2351" s="93">
        <f>IF(AN2351=0,L2351,0)</f>
        <v>0</v>
      </c>
      <c r="AK2351" s="93">
        <f>IF(AN2351=12,L2351,0)</f>
        <v>0</v>
      </c>
      <c r="AL2351" s="93">
        <f>IF(AN2351=21,L2351,0)</f>
        <v>0</v>
      </c>
      <c r="AN2351" s="93">
        <v>21</v>
      </c>
      <c r="AO2351" s="93">
        <f>H2351*0</f>
        <v>0</v>
      </c>
      <c r="AP2351" s="93">
        <f>H2351*(1-0)</f>
        <v>0</v>
      </c>
      <c r="AQ2351" s="94" t="s">
        <v>148</v>
      </c>
      <c r="AV2351" s="93">
        <f>AW2351+AX2351</f>
        <v>0</v>
      </c>
      <c r="AW2351" s="93">
        <f>G2351*AO2351</f>
        <v>0</v>
      </c>
      <c r="AX2351" s="93">
        <f>G2351*AP2351</f>
        <v>0</v>
      </c>
      <c r="AY2351" s="94" t="s">
        <v>3140</v>
      </c>
      <c r="AZ2351" s="94" t="s">
        <v>2936</v>
      </c>
      <c r="BA2351" s="88" t="s">
        <v>67</v>
      </c>
      <c r="BC2351" s="93">
        <f>AW2351+AX2351</f>
        <v>0</v>
      </c>
      <c r="BD2351" s="93">
        <f>H2351/(100-BE2351)*100</f>
        <v>0</v>
      </c>
      <c r="BE2351" s="93">
        <v>0</v>
      </c>
      <c r="BF2351" s="93">
        <f>O2351</f>
        <v>0</v>
      </c>
      <c r="BH2351" s="93">
        <f>G2351*AO2351</f>
        <v>0</v>
      </c>
      <c r="BI2351" s="93">
        <f>G2351*AP2351</f>
        <v>0</v>
      </c>
      <c r="BJ2351" s="93">
        <f>G2351*H2351</f>
        <v>0</v>
      </c>
      <c r="BK2351" s="93"/>
      <c r="BL2351" s="93"/>
      <c r="BW2351" s="93" t="str">
        <f>I2351</f>
        <v>21</v>
      </c>
      <c r="BX2351" s="2" t="s">
        <v>2959</v>
      </c>
    </row>
    <row r="2352" spans="1:76" s="81" customFormat="1" ht="25.5" x14ac:dyDescent="0.25">
      <c r="A2352" s="72" t="s">
        <v>3146</v>
      </c>
      <c r="B2352" s="72" t="s">
        <v>55</v>
      </c>
      <c r="C2352" s="72" t="s">
        <v>3147</v>
      </c>
      <c r="D2352" s="175" t="s">
        <v>3148</v>
      </c>
      <c r="E2352" s="175"/>
      <c r="F2352" s="72" t="s">
        <v>62</v>
      </c>
      <c r="G2352" s="90">
        <v>280.8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0</v>
      </c>
      <c r="O2352" s="90">
        <f>G2352*N2352</f>
        <v>0</v>
      </c>
      <c r="P2352" s="92" t="s">
        <v>64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</f>
        <v>0</v>
      </c>
      <c r="AP2352" s="93">
        <f>H2352*(1-0)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3140</v>
      </c>
      <c r="AZ2352" s="94" t="s">
        <v>2936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0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3148</v>
      </c>
    </row>
    <row r="2353" spans="1:76" s="81" customFormat="1" ht="25.5" x14ac:dyDescent="0.25">
      <c r="A2353" s="72" t="s">
        <v>3149</v>
      </c>
      <c r="B2353" s="72" t="s">
        <v>55</v>
      </c>
      <c r="C2353" s="72" t="s">
        <v>2967</v>
      </c>
      <c r="D2353" s="175" t="s">
        <v>2968</v>
      </c>
      <c r="E2353" s="175"/>
      <c r="F2353" s="72" t="s">
        <v>62</v>
      </c>
      <c r="G2353" s="90">
        <v>464.4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0</v>
      </c>
      <c r="O2353" s="90">
        <f>G2353*N2353</f>
        <v>0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H2353*0</f>
        <v>0</v>
      </c>
      <c r="AP2353" s="93">
        <f>H2353*(1-0)</f>
        <v>0</v>
      </c>
      <c r="AQ2353" s="94" t="s">
        <v>148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3140</v>
      </c>
      <c r="AZ2353" s="94" t="s">
        <v>2936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0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2968</v>
      </c>
    </row>
    <row r="2354" spans="1:76" s="81" customFormat="1" x14ac:dyDescent="0.25">
      <c r="A2354" s="95"/>
      <c r="B2354" s="95"/>
      <c r="C2354" s="95"/>
      <c r="D2354" s="76" t="s">
        <v>3150</v>
      </c>
      <c r="E2354" s="76" t="s">
        <v>2970</v>
      </c>
      <c r="F2354" s="95"/>
      <c r="G2354" s="96">
        <v>464.4</v>
      </c>
      <c r="H2354" s="95"/>
      <c r="I2354" s="95"/>
      <c r="J2354" s="95"/>
      <c r="K2354" s="95"/>
      <c r="L2354" s="95"/>
      <c r="M2354" s="95"/>
      <c r="N2354" s="95"/>
      <c r="O2354" s="95"/>
      <c r="P2354" s="95"/>
    </row>
    <row r="2355" spans="1:76" s="81" customFormat="1" ht="25.5" x14ac:dyDescent="0.25">
      <c r="A2355" s="72" t="s">
        <v>3151</v>
      </c>
      <c r="B2355" s="72" t="s">
        <v>55</v>
      </c>
      <c r="C2355" s="72" t="s">
        <v>145</v>
      </c>
      <c r="D2355" s="175" t="s">
        <v>146</v>
      </c>
      <c r="E2355" s="175"/>
      <c r="F2355" s="72" t="s">
        <v>62</v>
      </c>
      <c r="G2355" s="90">
        <v>97.2</v>
      </c>
      <c r="H2355" s="91"/>
      <c r="I2355" s="92" t="s">
        <v>63</v>
      </c>
      <c r="J2355" s="90">
        <f>G2355*AO2355</f>
        <v>0</v>
      </c>
      <c r="K2355" s="90">
        <f>G2355*AP2355</f>
        <v>0</v>
      </c>
      <c r="L2355" s="90">
        <f>G2355*H2355</f>
        <v>0</v>
      </c>
      <c r="M2355" s="90">
        <f>L2355*(1+BW2355/100)</f>
        <v>0</v>
      </c>
      <c r="N2355" s="90">
        <v>0</v>
      </c>
      <c r="O2355" s="90">
        <f>G2355*N2355</f>
        <v>0</v>
      </c>
      <c r="P2355" s="92" t="s">
        <v>64</v>
      </c>
      <c r="Z2355" s="93">
        <f>IF(AQ2355="5",BJ2355,0)</f>
        <v>0</v>
      </c>
      <c r="AB2355" s="93">
        <f>IF(AQ2355="1",BH2355,0)</f>
        <v>0</v>
      </c>
      <c r="AC2355" s="93">
        <f>IF(AQ2355="1",BI2355,0)</f>
        <v>0</v>
      </c>
      <c r="AD2355" s="93">
        <f>IF(AQ2355="7",BH2355,0)</f>
        <v>0</v>
      </c>
      <c r="AE2355" s="93">
        <f>IF(AQ2355="7",BI2355,0)</f>
        <v>0</v>
      </c>
      <c r="AF2355" s="93">
        <f>IF(AQ2355="2",BH2355,0)</f>
        <v>0</v>
      </c>
      <c r="AG2355" s="93">
        <f>IF(AQ2355="2",BI2355,0)</f>
        <v>0</v>
      </c>
      <c r="AH2355" s="93">
        <f>IF(AQ2355="0",BJ2355,0)</f>
        <v>0</v>
      </c>
      <c r="AI2355" s="88" t="s">
        <v>55</v>
      </c>
      <c r="AJ2355" s="93">
        <f>IF(AN2355=0,L2355,0)</f>
        <v>0</v>
      </c>
      <c r="AK2355" s="93">
        <f>IF(AN2355=12,L2355,0)</f>
        <v>0</v>
      </c>
      <c r="AL2355" s="93">
        <f>IF(AN2355=21,L2355,0)</f>
        <v>0</v>
      </c>
      <c r="AN2355" s="93">
        <v>21</v>
      </c>
      <c r="AO2355" s="93">
        <f>H2355*0</f>
        <v>0</v>
      </c>
      <c r="AP2355" s="93">
        <f>H2355*(1-0)</f>
        <v>0</v>
      </c>
      <c r="AQ2355" s="94" t="s">
        <v>148</v>
      </c>
      <c r="AV2355" s="93">
        <f>AW2355+AX2355</f>
        <v>0</v>
      </c>
      <c r="AW2355" s="93">
        <f>G2355*AO2355</f>
        <v>0</v>
      </c>
      <c r="AX2355" s="93">
        <f>G2355*AP2355</f>
        <v>0</v>
      </c>
      <c r="AY2355" s="94" t="s">
        <v>3140</v>
      </c>
      <c r="AZ2355" s="94" t="s">
        <v>2936</v>
      </c>
      <c r="BA2355" s="88" t="s">
        <v>67</v>
      </c>
      <c r="BC2355" s="93">
        <f>AW2355+AX2355</f>
        <v>0</v>
      </c>
      <c r="BD2355" s="93">
        <f>H2355/(100-BE2355)*100</f>
        <v>0</v>
      </c>
      <c r="BE2355" s="93">
        <v>0</v>
      </c>
      <c r="BF2355" s="93">
        <f>O2355</f>
        <v>0</v>
      </c>
      <c r="BH2355" s="93">
        <f>G2355*AO2355</f>
        <v>0</v>
      </c>
      <c r="BI2355" s="93">
        <f>G2355*AP2355</f>
        <v>0</v>
      </c>
      <c r="BJ2355" s="93">
        <f>G2355*H2355</f>
        <v>0</v>
      </c>
      <c r="BK2355" s="93"/>
      <c r="BL2355" s="93"/>
      <c r="BW2355" s="93" t="str">
        <f>I2355</f>
        <v>21</v>
      </c>
      <c r="BX2355" s="2" t="s">
        <v>146</v>
      </c>
    </row>
    <row r="2356" spans="1:76" s="81" customFormat="1" x14ac:dyDescent="0.25">
      <c r="A2356" s="95"/>
      <c r="B2356" s="95"/>
      <c r="C2356" s="95"/>
      <c r="D2356" s="76" t="s">
        <v>3152</v>
      </c>
      <c r="E2356" s="76" t="s">
        <v>54</v>
      </c>
      <c r="F2356" s="95"/>
      <c r="G2356" s="96">
        <v>97.2</v>
      </c>
      <c r="H2356" s="95"/>
      <c r="I2356" s="95"/>
      <c r="J2356" s="95"/>
      <c r="K2356" s="95"/>
      <c r="L2356" s="95"/>
      <c r="M2356" s="95"/>
      <c r="N2356" s="95"/>
      <c r="O2356" s="95"/>
      <c r="P2356" s="95"/>
    </row>
    <row r="2357" spans="1:76" s="81" customFormat="1" ht="25.5" x14ac:dyDescent="0.25">
      <c r="A2357" s="72" t="s">
        <v>3153</v>
      </c>
      <c r="B2357" s="72" t="s">
        <v>55</v>
      </c>
      <c r="C2357" s="72" t="s">
        <v>149</v>
      </c>
      <c r="D2357" s="175" t="s">
        <v>150</v>
      </c>
      <c r="E2357" s="175"/>
      <c r="F2357" s="72" t="s">
        <v>62</v>
      </c>
      <c r="G2357" s="90">
        <v>972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0</v>
      </c>
      <c r="O2357" s="90">
        <f>G2357*N2357</f>
        <v>0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</f>
        <v>0</v>
      </c>
      <c r="AP2357" s="93">
        <f>H2357*(1-0)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3140</v>
      </c>
      <c r="AZ2357" s="94" t="s">
        <v>2936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0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150</v>
      </c>
    </row>
    <row r="2358" spans="1:76" s="81" customFormat="1" x14ac:dyDescent="0.25">
      <c r="A2358" s="95"/>
      <c r="B2358" s="95"/>
      <c r="C2358" s="95"/>
      <c r="D2358" s="76" t="s">
        <v>3154</v>
      </c>
      <c r="E2358" s="76" t="s">
        <v>54</v>
      </c>
      <c r="F2358" s="95"/>
      <c r="G2358" s="96">
        <v>972</v>
      </c>
      <c r="H2358" s="95"/>
      <c r="I2358" s="95"/>
      <c r="J2358" s="95"/>
      <c r="K2358" s="95"/>
      <c r="L2358" s="95"/>
      <c r="M2358" s="95"/>
      <c r="N2358" s="95"/>
      <c r="O2358" s="95"/>
      <c r="P2358" s="95"/>
    </row>
    <row r="2359" spans="1:76" s="81" customFormat="1" ht="25.5" x14ac:dyDescent="0.25">
      <c r="A2359" s="72" t="s">
        <v>3155</v>
      </c>
      <c r="B2359" s="72" t="s">
        <v>55</v>
      </c>
      <c r="C2359" s="72" t="s">
        <v>153</v>
      </c>
      <c r="D2359" s="175" t="s">
        <v>154</v>
      </c>
      <c r="E2359" s="175"/>
      <c r="F2359" s="72" t="s">
        <v>62</v>
      </c>
      <c r="G2359" s="90">
        <v>97.2</v>
      </c>
      <c r="H2359" s="91"/>
      <c r="I2359" s="92" t="s">
        <v>63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0</v>
      </c>
      <c r="O2359" s="90">
        <f>G2359*N2359</f>
        <v>0</v>
      </c>
      <c r="P2359" s="92" t="s">
        <v>64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55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</f>
        <v>0</v>
      </c>
      <c r="AP2359" s="93">
        <f>H2359*(1-0)</f>
        <v>0</v>
      </c>
      <c r="AQ2359" s="94" t="s">
        <v>148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3140</v>
      </c>
      <c r="AZ2359" s="94" t="s">
        <v>2936</v>
      </c>
      <c r="BA2359" s="88" t="s">
        <v>67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0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154</v>
      </c>
    </row>
    <row r="2360" spans="1:76" s="81" customFormat="1" x14ac:dyDescent="0.25">
      <c r="A2360" s="95"/>
      <c r="B2360" s="95"/>
      <c r="C2360" s="95"/>
      <c r="D2360" s="76" t="s">
        <v>3152</v>
      </c>
      <c r="E2360" s="76" t="s">
        <v>54</v>
      </c>
      <c r="F2360" s="95"/>
      <c r="G2360" s="96">
        <v>97.2</v>
      </c>
      <c r="H2360" s="95"/>
      <c r="I2360" s="95"/>
      <c r="J2360" s="95"/>
      <c r="K2360" s="95"/>
      <c r="L2360" s="95"/>
      <c r="M2360" s="95"/>
      <c r="N2360" s="95"/>
      <c r="O2360" s="95"/>
      <c r="P2360" s="95"/>
    </row>
    <row r="2361" spans="1:76" s="81" customFormat="1" ht="25.5" x14ac:dyDescent="0.25">
      <c r="A2361" s="72" t="s">
        <v>3156</v>
      </c>
      <c r="B2361" s="72" t="s">
        <v>55</v>
      </c>
      <c r="C2361" s="72" t="s">
        <v>156</v>
      </c>
      <c r="D2361" s="175" t="s">
        <v>2978</v>
      </c>
      <c r="E2361" s="175"/>
      <c r="F2361" s="72" t="s">
        <v>62</v>
      </c>
      <c r="G2361" s="90">
        <v>280.8</v>
      </c>
      <c r="H2361" s="91"/>
      <c r="I2361" s="92" t="s">
        <v>63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0</v>
      </c>
      <c r="O2361" s="90">
        <f>G2361*N2361</f>
        <v>0</v>
      </c>
      <c r="P2361" s="92" t="s">
        <v>64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55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</f>
        <v>0</v>
      </c>
      <c r="AP2361" s="93">
        <f>H2361*(1-0)</f>
        <v>0</v>
      </c>
      <c r="AQ2361" s="94" t="s">
        <v>148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3140</v>
      </c>
      <c r="AZ2361" s="94" t="s">
        <v>2936</v>
      </c>
      <c r="BA2361" s="88" t="s">
        <v>67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0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2978</v>
      </c>
    </row>
    <row r="2362" spans="1:76" s="81" customFormat="1" x14ac:dyDescent="0.25">
      <c r="A2362" s="95"/>
      <c r="B2362" s="95"/>
      <c r="C2362" s="95"/>
      <c r="D2362" s="76" t="s">
        <v>3152</v>
      </c>
      <c r="E2362" s="76" t="s">
        <v>2979</v>
      </c>
      <c r="F2362" s="95"/>
      <c r="G2362" s="96">
        <v>97.2</v>
      </c>
      <c r="H2362" s="95"/>
      <c r="I2362" s="95"/>
      <c r="J2362" s="95"/>
      <c r="K2362" s="95"/>
      <c r="L2362" s="95"/>
      <c r="M2362" s="95"/>
      <c r="N2362" s="95"/>
      <c r="O2362" s="95"/>
      <c r="P2362" s="95"/>
    </row>
    <row r="2363" spans="1:76" s="81" customFormat="1" x14ac:dyDescent="0.25">
      <c r="A2363" s="95"/>
      <c r="B2363" s="95"/>
      <c r="C2363" s="95"/>
      <c r="D2363" s="76" t="s">
        <v>3157</v>
      </c>
      <c r="E2363" s="76" t="s">
        <v>2981</v>
      </c>
      <c r="F2363" s="95"/>
      <c r="G2363" s="96">
        <v>183.6</v>
      </c>
      <c r="H2363" s="95"/>
      <c r="I2363" s="95"/>
      <c r="J2363" s="95"/>
      <c r="K2363" s="95"/>
      <c r="L2363" s="95"/>
      <c r="M2363" s="95"/>
      <c r="N2363" s="95"/>
      <c r="O2363" s="95"/>
      <c r="P2363" s="95"/>
    </row>
    <row r="2364" spans="1:76" s="81" customFormat="1" ht="25.5" x14ac:dyDescent="0.25">
      <c r="A2364" s="72" t="s">
        <v>3158</v>
      </c>
      <c r="B2364" s="72" t="s">
        <v>55</v>
      </c>
      <c r="C2364" s="72" t="s">
        <v>2990</v>
      </c>
      <c r="D2364" s="175" t="s">
        <v>3159</v>
      </c>
      <c r="E2364" s="175"/>
      <c r="F2364" s="72" t="s">
        <v>62</v>
      </c>
      <c r="G2364" s="90">
        <v>75.599999999999994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1.67</v>
      </c>
      <c r="O2364" s="90">
        <f>G2364*N2364</f>
        <v>126.25199999999998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H2364*0.309007121</f>
        <v>0</v>
      </c>
      <c r="AP2364" s="93">
        <f>H2364*(1-0.309007121)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3140</v>
      </c>
      <c r="AZ2364" s="94" t="s">
        <v>2936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126.25199999999998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3159</v>
      </c>
    </row>
    <row r="2365" spans="1:76" s="81" customFormat="1" ht="13.5" customHeight="1" x14ac:dyDescent="0.25">
      <c r="A2365" s="95"/>
      <c r="B2365" s="95"/>
      <c r="C2365" s="95"/>
      <c r="D2365" s="182" t="s">
        <v>3160</v>
      </c>
      <c r="E2365" s="182"/>
      <c r="F2365" s="182"/>
      <c r="G2365" s="182"/>
      <c r="H2365" s="182"/>
      <c r="I2365" s="182"/>
      <c r="J2365" s="182"/>
      <c r="K2365" s="182"/>
      <c r="L2365" s="182"/>
      <c r="M2365" s="182"/>
      <c r="N2365" s="182"/>
      <c r="O2365" s="182"/>
      <c r="P2365" s="182"/>
    </row>
    <row r="2366" spans="1:76" s="81" customFormat="1" x14ac:dyDescent="0.25">
      <c r="A2366" s="95"/>
      <c r="B2366" s="95"/>
      <c r="C2366" s="95"/>
      <c r="D2366" s="76" t="s">
        <v>3161</v>
      </c>
      <c r="E2366" s="76" t="s">
        <v>3017</v>
      </c>
      <c r="F2366" s="95"/>
      <c r="G2366" s="96">
        <v>75.599999999999994</v>
      </c>
      <c r="H2366" s="95"/>
      <c r="I2366" s="95"/>
      <c r="J2366" s="95"/>
      <c r="K2366" s="95"/>
      <c r="L2366" s="95"/>
      <c r="M2366" s="95"/>
      <c r="N2366" s="95"/>
      <c r="O2366" s="95"/>
      <c r="P2366" s="95"/>
    </row>
    <row r="2367" spans="1:76" s="81" customFormat="1" ht="25.5" x14ac:dyDescent="0.25">
      <c r="A2367" s="72" t="s">
        <v>3162</v>
      </c>
      <c r="B2367" s="72" t="s">
        <v>55</v>
      </c>
      <c r="C2367" s="72" t="s">
        <v>163</v>
      </c>
      <c r="D2367" s="175" t="s">
        <v>164</v>
      </c>
      <c r="E2367" s="175"/>
      <c r="F2367" s="72" t="s">
        <v>62</v>
      </c>
      <c r="G2367" s="90">
        <v>183.6</v>
      </c>
      <c r="H2367" s="91"/>
      <c r="I2367" s="92" t="s">
        <v>63</v>
      </c>
      <c r="J2367" s="90">
        <f>G2367*AO2367</f>
        <v>0</v>
      </c>
      <c r="K2367" s="90">
        <f>G2367*AP2367</f>
        <v>0</v>
      </c>
      <c r="L2367" s="90">
        <f>G2367*H2367</f>
        <v>0</v>
      </c>
      <c r="M2367" s="90">
        <f>L2367*(1+BW2367/100)</f>
        <v>0</v>
      </c>
      <c r="N2367" s="90">
        <v>0</v>
      </c>
      <c r="O2367" s="90">
        <f>G2367*N2367</f>
        <v>0</v>
      </c>
      <c r="P2367" s="92" t="s">
        <v>64</v>
      </c>
      <c r="Z2367" s="93">
        <f>IF(AQ2367="5",BJ2367,0)</f>
        <v>0</v>
      </c>
      <c r="AB2367" s="93">
        <f>IF(AQ2367="1",BH2367,0)</f>
        <v>0</v>
      </c>
      <c r="AC2367" s="93">
        <f>IF(AQ2367="1",BI2367,0)</f>
        <v>0</v>
      </c>
      <c r="AD2367" s="93">
        <f>IF(AQ2367="7",BH2367,0)</f>
        <v>0</v>
      </c>
      <c r="AE2367" s="93">
        <f>IF(AQ2367="7",BI2367,0)</f>
        <v>0</v>
      </c>
      <c r="AF2367" s="93">
        <f>IF(AQ2367="2",BH2367,0)</f>
        <v>0</v>
      </c>
      <c r="AG2367" s="93">
        <f>IF(AQ2367="2",BI2367,0)</f>
        <v>0</v>
      </c>
      <c r="AH2367" s="93">
        <f>IF(AQ2367="0",BJ2367,0)</f>
        <v>0</v>
      </c>
      <c r="AI2367" s="88" t="s">
        <v>55</v>
      </c>
      <c r="AJ2367" s="93">
        <f>IF(AN2367=0,L2367,0)</f>
        <v>0</v>
      </c>
      <c r="AK2367" s="93">
        <f>IF(AN2367=12,L2367,0)</f>
        <v>0</v>
      </c>
      <c r="AL2367" s="93">
        <f>IF(AN2367=21,L2367,0)</f>
        <v>0</v>
      </c>
      <c r="AN2367" s="93">
        <v>21</v>
      </c>
      <c r="AO2367" s="93">
        <f>H2367*0</f>
        <v>0</v>
      </c>
      <c r="AP2367" s="93">
        <f>H2367*(1-0)</f>
        <v>0</v>
      </c>
      <c r="AQ2367" s="94" t="s">
        <v>148</v>
      </c>
      <c r="AV2367" s="93">
        <f>AW2367+AX2367</f>
        <v>0</v>
      </c>
      <c r="AW2367" s="93">
        <f>G2367*AO2367</f>
        <v>0</v>
      </c>
      <c r="AX2367" s="93">
        <f>G2367*AP2367</f>
        <v>0</v>
      </c>
      <c r="AY2367" s="94" t="s">
        <v>3140</v>
      </c>
      <c r="AZ2367" s="94" t="s">
        <v>2936</v>
      </c>
      <c r="BA2367" s="88" t="s">
        <v>67</v>
      </c>
      <c r="BC2367" s="93">
        <f>AW2367+AX2367</f>
        <v>0</v>
      </c>
      <c r="BD2367" s="93">
        <f>H2367/(100-BE2367)*100</f>
        <v>0</v>
      </c>
      <c r="BE2367" s="93">
        <v>0</v>
      </c>
      <c r="BF2367" s="93">
        <f>O2367</f>
        <v>0</v>
      </c>
      <c r="BH2367" s="93">
        <f>G2367*AO2367</f>
        <v>0</v>
      </c>
      <c r="BI2367" s="93">
        <f>G2367*AP2367</f>
        <v>0</v>
      </c>
      <c r="BJ2367" s="93">
        <f>G2367*H2367</f>
        <v>0</v>
      </c>
      <c r="BK2367" s="93"/>
      <c r="BL2367" s="93"/>
      <c r="BW2367" s="93" t="str">
        <f>I2367</f>
        <v>21</v>
      </c>
      <c r="BX2367" s="2" t="s">
        <v>164</v>
      </c>
    </row>
    <row r="2368" spans="1:76" s="81" customFormat="1" x14ac:dyDescent="0.25">
      <c r="A2368" s="95"/>
      <c r="B2368" s="95"/>
      <c r="C2368" s="95"/>
      <c r="D2368" s="76" t="s">
        <v>3163</v>
      </c>
      <c r="E2368" s="76" t="s">
        <v>54</v>
      </c>
      <c r="F2368" s="95"/>
      <c r="G2368" s="96">
        <v>183.6</v>
      </c>
      <c r="H2368" s="95"/>
      <c r="I2368" s="95"/>
      <c r="J2368" s="95"/>
      <c r="K2368" s="95"/>
      <c r="L2368" s="95"/>
      <c r="M2368" s="95"/>
      <c r="N2368" s="95"/>
      <c r="O2368" s="95"/>
      <c r="P2368" s="95"/>
    </row>
    <row r="2369" spans="1:76" s="81" customFormat="1" ht="25.5" x14ac:dyDescent="0.25">
      <c r="A2369" s="72" t="s">
        <v>3164</v>
      </c>
      <c r="B2369" s="72" t="s">
        <v>55</v>
      </c>
      <c r="C2369" s="72" t="s">
        <v>3165</v>
      </c>
      <c r="D2369" s="175" t="s">
        <v>3166</v>
      </c>
      <c r="E2369" s="175"/>
      <c r="F2369" s="72" t="s">
        <v>203</v>
      </c>
      <c r="G2369" s="90">
        <v>12</v>
      </c>
      <c r="H2369" s="91"/>
      <c r="I2369" s="92" t="s">
        <v>63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1.6000000000000001E-4</v>
      </c>
      <c r="O2369" s="90">
        <f>G2369*N2369</f>
        <v>1.9200000000000003E-3</v>
      </c>
      <c r="P2369" s="92" t="s">
        <v>64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55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H2369*0.014343944</f>
        <v>0</v>
      </c>
      <c r="AP2369" s="93">
        <f>H2369*(1-0.014343944)</f>
        <v>0</v>
      </c>
      <c r="AQ2369" s="94" t="s">
        <v>148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3140</v>
      </c>
      <c r="AZ2369" s="94" t="s">
        <v>2936</v>
      </c>
      <c r="BA2369" s="88" t="s">
        <v>67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1.9200000000000003E-3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3166</v>
      </c>
    </row>
    <row r="2370" spans="1:76" s="81" customFormat="1" x14ac:dyDescent="0.25">
      <c r="A2370" s="95"/>
      <c r="B2370" s="95"/>
      <c r="C2370" s="95"/>
      <c r="D2370" s="76" t="s">
        <v>3167</v>
      </c>
      <c r="E2370" s="76" t="s">
        <v>54</v>
      </c>
      <c r="F2370" s="95"/>
      <c r="G2370" s="96">
        <v>12</v>
      </c>
      <c r="H2370" s="95"/>
      <c r="I2370" s="95"/>
      <c r="J2370" s="95"/>
      <c r="K2370" s="95"/>
      <c r="L2370" s="95"/>
      <c r="M2370" s="95"/>
      <c r="N2370" s="95"/>
      <c r="O2370" s="95"/>
      <c r="P2370" s="95"/>
    </row>
    <row r="2371" spans="1:76" s="81" customFormat="1" ht="25.5" x14ac:dyDescent="0.25">
      <c r="A2371" s="72" t="s">
        <v>3168</v>
      </c>
      <c r="B2371" s="72" t="s">
        <v>55</v>
      </c>
      <c r="C2371" s="72" t="s">
        <v>3169</v>
      </c>
      <c r="D2371" s="175" t="s">
        <v>3170</v>
      </c>
      <c r="E2371" s="175"/>
      <c r="F2371" s="72" t="s">
        <v>203</v>
      </c>
      <c r="G2371" s="90">
        <v>9</v>
      </c>
      <c r="H2371" s="91"/>
      <c r="I2371" s="92" t="s">
        <v>63</v>
      </c>
      <c r="J2371" s="90">
        <f t="shared" ref="J2371:J2377" si="384">G2371*AO2371</f>
        <v>0</v>
      </c>
      <c r="K2371" s="90">
        <f t="shared" ref="K2371:K2377" si="385">G2371*AP2371</f>
        <v>0</v>
      </c>
      <c r="L2371" s="90">
        <f t="shared" ref="L2371:L2377" si="386">G2371*H2371</f>
        <v>0</v>
      </c>
      <c r="M2371" s="90">
        <f t="shared" ref="M2371:M2377" si="387">L2371*(1+BW2371/100)</f>
        <v>0</v>
      </c>
      <c r="N2371" s="90">
        <v>1.6000000000000001E-3</v>
      </c>
      <c r="O2371" s="90">
        <f t="shared" ref="O2371:O2377" si="388">G2371*N2371</f>
        <v>1.4400000000000001E-2</v>
      </c>
      <c r="P2371" s="92" t="s">
        <v>64</v>
      </c>
      <c r="Z2371" s="93">
        <f t="shared" ref="Z2371:Z2377" si="389">IF(AQ2371="5",BJ2371,0)</f>
        <v>0</v>
      </c>
      <c r="AB2371" s="93">
        <f t="shared" ref="AB2371:AB2377" si="390">IF(AQ2371="1",BH2371,0)</f>
        <v>0</v>
      </c>
      <c r="AC2371" s="93">
        <f t="shared" ref="AC2371:AC2377" si="391">IF(AQ2371="1",BI2371,0)</f>
        <v>0</v>
      </c>
      <c r="AD2371" s="93">
        <f t="shared" ref="AD2371:AD2377" si="392">IF(AQ2371="7",BH2371,0)</f>
        <v>0</v>
      </c>
      <c r="AE2371" s="93">
        <f t="shared" ref="AE2371:AE2377" si="393">IF(AQ2371="7",BI2371,0)</f>
        <v>0</v>
      </c>
      <c r="AF2371" s="93">
        <f t="shared" ref="AF2371:AF2377" si="394">IF(AQ2371="2",BH2371,0)</f>
        <v>0</v>
      </c>
      <c r="AG2371" s="93">
        <f t="shared" ref="AG2371:AG2377" si="395">IF(AQ2371="2",BI2371,0)</f>
        <v>0</v>
      </c>
      <c r="AH2371" s="93">
        <f t="shared" ref="AH2371:AH2377" si="396">IF(AQ2371="0",BJ2371,0)</f>
        <v>0</v>
      </c>
      <c r="AI2371" s="88" t="s">
        <v>55</v>
      </c>
      <c r="AJ2371" s="93">
        <f t="shared" ref="AJ2371:AJ2377" si="397">IF(AN2371=0,L2371,0)</f>
        <v>0</v>
      </c>
      <c r="AK2371" s="93">
        <f t="shared" ref="AK2371:AK2377" si="398">IF(AN2371=12,L2371,0)</f>
        <v>0</v>
      </c>
      <c r="AL2371" s="93">
        <f t="shared" ref="AL2371:AL2377" si="399">IF(AN2371=21,L2371,0)</f>
        <v>0</v>
      </c>
      <c r="AN2371" s="93">
        <v>21</v>
      </c>
      <c r="AO2371" s="93">
        <f>H2371*1</f>
        <v>0</v>
      </c>
      <c r="AP2371" s="93">
        <f>H2371*(1-1)</f>
        <v>0</v>
      </c>
      <c r="AQ2371" s="94" t="s">
        <v>148</v>
      </c>
      <c r="AV2371" s="93">
        <f t="shared" ref="AV2371:AV2377" si="400">AW2371+AX2371</f>
        <v>0</v>
      </c>
      <c r="AW2371" s="93">
        <f t="shared" ref="AW2371:AW2377" si="401">G2371*AO2371</f>
        <v>0</v>
      </c>
      <c r="AX2371" s="93">
        <f t="shared" ref="AX2371:AX2377" si="402">G2371*AP2371</f>
        <v>0</v>
      </c>
      <c r="AY2371" s="94" t="s">
        <v>3140</v>
      </c>
      <c r="AZ2371" s="94" t="s">
        <v>2936</v>
      </c>
      <c r="BA2371" s="88" t="s">
        <v>67</v>
      </c>
      <c r="BC2371" s="93">
        <f t="shared" ref="BC2371:BC2377" si="403">AW2371+AX2371</f>
        <v>0</v>
      </c>
      <c r="BD2371" s="93">
        <f t="shared" ref="BD2371:BD2377" si="404">H2371/(100-BE2371)*100</f>
        <v>0</v>
      </c>
      <c r="BE2371" s="93">
        <v>0</v>
      </c>
      <c r="BF2371" s="93">
        <f t="shared" ref="BF2371:BF2377" si="405">O2371</f>
        <v>1.4400000000000001E-2</v>
      </c>
      <c r="BH2371" s="93">
        <f t="shared" ref="BH2371:BH2377" si="406">G2371*AO2371</f>
        <v>0</v>
      </c>
      <c r="BI2371" s="93">
        <f t="shared" ref="BI2371:BI2377" si="407">G2371*AP2371</f>
        <v>0</v>
      </c>
      <c r="BJ2371" s="93">
        <f t="shared" ref="BJ2371:BJ2377" si="408">G2371*H2371</f>
        <v>0</v>
      </c>
      <c r="BK2371" s="93"/>
      <c r="BL2371" s="93"/>
      <c r="BW2371" s="93" t="str">
        <f t="shared" ref="BW2371:BW2377" si="409">I2371</f>
        <v>21</v>
      </c>
      <c r="BX2371" s="2" t="s">
        <v>3170</v>
      </c>
    </row>
    <row r="2372" spans="1:76" s="81" customFormat="1" ht="25.5" x14ac:dyDescent="0.25">
      <c r="A2372" s="72" t="s">
        <v>3171</v>
      </c>
      <c r="B2372" s="72" t="s">
        <v>55</v>
      </c>
      <c r="C2372" s="72" t="s">
        <v>3172</v>
      </c>
      <c r="D2372" s="175" t="s">
        <v>3173</v>
      </c>
      <c r="E2372" s="175"/>
      <c r="F2372" s="72" t="s">
        <v>203</v>
      </c>
      <c r="G2372" s="90">
        <v>3</v>
      </c>
      <c r="H2372" s="91"/>
      <c r="I2372" s="92" t="s">
        <v>63</v>
      </c>
      <c r="J2372" s="90">
        <f t="shared" si="384"/>
        <v>0</v>
      </c>
      <c r="K2372" s="90">
        <f t="shared" si="385"/>
        <v>0</v>
      </c>
      <c r="L2372" s="90">
        <f t="shared" si="386"/>
        <v>0</v>
      </c>
      <c r="M2372" s="90">
        <f t="shared" si="387"/>
        <v>0</v>
      </c>
      <c r="N2372" s="90">
        <v>1E-3</v>
      </c>
      <c r="O2372" s="90">
        <f t="shared" si="388"/>
        <v>3.0000000000000001E-3</v>
      </c>
      <c r="P2372" s="92" t="s">
        <v>64</v>
      </c>
      <c r="Z2372" s="93">
        <f t="shared" si="389"/>
        <v>0</v>
      </c>
      <c r="AB2372" s="93">
        <f t="shared" si="390"/>
        <v>0</v>
      </c>
      <c r="AC2372" s="93">
        <f t="shared" si="391"/>
        <v>0</v>
      </c>
      <c r="AD2372" s="93">
        <f t="shared" si="392"/>
        <v>0</v>
      </c>
      <c r="AE2372" s="93">
        <f t="shared" si="393"/>
        <v>0</v>
      </c>
      <c r="AF2372" s="93">
        <f t="shared" si="394"/>
        <v>0</v>
      </c>
      <c r="AG2372" s="93">
        <f t="shared" si="395"/>
        <v>0</v>
      </c>
      <c r="AH2372" s="93">
        <f t="shared" si="396"/>
        <v>0</v>
      </c>
      <c r="AI2372" s="88" t="s">
        <v>55</v>
      </c>
      <c r="AJ2372" s="93">
        <f t="shared" si="397"/>
        <v>0</v>
      </c>
      <c r="AK2372" s="93">
        <f t="shared" si="398"/>
        <v>0</v>
      </c>
      <c r="AL2372" s="93">
        <f t="shared" si="399"/>
        <v>0</v>
      </c>
      <c r="AN2372" s="93">
        <v>21</v>
      </c>
      <c r="AO2372" s="93">
        <f>H2372*1</f>
        <v>0</v>
      </c>
      <c r="AP2372" s="93">
        <f>H2372*(1-1)</f>
        <v>0</v>
      </c>
      <c r="AQ2372" s="94" t="s">
        <v>148</v>
      </c>
      <c r="AV2372" s="93">
        <f t="shared" si="400"/>
        <v>0</v>
      </c>
      <c r="AW2372" s="93">
        <f t="shared" si="401"/>
        <v>0</v>
      </c>
      <c r="AX2372" s="93">
        <f t="shared" si="402"/>
        <v>0</v>
      </c>
      <c r="AY2372" s="94" t="s">
        <v>3140</v>
      </c>
      <c r="AZ2372" s="94" t="s">
        <v>2936</v>
      </c>
      <c r="BA2372" s="88" t="s">
        <v>67</v>
      </c>
      <c r="BC2372" s="93">
        <f t="shared" si="403"/>
        <v>0</v>
      </c>
      <c r="BD2372" s="93">
        <f t="shared" si="404"/>
        <v>0</v>
      </c>
      <c r="BE2372" s="93">
        <v>0</v>
      </c>
      <c r="BF2372" s="93">
        <f t="shared" si="405"/>
        <v>3.0000000000000001E-3</v>
      </c>
      <c r="BH2372" s="93">
        <f t="shared" si="406"/>
        <v>0</v>
      </c>
      <c r="BI2372" s="93">
        <f t="shared" si="407"/>
        <v>0</v>
      </c>
      <c r="BJ2372" s="93">
        <f t="shared" si="408"/>
        <v>0</v>
      </c>
      <c r="BK2372" s="93"/>
      <c r="BL2372" s="93"/>
      <c r="BW2372" s="93" t="str">
        <f t="shared" si="409"/>
        <v>21</v>
      </c>
      <c r="BX2372" s="2" t="s">
        <v>3173</v>
      </c>
    </row>
    <row r="2373" spans="1:76" s="81" customFormat="1" ht="25.5" x14ac:dyDescent="0.25">
      <c r="A2373" s="72" t="s">
        <v>3174</v>
      </c>
      <c r="B2373" s="72" t="s">
        <v>55</v>
      </c>
      <c r="C2373" s="72" t="s">
        <v>3175</v>
      </c>
      <c r="D2373" s="175" t="s">
        <v>3176</v>
      </c>
      <c r="E2373" s="175"/>
      <c r="F2373" s="72" t="s">
        <v>203</v>
      </c>
      <c r="G2373" s="90">
        <v>16</v>
      </c>
      <c r="H2373" s="91"/>
      <c r="I2373" s="92" t="s">
        <v>63</v>
      </c>
      <c r="J2373" s="90">
        <f t="shared" si="384"/>
        <v>0</v>
      </c>
      <c r="K2373" s="90">
        <f t="shared" si="385"/>
        <v>0</v>
      </c>
      <c r="L2373" s="90">
        <f t="shared" si="386"/>
        <v>0</v>
      </c>
      <c r="M2373" s="90">
        <f t="shared" si="387"/>
        <v>0</v>
      </c>
      <c r="N2373" s="90">
        <v>1.6000000000000001E-4</v>
      </c>
      <c r="O2373" s="90">
        <f t="shared" si="388"/>
        <v>2.5600000000000002E-3</v>
      </c>
      <c r="P2373" s="92" t="s">
        <v>64</v>
      </c>
      <c r="Z2373" s="93">
        <f t="shared" si="389"/>
        <v>0</v>
      </c>
      <c r="AB2373" s="93">
        <f t="shared" si="390"/>
        <v>0</v>
      </c>
      <c r="AC2373" s="93">
        <f t="shared" si="391"/>
        <v>0</v>
      </c>
      <c r="AD2373" s="93">
        <f t="shared" si="392"/>
        <v>0</v>
      </c>
      <c r="AE2373" s="93">
        <f t="shared" si="393"/>
        <v>0</v>
      </c>
      <c r="AF2373" s="93">
        <f t="shared" si="394"/>
        <v>0</v>
      </c>
      <c r="AG2373" s="93">
        <f t="shared" si="395"/>
        <v>0</v>
      </c>
      <c r="AH2373" s="93">
        <f t="shared" si="396"/>
        <v>0</v>
      </c>
      <c r="AI2373" s="88" t="s">
        <v>55</v>
      </c>
      <c r="AJ2373" s="93">
        <f t="shared" si="397"/>
        <v>0</v>
      </c>
      <c r="AK2373" s="93">
        <f t="shared" si="398"/>
        <v>0</v>
      </c>
      <c r="AL2373" s="93">
        <f t="shared" si="399"/>
        <v>0</v>
      </c>
      <c r="AN2373" s="93">
        <v>21</v>
      </c>
      <c r="AO2373" s="93">
        <f>H2373*0.018833333</f>
        <v>0</v>
      </c>
      <c r="AP2373" s="93">
        <f>H2373*(1-0.018833333)</f>
        <v>0</v>
      </c>
      <c r="AQ2373" s="94" t="s">
        <v>148</v>
      </c>
      <c r="AV2373" s="93">
        <f t="shared" si="400"/>
        <v>0</v>
      </c>
      <c r="AW2373" s="93">
        <f t="shared" si="401"/>
        <v>0</v>
      </c>
      <c r="AX2373" s="93">
        <f t="shared" si="402"/>
        <v>0</v>
      </c>
      <c r="AY2373" s="94" t="s">
        <v>3140</v>
      </c>
      <c r="AZ2373" s="94" t="s">
        <v>2936</v>
      </c>
      <c r="BA2373" s="88" t="s">
        <v>67</v>
      </c>
      <c r="BC2373" s="93">
        <f t="shared" si="403"/>
        <v>0</v>
      </c>
      <c r="BD2373" s="93">
        <f t="shared" si="404"/>
        <v>0</v>
      </c>
      <c r="BE2373" s="93">
        <v>0</v>
      </c>
      <c r="BF2373" s="93">
        <f t="shared" si="405"/>
        <v>2.5600000000000002E-3</v>
      </c>
      <c r="BH2373" s="93">
        <f t="shared" si="406"/>
        <v>0</v>
      </c>
      <c r="BI2373" s="93">
        <f t="shared" si="407"/>
        <v>0</v>
      </c>
      <c r="BJ2373" s="93">
        <f t="shared" si="408"/>
        <v>0</v>
      </c>
      <c r="BK2373" s="93"/>
      <c r="BL2373" s="93"/>
      <c r="BW2373" s="93" t="str">
        <f t="shared" si="409"/>
        <v>21</v>
      </c>
      <c r="BX2373" s="2" t="s">
        <v>3176</v>
      </c>
    </row>
    <row r="2374" spans="1:76" s="81" customFormat="1" ht="25.5" x14ac:dyDescent="0.25">
      <c r="A2374" s="72" t="s">
        <v>3177</v>
      </c>
      <c r="B2374" s="72" t="s">
        <v>55</v>
      </c>
      <c r="C2374" s="72" t="s">
        <v>3178</v>
      </c>
      <c r="D2374" s="175" t="s">
        <v>3179</v>
      </c>
      <c r="E2374" s="175"/>
      <c r="F2374" s="72" t="s">
        <v>203</v>
      </c>
      <c r="G2374" s="90">
        <v>16</v>
      </c>
      <c r="H2374" s="91"/>
      <c r="I2374" s="92" t="s">
        <v>63</v>
      </c>
      <c r="J2374" s="90">
        <f t="shared" si="384"/>
        <v>0</v>
      </c>
      <c r="K2374" s="90">
        <f t="shared" si="385"/>
        <v>0</v>
      </c>
      <c r="L2374" s="90">
        <f t="shared" si="386"/>
        <v>0</v>
      </c>
      <c r="M2374" s="90">
        <f t="shared" si="387"/>
        <v>0</v>
      </c>
      <c r="N2374" s="90">
        <v>1.6000000000000001E-3</v>
      </c>
      <c r="O2374" s="90">
        <f t="shared" si="388"/>
        <v>2.5600000000000001E-2</v>
      </c>
      <c r="P2374" s="92" t="s">
        <v>371</v>
      </c>
      <c r="Z2374" s="93">
        <f t="shared" si="389"/>
        <v>0</v>
      </c>
      <c r="AB2374" s="93">
        <f t="shared" si="390"/>
        <v>0</v>
      </c>
      <c r="AC2374" s="93">
        <f t="shared" si="391"/>
        <v>0</v>
      </c>
      <c r="AD2374" s="93">
        <f t="shared" si="392"/>
        <v>0</v>
      </c>
      <c r="AE2374" s="93">
        <f t="shared" si="393"/>
        <v>0</v>
      </c>
      <c r="AF2374" s="93">
        <f t="shared" si="394"/>
        <v>0</v>
      </c>
      <c r="AG2374" s="93">
        <f t="shared" si="395"/>
        <v>0</v>
      </c>
      <c r="AH2374" s="93">
        <f t="shared" si="396"/>
        <v>0</v>
      </c>
      <c r="AI2374" s="88" t="s">
        <v>55</v>
      </c>
      <c r="AJ2374" s="93">
        <f t="shared" si="397"/>
        <v>0</v>
      </c>
      <c r="AK2374" s="93">
        <f t="shared" si="398"/>
        <v>0</v>
      </c>
      <c r="AL2374" s="93">
        <f t="shared" si="399"/>
        <v>0</v>
      </c>
      <c r="AN2374" s="93">
        <v>21</v>
      </c>
      <c r="AO2374" s="93">
        <f>H2374*1</f>
        <v>0</v>
      </c>
      <c r="AP2374" s="93">
        <f>H2374*(1-1)</f>
        <v>0</v>
      </c>
      <c r="AQ2374" s="94" t="s">
        <v>148</v>
      </c>
      <c r="AV2374" s="93">
        <f t="shared" si="400"/>
        <v>0</v>
      </c>
      <c r="AW2374" s="93">
        <f t="shared" si="401"/>
        <v>0</v>
      </c>
      <c r="AX2374" s="93">
        <f t="shared" si="402"/>
        <v>0</v>
      </c>
      <c r="AY2374" s="94" t="s">
        <v>3140</v>
      </c>
      <c r="AZ2374" s="94" t="s">
        <v>2936</v>
      </c>
      <c r="BA2374" s="88" t="s">
        <v>67</v>
      </c>
      <c r="BC2374" s="93">
        <f t="shared" si="403"/>
        <v>0</v>
      </c>
      <c r="BD2374" s="93">
        <f t="shared" si="404"/>
        <v>0</v>
      </c>
      <c r="BE2374" s="93">
        <v>0</v>
      </c>
      <c r="BF2374" s="93">
        <f t="shared" si="405"/>
        <v>2.5600000000000001E-2</v>
      </c>
      <c r="BH2374" s="93">
        <f t="shared" si="406"/>
        <v>0</v>
      </c>
      <c r="BI2374" s="93">
        <f t="shared" si="407"/>
        <v>0</v>
      </c>
      <c r="BJ2374" s="93">
        <f t="shared" si="408"/>
        <v>0</v>
      </c>
      <c r="BK2374" s="93"/>
      <c r="BL2374" s="93"/>
      <c r="BW2374" s="93" t="str">
        <f t="shared" si="409"/>
        <v>21</v>
      </c>
      <c r="BX2374" s="2" t="s">
        <v>3179</v>
      </c>
    </row>
    <row r="2375" spans="1:76" s="81" customFormat="1" ht="25.5" x14ac:dyDescent="0.25">
      <c r="A2375" s="72" t="s">
        <v>3180</v>
      </c>
      <c r="B2375" s="72" t="s">
        <v>55</v>
      </c>
      <c r="C2375" s="72" t="s">
        <v>3181</v>
      </c>
      <c r="D2375" s="175" t="s">
        <v>3182</v>
      </c>
      <c r="E2375" s="175"/>
      <c r="F2375" s="72" t="s">
        <v>203</v>
      </c>
      <c r="G2375" s="90">
        <v>4</v>
      </c>
      <c r="H2375" s="91"/>
      <c r="I2375" s="92" t="s">
        <v>63</v>
      </c>
      <c r="J2375" s="90">
        <f t="shared" si="384"/>
        <v>0</v>
      </c>
      <c r="K2375" s="90">
        <f t="shared" si="385"/>
        <v>0</v>
      </c>
      <c r="L2375" s="90">
        <f t="shared" si="386"/>
        <v>0</v>
      </c>
      <c r="M2375" s="90">
        <f t="shared" si="387"/>
        <v>0</v>
      </c>
      <c r="N2375" s="90">
        <v>1.6000000000000001E-4</v>
      </c>
      <c r="O2375" s="90">
        <f t="shared" si="388"/>
        <v>6.4000000000000005E-4</v>
      </c>
      <c r="P2375" s="92" t="s">
        <v>371</v>
      </c>
      <c r="Z2375" s="93">
        <f t="shared" si="389"/>
        <v>0</v>
      </c>
      <c r="AB2375" s="93">
        <f t="shared" si="390"/>
        <v>0</v>
      </c>
      <c r="AC2375" s="93">
        <f t="shared" si="391"/>
        <v>0</v>
      </c>
      <c r="AD2375" s="93">
        <f t="shared" si="392"/>
        <v>0</v>
      </c>
      <c r="AE2375" s="93">
        <f t="shared" si="393"/>
        <v>0</v>
      </c>
      <c r="AF2375" s="93">
        <f t="shared" si="394"/>
        <v>0</v>
      </c>
      <c r="AG2375" s="93">
        <f t="shared" si="395"/>
        <v>0</v>
      </c>
      <c r="AH2375" s="93">
        <f t="shared" si="396"/>
        <v>0</v>
      </c>
      <c r="AI2375" s="88" t="s">
        <v>55</v>
      </c>
      <c r="AJ2375" s="93">
        <f t="shared" si="397"/>
        <v>0</v>
      </c>
      <c r="AK2375" s="93">
        <f t="shared" si="398"/>
        <v>0</v>
      </c>
      <c r="AL2375" s="93">
        <f t="shared" si="399"/>
        <v>0</v>
      </c>
      <c r="AN2375" s="93">
        <v>21</v>
      </c>
      <c r="AO2375" s="93">
        <f>H2375*0.018833333</f>
        <v>0</v>
      </c>
      <c r="AP2375" s="93">
        <f>H2375*(1-0.018833333)</f>
        <v>0</v>
      </c>
      <c r="AQ2375" s="94" t="s">
        <v>148</v>
      </c>
      <c r="AV2375" s="93">
        <f t="shared" si="400"/>
        <v>0</v>
      </c>
      <c r="AW2375" s="93">
        <f t="shared" si="401"/>
        <v>0</v>
      </c>
      <c r="AX2375" s="93">
        <f t="shared" si="402"/>
        <v>0</v>
      </c>
      <c r="AY2375" s="94" t="s">
        <v>3140</v>
      </c>
      <c r="AZ2375" s="94" t="s">
        <v>2936</v>
      </c>
      <c r="BA2375" s="88" t="s">
        <v>67</v>
      </c>
      <c r="BC2375" s="93">
        <f t="shared" si="403"/>
        <v>0</v>
      </c>
      <c r="BD2375" s="93">
        <f t="shared" si="404"/>
        <v>0</v>
      </c>
      <c r="BE2375" s="93">
        <v>0</v>
      </c>
      <c r="BF2375" s="93">
        <f t="shared" si="405"/>
        <v>6.4000000000000005E-4</v>
      </c>
      <c r="BH2375" s="93">
        <f t="shared" si="406"/>
        <v>0</v>
      </c>
      <c r="BI2375" s="93">
        <f t="shared" si="407"/>
        <v>0</v>
      </c>
      <c r="BJ2375" s="93">
        <f t="shared" si="408"/>
        <v>0</v>
      </c>
      <c r="BK2375" s="93"/>
      <c r="BL2375" s="93"/>
      <c r="BW2375" s="93" t="str">
        <f t="shared" si="409"/>
        <v>21</v>
      </c>
      <c r="BX2375" s="2" t="s">
        <v>3182</v>
      </c>
    </row>
    <row r="2376" spans="1:76" s="81" customFormat="1" ht="25.5" x14ac:dyDescent="0.25">
      <c r="A2376" s="72" t="s">
        <v>3183</v>
      </c>
      <c r="B2376" s="72" t="s">
        <v>55</v>
      </c>
      <c r="C2376" s="72" t="s">
        <v>3184</v>
      </c>
      <c r="D2376" s="175" t="s">
        <v>3179</v>
      </c>
      <c r="E2376" s="175"/>
      <c r="F2376" s="72" t="s">
        <v>203</v>
      </c>
      <c r="G2376" s="90">
        <v>4</v>
      </c>
      <c r="H2376" s="91"/>
      <c r="I2376" s="92" t="s">
        <v>63</v>
      </c>
      <c r="J2376" s="90">
        <f t="shared" si="384"/>
        <v>0</v>
      </c>
      <c r="K2376" s="90">
        <f t="shared" si="385"/>
        <v>0</v>
      </c>
      <c r="L2376" s="90">
        <f t="shared" si="386"/>
        <v>0</v>
      </c>
      <c r="M2376" s="90">
        <f t="shared" si="387"/>
        <v>0</v>
      </c>
      <c r="N2376" s="90">
        <v>1.6000000000000001E-3</v>
      </c>
      <c r="O2376" s="90">
        <f t="shared" si="388"/>
        <v>6.4000000000000003E-3</v>
      </c>
      <c r="P2376" s="92" t="s">
        <v>371</v>
      </c>
      <c r="Z2376" s="93">
        <f t="shared" si="389"/>
        <v>0</v>
      </c>
      <c r="AB2376" s="93">
        <f t="shared" si="390"/>
        <v>0</v>
      </c>
      <c r="AC2376" s="93">
        <f t="shared" si="391"/>
        <v>0</v>
      </c>
      <c r="AD2376" s="93">
        <f t="shared" si="392"/>
        <v>0</v>
      </c>
      <c r="AE2376" s="93">
        <f t="shared" si="393"/>
        <v>0</v>
      </c>
      <c r="AF2376" s="93">
        <f t="shared" si="394"/>
        <v>0</v>
      </c>
      <c r="AG2376" s="93">
        <f t="shared" si="395"/>
        <v>0</v>
      </c>
      <c r="AH2376" s="93">
        <f t="shared" si="396"/>
        <v>0</v>
      </c>
      <c r="AI2376" s="88" t="s">
        <v>55</v>
      </c>
      <c r="AJ2376" s="93">
        <f t="shared" si="397"/>
        <v>0</v>
      </c>
      <c r="AK2376" s="93">
        <f t="shared" si="398"/>
        <v>0</v>
      </c>
      <c r="AL2376" s="93">
        <f t="shared" si="399"/>
        <v>0</v>
      </c>
      <c r="AN2376" s="93">
        <v>21</v>
      </c>
      <c r="AO2376" s="93">
        <f>H2376*1</f>
        <v>0</v>
      </c>
      <c r="AP2376" s="93">
        <f>H2376*(1-1)</f>
        <v>0</v>
      </c>
      <c r="AQ2376" s="94" t="s">
        <v>148</v>
      </c>
      <c r="AV2376" s="93">
        <f t="shared" si="400"/>
        <v>0</v>
      </c>
      <c r="AW2376" s="93">
        <f t="shared" si="401"/>
        <v>0</v>
      </c>
      <c r="AX2376" s="93">
        <f t="shared" si="402"/>
        <v>0</v>
      </c>
      <c r="AY2376" s="94" t="s">
        <v>3140</v>
      </c>
      <c r="AZ2376" s="94" t="s">
        <v>2936</v>
      </c>
      <c r="BA2376" s="88" t="s">
        <v>67</v>
      </c>
      <c r="BC2376" s="93">
        <f t="shared" si="403"/>
        <v>0</v>
      </c>
      <c r="BD2376" s="93">
        <f t="shared" si="404"/>
        <v>0</v>
      </c>
      <c r="BE2376" s="93">
        <v>0</v>
      </c>
      <c r="BF2376" s="93">
        <f t="shared" si="405"/>
        <v>6.4000000000000003E-3</v>
      </c>
      <c r="BH2376" s="93">
        <f t="shared" si="406"/>
        <v>0</v>
      </c>
      <c r="BI2376" s="93">
        <f t="shared" si="407"/>
        <v>0</v>
      </c>
      <c r="BJ2376" s="93">
        <f t="shared" si="408"/>
        <v>0</v>
      </c>
      <c r="BK2376" s="93"/>
      <c r="BL2376" s="93"/>
      <c r="BW2376" s="93" t="str">
        <f t="shared" si="409"/>
        <v>21</v>
      </c>
      <c r="BX2376" s="2" t="s">
        <v>3179</v>
      </c>
    </row>
    <row r="2377" spans="1:76" s="81" customFormat="1" ht="25.5" x14ac:dyDescent="0.25">
      <c r="A2377" s="72" t="s">
        <v>3185</v>
      </c>
      <c r="B2377" s="72" t="s">
        <v>55</v>
      </c>
      <c r="C2377" s="72" t="s">
        <v>3015</v>
      </c>
      <c r="D2377" s="175" t="s">
        <v>3016</v>
      </c>
      <c r="E2377" s="175"/>
      <c r="F2377" s="72" t="s">
        <v>62</v>
      </c>
      <c r="G2377" s="90">
        <v>21.6</v>
      </c>
      <c r="H2377" s="91"/>
      <c r="I2377" s="92" t="s">
        <v>63</v>
      </c>
      <c r="J2377" s="90">
        <f t="shared" si="384"/>
        <v>0</v>
      </c>
      <c r="K2377" s="90">
        <f t="shared" si="385"/>
        <v>0</v>
      </c>
      <c r="L2377" s="90">
        <f t="shared" si="386"/>
        <v>0</v>
      </c>
      <c r="M2377" s="90">
        <f t="shared" si="387"/>
        <v>0</v>
      </c>
      <c r="N2377" s="90">
        <v>1.8907700000000001</v>
      </c>
      <c r="O2377" s="90">
        <f t="shared" si="388"/>
        <v>40.840632000000006</v>
      </c>
      <c r="P2377" s="92" t="s">
        <v>64</v>
      </c>
      <c r="Z2377" s="93">
        <f t="shared" si="389"/>
        <v>0</v>
      </c>
      <c r="AB2377" s="93">
        <f t="shared" si="390"/>
        <v>0</v>
      </c>
      <c r="AC2377" s="93">
        <f t="shared" si="391"/>
        <v>0</v>
      </c>
      <c r="AD2377" s="93">
        <f t="shared" si="392"/>
        <v>0</v>
      </c>
      <c r="AE2377" s="93">
        <f t="shared" si="393"/>
        <v>0</v>
      </c>
      <c r="AF2377" s="93">
        <f t="shared" si="394"/>
        <v>0</v>
      </c>
      <c r="AG2377" s="93">
        <f t="shared" si="395"/>
        <v>0</v>
      </c>
      <c r="AH2377" s="93">
        <f t="shared" si="396"/>
        <v>0</v>
      </c>
      <c r="AI2377" s="88" t="s">
        <v>55</v>
      </c>
      <c r="AJ2377" s="93">
        <f t="shared" si="397"/>
        <v>0</v>
      </c>
      <c r="AK2377" s="93">
        <f t="shared" si="398"/>
        <v>0</v>
      </c>
      <c r="AL2377" s="93">
        <f t="shared" si="399"/>
        <v>0</v>
      </c>
      <c r="AN2377" s="93">
        <v>21</v>
      </c>
      <c r="AO2377" s="93">
        <f>H2377*0.488167006</f>
        <v>0</v>
      </c>
      <c r="AP2377" s="93">
        <f>H2377*(1-0.488167006)</f>
        <v>0</v>
      </c>
      <c r="AQ2377" s="94" t="s">
        <v>148</v>
      </c>
      <c r="AV2377" s="93">
        <f t="shared" si="400"/>
        <v>0</v>
      </c>
      <c r="AW2377" s="93">
        <f t="shared" si="401"/>
        <v>0</v>
      </c>
      <c r="AX2377" s="93">
        <f t="shared" si="402"/>
        <v>0</v>
      </c>
      <c r="AY2377" s="94" t="s">
        <v>3140</v>
      </c>
      <c r="AZ2377" s="94" t="s">
        <v>2936</v>
      </c>
      <c r="BA2377" s="88" t="s">
        <v>67</v>
      </c>
      <c r="BC2377" s="93">
        <f t="shared" si="403"/>
        <v>0</v>
      </c>
      <c r="BD2377" s="93">
        <f t="shared" si="404"/>
        <v>0</v>
      </c>
      <c r="BE2377" s="93">
        <v>0</v>
      </c>
      <c r="BF2377" s="93">
        <f t="shared" si="405"/>
        <v>40.840632000000006</v>
      </c>
      <c r="BH2377" s="93">
        <f t="shared" si="406"/>
        <v>0</v>
      </c>
      <c r="BI2377" s="93">
        <f t="shared" si="407"/>
        <v>0</v>
      </c>
      <c r="BJ2377" s="93">
        <f t="shared" si="408"/>
        <v>0</v>
      </c>
      <c r="BK2377" s="93"/>
      <c r="BL2377" s="93"/>
      <c r="BW2377" s="93" t="str">
        <f t="shared" si="409"/>
        <v>21</v>
      </c>
      <c r="BX2377" s="2" t="s">
        <v>3016</v>
      </c>
    </row>
    <row r="2378" spans="1:76" s="81" customFormat="1" x14ac:dyDescent="0.25">
      <c r="A2378" s="95"/>
      <c r="B2378" s="95"/>
      <c r="C2378" s="95"/>
      <c r="D2378" s="76" t="s">
        <v>3186</v>
      </c>
      <c r="E2378" s="76" t="s">
        <v>3017</v>
      </c>
      <c r="F2378" s="95"/>
      <c r="G2378" s="96">
        <v>21.6</v>
      </c>
      <c r="H2378" s="95"/>
      <c r="I2378" s="95"/>
      <c r="J2378" s="95"/>
      <c r="K2378" s="95"/>
      <c r="L2378" s="95"/>
      <c r="M2378" s="95"/>
      <c r="N2378" s="95"/>
      <c r="O2378" s="95"/>
      <c r="P2378" s="95"/>
    </row>
    <row r="2379" spans="1:76" s="81" customFormat="1" ht="25.5" x14ac:dyDescent="0.25">
      <c r="A2379" s="72" t="s">
        <v>3187</v>
      </c>
      <c r="B2379" s="72" t="s">
        <v>55</v>
      </c>
      <c r="C2379" s="72" t="s">
        <v>3086</v>
      </c>
      <c r="D2379" s="175" t="s">
        <v>3087</v>
      </c>
      <c r="E2379" s="175"/>
      <c r="F2379" s="72" t="s">
        <v>213</v>
      </c>
      <c r="G2379" s="90">
        <v>243</v>
      </c>
      <c r="H2379" s="91"/>
      <c r="I2379" s="92" t="s">
        <v>63</v>
      </c>
      <c r="J2379" s="90">
        <f>G2379*AO2379</f>
        <v>0</v>
      </c>
      <c r="K2379" s="90">
        <f>G2379*AP2379</f>
        <v>0</v>
      </c>
      <c r="L2379" s="90">
        <f>G2379*H2379</f>
        <v>0</v>
      </c>
      <c r="M2379" s="90">
        <f>L2379*(1+BW2379/100)</f>
        <v>0</v>
      </c>
      <c r="N2379" s="90">
        <v>0</v>
      </c>
      <c r="O2379" s="90">
        <f>G2379*N2379</f>
        <v>0</v>
      </c>
      <c r="P2379" s="92" t="s">
        <v>64</v>
      </c>
      <c r="Z2379" s="93">
        <f>IF(AQ2379="5",BJ2379,0)</f>
        <v>0</v>
      </c>
      <c r="AB2379" s="93">
        <f>IF(AQ2379="1",BH2379,0)</f>
        <v>0</v>
      </c>
      <c r="AC2379" s="93">
        <f>IF(AQ2379="1",BI2379,0)</f>
        <v>0</v>
      </c>
      <c r="AD2379" s="93">
        <f>IF(AQ2379="7",BH2379,0)</f>
        <v>0</v>
      </c>
      <c r="AE2379" s="93">
        <f>IF(AQ2379="7",BI2379,0)</f>
        <v>0</v>
      </c>
      <c r="AF2379" s="93">
        <f>IF(AQ2379="2",BH2379,0)</f>
        <v>0</v>
      </c>
      <c r="AG2379" s="93">
        <f>IF(AQ2379="2",BI2379,0)</f>
        <v>0</v>
      </c>
      <c r="AH2379" s="93">
        <f>IF(AQ2379="0",BJ2379,0)</f>
        <v>0</v>
      </c>
      <c r="AI2379" s="88" t="s">
        <v>55</v>
      </c>
      <c r="AJ2379" s="93">
        <f>IF(AN2379=0,L2379,0)</f>
        <v>0</v>
      </c>
      <c r="AK2379" s="93">
        <f>IF(AN2379=12,L2379,0)</f>
        <v>0</v>
      </c>
      <c r="AL2379" s="93">
        <f>IF(AN2379=21,L2379,0)</f>
        <v>0</v>
      </c>
      <c r="AN2379" s="93">
        <v>21</v>
      </c>
      <c r="AO2379" s="93">
        <f>H2379*0</f>
        <v>0</v>
      </c>
      <c r="AP2379" s="93">
        <f>H2379*(1-0)</f>
        <v>0</v>
      </c>
      <c r="AQ2379" s="94" t="s">
        <v>148</v>
      </c>
      <c r="AV2379" s="93">
        <f>AW2379+AX2379</f>
        <v>0</v>
      </c>
      <c r="AW2379" s="93">
        <f>G2379*AO2379</f>
        <v>0</v>
      </c>
      <c r="AX2379" s="93">
        <f>G2379*AP2379</f>
        <v>0</v>
      </c>
      <c r="AY2379" s="94" t="s">
        <v>3140</v>
      </c>
      <c r="AZ2379" s="94" t="s">
        <v>2936</v>
      </c>
      <c r="BA2379" s="88" t="s">
        <v>67</v>
      </c>
      <c r="BC2379" s="93">
        <f>AW2379+AX2379</f>
        <v>0</v>
      </c>
      <c r="BD2379" s="93">
        <f>H2379/(100-BE2379)*100</f>
        <v>0</v>
      </c>
      <c r="BE2379" s="93">
        <v>0</v>
      </c>
      <c r="BF2379" s="93">
        <f>O2379</f>
        <v>0</v>
      </c>
      <c r="BH2379" s="93">
        <f>G2379*AO2379</f>
        <v>0</v>
      </c>
      <c r="BI2379" s="93">
        <f>G2379*AP2379</f>
        <v>0</v>
      </c>
      <c r="BJ2379" s="93">
        <f>G2379*H2379</f>
        <v>0</v>
      </c>
      <c r="BK2379" s="93"/>
      <c r="BL2379" s="93"/>
      <c r="BW2379" s="93" t="str">
        <f>I2379</f>
        <v>21</v>
      </c>
      <c r="BX2379" s="2" t="s">
        <v>3087</v>
      </c>
    </row>
    <row r="2380" spans="1:76" s="81" customFormat="1" x14ac:dyDescent="0.25">
      <c r="A2380" s="95"/>
      <c r="B2380" s="95"/>
      <c r="C2380" s="95"/>
      <c r="D2380" s="76" t="s">
        <v>3188</v>
      </c>
      <c r="E2380" s="76" t="s">
        <v>54</v>
      </c>
      <c r="F2380" s="95"/>
      <c r="G2380" s="96">
        <v>243</v>
      </c>
      <c r="H2380" s="95"/>
      <c r="I2380" s="95"/>
      <c r="J2380" s="95"/>
      <c r="K2380" s="95"/>
      <c r="L2380" s="95"/>
      <c r="M2380" s="95"/>
      <c r="N2380" s="95"/>
      <c r="O2380" s="95"/>
      <c r="P2380" s="95"/>
    </row>
    <row r="2381" spans="1:76" s="81" customFormat="1" ht="25.5" x14ac:dyDescent="0.25">
      <c r="A2381" s="72" t="s">
        <v>3189</v>
      </c>
      <c r="B2381" s="72" t="s">
        <v>55</v>
      </c>
      <c r="C2381" s="72" t="s">
        <v>3190</v>
      </c>
      <c r="D2381" s="175" t="s">
        <v>3191</v>
      </c>
      <c r="E2381" s="175"/>
      <c r="F2381" s="72" t="s">
        <v>203</v>
      </c>
      <c r="G2381" s="90">
        <v>1</v>
      </c>
      <c r="H2381" s="91"/>
      <c r="I2381" s="92" t="s">
        <v>63</v>
      </c>
      <c r="J2381" s="90">
        <f t="shared" ref="J2381:J2386" si="410">G2381*AO2381</f>
        <v>0</v>
      </c>
      <c r="K2381" s="90">
        <f t="shared" ref="K2381:K2386" si="411">G2381*AP2381</f>
        <v>0</v>
      </c>
      <c r="L2381" s="90">
        <f t="shared" ref="L2381:L2386" si="412">G2381*H2381</f>
        <v>0</v>
      </c>
      <c r="M2381" s="90">
        <f t="shared" ref="M2381:M2386" si="413">L2381*(1+BW2381/100)</f>
        <v>0</v>
      </c>
      <c r="N2381" s="90">
        <v>4.7620000000000003E-2</v>
      </c>
      <c r="O2381" s="90">
        <f t="shared" ref="O2381:O2386" si="414">G2381*N2381</f>
        <v>4.7620000000000003E-2</v>
      </c>
      <c r="P2381" s="92" t="s">
        <v>64</v>
      </c>
      <c r="Z2381" s="93">
        <f t="shared" ref="Z2381:Z2386" si="415">IF(AQ2381="5",BJ2381,0)</f>
        <v>0</v>
      </c>
      <c r="AB2381" s="93">
        <f t="shared" ref="AB2381:AB2386" si="416">IF(AQ2381="1",BH2381,0)</f>
        <v>0</v>
      </c>
      <c r="AC2381" s="93">
        <f t="shared" ref="AC2381:AC2386" si="417">IF(AQ2381="1",BI2381,0)</f>
        <v>0</v>
      </c>
      <c r="AD2381" s="93">
        <f t="shared" ref="AD2381:AD2386" si="418">IF(AQ2381="7",BH2381,0)</f>
        <v>0</v>
      </c>
      <c r="AE2381" s="93">
        <f t="shared" ref="AE2381:AE2386" si="419">IF(AQ2381="7",BI2381,0)</f>
        <v>0</v>
      </c>
      <c r="AF2381" s="93">
        <f t="shared" ref="AF2381:AF2386" si="420">IF(AQ2381="2",BH2381,0)</f>
        <v>0</v>
      </c>
      <c r="AG2381" s="93">
        <f t="shared" ref="AG2381:AG2386" si="421">IF(AQ2381="2",BI2381,0)</f>
        <v>0</v>
      </c>
      <c r="AH2381" s="93">
        <f t="shared" ref="AH2381:AH2386" si="422">IF(AQ2381="0",BJ2381,0)</f>
        <v>0</v>
      </c>
      <c r="AI2381" s="88" t="s">
        <v>55</v>
      </c>
      <c r="AJ2381" s="93">
        <f t="shared" ref="AJ2381:AJ2386" si="423">IF(AN2381=0,L2381,0)</f>
        <v>0</v>
      </c>
      <c r="AK2381" s="93">
        <f t="shared" ref="AK2381:AK2386" si="424">IF(AN2381=12,L2381,0)</f>
        <v>0</v>
      </c>
      <c r="AL2381" s="93">
        <f t="shared" ref="AL2381:AL2386" si="425">IF(AN2381=21,L2381,0)</f>
        <v>0</v>
      </c>
      <c r="AN2381" s="93">
        <v>21</v>
      </c>
      <c r="AO2381" s="93">
        <f>H2381*0.913479048</f>
        <v>0</v>
      </c>
      <c r="AP2381" s="93">
        <f>H2381*(1-0.913479048)</f>
        <v>0</v>
      </c>
      <c r="AQ2381" s="94" t="s">
        <v>148</v>
      </c>
      <c r="AV2381" s="93">
        <f t="shared" ref="AV2381:AV2386" si="426">AW2381+AX2381</f>
        <v>0</v>
      </c>
      <c r="AW2381" s="93">
        <f t="shared" ref="AW2381:AW2386" si="427">G2381*AO2381</f>
        <v>0</v>
      </c>
      <c r="AX2381" s="93">
        <f t="shared" ref="AX2381:AX2386" si="428">G2381*AP2381</f>
        <v>0</v>
      </c>
      <c r="AY2381" s="94" t="s">
        <v>3140</v>
      </c>
      <c r="AZ2381" s="94" t="s">
        <v>2936</v>
      </c>
      <c r="BA2381" s="88" t="s">
        <v>67</v>
      </c>
      <c r="BC2381" s="93">
        <f t="shared" ref="BC2381:BC2386" si="429">AW2381+AX2381</f>
        <v>0</v>
      </c>
      <c r="BD2381" s="93">
        <f t="shared" ref="BD2381:BD2386" si="430">H2381/(100-BE2381)*100</f>
        <v>0</v>
      </c>
      <c r="BE2381" s="93">
        <v>0</v>
      </c>
      <c r="BF2381" s="93">
        <f t="shared" ref="BF2381:BF2386" si="431">O2381</f>
        <v>4.7620000000000003E-2</v>
      </c>
      <c r="BH2381" s="93">
        <f t="shared" ref="BH2381:BH2386" si="432">G2381*AO2381</f>
        <v>0</v>
      </c>
      <c r="BI2381" s="93">
        <f t="shared" ref="BI2381:BI2386" si="433">G2381*AP2381</f>
        <v>0</v>
      </c>
      <c r="BJ2381" s="93">
        <f t="shared" ref="BJ2381:BJ2386" si="434">G2381*H2381</f>
        <v>0</v>
      </c>
      <c r="BK2381" s="93"/>
      <c r="BL2381" s="93"/>
      <c r="BW2381" s="93" t="str">
        <f t="shared" ref="BW2381:BW2386" si="435">I2381</f>
        <v>21</v>
      </c>
      <c r="BX2381" s="2" t="s">
        <v>3191</v>
      </c>
    </row>
    <row r="2382" spans="1:76" s="81" customFormat="1" ht="25.5" x14ac:dyDescent="0.25">
      <c r="A2382" s="72" t="s">
        <v>3192</v>
      </c>
      <c r="B2382" s="72" t="s">
        <v>55</v>
      </c>
      <c r="C2382" s="72" t="s">
        <v>3193</v>
      </c>
      <c r="D2382" s="175" t="s">
        <v>3194</v>
      </c>
      <c r="E2382" s="175"/>
      <c r="F2382" s="72" t="s">
        <v>203</v>
      </c>
      <c r="G2382" s="90">
        <v>1</v>
      </c>
      <c r="H2382" s="91"/>
      <c r="I2382" s="92" t="s">
        <v>63</v>
      </c>
      <c r="J2382" s="90">
        <f t="shared" si="410"/>
        <v>0</v>
      </c>
      <c r="K2382" s="90">
        <f t="shared" si="411"/>
        <v>0</v>
      </c>
      <c r="L2382" s="90">
        <f t="shared" si="412"/>
        <v>0</v>
      </c>
      <c r="M2382" s="90">
        <f t="shared" si="413"/>
        <v>0</v>
      </c>
      <c r="N2382" s="90">
        <v>0</v>
      </c>
      <c r="O2382" s="90">
        <f t="shared" si="414"/>
        <v>0</v>
      </c>
      <c r="P2382" s="92" t="s">
        <v>578</v>
      </c>
      <c r="Z2382" s="93">
        <f t="shared" si="415"/>
        <v>0</v>
      </c>
      <c r="AB2382" s="93">
        <f t="shared" si="416"/>
        <v>0</v>
      </c>
      <c r="AC2382" s="93">
        <f t="shared" si="417"/>
        <v>0</v>
      </c>
      <c r="AD2382" s="93">
        <f t="shared" si="418"/>
        <v>0</v>
      </c>
      <c r="AE2382" s="93">
        <f t="shared" si="419"/>
        <v>0</v>
      </c>
      <c r="AF2382" s="93">
        <f t="shared" si="420"/>
        <v>0</v>
      </c>
      <c r="AG2382" s="93">
        <f t="shared" si="421"/>
        <v>0</v>
      </c>
      <c r="AH2382" s="93">
        <f t="shared" si="422"/>
        <v>0</v>
      </c>
      <c r="AI2382" s="88" t="s">
        <v>55</v>
      </c>
      <c r="AJ2382" s="93">
        <f t="shared" si="423"/>
        <v>0</v>
      </c>
      <c r="AK2382" s="93">
        <f t="shared" si="424"/>
        <v>0</v>
      </c>
      <c r="AL2382" s="93">
        <f t="shared" si="425"/>
        <v>0</v>
      </c>
      <c r="AN2382" s="93">
        <v>21</v>
      </c>
      <c r="AO2382" s="93">
        <f>H2382*0</f>
        <v>0</v>
      </c>
      <c r="AP2382" s="93">
        <f>H2382*(1-0)</f>
        <v>0</v>
      </c>
      <c r="AQ2382" s="94" t="s">
        <v>148</v>
      </c>
      <c r="AV2382" s="93">
        <f t="shared" si="426"/>
        <v>0</v>
      </c>
      <c r="AW2382" s="93">
        <f t="shared" si="427"/>
        <v>0</v>
      </c>
      <c r="AX2382" s="93">
        <f t="shared" si="428"/>
        <v>0</v>
      </c>
      <c r="AY2382" s="94" t="s">
        <v>3140</v>
      </c>
      <c r="AZ2382" s="94" t="s">
        <v>2936</v>
      </c>
      <c r="BA2382" s="88" t="s">
        <v>67</v>
      </c>
      <c r="BC2382" s="93">
        <f t="shared" si="429"/>
        <v>0</v>
      </c>
      <c r="BD2382" s="93">
        <f t="shared" si="430"/>
        <v>0</v>
      </c>
      <c r="BE2382" s="93">
        <v>0</v>
      </c>
      <c r="BF2382" s="93">
        <f t="shared" si="431"/>
        <v>0</v>
      </c>
      <c r="BH2382" s="93">
        <f t="shared" si="432"/>
        <v>0</v>
      </c>
      <c r="BI2382" s="93">
        <f t="shared" si="433"/>
        <v>0</v>
      </c>
      <c r="BJ2382" s="93">
        <f t="shared" si="434"/>
        <v>0</v>
      </c>
      <c r="BK2382" s="93"/>
      <c r="BL2382" s="93"/>
      <c r="BW2382" s="93" t="str">
        <f t="shared" si="435"/>
        <v>21</v>
      </c>
      <c r="BX2382" s="2" t="s">
        <v>3194</v>
      </c>
    </row>
    <row r="2383" spans="1:76" s="81" customFormat="1" ht="25.5" x14ac:dyDescent="0.25">
      <c r="A2383" s="72" t="s">
        <v>3195</v>
      </c>
      <c r="B2383" s="72" t="s">
        <v>55</v>
      </c>
      <c r="C2383" s="72" t="s">
        <v>3196</v>
      </c>
      <c r="D2383" s="175" t="s">
        <v>3197</v>
      </c>
      <c r="E2383" s="175"/>
      <c r="F2383" s="72" t="s">
        <v>203</v>
      </c>
      <c r="G2383" s="90">
        <v>10</v>
      </c>
      <c r="H2383" s="91"/>
      <c r="I2383" s="92" t="s">
        <v>63</v>
      </c>
      <c r="J2383" s="90">
        <f t="shared" si="410"/>
        <v>0</v>
      </c>
      <c r="K2383" s="90">
        <f t="shared" si="411"/>
        <v>0</v>
      </c>
      <c r="L2383" s="90">
        <f t="shared" si="412"/>
        <v>0</v>
      </c>
      <c r="M2383" s="90">
        <f t="shared" si="413"/>
        <v>0</v>
      </c>
      <c r="N2383" s="90">
        <v>1.191E-2</v>
      </c>
      <c r="O2383" s="90">
        <f t="shared" si="414"/>
        <v>0.11910000000000001</v>
      </c>
      <c r="P2383" s="92" t="s">
        <v>371</v>
      </c>
      <c r="Z2383" s="93">
        <f t="shared" si="415"/>
        <v>0</v>
      </c>
      <c r="AB2383" s="93">
        <f t="shared" si="416"/>
        <v>0</v>
      </c>
      <c r="AC2383" s="93">
        <f t="shared" si="417"/>
        <v>0</v>
      </c>
      <c r="AD2383" s="93">
        <f t="shared" si="418"/>
        <v>0</v>
      </c>
      <c r="AE2383" s="93">
        <f t="shared" si="419"/>
        <v>0</v>
      </c>
      <c r="AF2383" s="93">
        <f t="shared" si="420"/>
        <v>0</v>
      </c>
      <c r="AG2383" s="93">
        <f t="shared" si="421"/>
        <v>0</v>
      </c>
      <c r="AH2383" s="93">
        <f t="shared" si="422"/>
        <v>0</v>
      </c>
      <c r="AI2383" s="88" t="s">
        <v>55</v>
      </c>
      <c r="AJ2383" s="93">
        <f t="shared" si="423"/>
        <v>0</v>
      </c>
      <c r="AK2383" s="93">
        <f t="shared" si="424"/>
        <v>0</v>
      </c>
      <c r="AL2383" s="93">
        <f t="shared" si="425"/>
        <v>0</v>
      </c>
      <c r="AN2383" s="93">
        <v>21</v>
      </c>
      <c r="AO2383" s="93">
        <f>H2383*0.971237627</f>
        <v>0</v>
      </c>
      <c r="AP2383" s="93">
        <f>H2383*(1-0.971237627)</f>
        <v>0</v>
      </c>
      <c r="AQ2383" s="94" t="s">
        <v>148</v>
      </c>
      <c r="AV2383" s="93">
        <f t="shared" si="426"/>
        <v>0</v>
      </c>
      <c r="AW2383" s="93">
        <f t="shared" si="427"/>
        <v>0</v>
      </c>
      <c r="AX2383" s="93">
        <f t="shared" si="428"/>
        <v>0</v>
      </c>
      <c r="AY2383" s="94" t="s">
        <v>3140</v>
      </c>
      <c r="AZ2383" s="94" t="s">
        <v>2936</v>
      </c>
      <c r="BA2383" s="88" t="s">
        <v>67</v>
      </c>
      <c r="BC2383" s="93">
        <f t="shared" si="429"/>
        <v>0</v>
      </c>
      <c r="BD2383" s="93">
        <f t="shared" si="430"/>
        <v>0</v>
      </c>
      <c r="BE2383" s="93">
        <v>0</v>
      </c>
      <c r="BF2383" s="93">
        <f t="shared" si="431"/>
        <v>0.11910000000000001</v>
      </c>
      <c r="BH2383" s="93">
        <f t="shared" si="432"/>
        <v>0</v>
      </c>
      <c r="BI2383" s="93">
        <f t="shared" si="433"/>
        <v>0</v>
      </c>
      <c r="BJ2383" s="93">
        <f t="shared" si="434"/>
        <v>0</v>
      </c>
      <c r="BK2383" s="93"/>
      <c r="BL2383" s="93"/>
      <c r="BW2383" s="93" t="str">
        <f t="shared" si="435"/>
        <v>21</v>
      </c>
      <c r="BX2383" s="2" t="s">
        <v>3197</v>
      </c>
    </row>
    <row r="2384" spans="1:76" s="81" customFormat="1" ht="25.5" x14ac:dyDescent="0.25">
      <c r="A2384" s="72" t="s">
        <v>3198</v>
      </c>
      <c r="B2384" s="72" t="s">
        <v>55</v>
      </c>
      <c r="C2384" s="72" t="s">
        <v>1332</v>
      </c>
      <c r="D2384" s="175" t="s">
        <v>3199</v>
      </c>
      <c r="E2384" s="175"/>
      <c r="F2384" s="72" t="s">
        <v>1334</v>
      </c>
      <c r="G2384" s="90">
        <v>1</v>
      </c>
      <c r="H2384" s="91"/>
      <c r="I2384" s="92" t="s">
        <v>63</v>
      </c>
      <c r="J2384" s="90">
        <f t="shared" si="410"/>
        <v>0</v>
      </c>
      <c r="K2384" s="90">
        <f t="shared" si="411"/>
        <v>0</v>
      </c>
      <c r="L2384" s="90">
        <f t="shared" si="412"/>
        <v>0</v>
      </c>
      <c r="M2384" s="90">
        <f t="shared" si="413"/>
        <v>0</v>
      </c>
      <c r="N2384" s="90">
        <v>0.5</v>
      </c>
      <c r="O2384" s="90">
        <f t="shared" si="414"/>
        <v>0.5</v>
      </c>
      <c r="P2384" s="92" t="s">
        <v>578</v>
      </c>
      <c r="Z2384" s="93">
        <f t="shared" si="415"/>
        <v>0</v>
      </c>
      <c r="AB2384" s="93">
        <f t="shared" si="416"/>
        <v>0</v>
      </c>
      <c r="AC2384" s="93">
        <f t="shared" si="417"/>
        <v>0</v>
      </c>
      <c r="AD2384" s="93">
        <f t="shared" si="418"/>
        <v>0</v>
      </c>
      <c r="AE2384" s="93">
        <f t="shared" si="419"/>
        <v>0</v>
      </c>
      <c r="AF2384" s="93">
        <f t="shared" si="420"/>
        <v>0</v>
      </c>
      <c r="AG2384" s="93">
        <f t="shared" si="421"/>
        <v>0</v>
      </c>
      <c r="AH2384" s="93">
        <f t="shared" si="422"/>
        <v>0</v>
      </c>
      <c r="AI2384" s="88" t="s">
        <v>55</v>
      </c>
      <c r="AJ2384" s="93">
        <f t="shared" si="423"/>
        <v>0</v>
      </c>
      <c r="AK2384" s="93">
        <f t="shared" si="424"/>
        <v>0</v>
      </c>
      <c r="AL2384" s="93">
        <f t="shared" si="425"/>
        <v>0</v>
      </c>
      <c r="AN2384" s="93">
        <v>21</v>
      </c>
      <c r="AO2384" s="93">
        <f>H2384*0.0222935</f>
        <v>0</v>
      </c>
      <c r="AP2384" s="93">
        <f>H2384*(1-0.0222935)</f>
        <v>0</v>
      </c>
      <c r="AQ2384" s="94" t="s">
        <v>148</v>
      </c>
      <c r="AV2384" s="93">
        <f t="shared" si="426"/>
        <v>0</v>
      </c>
      <c r="AW2384" s="93">
        <f t="shared" si="427"/>
        <v>0</v>
      </c>
      <c r="AX2384" s="93">
        <f t="shared" si="428"/>
        <v>0</v>
      </c>
      <c r="AY2384" s="94" t="s">
        <v>3140</v>
      </c>
      <c r="AZ2384" s="94" t="s">
        <v>2936</v>
      </c>
      <c r="BA2384" s="88" t="s">
        <v>67</v>
      </c>
      <c r="BC2384" s="93">
        <f t="shared" si="429"/>
        <v>0</v>
      </c>
      <c r="BD2384" s="93">
        <f t="shared" si="430"/>
        <v>0</v>
      </c>
      <c r="BE2384" s="93">
        <v>0</v>
      </c>
      <c r="BF2384" s="93">
        <f t="shared" si="431"/>
        <v>0.5</v>
      </c>
      <c r="BH2384" s="93">
        <f t="shared" si="432"/>
        <v>0</v>
      </c>
      <c r="BI2384" s="93">
        <f t="shared" si="433"/>
        <v>0</v>
      </c>
      <c r="BJ2384" s="93">
        <f t="shared" si="434"/>
        <v>0</v>
      </c>
      <c r="BK2384" s="93"/>
      <c r="BL2384" s="93"/>
      <c r="BW2384" s="93" t="str">
        <f t="shared" si="435"/>
        <v>21</v>
      </c>
      <c r="BX2384" s="2" t="s">
        <v>3199</v>
      </c>
    </row>
    <row r="2385" spans="1:76" s="81" customFormat="1" ht="25.5" x14ac:dyDescent="0.25">
      <c r="A2385" s="72" t="s">
        <v>3200</v>
      </c>
      <c r="B2385" s="72" t="s">
        <v>55</v>
      </c>
      <c r="C2385" s="72" t="s">
        <v>1352</v>
      </c>
      <c r="D2385" s="175" t="s">
        <v>3201</v>
      </c>
      <c r="E2385" s="175"/>
      <c r="F2385" s="72" t="s">
        <v>222</v>
      </c>
      <c r="G2385" s="90">
        <v>167.92984999999999</v>
      </c>
      <c r="H2385" s="91"/>
      <c r="I2385" s="92" t="s">
        <v>63</v>
      </c>
      <c r="J2385" s="90">
        <f t="shared" si="410"/>
        <v>0</v>
      </c>
      <c r="K2385" s="90">
        <f t="shared" si="411"/>
        <v>0</v>
      </c>
      <c r="L2385" s="90">
        <f t="shared" si="412"/>
        <v>0</v>
      </c>
      <c r="M2385" s="90">
        <f t="shared" si="413"/>
        <v>0</v>
      </c>
      <c r="N2385" s="90">
        <v>0</v>
      </c>
      <c r="O2385" s="90">
        <f t="shared" si="414"/>
        <v>0</v>
      </c>
      <c r="P2385" s="92" t="s">
        <v>64</v>
      </c>
      <c r="Z2385" s="93">
        <f t="shared" si="415"/>
        <v>0</v>
      </c>
      <c r="AB2385" s="93">
        <f t="shared" si="416"/>
        <v>0</v>
      </c>
      <c r="AC2385" s="93">
        <f t="shared" si="417"/>
        <v>0</v>
      </c>
      <c r="AD2385" s="93">
        <f t="shared" si="418"/>
        <v>0</v>
      </c>
      <c r="AE2385" s="93">
        <f t="shared" si="419"/>
        <v>0</v>
      </c>
      <c r="AF2385" s="93">
        <f t="shared" si="420"/>
        <v>0</v>
      </c>
      <c r="AG2385" s="93">
        <f t="shared" si="421"/>
        <v>0</v>
      </c>
      <c r="AH2385" s="93">
        <f t="shared" si="422"/>
        <v>0</v>
      </c>
      <c r="AI2385" s="88" t="s">
        <v>55</v>
      </c>
      <c r="AJ2385" s="93">
        <f t="shared" si="423"/>
        <v>0</v>
      </c>
      <c r="AK2385" s="93">
        <f t="shared" si="424"/>
        <v>0</v>
      </c>
      <c r="AL2385" s="93">
        <f t="shared" si="425"/>
        <v>0</v>
      </c>
      <c r="AN2385" s="93">
        <v>21</v>
      </c>
      <c r="AO2385" s="93">
        <f>H2385*0</f>
        <v>0</v>
      </c>
      <c r="AP2385" s="93">
        <f>H2385*(1-0)</f>
        <v>0</v>
      </c>
      <c r="AQ2385" s="94" t="s">
        <v>136</v>
      </c>
      <c r="AV2385" s="93">
        <f t="shared" si="426"/>
        <v>0</v>
      </c>
      <c r="AW2385" s="93">
        <f t="shared" si="427"/>
        <v>0</v>
      </c>
      <c r="AX2385" s="93">
        <f t="shared" si="428"/>
        <v>0</v>
      </c>
      <c r="AY2385" s="94" t="s">
        <v>3140</v>
      </c>
      <c r="AZ2385" s="94" t="s">
        <v>2936</v>
      </c>
      <c r="BA2385" s="88" t="s">
        <v>67</v>
      </c>
      <c r="BC2385" s="93">
        <f t="shared" si="429"/>
        <v>0</v>
      </c>
      <c r="BD2385" s="93">
        <f t="shared" si="430"/>
        <v>0</v>
      </c>
      <c r="BE2385" s="93">
        <v>0</v>
      </c>
      <c r="BF2385" s="93">
        <f t="shared" si="431"/>
        <v>0</v>
      </c>
      <c r="BH2385" s="93">
        <f t="shared" si="432"/>
        <v>0</v>
      </c>
      <c r="BI2385" s="93">
        <f t="shared" si="433"/>
        <v>0</v>
      </c>
      <c r="BJ2385" s="93">
        <f t="shared" si="434"/>
        <v>0</v>
      </c>
      <c r="BK2385" s="93"/>
      <c r="BL2385" s="93"/>
      <c r="BW2385" s="93" t="str">
        <f t="shared" si="435"/>
        <v>21</v>
      </c>
      <c r="BX2385" s="2" t="s">
        <v>3201</v>
      </c>
    </row>
    <row r="2386" spans="1:76" s="81" customFormat="1" ht="25.5" x14ac:dyDescent="0.25">
      <c r="A2386" s="72" t="s">
        <v>3202</v>
      </c>
      <c r="B2386" s="72" t="s">
        <v>55</v>
      </c>
      <c r="C2386" s="72" t="s">
        <v>3203</v>
      </c>
      <c r="D2386" s="175" t="s">
        <v>3204</v>
      </c>
      <c r="E2386" s="175"/>
      <c r="F2386" s="72" t="s">
        <v>203</v>
      </c>
      <c r="G2386" s="90">
        <v>7</v>
      </c>
      <c r="H2386" s="91"/>
      <c r="I2386" s="92" t="s">
        <v>63</v>
      </c>
      <c r="J2386" s="90">
        <f t="shared" si="410"/>
        <v>0</v>
      </c>
      <c r="K2386" s="90">
        <f t="shared" si="411"/>
        <v>0</v>
      </c>
      <c r="L2386" s="90">
        <f t="shared" si="412"/>
        <v>0</v>
      </c>
      <c r="M2386" s="90">
        <f t="shared" si="413"/>
        <v>0</v>
      </c>
      <c r="N2386" s="90">
        <v>3.8500000000000001E-3</v>
      </c>
      <c r="O2386" s="90">
        <f t="shared" si="414"/>
        <v>2.6950000000000002E-2</v>
      </c>
      <c r="P2386" s="92" t="s">
        <v>64</v>
      </c>
      <c r="Z2386" s="93">
        <f t="shared" si="415"/>
        <v>0</v>
      </c>
      <c r="AB2386" s="93">
        <f t="shared" si="416"/>
        <v>0</v>
      </c>
      <c r="AC2386" s="93">
        <f t="shared" si="417"/>
        <v>0</v>
      </c>
      <c r="AD2386" s="93">
        <f t="shared" si="418"/>
        <v>0</v>
      </c>
      <c r="AE2386" s="93">
        <f t="shared" si="419"/>
        <v>0</v>
      </c>
      <c r="AF2386" s="93">
        <f t="shared" si="420"/>
        <v>0</v>
      </c>
      <c r="AG2386" s="93">
        <f t="shared" si="421"/>
        <v>0</v>
      </c>
      <c r="AH2386" s="93">
        <f t="shared" si="422"/>
        <v>0</v>
      </c>
      <c r="AI2386" s="88" t="s">
        <v>55</v>
      </c>
      <c r="AJ2386" s="93">
        <f t="shared" si="423"/>
        <v>0</v>
      </c>
      <c r="AK2386" s="93">
        <f t="shared" si="424"/>
        <v>0</v>
      </c>
      <c r="AL2386" s="93">
        <f t="shared" si="425"/>
        <v>0</v>
      </c>
      <c r="AN2386" s="93">
        <v>21</v>
      </c>
      <c r="AO2386" s="93">
        <f>H2386*0.777559066</f>
        <v>0</v>
      </c>
      <c r="AP2386" s="93">
        <f>H2386*(1-0.777559066)</f>
        <v>0</v>
      </c>
      <c r="AQ2386" s="94" t="s">
        <v>148</v>
      </c>
      <c r="AV2386" s="93">
        <f t="shared" si="426"/>
        <v>0</v>
      </c>
      <c r="AW2386" s="93">
        <f t="shared" si="427"/>
        <v>0</v>
      </c>
      <c r="AX2386" s="93">
        <f t="shared" si="428"/>
        <v>0</v>
      </c>
      <c r="AY2386" s="94" t="s">
        <v>3140</v>
      </c>
      <c r="AZ2386" s="94" t="s">
        <v>2936</v>
      </c>
      <c r="BA2386" s="88" t="s">
        <v>67</v>
      </c>
      <c r="BC2386" s="93">
        <f t="shared" si="429"/>
        <v>0</v>
      </c>
      <c r="BD2386" s="93">
        <f t="shared" si="430"/>
        <v>0</v>
      </c>
      <c r="BE2386" s="93">
        <v>0</v>
      </c>
      <c r="BF2386" s="93">
        <f t="shared" si="431"/>
        <v>2.6950000000000002E-2</v>
      </c>
      <c r="BH2386" s="93">
        <f t="shared" si="432"/>
        <v>0</v>
      </c>
      <c r="BI2386" s="93">
        <f t="shared" si="433"/>
        <v>0</v>
      </c>
      <c r="BJ2386" s="93">
        <f t="shared" si="434"/>
        <v>0</v>
      </c>
      <c r="BK2386" s="93"/>
      <c r="BL2386" s="93"/>
      <c r="BW2386" s="93" t="str">
        <f t="shared" si="435"/>
        <v>21</v>
      </c>
      <c r="BX2386" s="2" t="s">
        <v>3204</v>
      </c>
    </row>
    <row r="2387" spans="1:76" s="81" customFormat="1" ht="13.5" customHeight="1" x14ac:dyDescent="0.25">
      <c r="A2387" s="95"/>
      <c r="B2387" s="95"/>
      <c r="C2387" s="95"/>
      <c r="D2387" s="182" t="s">
        <v>3205</v>
      </c>
      <c r="E2387" s="182"/>
      <c r="F2387" s="182"/>
      <c r="G2387" s="182"/>
      <c r="H2387" s="182"/>
      <c r="I2387" s="182"/>
      <c r="J2387" s="182"/>
      <c r="K2387" s="182"/>
      <c r="L2387" s="182"/>
      <c r="M2387" s="182"/>
      <c r="N2387" s="182"/>
      <c r="O2387" s="182"/>
      <c r="P2387" s="182"/>
    </row>
    <row r="2388" spans="1:76" s="81" customFormat="1" ht="25.5" x14ac:dyDescent="0.25">
      <c r="A2388" s="72" t="s">
        <v>3206</v>
      </c>
      <c r="B2388" s="72" t="s">
        <v>55</v>
      </c>
      <c r="C2388" s="72" t="s">
        <v>3207</v>
      </c>
      <c r="D2388" s="175" t="s">
        <v>3204</v>
      </c>
      <c r="E2388" s="175"/>
      <c r="F2388" s="72" t="s">
        <v>203</v>
      </c>
      <c r="G2388" s="90">
        <v>1</v>
      </c>
      <c r="H2388" s="91"/>
      <c r="I2388" s="92" t="s">
        <v>63</v>
      </c>
      <c r="J2388" s="90">
        <f>G2388*AO2388</f>
        <v>0</v>
      </c>
      <c r="K2388" s="90">
        <f>G2388*AP2388</f>
        <v>0</v>
      </c>
      <c r="L2388" s="90">
        <f>G2388*H2388</f>
        <v>0</v>
      </c>
      <c r="M2388" s="90">
        <f>L2388*(1+BW2388/100)</f>
        <v>0</v>
      </c>
      <c r="N2388" s="90">
        <v>3.7499999999999999E-3</v>
      </c>
      <c r="O2388" s="90">
        <f>G2388*N2388</f>
        <v>3.7499999999999999E-3</v>
      </c>
      <c r="P2388" s="92" t="s">
        <v>64</v>
      </c>
      <c r="Z2388" s="93">
        <f>IF(AQ2388="5",BJ2388,0)</f>
        <v>0</v>
      </c>
      <c r="AB2388" s="93">
        <f>IF(AQ2388="1",BH2388,0)</f>
        <v>0</v>
      </c>
      <c r="AC2388" s="93">
        <f>IF(AQ2388="1",BI2388,0)</f>
        <v>0</v>
      </c>
      <c r="AD2388" s="93">
        <f>IF(AQ2388="7",BH2388,0)</f>
        <v>0</v>
      </c>
      <c r="AE2388" s="93">
        <f>IF(AQ2388="7",BI2388,0)</f>
        <v>0</v>
      </c>
      <c r="AF2388" s="93">
        <f>IF(AQ2388="2",BH2388,0)</f>
        <v>0</v>
      </c>
      <c r="AG2388" s="93">
        <f>IF(AQ2388="2",BI2388,0)</f>
        <v>0</v>
      </c>
      <c r="AH2388" s="93">
        <f>IF(AQ2388="0",BJ2388,0)</f>
        <v>0</v>
      </c>
      <c r="AI2388" s="88" t="s">
        <v>55</v>
      </c>
      <c r="AJ2388" s="93">
        <f>IF(AN2388=0,L2388,0)</f>
        <v>0</v>
      </c>
      <c r="AK2388" s="93">
        <f>IF(AN2388=12,L2388,0)</f>
        <v>0</v>
      </c>
      <c r="AL2388" s="93">
        <f>IF(AN2388=21,L2388,0)</f>
        <v>0</v>
      </c>
      <c r="AN2388" s="93">
        <v>21</v>
      </c>
      <c r="AO2388" s="93">
        <f>H2388*0.773600611</f>
        <v>0</v>
      </c>
      <c r="AP2388" s="93">
        <f>H2388*(1-0.773600611)</f>
        <v>0</v>
      </c>
      <c r="AQ2388" s="94" t="s">
        <v>148</v>
      </c>
      <c r="AV2388" s="93">
        <f>AW2388+AX2388</f>
        <v>0</v>
      </c>
      <c r="AW2388" s="93">
        <f>G2388*AO2388</f>
        <v>0</v>
      </c>
      <c r="AX2388" s="93">
        <f>G2388*AP2388</f>
        <v>0</v>
      </c>
      <c r="AY2388" s="94" t="s">
        <v>3140</v>
      </c>
      <c r="AZ2388" s="94" t="s">
        <v>2936</v>
      </c>
      <c r="BA2388" s="88" t="s">
        <v>67</v>
      </c>
      <c r="BC2388" s="93">
        <f>AW2388+AX2388</f>
        <v>0</v>
      </c>
      <c r="BD2388" s="93">
        <f>H2388/(100-BE2388)*100</f>
        <v>0</v>
      </c>
      <c r="BE2388" s="93">
        <v>0</v>
      </c>
      <c r="BF2388" s="93">
        <f>O2388</f>
        <v>3.7499999999999999E-3</v>
      </c>
      <c r="BH2388" s="93">
        <f>G2388*AO2388</f>
        <v>0</v>
      </c>
      <c r="BI2388" s="93">
        <f>G2388*AP2388</f>
        <v>0</v>
      </c>
      <c r="BJ2388" s="93">
        <f>G2388*H2388</f>
        <v>0</v>
      </c>
      <c r="BK2388" s="93"/>
      <c r="BL2388" s="93"/>
      <c r="BW2388" s="93" t="str">
        <f>I2388</f>
        <v>21</v>
      </c>
      <c r="BX2388" s="2" t="s">
        <v>3204</v>
      </c>
    </row>
    <row r="2389" spans="1:76" s="81" customFormat="1" ht="13.5" customHeight="1" x14ac:dyDescent="0.25">
      <c r="A2389" s="95"/>
      <c r="B2389" s="95"/>
      <c r="C2389" s="95"/>
      <c r="D2389" s="182" t="s">
        <v>3208</v>
      </c>
      <c r="E2389" s="182"/>
      <c r="F2389" s="182"/>
      <c r="G2389" s="182"/>
      <c r="H2389" s="182"/>
      <c r="I2389" s="182"/>
      <c r="J2389" s="182"/>
      <c r="K2389" s="182"/>
      <c r="L2389" s="182"/>
      <c r="M2389" s="182"/>
      <c r="N2389" s="182"/>
      <c r="O2389" s="182"/>
      <c r="P2389" s="182"/>
    </row>
    <row r="2390" spans="1:76" s="81" customFormat="1" ht="25.5" x14ac:dyDescent="0.25">
      <c r="A2390" s="72" t="s">
        <v>3209</v>
      </c>
      <c r="B2390" s="72" t="s">
        <v>55</v>
      </c>
      <c r="C2390" s="72" t="s">
        <v>3210</v>
      </c>
      <c r="D2390" s="175" t="s">
        <v>3211</v>
      </c>
      <c r="E2390" s="175"/>
      <c r="F2390" s="72" t="s">
        <v>203</v>
      </c>
      <c r="G2390" s="90">
        <v>1</v>
      </c>
      <c r="H2390" s="91"/>
      <c r="I2390" s="92" t="s">
        <v>63</v>
      </c>
      <c r="J2390" s="90">
        <f>G2390*AO2390</f>
        <v>0</v>
      </c>
      <c r="K2390" s="90">
        <f>G2390*AP2390</f>
        <v>0</v>
      </c>
      <c r="L2390" s="90">
        <f>G2390*H2390</f>
        <v>0</v>
      </c>
      <c r="M2390" s="90">
        <f>L2390*(1+BW2390/100)</f>
        <v>0</v>
      </c>
      <c r="N2390" s="90">
        <v>1.15E-3</v>
      </c>
      <c r="O2390" s="90">
        <f>G2390*N2390</f>
        <v>1.15E-3</v>
      </c>
      <c r="P2390" s="92" t="s">
        <v>64</v>
      </c>
      <c r="Z2390" s="93">
        <f>IF(AQ2390="5",BJ2390,0)</f>
        <v>0</v>
      </c>
      <c r="AB2390" s="93">
        <f>IF(AQ2390="1",BH2390,0)</f>
        <v>0</v>
      </c>
      <c r="AC2390" s="93">
        <f>IF(AQ2390="1",BI2390,0)</f>
        <v>0</v>
      </c>
      <c r="AD2390" s="93">
        <f>IF(AQ2390="7",BH2390,0)</f>
        <v>0</v>
      </c>
      <c r="AE2390" s="93">
        <f>IF(AQ2390="7",BI2390,0)</f>
        <v>0</v>
      </c>
      <c r="AF2390" s="93">
        <f>IF(AQ2390="2",BH2390,0)</f>
        <v>0</v>
      </c>
      <c r="AG2390" s="93">
        <f>IF(AQ2390="2",BI2390,0)</f>
        <v>0</v>
      </c>
      <c r="AH2390" s="93">
        <f>IF(AQ2390="0",BJ2390,0)</f>
        <v>0</v>
      </c>
      <c r="AI2390" s="88" t="s">
        <v>55</v>
      </c>
      <c r="AJ2390" s="93">
        <f>IF(AN2390=0,L2390,0)</f>
        <v>0</v>
      </c>
      <c r="AK2390" s="93">
        <f>IF(AN2390=12,L2390,0)</f>
        <v>0</v>
      </c>
      <c r="AL2390" s="93">
        <f>IF(AN2390=21,L2390,0)</f>
        <v>0</v>
      </c>
      <c r="AN2390" s="93">
        <v>21</v>
      </c>
      <c r="AO2390" s="93">
        <f>H2390*0.762062756</f>
        <v>0</v>
      </c>
      <c r="AP2390" s="93">
        <f>H2390*(1-0.762062756)</f>
        <v>0</v>
      </c>
      <c r="AQ2390" s="94" t="s">
        <v>148</v>
      </c>
      <c r="AV2390" s="93">
        <f>AW2390+AX2390</f>
        <v>0</v>
      </c>
      <c r="AW2390" s="93">
        <f>G2390*AO2390</f>
        <v>0</v>
      </c>
      <c r="AX2390" s="93">
        <f>G2390*AP2390</f>
        <v>0</v>
      </c>
      <c r="AY2390" s="94" t="s">
        <v>3140</v>
      </c>
      <c r="AZ2390" s="94" t="s">
        <v>2936</v>
      </c>
      <c r="BA2390" s="88" t="s">
        <v>67</v>
      </c>
      <c r="BC2390" s="93">
        <f>AW2390+AX2390</f>
        <v>0</v>
      </c>
      <c r="BD2390" s="93">
        <f>H2390/(100-BE2390)*100</f>
        <v>0</v>
      </c>
      <c r="BE2390" s="93">
        <v>0</v>
      </c>
      <c r="BF2390" s="93">
        <f>O2390</f>
        <v>1.15E-3</v>
      </c>
      <c r="BH2390" s="93">
        <f>G2390*AO2390</f>
        <v>0</v>
      </c>
      <c r="BI2390" s="93">
        <f>G2390*AP2390</f>
        <v>0</v>
      </c>
      <c r="BJ2390" s="93">
        <f>G2390*H2390</f>
        <v>0</v>
      </c>
      <c r="BK2390" s="93"/>
      <c r="BL2390" s="93"/>
      <c r="BW2390" s="93" t="str">
        <f>I2390</f>
        <v>21</v>
      </c>
      <c r="BX2390" s="2" t="s">
        <v>3211</v>
      </c>
    </row>
    <row r="2391" spans="1:76" s="81" customFormat="1" ht="13.5" customHeight="1" x14ac:dyDescent="0.25">
      <c r="A2391" s="95"/>
      <c r="B2391" s="95"/>
      <c r="C2391" s="95"/>
      <c r="D2391" s="182" t="s">
        <v>3208</v>
      </c>
      <c r="E2391" s="182"/>
      <c r="F2391" s="182"/>
      <c r="G2391" s="182"/>
      <c r="H2391" s="182"/>
      <c r="I2391" s="182"/>
      <c r="J2391" s="182"/>
      <c r="K2391" s="182"/>
      <c r="L2391" s="182"/>
      <c r="M2391" s="182"/>
      <c r="N2391" s="182"/>
      <c r="O2391" s="182"/>
      <c r="P2391" s="182"/>
    </row>
    <row r="2392" spans="1:76" s="81" customFormat="1" ht="25.5" x14ac:dyDescent="0.25">
      <c r="A2392" s="72" t="s">
        <v>3212</v>
      </c>
      <c r="B2392" s="72" t="s">
        <v>55</v>
      </c>
      <c r="C2392" s="72" t="s">
        <v>3213</v>
      </c>
      <c r="D2392" s="175" t="s">
        <v>3211</v>
      </c>
      <c r="E2392" s="175"/>
      <c r="F2392" s="72" t="s">
        <v>203</v>
      </c>
      <c r="G2392" s="90">
        <v>7</v>
      </c>
      <c r="H2392" s="91"/>
      <c r="I2392" s="92" t="s">
        <v>63</v>
      </c>
      <c r="J2392" s="90">
        <f>G2392*AO2392</f>
        <v>0</v>
      </c>
      <c r="K2392" s="90">
        <f>G2392*AP2392</f>
        <v>0</v>
      </c>
      <c r="L2392" s="90">
        <f>G2392*H2392</f>
        <v>0</v>
      </c>
      <c r="M2392" s="90">
        <f>L2392*(1+BW2392/100)</f>
        <v>0</v>
      </c>
      <c r="N2392" s="90">
        <v>1.25E-3</v>
      </c>
      <c r="O2392" s="90">
        <f>G2392*N2392</f>
        <v>8.7500000000000008E-3</v>
      </c>
      <c r="P2392" s="92" t="s">
        <v>64</v>
      </c>
      <c r="Z2392" s="93">
        <f>IF(AQ2392="5",BJ2392,0)</f>
        <v>0</v>
      </c>
      <c r="AB2392" s="93">
        <f>IF(AQ2392="1",BH2392,0)</f>
        <v>0</v>
      </c>
      <c r="AC2392" s="93">
        <f>IF(AQ2392="1",BI2392,0)</f>
        <v>0</v>
      </c>
      <c r="AD2392" s="93">
        <f>IF(AQ2392="7",BH2392,0)</f>
        <v>0</v>
      </c>
      <c r="AE2392" s="93">
        <f>IF(AQ2392="7",BI2392,0)</f>
        <v>0</v>
      </c>
      <c r="AF2392" s="93">
        <f>IF(AQ2392="2",BH2392,0)</f>
        <v>0</v>
      </c>
      <c r="AG2392" s="93">
        <f>IF(AQ2392="2",BI2392,0)</f>
        <v>0</v>
      </c>
      <c r="AH2392" s="93">
        <f>IF(AQ2392="0",BJ2392,0)</f>
        <v>0</v>
      </c>
      <c r="AI2392" s="88" t="s">
        <v>55</v>
      </c>
      <c r="AJ2392" s="93">
        <f>IF(AN2392=0,L2392,0)</f>
        <v>0</v>
      </c>
      <c r="AK2392" s="93">
        <f>IF(AN2392=12,L2392,0)</f>
        <v>0</v>
      </c>
      <c r="AL2392" s="93">
        <f>IF(AN2392=21,L2392,0)</f>
        <v>0</v>
      </c>
      <c r="AN2392" s="93">
        <v>21</v>
      </c>
      <c r="AO2392" s="93">
        <f>H2392*0.766391322</f>
        <v>0</v>
      </c>
      <c r="AP2392" s="93">
        <f>H2392*(1-0.766391322)</f>
        <v>0</v>
      </c>
      <c r="AQ2392" s="94" t="s">
        <v>148</v>
      </c>
      <c r="AV2392" s="93">
        <f>AW2392+AX2392</f>
        <v>0</v>
      </c>
      <c r="AW2392" s="93">
        <f>G2392*AO2392</f>
        <v>0</v>
      </c>
      <c r="AX2392" s="93">
        <f>G2392*AP2392</f>
        <v>0</v>
      </c>
      <c r="AY2392" s="94" t="s">
        <v>3140</v>
      </c>
      <c r="AZ2392" s="94" t="s">
        <v>2936</v>
      </c>
      <c r="BA2392" s="88" t="s">
        <v>67</v>
      </c>
      <c r="BC2392" s="93">
        <f>AW2392+AX2392</f>
        <v>0</v>
      </c>
      <c r="BD2392" s="93">
        <f>H2392/(100-BE2392)*100</f>
        <v>0</v>
      </c>
      <c r="BE2392" s="93">
        <v>0</v>
      </c>
      <c r="BF2392" s="93">
        <f>O2392</f>
        <v>8.7500000000000008E-3</v>
      </c>
      <c r="BH2392" s="93">
        <f>G2392*AO2392</f>
        <v>0</v>
      </c>
      <c r="BI2392" s="93">
        <f>G2392*AP2392</f>
        <v>0</v>
      </c>
      <c r="BJ2392" s="93">
        <f>G2392*H2392</f>
        <v>0</v>
      </c>
      <c r="BK2392" s="93"/>
      <c r="BL2392" s="93"/>
      <c r="BW2392" s="93" t="str">
        <f>I2392</f>
        <v>21</v>
      </c>
      <c r="BX2392" s="2" t="s">
        <v>3211</v>
      </c>
    </row>
    <row r="2393" spans="1:76" s="81" customFormat="1" ht="13.5" customHeight="1" x14ac:dyDescent="0.25">
      <c r="A2393" s="95"/>
      <c r="B2393" s="95"/>
      <c r="C2393" s="95"/>
      <c r="D2393" s="182" t="s">
        <v>3205</v>
      </c>
      <c r="E2393" s="182"/>
      <c r="F2393" s="182"/>
      <c r="G2393" s="182"/>
      <c r="H2393" s="182"/>
      <c r="I2393" s="182"/>
      <c r="J2393" s="182"/>
      <c r="K2393" s="182"/>
      <c r="L2393" s="182"/>
      <c r="M2393" s="182"/>
      <c r="N2393" s="182"/>
      <c r="O2393" s="182"/>
      <c r="P2393" s="182"/>
    </row>
    <row r="2394" spans="1:76" s="81" customFormat="1" ht="25.5" x14ac:dyDescent="0.25">
      <c r="A2394" s="72" t="s">
        <v>3214</v>
      </c>
      <c r="B2394" s="72" t="s">
        <v>55</v>
      </c>
      <c r="C2394" s="72" t="s">
        <v>1520</v>
      </c>
      <c r="D2394" s="175" t="s">
        <v>1521</v>
      </c>
      <c r="E2394" s="175"/>
      <c r="F2394" s="72" t="s">
        <v>1449</v>
      </c>
      <c r="G2394" s="90">
        <v>281.9316</v>
      </c>
      <c r="H2394" s="91"/>
      <c r="I2394" s="92" t="s">
        <v>63</v>
      </c>
      <c r="J2394" s="90">
        <f>G2394*AO2394</f>
        <v>0</v>
      </c>
      <c r="K2394" s="90">
        <f>G2394*AP2394</f>
        <v>0</v>
      </c>
      <c r="L2394" s="90">
        <f>G2394*H2394</f>
        <v>0</v>
      </c>
      <c r="M2394" s="90">
        <f>L2394*(1+BW2394/100)</f>
        <v>0</v>
      </c>
      <c r="N2394" s="90">
        <v>0</v>
      </c>
      <c r="O2394" s="90">
        <f>G2394*N2394</f>
        <v>0</v>
      </c>
      <c r="P2394" s="92" t="s">
        <v>64</v>
      </c>
      <c r="Z2394" s="93">
        <f>IF(AQ2394="5",BJ2394,0)</f>
        <v>0</v>
      </c>
      <c r="AB2394" s="93">
        <f>IF(AQ2394="1",BH2394,0)</f>
        <v>0</v>
      </c>
      <c r="AC2394" s="93">
        <f>IF(AQ2394="1",BI2394,0)</f>
        <v>0</v>
      </c>
      <c r="AD2394" s="93">
        <f>IF(AQ2394="7",BH2394,0)</f>
        <v>0</v>
      </c>
      <c r="AE2394" s="93">
        <f>IF(AQ2394="7",BI2394,0)</f>
        <v>0</v>
      </c>
      <c r="AF2394" s="93">
        <f>IF(AQ2394="2",BH2394,0)</f>
        <v>0</v>
      </c>
      <c r="AG2394" s="93">
        <f>IF(AQ2394="2",BI2394,0)</f>
        <v>0</v>
      </c>
      <c r="AH2394" s="93">
        <f>IF(AQ2394="0",BJ2394,0)</f>
        <v>0</v>
      </c>
      <c r="AI2394" s="88" t="s">
        <v>55</v>
      </c>
      <c r="AJ2394" s="93">
        <f>IF(AN2394=0,L2394,0)</f>
        <v>0</v>
      </c>
      <c r="AK2394" s="93">
        <f>IF(AN2394=12,L2394,0)</f>
        <v>0</v>
      </c>
      <c r="AL2394" s="93">
        <f>IF(AN2394=21,L2394,0)</f>
        <v>0</v>
      </c>
      <c r="AN2394" s="93">
        <v>21</v>
      </c>
      <c r="AO2394" s="93">
        <f>H2394*0</f>
        <v>0</v>
      </c>
      <c r="AP2394" s="93">
        <f>H2394*(1-0)</f>
        <v>0</v>
      </c>
      <c r="AQ2394" s="94" t="s">
        <v>136</v>
      </c>
      <c r="AV2394" s="93">
        <f>AW2394+AX2394</f>
        <v>0</v>
      </c>
      <c r="AW2394" s="93">
        <f>G2394*AO2394</f>
        <v>0</v>
      </c>
      <c r="AX2394" s="93">
        <f>G2394*AP2394</f>
        <v>0</v>
      </c>
      <c r="AY2394" s="94" t="s">
        <v>3140</v>
      </c>
      <c r="AZ2394" s="94" t="s">
        <v>2936</v>
      </c>
      <c r="BA2394" s="88" t="s">
        <v>67</v>
      </c>
      <c r="BC2394" s="93">
        <f>AW2394+AX2394</f>
        <v>0</v>
      </c>
      <c r="BD2394" s="93">
        <f>H2394/(100-BE2394)*100</f>
        <v>0</v>
      </c>
      <c r="BE2394" s="93">
        <v>0</v>
      </c>
      <c r="BF2394" s="93">
        <f>O2394</f>
        <v>0</v>
      </c>
      <c r="BH2394" s="93">
        <f>G2394*AO2394</f>
        <v>0</v>
      </c>
      <c r="BI2394" s="93">
        <f>G2394*AP2394</f>
        <v>0</v>
      </c>
      <c r="BJ2394" s="93">
        <f>G2394*H2394</f>
        <v>0</v>
      </c>
      <c r="BK2394" s="93"/>
      <c r="BL2394" s="93"/>
      <c r="BW2394" s="93" t="str">
        <f>I2394</f>
        <v>21</v>
      </c>
      <c r="BX2394" s="2" t="s">
        <v>1521</v>
      </c>
    </row>
    <row r="2395" spans="1:76" s="81" customFormat="1" ht="25.5" x14ac:dyDescent="0.25">
      <c r="A2395" s="72" t="s">
        <v>3215</v>
      </c>
      <c r="B2395" s="72" t="s">
        <v>55</v>
      </c>
      <c r="C2395" s="72" t="s">
        <v>3216</v>
      </c>
      <c r="D2395" s="175" t="s">
        <v>3217</v>
      </c>
      <c r="E2395" s="175"/>
      <c r="F2395" s="72" t="s">
        <v>203</v>
      </c>
      <c r="G2395" s="90">
        <v>41</v>
      </c>
      <c r="H2395" s="91"/>
      <c r="I2395" s="92" t="s">
        <v>63</v>
      </c>
      <c r="J2395" s="90">
        <f>G2395*AO2395</f>
        <v>0</v>
      </c>
      <c r="K2395" s="90">
        <f>G2395*AP2395</f>
        <v>0</v>
      </c>
      <c r="L2395" s="90">
        <f>G2395*H2395</f>
        <v>0</v>
      </c>
      <c r="M2395" s="90">
        <f>L2395*(1+BW2395/100)</f>
        <v>0</v>
      </c>
      <c r="N2395" s="90">
        <v>5.0000000000000002E-5</v>
      </c>
      <c r="O2395" s="90">
        <f>G2395*N2395</f>
        <v>2.0500000000000002E-3</v>
      </c>
      <c r="P2395" s="92" t="s">
        <v>64</v>
      </c>
      <c r="Z2395" s="93">
        <f>IF(AQ2395="5",BJ2395,0)</f>
        <v>0</v>
      </c>
      <c r="AB2395" s="93">
        <f>IF(AQ2395="1",BH2395,0)</f>
        <v>0</v>
      </c>
      <c r="AC2395" s="93">
        <f>IF(AQ2395="1",BI2395,0)</f>
        <v>0</v>
      </c>
      <c r="AD2395" s="93">
        <f>IF(AQ2395="7",BH2395,0)</f>
        <v>0</v>
      </c>
      <c r="AE2395" s="93">
        <f>IF(AQ2395="7",BI2395,0)</f>
        <v>0</v>
      </c>
      <c r="AF2395" s="93">
        <f>IF(AQ2395="2",BH2395,0)</f>
        <v>0</v>
      </c>
      <c r="AG2395" s="93">
        <f>IF(AQ2395="2",BI2395,0)</f>
        <v>0</v>
      </c>
      <c r="AH2395" s="93">
        <f>IF(AQ2395="0",BJ2395,0)</f>
        <v>0</v>
      </c>
      <c r="AI2395" s="88" t="s">
        <v>55</v>
      </c>
      <c r="AJ2395" s="93">
        <f>IF(AN2395=0,L2395,0)</f>
        <v>0</v>
      </c>
      <c r="AK2395" s="93">
        <f>IF(AN2395=12,L2395,0)</f>
        <v>0</v>
      </c>
      <c r="AL2395" s="93">
        <f>IF(AN2395=21,L2395,0)</f>
        <v>0</v>
      </c>
      <c r="AN2395" s="93">
        <v>21</v>
      </c>
      <c r="AO2395" s="93">
        <f>H2395*0.74735426</f>
        <v>0</v>
      </c>
      <c r="AP2395" s="93">
        <f>H2395*(1-0.74735426)</f>
        <v>0</v>
      </c>
      <c r="AQ2395" s="94" t="s">
        <v>148</v>
      </c>
      <c r="AV2395" s="93">
        <f>AW2395+AX2395</f>
        <v>0</v>
      </c>
      <c r="AW2395" s="93">
        <f>G2395*AO2395</f>
        <v>0</v>
      </c>
      <c r="AX2395" s="93">
        <f>G2395*AP2395</f>
        <v>0</v>
      </c>
      <c r="AY2395" s="94" t="s">
        <v>3140</v>
      </c>
      <c r="AZ2395" s="94" t="s">
        <v>2936</v>
      </c>
      <c r="BA2395" s="88" t="s">
        <v>67</v>
      </c>
      <c r="BC2395" s="93">
        <f>AW2395+AX2395</f>
        <v>0</v>
      </c>
      <c r="BD2395" s="93">
        <f>H2395/(100-BE2395)*100</f>
        <v>0</v>
      </c>
      <c r="BE2395" s="93">
        <v>0</v>
      </c>
      <c r="BF2395" s="93">
        <f>O2395</f>
        <v>2.0500000000000002E-3</v>
      </c>
      <c r="BH2395" s="93">
        <f>G2395*AO2395</f>
        <v>0</v>
      </c>
      <c r="BI2395" s="93">
        <f>G2395*AP2395</f>
        <v>0</v>
      </c>
      <c r="BJ2395" s="93">
        <f>G2395*H2395</f>
        <v>0</v>
      </c>
      <c r="BK2395" s="93"/>
      <c r="BL2395" s="93"/>
      <c r="BW2395" s="93" t="str">
        <f>I2395</f>
        <v>21</v>
      </c>
      <c r="BX2395" s="2" t="s">
        <v>3217</v>
      </c>
    </row>
    <row r="2396" spans="1:76" s="81" customFormat="1" ht="25.5" x14ac:dyDescent="0.25">
      <c r="A2396" s="72" t="s">
        <v>3218</v>
      </c>
      <c r="B2396" s="72" t="s">
        <v>55</v>
      </c>
      <c r="C2396" s="72" t="s">
        <v>3219</v>
      </c>
      <c r="D2396" s="175" t="s">
        <v>3220</v>
      </c>
      <c r="E2396" s="175"/>
      <c r="F2396" s="72" t="s">
        <v>203</v>
      </c>
      <c r="G2396" s="90">
        <v>45</v>
      </c>
      <c r="H2396" s="91"/>
      <c r="I2396" s="92" t="s">
        <v>63</v>
      </c>
      <c r="J2396" s="90">
        <f>G2396*AO2396</f>
        <v>0</v>
      </c>
      <c r="K2396" s="90">
        <f>G2396*AP2396</f>
        <v>0</v>
      </c>
      <c r="L2396" s="90">
        <f>G2396*H2396</f>
        <v>0</v>
      </c>
      <c r="M2396" s="90">
        <f>L2396*(1+BW2396/100)</f>
        <v>0</v>
      </c>
      <c r="N2396" s="90">
        <v>5.0000000000000002E-5</v>
      </c>
      <c r="O2396" s="90">
        <f>G2396*N2396</f>
        <v>2.2500000000000003E-3</v>
      </c>
      <c r="P2396" s="92" t="s">
        <v>64</v>
      </c>
      <c r="Z2396" s="93">
        <f>IF(AQ2396="5",BJ2396,0)</f>
        <v>0</v>
      </c>
      <c r="AB2396" s="93">
        <f>IF(AQ2396="1",BH2396,0)</f>
        <v>0</v>
      </c>
      <c r="AC2396" s="93">
        <f>IF(AQ2396="1",BI2396,0)</f>
        <v>0</v>
      </c>
      <c r="AD2396" s="93">
        <f>IF(AQ2396="7",BH2396,0)</f>
        <v>0</v>
      </c>
      <c r="AE2396" s="93">
        <f>IF(AQ2396="7",BI2396,0)</f>
        <v>0</v>
      </c>
      <c r="AF2396" s="93">
        <f>IF(AQ2396="2",BH2396,0)</f>
        <v>0</v>
      </c>
      <c r="AG2396" s="93">
        <f>IF(AQ2396="2",BI2396,0)</f>
        <v>0</v>
      </c>
      <c r="AH2396" s="93">
        <f>IF(AQ2396="0",BJ2396,0)</f>
        <v>0</v>
      </c>
      <c r="AI2396" s="88" t="s">
        <v>55</v>
      </c>
      <c r="AJ2396" s="93">
        <f>IF(AN2396=0,L2396,0)</f>
        <v>0</v>
      </c>
      <c r="AK2396" s="93">
        <f>IF(AN2396=12,L2396,0)</f>
        <v>0</v>
      </c>
      <c r="AL2396" s="93">
        <f>IF(AN2396=21,L2396,0)</f>
        <v>0</v>
      </c>
      <c r="AN2396" s="93">
        <v>21</v>
      </c>
      <c r="AO2396" s="93">
        <f>H2396*0.821708861</f>
        <v>0</v>
      </c>
      <c r="AP2396" s="93">
        <f>H2396*(1-0.821708861)</f>
        <v>0</v>
      </c>
      <c r="AQ2396" s="94" t="s">
        <v>148</v>
      </c>
      <c r="AV2396" s="93">
        <f>AW2396+AX2396</f>
        <v>0</v>
      </c>
      <c r="AW2396" s="93">
        <f>G2396*AO2396</f>
        <v>0</v>
      </c>
      <c r="AX2396" s="93">
        <f>G2396*AP2396</f>
        <v>0</v>
      </c>
      <c r="AY2396" s="94" t="s">
        <v>3140</v>
      </c>
      <c r="AZ2396" s="94" t="s">
        <v>2936</v>
      </c>
      <c r="BA2396" s="88" t="s">
        <v>67</v>
      </c>
      <c r="BC2396" s="93">
        <f>AW2396+AX2396</f>
        <v>0</v>
      </c>
      <c r="BD2396" s="93">
        <f>H2396/(100-BE2396)*100</f>
        <v>0</v>
      </c>
      <c r="BE2396" s="93">
        <v>0</v>
      </c>
      <c r="BF2396" s="93">
        <f>O2396</f>
        <v>2.2500000000000003E-3</v>
      </c>
      <c r="BH2396" s="93">
        <f>G2396*AO2396</f>
        <v>0</v>
      </c>
      <c r="BI2396" s="93">
        <f>G2396*AP2396</f>
        <v>0</v>
      </c>
      <c r="BJ2396" s="93">
        <f>G2396*H2396</f>
        <v>0</v>
      </c>
      <c r="BK2396" s="93"/>
      <c r="BL2396" s="93"/>
      <c r="BW2396" s="93" t="str">
        <f>I2396</f>
        <v>21</v>
      </c>
      <c r="BX2396" s="2" t="s">
        <v>3220</v>
      </c>
    </row>
    <row r="2397" spans="1:76" s="81" customFormat="1" ht="25.5" x14ac:dyDescent="0.25">
      <c r="A2397" s="72" t="s">
        <v>3221</v>
      </c>
      <c r="B2397" s="72" t="s">
        <v>55</v>
      </c>
      <c r="C2397" s="72" t="s">
        <v>1645</v>
      </c>
      <c r="D2397" s="175" t="s">
        <v>1646</v>
      </c>
      <c r="E2397" s="175"/>
      <c r="F2397" s="72" t="s">
        <v>1449</v>
      </c>
      <c r="G2397" s="90">
        <v>1239.25</v>
      </c>
      <c r="H2397" s="91"/>
      <c r="I2397" s="92" t="s">
        <v>63</v>
      </c>
      <c r="J2397" s="90">
        <f>G2397*AO2397</f>
        <v>0</v>
      </c>
      <c r="K2397" s="90">
        <f>G2397*AP2397</f>
        <v>0</v>
      </c>
      <c r="L2397" s="90">
        <f>G2397*H2397</f>
        <v>0</v>
      </c>
      <c r="M2397" s="90">
        <f>L2397*(1+BW2397/100)</f>
        <v>0</v>
      </c>
      <c r="N2397" s="90">
        <v>0</v>
      </c>
      <c r="O2397" s="90">
        <f>G2397*N2397</f>
        <v>0</v>
      </c>
      <c r="P2397" s="92" t="s">
        <v>64</v>
      </c>
      <c r="Z2397" s="93">
        <f>IF(AQ2397="5",BJ2397,0)</f>
        <v>0</v>
      </c>
      <c r="AB2397" s="93">
        <f>IF(AQ2397="1",BH2397,0)</f>
        <v>0</v>
      </c>
      <c r="AC2397" s="93">
        <f>IF(AQ2397="1",BI2397,0)</f>
        <v>0</v>
      </c>
      <c r="AD2397" s="93">
        <f>IF(AQ2397="7",BH2397,0)</f>
        <v>0</v>
      </c>
      <c r="AE2397" s="93">
        <f>IF(AQ2397="7",BI2397,0)</f>
        <v>0</v>
      </c>
      <c r="AF2397" s="93">
        <f>IF(AQ2397="2",BH2397,0)</f>
        <v>0</v>
      </c>
      <c r="AG2397" s="93">
        <f>IF(AQ2397="2",BI2397,0)</f>
        <v>0</v>
      </c>
      <c r="AH2397" s="93">
        <f>IF(AQ2397="0",BJ2397,0)</f>
        <v>0</v>
      </c>
      <c r="AI2397" s="88" t="s">
        <v>55</v>
      </c>
      <c r="AJ2397" s="93">
        <f>IF(AN2397=0,L2397,0)</f>
        <v>0</v>
      </c>
      <c r="AK2397" s="93">
        <f>IF(AN2397=12,L2397,0)</f>
        <v>0</v>
      </c>
      <c r="AL2397" s="93">
        <f>IF(AN2397=21,L2397,0)</f>
        <v>0</v>
      </c>
      <c r="AN2397" s="93">
        <v>21</v>
      </c>
      <c r="AO2397" s="93">
        <f>H2397*0</f>
        <v>0</v>
      </c>
      <c r="AP2397" s="93">
        <f>H2397*(1-0)</f>
        <v>0</v>
      </c>
      <c r="AQ2397" s="94" t="s">
        <v>136</v>
      </c>
      <c r="AV2397" s="93">
        <f>AW2397+AX2397</f>
        <v>0</v>
      </c>
      <c r="AW2397" s="93">
        <f>G2397*AO2397</f>
        <v>0</v>
      </c>
      <c r="AX2397" s="93">
        <f>G2397*AP2397</f>
        <v>0</v>
      </c>
      <c r="AY2397" s="94" t="s">
        <v>3140</v>
      </c>
      <c r="AZ2397" s="94" t="s">
        <v>2936</v>
      </c>
      <c r="BA2397" s="88" t="s">
        <v>67</v>
      </c>
      <c r="BC2397" s="93">
        <f>AW2397+AX2397</f>
        <v>0</v>
      </c>
      <c r="BD2397" s="93">
        <f>H2397/(100-BE2397)*100</f>
        <v>0</v>
      </c>
      <c r="BE2397" s="93">
        <v>0</v>
      </c>
      <c r="BF2397" s="93">
        <f>O2397</f>
        <v>0</v>
      </c>
      <c r="BH2397" s="93">
        <f>G2397*AO2397</f>
        <v>0</v>
      </c>
      <c r="BI2397" s="93">
        <f>G2397*AP2397</f>
        <v>0</v>
      </c>
      <c r="BJ2397" s="93">
        <f>G2397*H2397</f>
        <v>0</v>
      </c>
      <c r="BK2397" s="93"/>
      <c r="BL2397" s="93"/>
      <c r="BW2397" s="93" t="str">
        <f>I2397</f>
        <v>21</v>
      </c>
      <c r="BX2397" s="2" t="s">
        <v>1646</v>
      </c>
    </row>
    <row r="2398" spans="1:76" s="81" customFormat="1" ht="25.5" x14ac:dyDescent="0.25">
      <c r="A2398" s="72" t="s">
        <v>3222</v>
      </c>
      <c r="B2398" s="72" t="s">
        <v>55</v>
      </c>
      <c r="C2398" s="72" t="s">
        <v>3223</v>
      </c>
      <c r="D2398" s="175" t="s">
        <v>3224</v>
      </c>
      <c r="E2398" s="175"/>
      <c r="F2398" s="72" t="s">
        <v>213</v>
      </c>
      <c r="G2398" s="90">
        <v>33</v>
      </c>
      <c r="H2398" s="91"/>
      <c r="I2398" s="92" t="s">
        <v>63</v>
      </c>
      <c r="J2398" s="90">
        <f>G2398*AO2398</f>
        <v>0</v>
      </c>
      <c r="K2398" s="90">
        <f>G2398*AP2398</f>
        <v>0</v>
      </c>
      <c r="L2398" s="90">
        <f>G2398*H2398</f>
        <v>0</v>
      </c>
      <c r="M2398" s="90">
        <f>L2398*(1+BW2398/100)</f>
        <v>0</v>
      </c>
      <c r="N2398" s="90">
        <v>9.7999999999999997E-4</v>
      </c>
      <c r="O2398" s="90">
        <f>G2398*N2398</f>
        <v>3.2340000000000001E-2</v>
      </c>
      <c r="P2398" s="92" t="s">
        <v>64</v>
      </c>
      <c r="Z2398" s="93">
        <f>IF(AQ2398="5",BJ2398,0)</f>
        <v>0</v>
      </c>
      <c r="AB2398" s="93">
        <f>IF(AQ2398="1",BH2398,0)</f>
        <v>0</v>
      </c>
      <c r="AC2398" s="93">
        <f>IF(AQ2398="1",BI2398,0)</f>
        <v>0</v>
      </c>
      <c r="AD2398" s="93">
        <f>IF(AQ2398="7",BH2398,0)</f>
        <v>0</v>
      </c>
      <c r="AE2398" s="93">
        <f>IF(AQ2398="7",BI2398,0)</f>
        <v>0</v>
      </c>
      <c r="AF2398" s="93">
        <f>IF(AQ2398="2",BH2398,0)</f>
        <v>0</v>
      </c>
      <c r="AG2398" s="93">
        <f>IF(AQ2398="2",BI2398,0)</f>
        <v>0</v>
      </c>
      <c r="AH2398" s="93">
        <f>IF(AQ2398="0",BJ2398,0)</f>
        <v>0</v>
      </c>
      <c r="AI2398" s="88" t="s">
        <v>55</v>
      </c>
      <c r="AJ2398" s="93">
        <f>IF(AN2398=0,L2398,0)</f>
        <v>0</v>
      </c>
      <c r="AK2398" s="93">
        <f>IF(AN2398=12,L2398,0)</f>
        <v>0</v>
      </c>
      <c r="AL2398" s="93">
        <f>IF(AN2398=21,L2398,0)</f>
        <v>0</v>
      </c>
      <c r="AN2398" s="93">
        <v>21</v>
      </c>
      <c r="AO2398" s="93">
        <f>H2398*0.554010508</f>
        <v>0</v>
      </c>
      <c r="AP2398" s="93">
        <f>H2398*(1-0.554010508)</f>
        <v>0</v>
      </c>
      <c r="AQ2398" s="94" t="s">
        <v>148</v>
      </c>
      <c r="AV2398" s="93">
        <f>AW2398+AX2398</f>
        <v>0</v>
      </c>
      <c r="AW2398" s="93">
        <f>G2398*AO2398</f>
        <v>0</v>
      </c>
      <c r="AX2398" s="93">
        <f>G2398*AP2398</f>
        <v>0</v>
      </c>
      <c r="AY2398" s="94" t="s">
        <v>3140</v>
      </c>
      <c r="AZ2398" s="94" t="s">
        <v>2936</v>
      </c>
      <c r="BA2398" s="88" t="s">
        <v>67</v>
      </c>
      <c r="BC2398" s="93">
        <f>AW2398+AX2398</f>
        <v>0</v>
      </c>
      <c r="BD2398" s="93">
        <f>H2398/(100-BE2398)*100</f>
        <v>0</v>
      </c>
      <c r="BE2398" s="93">
        <v>0</v>
      </c>
      <c r="BF2398" s="93">
        <f>O2398</f>
        <v>3.2340000000000001E-2</v>
      </c>
      <c r="BH2398" s="93">
        <f>G2398*AO2398</f>
        <v>0</v>
      </c>
      <c r="BI2398" s="93">
        <f>G2398*AP2398</f>
        <v>0</v>
      </c>
      <c r="BJ2398" s="93">
        <f>G2398*H2398</f>
        <v>0</v>
      </c>
      <c r="BK2398" s="93"/>
      <c r="BL2398" s="93"/>
      <c r="BW2398" s="93" t="str">
        <f>I2398</f>
        <v>21</v>
      </c>
      <c r="BX2398" s="2" t="s">
        <v>3224</v>
      </c>
    </row>
    <row r="2399" spans="1:76" s="81" customFormat="1" ht="13.5" customHeight="1" x14ac:dyDescent="0.25">
      <c r="A2399" s="95"/>
      <c r="B2399" s="95"/>
      <c r="C2399" s="95"/>
      <c r="D2399" s="182" t="s">
        <v>3225</v>
      </c>
      <c r="E2399" s="182"/>
      <c r="F2399" s="182"/>
      <c r="G2399" s="182"/>
      <c r="H2399" s="182"/>
      <c r="I2399" s="182"/>
      <c r="J2399" s="182"/>
      <c r="K2399" s="182"/>
      <c r="L2399" s="182"/>
      <c r="M2399" s="182"/>
      <c r="N2399" s="182"/>
      <c r="O2399" s="182"/>
      <c r="P2399" s="182"/>
    </row>
    <row r="2400" spans="1:76" s="81" customFormat="1" ht="25.5" x14ac:dyDescent="0.25">
      <c r="A2400" s="72" t="s">
        <v>3226</v>
      </c>
      <c r="B2400" s="72" t="s">
        <v>55</v>
      </c>
      <c r="C2400" s="72" t="s">
        <v>3227</v>
      </c>
      <c r="D2400" s="175" t="s">
        <v>3228</v>
      </c>
      <c r="E2400" s="175"/>
      <c r="F2400" s="72" t="s">
        <v>203</v>
      </c>
      <c r="G2400" s="90">
        <v>10</v>
      </c>
      <c r="H2400" s="91"/>
      <c r="I2400" s="92" t="s">
        <v>63</v>
      </c>
      <c r="J2400" s="90">
        <f>G2400*AO2400</f>
        <v>0</v>
      </c>
      <c r="K2400" s="90">
        <f>G2400*AP2400</f>
        <v>0</v>
      </c>
      <c r="L2400" s="90">
        <f>G2400*H2400</f>
        <v>0</v>
      </c>
      <c r="M2400" s="90">
        <f>L2400*(1+BW2400/100)</f>
        <v>0</v>
      </c>
      <c r="N2400" s="90">
        <v>2.1000000000000001E-4</v>
      </c>
      <c r="O2400" s="90">
        <f>G2400*N2400</f>
        <v>2.1000000000000003E-3</v>
      </c>
      <c r="P2400" s="92" t="s">
        <v>64</v>
      </c>
      <c r="Z2400" s="93">
        <f>IF(AQ2400="5",BJ2400,0)</f>
        <v>0</v>
      </c>
      <c r="AB2400" s="93">
        <f>IF(AQ2400="1",BH2400,0)</f>
        <v>0</v>
      </c>
      <c r="AC2400" s="93">
        <f>IF(AQ2400="1",BI2400,0)</f>
        <v>0</v>
      </c>
      <c r="AD2400" s="93">
        <f>IF(AQ2400="7",BH2400,0)</f>
        <v>0</v>
      </c>
      <c r="AE2400" s="93">
        <f>IF(AQ2400="7",BI2400,0)</f>
        <v>0</v>
      </c>
      <c r="AF2400" s="93">
        <f>IF(AQ2400="2",BH2400,0)</f>
        <v>0</v>
      </c>
      <c r="AG2400" s="93">
        <f>IF(AQ2400="2",BI2400,0)</f>
        <v>0</v>
      </c>
      <c r="AH2400" s="93">
        <f>IF(AQ2400="0",BJ2400,0)</f>
        <v>0</v>
      </c>
      <c r="AI2400" s="88" t="s">
        <v>55</v>
      </c>
      <c r="AJ2400" s="93">
        <f>IF(AN2400=0,L2400,0)</f>
        <v>0</v>
      </c>
      <c r="AK2400" s="93">
        <f>IF(AN2400=12,L2400,0)</f>
        <v>0</v>
      </c>
      <c r="AL2400" s="93">
        <f>IF(AN2400=21,L2400,0)</f>
        <v>0</v>
      </c>
      <c r="AN2400" s="93">
        <v>21</v>
      </c>
      <c r="AO2400" s="93">
        <f>H2400*0.827177914</f>
        <v>0</v>
      </c>
      <c r="AP2400" s="93">
        <f>H2400*(1-0.827177914)</f>
        <v>0</v>
      </c>
      <c r="AQ2400" s="94" t="s">
        <v>148</v>
      </c>
      <c r="AV2400" s="93">
        <f>AW2400+AX2400</f>
        <v>0</v>
      </c>
      <c r="AW2400" s="93">
        <f>G2400*AO2400</f>
        <v>0</v>
      </c>
      <c r="AX2400" s="93">
        <f>G2400*AP2400</f>
        <v>0</v>
      </c>
      <c r="AY2400" s="94" t="s">
        <v>3140</v>
      </c>
      <c r="AZ2400" s="94" t="s">
        <v>2936</v>
      </c>
      <c r="BA2400" s="88" t="s">
        <v>67</v>
      </c>
      <c r="BC2400" s="93">
        <f>AW2400+AX2400</f>
        <v>0</v>
      </c>
      <c r="BD2400" s="93">
        <f>H2400/(100-BE2400)*100</f>
        <v>0</v>
      </c>
      <c r="BE2400" s="93">
        <v>0</v>
      </c>
      <c r="BF2400" s="93">
        <f>O2400</f>
        <v>2.1000000000000003E-3</v>
      </c>
      <c r="BH2400" s="93">
        <f>G2400*AO2400</f>
        <v>0</v>
      </c>
      <c r="BI2400" s="93">
        <f>G2400*AP2400</f>
        <v>0</v>
      </c>
      <c r="BJ2400" s="93">
        <f>G2400*H2400</f>
        <v>0</v>
      </c>
      <c r="BK2400" s="93"/>
      <c r="BL2400" s="93"/>
      <c r="BW2400" s="93" t="str">
        <f>I2400</f>
        <v>21</v>
      </c>
      <c r="BX2400" s="2" t="s">
        <v>3228</v>
      </c>
    </row>
    <row r="2401" spans="1:76" s="81" customFormat="1" ht="25.5" x14ac:dyDescent="0.25">
      <c r="A2401" s="72" t="s">
        <v>3229</v>
      </c>
      <c r="B2401" s="72" t="s">
        <v>55</v>
      </c>
      <c r="C2401" s="72" t="s">
        <v>3230</v>
      </c>
      <c r="D2401" s="175" t="s">
        <v>3231</v>
      </c>
      <c r="E2401" s="175"/>
      <c r="F2401" s="72" t="s">
        <v>203</v>
      </c>
      <c r="G2401" s="90">
        <v>6</v>
      </c>
      <c r="H2401" s="91"/>
      <c r="I2401" s="92" t="s">
        <v>63</v>
      </c>
      <c r="J2401" s="90">
        <f>G2401*AO2401</f>
        <v>0</v>
      </c>
      <c r="K2401" s="90">
        <f>G2401*AP2401</f>
        <v>0</v>
      </c>
      <c r="L2401" s="90">
        <f>G2401*H2401</f>
        <v>0</v>
      </c>
      <c r="M2401" s="90">
        <f>L2401*(1+BW2401/100)</f>
        <v>0</v>
      </c>
      <c r="N2401" s="90">
        <v>9.0000000000000006E-5</v>
      </c>
      <c r="O2401" s="90">
        <f>G2401*N2401</f>
        <v>5.4000000000000001E-4</v>
      </c>
      <c r="P2401" s="92" t="s">
        <v>64</v>
      </c>
      <c r="Z2401" s="93">
        <f>IF(AQ2401="5",BJ2401,0)</f>
        <v>0</v>
      </c>
      <c r="AB2401" s="93">
        <f>IF(AQ2401="1",BH2401,0)</f>
        <v>0</v>
      </c>
      <c r="AC2401" s="93">
        <f>IF(AQ2401="1",BI2401,0)</f>
        <v>0</v>
      </c>
      <c r="AD2401" s="93">
        <f>IF(AQ2401="7",BH2401,0)</f>
        <v>0</v>
      </c>
      <c r="AE2401" s="93">
        <f>IF(AQ2401="7",BI2401,0)</f>
        <v>0</v>
      </c>
      <c r="AF2401" s="93">
        <f>IF(AQ2401="2",BH2401,0)</f>
        <v>0</v>
      </c>
      <c r="AG2401" s="93">
        <f>IF(AQ2401="2",BI2401,0)</f>
        <v>0</v>
      </c>
      <c r="AH2401" s="93">
        <f>IF(AQ2401="0",BJ2401,0)</f>
        <v>0</v>
      </c>
      <c r="AI2401" s="88" t="s">
        <v>55</v>
      </c>
      <c r="AJ2401" s="93">
        <f>IF(AN2401=0,L2401,0)</f>
        <v>0</v>
      </c>
      <c r="AK2401" s="93">
        <f>IF(AN2401=12,L2401,0)</f>
        <v>0</v>
      </c>
      <c r="AL2401" s="93">
        <f>IF(AN2401=21,L2401,0)</f>
        <v>0</v>
      </c>
      <c r="AN2401" s="93">
        <v>21</v>
      </c>
      <c r="AO2401" s="93">
        <f>H2401*0.621370968</f>
        <v>0</v>
      </c>
      <c r="AP2401" s="93">
        <f>H2401*(1-0.621370968)</f>
        <v>0</v>
      </c>
      <c r="AQ2401" s="94" t="s">
        <v>148</v>
      </c>
      <c r="AV2401" s="93">
        <f>AW2401+AX2401</f>
        <v>0</v>
      </c>
      <c r="AW2401" s="93">
        <f>G2401*AO2401</f>
        <v>0</v>
      </c>
      <c r="AX2401" s="93">
        <f>G2401*AP2401</f>
        <v>0</v>
      </c>
      <c r="AY2401" s="94" t="s">
        <v>3140</v>
      </c>
      <c r="AZ2401" s="94" t="s">
        <v>2936</v>
      </c>
      <c r="BA2401" s="88" t="s">
        <v>67</v>
      </c>
      <c r="BC2401" s="93">
        <f>AW2401+AX2401</f>
        <v>0</v>
      </c>
      <c r="BD2401" s="93">
        <f>H2401/(100-BE2401)*100</f>
        <v>0</v>
      </c>
      <c r="BE2401" s="93">
        <v>0</v>
      </c>
      <c r="BF2401" s="93">
        <f>O2401</f>
        <v>5.4000000000000001E-4</v>
      </c>
      <c r="BH2401" s="93">
        <f>G2401*AO2401</f>
        <v>0</v>
      </c>
      <c r="BI2401" s="93">
        <f>G2401*AP2401</f>
        <v>0</v>
      </c>
      <c r="BJ2401" s="93">
        <f>G2401*H2401</f>
        <v>0</v>
      </c>
      <c r="BK2401" s="93"/>
      <c r="BL2401" s="93"/>
      <c r="BW2401" s="93" t="str">
        <f>I2401</f>
        <v>21</v>
      </c>
      <c r="BX2401" s="2" t="s">
        <v>3231</v>
      </c>
    </row>
    <row r="2402" spans="1:76" s="81" customFormat="1" ht="25.5" x14ac:dyDescent="0.25">
      <c r="A2402" s="72" t="s">
        <v>3232</v>
      </c>
      <c r="B2402" s="72" t="s">
        <v>55</v>
      </c>
      <c r="C2402" s="72" t="s">
        <v>3233</v>
      </c>
      <c r="D2402" s="175" t="s">
        <v>3234</v>
      </c>
      <c r="E2402" s="175"/>
      <c r="F2402" s="72" t="s">
        <v>203</v>
      </c>
      <c r="G2402" s="90">
        <v>20</v>
      </c>
      <c r="H2402" s="91"/>
      <c r="I2402" s="92" t="s">
        <v>63</v>
      </c>
      <c r="J2402" s="90">
        <f>G2402*AO2402</f>
        <v>0</v>
      </c>
      <c r="K2402" s="90">
        <f>G2402*AP2402</f>
        <v>0</v>
      </c>
      <c r="L2402" s="90">
        <f>G2402*H2402</f>
        <v>0</v>
      </c>
      <c r="M2402" s="90">
        <f>L2402*(1+BW2402/100)</f>
        <v>0</v>
      </c>
      <c r="N2402" s="90">
        <v>5.5000000000000003E-4</v>
      </c>
      <c r="O2402" s="90">
        <f>G2402*N2402</f>
        <v>1.1000000000000001E-2</v>
      </c>
      <c r="P2402" s="92" t="s">
        <v>64</v>
      </c>
      <c r="Z2402" s="93">
        <f>IF(AQ2402="5",BJ2402,0)</f>
        <v>0</v>
      </c>
      <c r="AB2402" s="93">
        <f>IF(AQ2402="1",BH2402,0)</f>
        <v>0</v>
      </c>
      <c r="AC2402" s="93">
        <f>IF(AQ2402="1",BI2402,0)</f>
        <v>0</v>
      </c>
      <c r="AD2402" s="93">
        <f>IF(AQ2402="7",BH2402,0)</f>
        <v>0</v>
      </c>
      <c r="AE2402" s="93">
        <f>IF(AQ2402="7",BI2402,0)</f>
        <v>0</v>
      </c>
      <c r="AF2402" s="93">
        <f>IF(AQ2402="2",BH2402,0)</f>
        <v>0</v>
      </c>
      <c r="AG2402" s="93">
        <f>IF(AQ2402="2",BI2402,0)</f>
        <v>0</v>
      </c>
      <c r="AH2402" s="93">
        <f>IF(AQ2402="0",BJ2402,0)</f>
        <v>0</v>
      </c>
      <c r="AI2402" s="88" t="s">
        <v>55</v>
      </c>
      <c r="AJ2402" s="93">
        <f>IF(AN2402=0,L2402,0)</f>
        <v>0</v>
      </c>
      <c r="AK2402" s="93">
        <f>IF(AN2402=12,L2402,0)</f>
        <v>0</v>
      </c>
      <c r="AL2402" s="93">
        <f>IF(AN2402=21,L2402,0)</f>
        <v>0</v>
      </c>
      <c r="AN2402" s="93">
        <v>21</v>
      </c>
      <c r="AO2402" s="93">
        <f>H2402*0.828831814</f>
        <v>0</v>
      </c>
      <c r="AP2402" s="93">
        <f>H2402*(1-0.828831814)</f>
        <v>0</v>
      </c>
      <c r="AQ2402" s="94" t="s">
        <v>148</v>
      </c>
      <c r="AV2402" s="93">
        <f>AW2402+AX2402</f>
        <v>0</v>
      </c>
      <c r="AW2402" s="93">
        <f>G2402*AO2402</f>
        <v>0</v>
      </c>
      <c r="AX2402" s="93">
        <f>G2402*AP2402</f>
        <v>0</v>
      </c>
      <c r="AY2402" s="94" t="s">
        <v>3140</v>
      </c>
      <c r="AZ2402" s="94" t="s">
        <v>2936</v>
      </c>
      <c r="BA2402" s="88" t="s">
        <v>67</v>
      </c>
      <c r="BC2402" s="93">
        <f>AW2402+AX2402</f>
        <v>0</v>
      </c>
      <c r="BD2402" s="93">
        <f>H2402/(100-BE2402)*100</f>
        <v>0</v>
      </c>
      <c r="BE2402" s="93">
        <v>0</v>
      </c>
      <c r="BF2402" s="93">
        <f>O2402</f>
        <v>1.1000000000000001E-2</v>
      </c>
      <c r="BH2402" s="93">
        <f>G2402*AO2402</f>
        <v>0</v>
      </c>
      <c r="BI2402" s="93">
        <f>G2402*AP2402</f>
        <v>0</v>
      </c>
      <c r="BJ2402" s="93">
        <f>G2402*H2402</f>
        <v>0</v>
      </c>
      <c r="BK2402" s="93"/>
      <c r="BL2402" s="93"/>
      <c r="BW2402" s="93" t="str">
        <f>I2402</f>
        <v>21</v>
      </c>
      <c r="BX2402" s="2" t="s">
        <v>3234</v>
      </c>
    </row>
    <row r="2403" spans="1:76" s="81" customFormat="1" ht="25.5" x14ac:dyDescent="0.25">
      <c r="A2403" s="72" t="s">
        <v>3235</v>
      </c>
      <c r="B2403" s="72" t="s">
        <v>55</v>
      </c>
      <c r="C2403" s="72" t="s">
        <v>3236</v>
      </c>
      <c r="D2403" s="175" t="s">
        <v>3237</v>
      </c>
      <c r="E2403" s="175"/>
      <c r="F2403" s="72" t="s">
        <v>203</v>
      </c>
      <c r="G2403" s="90">
        <v>1</v>
      </c>
      <c r="H2403" s="91"/>
      <c r="I2403" s="92" t="s">
        <v>63</v>
      </c>
      <c r="J2403" s="90">
        <f>G2403*AO2403</f>
        <v>0</v>
      </c>
      <c r="K2403" s="90">
        <f>G2403*AP2403</f>
        <v>0</v>
      </c>
      <c r="L2403" s="90">
        <f>G2403*H2403</f>
        <v>0</v>
      </c>
      <c r="M2403" s="90">
        <f>L2403*(1+BW2403/100)</f>
        <v>0</v>
      </c>
      <c r="N2403" s="90">
        <v>5.0000000000000001E-4</v>
      </c>
      <c r="O2403" s="90">
        <f>G2403*N2403</f>
        <v>5.0000000000000001E-4</v>
      </c>
      <c r="P2403" s="92" t="s">
        <v>64</v>
      </c>
      <c r="Z2403" s="93">
        <f>IF(AQ2403="5",BJ2403,0)</f>
        <v>0</v>
      </c>
      <c r="AB2403" s="93">
        <f>IF(AQ2403="1",BH2403,0)</f>
        <v>0</v>
      </c>
      <c r="AC2403" s="93">
        <f>IF(AQ2403="1",BI2403,0)</f>
        <v>0</v>
      </c>
      <c r="AD2403" s="93">
        <f>IF(AQ2403="7",BH2403,0)</f>
        <v>0</v>
      </c>
      <c r="AE2403" s="93">
        <f>IF(AQ2403="7",BI2403,0)</f>
        <v>0</v>
      </c>
      <c r="AF2403" s="93">
        <f>IF(AQ2403="2",BH2403,0)</f>
        <v>0</v>
      </c>
      <c r="AG2403" s="93">
        <f>IF(AQ2403="2",BI2403,0)</f>
        <v>0</v>
      </c>
      <c r="AH2403" s="93">
        <f>IF(AQ2403="0",BJ2403,0)</f>
        <v>0</v>
      </c>
      <c r="AI2403" s="88" t="s">
        <v>55</v>
      </c>
      <c r="AJ2403" s="93">
        <f>IF(AN2403=0,L2403,0)</f>
        <v>0</v>
      </c>
      <c r="AK2403" s="93">
        <f>IF(AN2403=12,L2403,0)</f>
        <v>0</v>
      </c>
      <c r="AL2403" s="93">
        <f>IF(AN2403=21,L2403,0)</f>
        <v>0</v>
      </c>
      <c r="AN2403" s="93">
        <v>21</v>
      </c>
      <c r="AO2403" s="93">
        <f>H2403*0.885761001</f>
        <v>0</v>
      </c>
      <c r="AP2403" s="93">
        <f>H2403*(1-0.885761001)</f>
        <v>0</v>
      </c>
      <c r="AQ2403" s="94" t="s">
        <v>148</v>
      </c>
      <c r="AV2403" s="93">
        <f>AW2403+AX2403</f>
        <v>0</v>
      </c>
      <c r="AW2403" s="93">
        <f>G2403*AO2403</f>
        <v>0</v>
      </c>
      <c r="AX2403" s="93">
        <f>G2403*AP2403</f>
        <v>0</v>
      </c>
      <c r="AY2403" s="94" t="s">
        <v>3140</v>
      </c>
      <c r="AZ2403" s="94" t="s">
        <v>2936</v>
      </c>
      <c r="BA2403" s="88" t="s">
        <v>67</v>
      </c>
      <c r="BC2403" s="93">
        <f>AW2403+AX2403</f>
        <v>0</v>
      </c>
      <c r="BD2403" s="93">
        <f>H2403/(100-BE2403)*100</f>
        <v>0</v>
      </c>
      <c r="BE2403" s="93">
        <v>0</v>
      </c>
      <c r="BF2403" s="93">
        <f>O2403</f>
        <v>5.0000000000000001E-4</v>
      </c>
      <c r="BH2403" s="93">
        <f>G2403*AO2403</f>
        <v>0</v>
      </c>
      <c r="BI2403" s="93">
        <f>G2403*AP2403</f>
        <v>0</v>
      </c>
      <c r="BJ2403" s="93">
        <f>G2403*H2403</f>
        <v>0</v>
      </c>
      <c r="BK2403" s="93"/>
      <c r="BL2403" s="93"/>
      <c r="BW2403" s="93" t="str">
        <f>I2403</f>
        <v>21</v>
      </c>
      <c r="BX2403" s="2" t="s">
        <v>3237</v>
      </c>
    </row>
    <row r="2404" spans="1:76" s="81" customFormat="1" ht="25.5" x14ac:dyDescent="0.25">
      <c r="A2404" s="72" t="s">
        <v>3238</v>
      </c>
      <c r="B2404" s="72" t="s">
        <v>55</v>
      </c>
      <c r="C2404" s="72" t="s">
        <v>3239</v>
      </c>
      <c r="D2404" s="175" t="s">
        <v>3240</v>
      </c>
      <c r="E2404" s="175"/>
      <c r="F2404" s="72" t="s">
        <v>213</v>
      </c>
      <c r="G2404" s="90">
        <v>82.5</v>
      </c>
      <c r="H2404" s="91"/>
      <c r="I2404" s="92" t="s">
        <v>63</v>
      </c>
      <c r="J2404" s="90">
        <f>G2404*AO2404</f>
        <v>0</v>
      </c>
      <c r="K2404" s="90">
        <f>G2404*AP2404</f>
        <v>0</v>
      </c>
      <c r="L2404" s="90">
        <f>G2404*H2404</f>
        <v>0</v>
      </c>
      <c r="M2404" s="90">
        <f>L2404*(1+BW2404/100)</f>
        <v>0</v>
      </c>
      <c r="N2404" s="90">
        <v>7.7999999999999999E-4</v>
      </c>
      <c r="O2404" s="90">
        <f>G2404*N2404</f>
        <v>6.4350000000000004E-2</v>
      </c>
      <c r="P2404" s="92" t="s">
        <v>64</v>
      </c>
      <c r="Z2404" s="93">
        <f>IF(AQ2404="5",BJ2404,0)</f>
        <v>0</v>
      </c>
      <c r="AB2404" s="93">
        <f>IF(AQ2404="1",BH2404,0)</f>
        <v>0</v>
      </c>
      <c r="AC2404" s="93">
        <f>IF(AQ2404="1",BI2404,0)</f>
        <v>0</v>
      </c>
      <c r="AD2404" s="93">
        <f>IF(AQ2404="7",BH2404,0)</f>
        <v>0</v>
      </c>
      <c r="AE2404" s="93">
        <f>IF(AQ2404="7",BI2404,0)</f>
        <v>0</v>
      </c>
      <c r="AF2404" s="93">
        <f>IF(AQ2404="2",BH2404,0)</f>
        <v>0</v>
      </c>
      <c r="AG2404" s="93">
        <f>IF(AQ2404="2",BI2404,0)</f>
        <v>0</v>
      </c>
      <c r="AH2404" s="93">
        <f>IF(AQ2404="0",BJ2404,0)</f>
        <v>0</v>
      </c>
      <c r="AI2404" s="88" t="s">
        <v>55</v>
      </c>
      <c r="AJ2404" s="93">
        <f>IF(AN2404=0,L2404,0)</f>
        <v>0</v>
      </c>
      <c r="AK2404" s="93">
        <f>IF(AN2404=12,L2404,0)</f>
        <v>0</v>
      </c>
      <c r="AL2404" s="93">
        <f>IF(AN2404=21,L2404,0)</f>
        <v>0</v>
      </c>
      <c r="AN2404" s="93">
        <v>21</v>
      </c>
      <c r="AO2404" s="93">
        <f>H2404*0.388034529</f>
        <v>0</v>
      </c>
      <c r="AP2404" s="93">
        <f>H2404*(1-0.388034529)</f>
        <v>0</v>
      </c>
      <c r="AQ2404" s="94" t="s">
        <v>148</v>
      </c>
      <c r="AV2404" s="93">
        <f>AW2404+AX2404</f>
        <v>0</v>
      </c>
      <c r="AW2404" s="93">
        <f>G2404*AO2404</f>
        <v>0</v>
      </c>
      <c r="AX2404" s="93">
        <f>G2404*AP2404</f>
        <v>0</v>
      </c>
      <c r="AY2404" s="94" t="s">
        <v>3140</v>
      </c>
      <c r="AZ2404" s="94" t="s">
        <v>2936</v>
      </c>
      <c r="BA2404" s="88" t="s">
        <v>67</v>
      </c>
      <c r="BC2404" s="93">
        <f>AW2404+AX2404</f>
        <v>0</v>
      </c>
      <c r="BD2404" s="93">
        <f>H2404/(100-BE2404)*100</f>
        <v>0</v>
      </c>
      <c r="BE2404" s="93">
        <v>0</v>
      </c>
      <c r="BF2404" s="93">
        <f>O2404</f>
        <v>6.4350000000000004E-2</v>
      </c>
      <c r="BH2404" s="93">
        <f>G2404*AO2404</f>
        <v>0</v>
      </c>
      <c r="BI2404" s="93">
        <f>G2404*AP2404</f>
        <v>0</v>
      </c>
      <c r="BJ2404" s="93">
        <f>G2404*H2404</f>
        <v>0</v>
      </c>
      <c r="BK2404" s="93"/>
      <c r="BL2404" s="93"/>
      <c r="BW2404" s="93" t="str">
        <f>I2404</f>
        <v>21</v>
      </c>
      <c r="BX2404" s="2" t="s">
        <v>3240</v>
      </c>
    </row>
    <row r="2405" spans="1:76" s="81" customFormat="1" ht="13.5" customHeight="1" x14ac:dyDescent="0.25">
      <c r="A2405" s="95"/>
      <c r="B2405" s="95"/>
      <c r="C2405" s="95"/>
      <c r="D2405" s="182" t="s">
        <v>3241</v>
      </c>
      <c r="E2405" s="182"/>
      <c r="F2405" s="182"/>
      <c r="G2405" s="182"/>
      <c r="H2405" s="182"/>
      <c r="I2405" s="182"/>
      <c r="J2405" s="182"/>
      <c r="K2405" s="182"/>
      <c r="L2405" s="182"/>
      <c r="M2405" s="182"/>
      <c r="N2405" s="182"/>
      <c r="O2405" s="182"/>
      <c r="P2405" s="182"/>
    </row>
    <row r="2406" spans="1:76" s="81" customFormat="1" ht="25.5" x14ac:dyDescent="0.25">
      <c r="A2406" s="72" t="s">
        <v>3242</v>
      </c>
      <c r="B2406" s="72" t="s">
        <v>55</v>
      </c>
      <c r="C2406" s="72" t="s">
        <v>3243</v>
      </c>
      <c r="D2406" s="175" t="s">
        <v>3244</v>
      </c>
      <c r="E2406" s="175"/>
      <c r="F2406" s="72" t="s">
        <v>213</v>
      </c>
      <c r="G2406" s="90">
        <v>60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4.6999999999999999E-4</v>
      </c>
      <c r="O2406" s="90">
        <f>G2406*N2406</f>
        <v>2.8199999999999999E-2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H2406*0.386179479</f>
        <v>0</v>
      </c>
      <c r="AP2406" s="93">
        <f>H2406*(1-0.386179479)</f>
        <v>0</v>
      </c>
      <c r="AQ2406" s="94" t="s">
        <v>148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3140</v>
      </c>
      <c r="AZ2406" s="94" t="s">
        <v>2936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2.8199999999999999E-2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3244</v>
      </c>
    </row>
    <row r="2407" spans="1:76" s="81" customFormat="1" ht="13.5" customHeight="1" x14ac:dyDescent="0.25">
      <c r="A2407" s="95"/>
      <c r="B2407" s="95"/>
      <c r="C2407" s="95"/>
      <c r="D2407" s="182" t="s">
        <v>3245</v>
      </c>
      <c r="E2407" s="182"/>
      <c r="F2407" s="182"/>
      <c r="G2407" s="182"/>
      <c r="H2407" s="182"/>
      <c r="I2407" s="182"/>
      <c r="J2407" s="182"/>
      <c r="K2407" s="182"/>
      <c r="L2407" s="182"/>
      <c r="M2407" s="182"/>
      <c r="N2407" s="182"/>
      <c r="O2407" s="182"/>
      <c r="P2407" s="182"/>
    </row>
    <row r="2408" spans="1:76" s="81" customFormat="1" ht="25.5" x14ac:dyDescent="0.25">
      <c r="A2408" s="72" t="s">
        <v>3246</v>
      </c>
      <c r="B2408" s="72" t="s">
        <v>55</v>
      </c>
      <c r="C2408" s="72" t="s">
        <v>3247</v>
      </c>
      <c r="D2408" s="175" t="s">
        <v>3248</v>
      </c>
      <c r="E2408" s="175"/>
      <c r="F2408" s="72" t="s">
        <v>213</v>
      </c>
      <c r="G2408" s="90">
        <v>3</v>
      </c>
      <c r="H2408" s="91"/>
      <c r="I2408" s="92" t="s">
        <v>63</v>
      </c>
      <c r="J2408" s="90">
        <f>G2408*AO2408</f>
        <v>0</v>
      </c>
      <c r="K2408" s="90">
        <f>G2408*AP2408</f>
        <v>0</v>
      </c>
      <c r="L2408" s="90">
        <f>G2408*H2408</f>
        <v>0</v>
      </c>
      <c r="M2408" s="90">
        <f>L2408*(1+BW2408/100)</f>
        <v>0</v>
      </c>
      <c r="N2408" s="90">
        <v>1.6100000000000001E-3</v>
      </c>
      <c r="O2408" s="90">
        <f>G2408*N2408</f>
        <v>4.8300000000000001E-3</v>
      </c>
      <c r="P2408" s="92" t="s">
        <v>64</v>
      </c>
      <c r="Z2408" s="93">
        <f>IF(AQ2408="5",BJ2408,0)</f>
        <v>0</v>
      </c>
      <c r="AB2408" s="93">
        <f>IF(AQ2408="1",BH2408,0)</f>
        <v>0</v>
      </c>
      <c r="AC2408" s="93">
        <f>IF(AQ2408="1",BI2408,0)</f>
        <v>0</v>
      </c>
      <c r="AD2408" s="93">
        <f>IF(AQ2408="7",BH2408,0)</f>
        <v>0</v>
      </c>
      <c r="AE2408" s="93">
        <f>IF(AQ2408="7",BI2408,0)</f>
        <v>0</v>
      </c>
      <c r="AF2408" s="93">
        <f>IF(AQ2408="2",BH2408,0)</f>
        <v>0</v>
      </c>
      <c r="AG2408" s="93">
        <f>IF(AQ2408="2",BI2408,0)</f>
        <v>0</v>
      </c>
      <c r="AH2408" s="93">
        <f>IF(AQ2408="0",BJ2408,0)</f>
        <v>0</v>
      </c>
      <c r="AI2408" s="88" t="s">
        <v>55</v>
      </c>
      <c r="AJ2408" s="93">
        <f>IF(AN2408=0,L2408,0)</f>
        <v>0</v>
      </c>
      <c r="AK2408" s="93">
        <f>IF(AN2408=12,L2408,0)</f>
        <v>0</v>
      </c>
      <c r="AL2408" s="93">
        <f>IF(AN2408=21,L2408,0)</f>
        <v>0</v>
      </c>
      <c r="AN2408" s="93">
        <v>21</v>
      </c>
      <c r="AO2408" s="93">
        <f>H2408*0.690446761</f>
        <v>0</v>
      </c>
      <c r="AP2408" s="93">
        <f>H2408*(1-0.690446761)</f>
        <v>0</v>
      </c>
      <c r="AQ2408" s="94" t="s">
        <v>148</v>
      </c>
      <c r="AV2408" s="93">
        <f>AW2408+AX2408</f>
        <v>0</v>
      </c>
      <c r="AW2408" s="93">
        <f>G2408*AO2408</f>
        <v>0</v>
      </c>
      <c r="AX2408" s="93">
        <f>G2408*AP2408</f>
        <v>0</v>
      </c>
      <c r="AY2408" s="94" t="s">
        <v>3140</v>
      </c>
      <c r="AZ2408" s="94" t="s">
        <v>2936</v>
      </c>
      <c r="BA2408" s="88" t="s">
        <v>67</v>
      </c>
      <c r="BC2408" s="93">
        <f>AW2408+AX2408</f>
        <v>0</v>
      </c>
      <c r="BD2408" s="93">
        <f>H2408/(100-BE2408)*100</f>
        <v>0</v>
      </c>
      <c r="BE2408" s="93">
        <v>0</v>
      </c>
      <c r="BF2408" s="93">
        <f>O2408</f>
        <v>4.8300000000000001E-3</v>
      </c>
      <c r="BH2408" s="93">
        <f>G2408*AO2408</f>
        <v>0</v>
      </c>
      <c r="BI2408" s="93">
        <f>G2408*AP2408</f>
        <v>0</v>
      </c>
      <c r="BJ2408" s="93">
        <f>G2408*H2408</f>
        <v>0</v>
      </c>
      <c r="BK2408" s="93"/>
      <c r="BL2408" s="93"/>
      <c r="BW2408" s="93" t="str">
        <f>I2408</f>
        <v>21</v>
      </c>
      <c r="BX2408" s="2" t="s">
        <v>3248</v>
      </c>
    </row>
    <row r="2409" spans="1:76" s="81" customFormat="1" ht="13.5" customHeight="1" x14ac:dyDescent="0.25">
      <c r="A2409" s="95"/>
      <c r="B2409" s="95"/>
      <c r="C2409" s="95"/>
      <c r="D2409" s="182" t="s">
        <v>3241</v>
      </c>
      <c r="E2409" s="182"/>
      <c r="F2409" s="182"/>
      <c r="G2409" s="182"/>
      <c r="H2409" s="182"/>
      <c r="I2409" s="182"/>
      <c r="J2409" s="182"/>
      <c r="K2409" s="182"/>
      <c r="L2409" s="182"/>
      <c r="M2409" s="182"/>
      <c r="N2409" s="182"/>
      <c r="O2409" s="182"/>
      <c r="P2409" s="182"/>
    </row>
    <row r="2410" spans="1:76" s="81" customFormat="1" ht="25.5" x14ac:dyDescent="0.25">
      <c r="A2410" s="72" t="s">
        <v>3249</v>
      </c>
      <c r="B2410" s="72" t="s">
        <v>55</v>
      </c>
      <c r="C2410" s="72" t="s">
        <v>3250</v>
      </c>
      <c r="D2410" s="175" t="s">
        <v>3251</v>
      </c>
      <c r="E2410" s="175"/>
      <c r="F2410" s="72" t="s">
        <v>213</v>
      </c>
      <c r="G2410" s="90">
        <v>10</v>
      </c>
      <c r="H2410" s="91"/>
      <c r="I2410" s="92" t="s">
        <v>63</v>
      </c>
      <c r="J2410" s="90">
        <f>G2410*AO2410</f>
        <v>0</v>
      </c>
      <c r="K2410" s="90">
        <f>G2410*AP2410</f>
        <v>0</v>
      </c>
      <c r="L2410" s="90">
        <f>G2410*H2410</f>
        <v>0</v>
      </c>
      <c r="M2410" s="90">
        <f>L2410*(1+BW2410/100)</f>
        <v>0</v>
      </c>
      <c r="N2410" s="90">
        <v>1.5200000000000001E-3</v>
      </c>
      <c r="O2410" s="90">
        <f>G2410*N2410</f>
        <v>1.5200000000000002E-2</v>
      </c>
      <c r="P2410" s="92" t="s">
        <v>64</v>
      </c>
      <c r="Z2410" s="93">
        <f>IF(AQ2410="5",BJ2410,0)</f>
        <v>0</v>
      </c>
      <c r="AB2410" s="93">
        <f>IF(AQ2410="1",BH2410,0)</f>
        <v>0</v>
      </c>
      <c r="AC2410" s="93">
        <f>IF(AQ2410="1",BI2410,0)</f>
        <v>0</v>
      </c>
      <c r="AD2410" s="93">
        <f>IF(AQ2410="7",BH2410,0)</f>
        <v>0</v>
      </c>
      <c r="AE2410" s="93">
        <f>IF(AQ2410="7",BI2410,0)</f>
        <v>0</v>
      </c>
      <c r="AF2410" s="93">
        <f>IF(AQ2410="2",BH2410,0)</f>
        <v>0</v>
      </c>
      <c r="AG2410" s="93">
        <f>IF(AQ2410="2",BI2410,0)</f>
        <v>0</v>
      </c>
      <c r="AH2410" s="93">
        <f>IF(AQ2410="0",BJ2410,0)</f>
        <v>0</v>
      </c>
      <c r="AI2410" s="88" t="s">
        <v>55</v>
      </c>
      <c r="AJ2410" s="93">
        <f>IF(AN2410=0,L2410,0)</f>
        <v>0</v>
      </c>
      <c r="AK2410" s="93">
        <f>IF(AN2410=12,L2410,0)</f>
        <v>0</v>
      </c>
      <c r="AL2410" s="93">
        <f>IF(AN2410=21,L2410,0)</f>
        <v>0</v>
      </c>
      <c r="AN2410" s="93">
        <v>21</v>
      </c>
      <c r="AO2410" s="93">
        <f>H2410*0.369389313</f>
        <v>0</v>
      </c>
      <c r="AP2410" s="93">
        <f>H2410*(1-0.369389313)</f>
        <v>0</v>
      </c>
      <c r="AQ2410" s="94" t="s">
        <v>148</v>
      </c>
      <c r="AV2410" s="93">
        <f>AW2410+AX2410</f>
        <v>0</v>
      </c>
      <c r="AW2410" s="93">
        <f>G2410*AO2410</f>
        <v>0</v>
      </c>
      <c r="AX2410" s="93">
        <f>G2410*AP2410</f>
        <v>0</v>
      </c>
      <c r="AY2410" s="94" t="s">
        <v>3140</v>
      </c>
      <c r="AZ2410" s="94" t="s">
        <v>2936</v>
      </c>
      <c r="BA2410" s="88" t="s">
        <v>67</v>
      </c>
      <c r="BC2410" s="93">
        <f>AW2410+AX2410</f>
        <v>0</v>
      </c>
      <c r="BD2410" s="93">
        <f>H2410/(100-BE2410)*100</f>
        <v>0</v>
      </c>
      <c r="BE2410" s="93">
        <v>0</v>
      </c>
      <c r="BF2410" s="93">
        <f>O2410</f>
        <v>1.5200000000000002E-2</v>
      </c>
      <c r="BH2410" s="93">
        <f>G2410*AO2410</f>
        <v>0</v>
      </c>
      <c r="BI2410" s="93">
        <f>G2410*AP2410</f>
        <v>0</v>
      </c>
      <c r="BJ2410" s="93">
        <f>G2410*H2410</f>
        <v>0</v>
      </c>
      <c r="BK2410" s="93"/>
      <c r="BL2410" s="93"/>
      <c r="BW2410" s="93" t="str">
        <f>I2410</f>
        <v>21</v>
      </c>
      <c r="BX2410" s="2" t="s">
        <v>3251</v>
      </c>
    </row>
    <row r="2411" spans="1:76" s="81" customFormat="1" ht="13.5" customHeight="1" x14ac:dyDescent="0.25">
      <c r="A2411" s="95"/>
      <c r="B2411" s="95"/>
      <c r="C2411" s="95"/>
      <c r="D2411" s="182" t="s">
        <v>3245</v>
      </c>
      <c r="E2411" s="182"/>
      <c r="F2411" s="182"/>
      <c r="G2411" s="182"/>
      <c r="H2411" s="182"/>
      <c r="I2411" s="182"/>
      <c r="J2411" s="182"/>
      <c r="K2411" s="182"/>
      <c r="L2411" s="182"/>
      <c r="M2411" s="182"/>
      <c r="N2411" s="182"/>
      <c r="O2411" s="182"/>
      <c r="P2411" s="182"/>
    </row>
    <row r="2412" spans="1:76" s="81" customFormat="1" ht="25.5" x14ac:dyDescent="0.25">
      <c r="A2412" s="72" t="s">
        <v>3252</v>
      </c>
      <c r="B2412" s="72" t="s">
        <v>55</v>
      </c>
      <c r="C2412" s="72" t="s">
        <v>3253</v>
      </c>
      <c r="D2412" s="175" t="s">
        <v>3254</v>
      </c>
      <c r="E2412" s="175"/>
      <c r="F2412" s="72" t="s">
        <v>213</v>
      </c>
      <c r="G2412" s="90">
        <v>103</v>
      </c>
      <c r="H2412" s="91"/>
      <c r="I2412" s="92" t="s">
        <v>63</v>
      </c>
      <c r="J2412" s="90">
        <f>G2412*AO2412</f>
        <v>0</v>
      </c>
      <c r="K2412" s="90">
        <f>G2412*AP2412</f>
        <v>0</v>
      </c>
      <c r="L2412" s="90">
        <f>G2412*H2412</f>
        <v>0</v>
      </c>
      <c r="M2412" s="90">
        <f>L2412*(1+BW2412/100)</f>
        <v>0</v>
      </c>
      <c r="N2412" s="90">
        <v>3.5699999999999998E-3</v>
      </c>
      <c r="O2412" s="90">
        <f>G2412*N2412</f>
        <v>0.36770999999999998</v>
      </c>
      <c r="P2412" s="92" t="s">
        <v>64</v>
      </c>
      <c r="Z2412" s="93">
        <f>IF(AQ2412="5",BJ2412,0)</f>
        <v>0</v>
      </c>
      <c r="AB2412" s="93">
        <f>IF(AQ2412="1",BH2412,0)</f>
        <v>0</v>
      </c>
      <c r="AC2412" s="93">
        <f>IF(AQ2412="1",BI2412,0)</f>
        <v>0</v>
      </c>
      <c r="AD2412" s="93">
        <f>IF(AQ2412="7",BH2412,0)</f>
        <v>0</v>
      </c>
      <c r="AE2412" s="93">
        <f>IF(AQ2412="7",BI2412,0)</f>
        <v>0</v>
      </c>
      <c r="AF2412" s="93">
        <f>IF(AQ2412="2",BH2412,0)</f>
        <v>0</v>
      </c>
      <c r="AG2412" s="93">
        <f>IF(AQ2412="2",BI2412,0)</f>
        <v>0</v>
      </c>
      <c r="AH2412" s="93">
        <f>IF(AQ2412="0",BJ2412,0)</f>
        <v>0</v>
      </c>
      <c r="AI2412" s="88" t="s">
        <v>55</v>
      </c>
      <c r="AJ2412" s="93">
        <f>IF(AN2412=0,L2412,0)</f>
        <v>0</v>
      </c>
      <c r="AK2412" s="93">
        <f>IF(AN2412=12,L2412,0)</f>
        <v>0</v>
      </c>
      <c r="AL2412" s="93">
        <f>IF(AN2412=21,L2412,0)</f>
        <v>0</v>
      </c>
      <c r="AN2412" s="93">
        <v>21</v>
      </c>
      <c r="AO2412" s="93">
        <f>H2412*0.71440553</f>
        <v>0</v>
      </c>
      <c r="AP2412" s="93">
        <f>H2412*(1-0.71440553)</f>
        <v>0</v>
      </c>
      <c r="AQ2412" s="94" t="s">
        <v>148</v>
      </c>
      <c r="AV2412" s="93">
        <f>AW2412+AX2412</f>
        <v>0</v>
      </c>
      <c r="AW2412" s="93">
        <f>G2412*AO2412</f>
        <v>0</v>
      </c>
      <c r="AX2412" s="93">
        <f>G2412*AP2412</f>
        <v>0</v>
      </c>
      <c r="AY2412" s="94" t="s">
        <v>3140</v>
      </c>
      <c r="AZ2412" s="94" t="s">
        <v>2936</v>
      </c>
      <c r="BA2412" s="88" t="s">
        <v>67</v>
      </c>
      <c r="BC2412" s="93">
        <f>AW2412+AX2412</f>
        <v>0</v>
      </c>
      <c r="BD2412" s="93">
        <f>H2412/(100-BE2412)*100</f>
        <v>0</v>
      </c>
      <c r="BE2412" s="93">
        <v>0</v>
      </c>
      <c r="BF2412" s="93">
        <f>O2412</f>
        <v>0.36770999999999998</v>
      </c>
      <c r="BH2412" s="93">
        <f>G2412*AO2412</f>
        <v>0</v>
      </c>
      <c r="BI2412" s="93">
        <f>G2412*AP2412</f>
        <v>0</v>
      </c>
      <c r="BJ2412" s="93">
        <f>G2412*H2412</f>
        <v>0</v>
      </c>
      <c r="BK2412" s="93"/>
      <c r="BL2412" s="93"/>
      <c r="BW2412" s="93" t="str">
        <f>I2412</f>
        <v>21</v>
      </c>
      <c r="BX2412" s="2" t="s">
        <v>3254</v>
      </c>
    </row>
    <row r="2413" spans="1:76" s="81" customFormat="1" ht="13.5" customHeight="1" x14ac:dyDescent="0.25">
      <c r="A2413" s="95"/>
      <c r="B2413" s="95"/>
      <c r="C2413" s="95"/>
      <c r="D2413" s="182" t="s">
        <v>3255</v>
      </c>
      <c r="E2413" s="182"/>
      <c r="F2413" s="182"/>
      <c r="G2413" s="182"/>
      <c r="H2413" s="182"/>
      <c r="I2413" s="182"/>
      <c r="J2413" s="182"/>
      <c r="K2413" s="182"/>
      <c r="L2413" s="182"/>
      <c r="M2413" s="182"/>
      <c r="N2413" s="182"/>
      <c r="O2413" s="182"/>
      <c r="P2413" s="182"/>
    </row>
    <row r="2414" spans="1:76" s="81" customFormat="1" ht="25.5" x14ac:dyDescent="0.25">
      <c r="A2414" s="72" t="s">
        <v>3256</v>
      </c>
      <c r="B2414" s="72" t="s">
        <v>55</v>
      </c>
      <c r="C2414" s="72" t="s">
        <v>3257</v>
      </c>
      <c r="D2414" s="175" t="s">
        <v>3258</v>
      </c>
      <c r="E2414" s="175"/>
      <c r="F2414" s="72" t="s">
        <v>213</v>
      </c>
      <c r="G2414" s="90">
        <v>69</v>
      </c>
      <c r="H2414" s="91"/>
      <c r="I2414" s="92" t="s">
        <v>63</v>
      </c>
      <c r="J2414" s="90">
        <f>G2414*AO2414</f>
        <v>0</v>
      </c>
      <c r="K2414" s="90">
        <f>G2414*AP2414</f>
        <v>0</v>
      </c>
      <c r="L2414" s="90">
        <f>G2414*H2414</f>
        <v>0</v>
      </c>
      <c r="M2414" s="90">
        <f>L2414*(1+BW2414/100)</f>
        <v>0</v>
      </c>
      <c r="N2414" s="90">
        <v>2.5200000000000001E-3</v>
      </c>
      <c r="O2414" s="90">
        <f>G2414*N2414</f>
        <v>0.17388000000000001</v>
      </c>
      <c r="P2414" s="92" t="s">
        <v>64</v>
      </c>
      <c r="Z2414" s="93">
        <f>IF(AQ2414="5",BJ2414,0)</f>
        <v>0</v>
      </c>
      <c r="AB2414" s="93">
        <f>IF(AQ2414="1",BH2414,0)</f>
        <v>0</v>
      </c>
      <c r="AC2414" s="93">
        <f>IF(AQ2414="1",BI2414,0)</f>
        <v>0</v>
      </c>
      <c r="AD2414" s="93">
        <f>IF(AQ2414="7",BH2414,0)</f>
        <v>0</v>
      </c>
      <c r="AE2414" s="93">
        <f>IF(AQ2414="7",BI2414,0)</f>
        <v>0</v>
      </c>
      <c r="AF2414" s="93">
        <f>IF(AQ2414="2",BH2414,0)</f>
        <v>0</v>
      </c>
      <c r="AG2414" s="93">
        <f>IF(AQ2414="2",BI2414,0)</f>
        <v>0</v>
      </c>
      <c r="AH2414" s="93">
        <f>IF(AQ2414="0",BJ2414,0)</f>
        <v>0</v>
      </c>
      <c r="AI2414" s="88" t="s">
        <v>55</v>
      </c>
      <c r="AJ2414" s="93">
        <f>IF(AN2414=0,L2414,0)</f>
        <v>0</v>
      </c>
      <c r="AK2414" s="93">
        <f>IF(AN2414=12,L2414,0)</f>
        <v>0</v>
      </c>
      <c r="AL2414" s="93">
        <f>IF(AN2414=21,L2414,0)</f>
        <v>0</v>
      </c>
      <c r="AN2414" s="93">
        <v>21</v>
      </c>
      <c r="AO2414" s="93">
        <f>H2414*0.572777251</f>
        <v>0</v>
      </c>
      <c r="AP2414" s="93">
        <f>H2414*(1-0.572777251)</f>
        <v>0</v>
      </c>
      <c r="AQ2414" s="94" t="s">
        <v>148</v>
      </c>
      <c r="AV2414" s="93">
        <f>AW2414+AX2414</f>
        <v>0</v>
      </c>
      <c r="AW2414" s="93">
        <f>G2414*AO2414</f>
        <v>0</v>
      </c>
      <c r="AX2414" s="93">
        <f>G2414*AP2414</f>
        <v>0</v>
      </c>
      <c r="AY2414" s="94" t="s">
        <v>3140</v>
      </c>
      <c r="AZ2414" s="94" t="s">
        <v>2936</v>
      </c>
      <c r="BA2414" s="88" t="s">
        <v>67</v>
      </c>
      <c r="BC2414" s="93">
        <f>AW2414+AX2414</f>
        <v>0</v>
      </c>
      <c r="BD2414" s="93">
        <f>H2414/(100-BE2414)*100</f>
        <v>0</v>
      </c>
      <c r="BE2414" s="93">
        <v>0</v>
      </c>
      <c r="BF2414" s="93">
        <f>O2414</f>
        <v>0.17388000000000001</v>
      </c>
      <c r="BH2414" s="93">
        <f>G2414*AO2414</f>
        <v>0</v>
      </c>
      <c r="BI2414" s="93">
        <f>G2414*AP2414</f>
        <v>0</v>
      </c>
      <c r="BJ2414" s="93">
        <f>G2414*H2414</f>
        <v>0</v>
      </c>
      <c r="BK2414" s="93"/>
      <c r="BL2414" s="93"/>
      <c r="BW2414" s="93" t="str">
        <f>I2414</f>
        <v>21</v>
      </c>
      <c r="BX2414" s="2" t="s">
        <v>3258</v>
      </c>
    </row>
    <row r="2415" spans="1:76" s="81" customFormat="1" ht="25.5" x14ac:dyDescent="0.25">
      <c r="A2415" s="72" t="s">
        <v>3259</v>
      </c>
      <c r="B2415" s="72" t="s">
        <v>55</v>
      </c>
      <c r="C2415" s="72" t="s">
        <v>3257</v>
      </c>
      <c r="D2415" s="175" t="s">
        <v>3260</v>
      </c>
      <c r="E2415" s="175"/>
      <c r="F2415" s="72" t="s">
        <v>213</v>
      </c>
      <c r="G2415" s="90">
        <v>51.5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2.5200000000000001E-3</v>
      </c>
      <c r="O2415" s="90">
        <f>G2415*N2415</f>
        <v>0.12978000000000001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H2415*0.572777251</f>
        <v>0</v>
      </c>
      <c r="AP2415" s="93">
        <f>H2415*(1-0.572777251)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3140</v>
      </c>
      <c r="AZ2415" s="94" t="s">
        <v>2936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0.12978000000000001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3260</v>
      </c>
    </row>
    <row r="2416" spans="1:76" s="81" customFormat="1" ht="25.5" x14ac:dyDescent="0.25">
      <c r="A2416" s="72" t="s">
        <v>3261</v>
      </c>
      <c r="B2416" s="72" t="s">
        <v>55</v>
      </c>
      <c r="C2416" s="72" t="s">
        <v>3262</v>
      </c>
      <c r="D2416" s="175" t="s">
        <v>3263</v>
      </c>
      <c r="E2416" s="175"/>
      <c r="F2416" s="72" t="s">
        <v>213</v>
      </c>
      <c r="G2416" s="90">
        <v>19.5</v>
      </c>
      <c r="H2416" s="91"/>
      <c r="I2416" s="92" t="s">
        <v>63</v>
      </c>
      <c r="J2416" s="90">
        <f>G2416*AO2416</f>
        <v>0</v>
      </c>
      <c r="K2416" s="90">
        <f>G2416*AP2416</f>
        <v>0</v>
      </c>
      <c r="L2416" s="90">
        <f>G2416*H2416</f>
        <v>0</v>
      </c>
      <c r="M2416" s="90">
        <f>L2416*(1+BW2416/100)</f>
        <v>0</v>
      </c>
      <c r="N2416" s="90">
        <v>2.0999999999999999E-3</v>
      </c>
      <c r="O2416" s="90">
        <f>G2416*N2416</f>
        <v>4.095E-2</v>
      </c>
      <c r="P2416" s="92" t="s">
        <v>64</v>
      </c>
      <c r="Z2416" s="93">
        <f>IF(AQ2416="5",BJ2416,0)</f>
        <v>0</v>
      </c>
      <c r="AB2416" s="93">
        <f>IF(AQ2416="1",BH2416,0)</f>
        <v>0</v>
      </c>
      <c r="AC2416" s="93">
        <f>IF(AQ2416="1",BI2416,0)</f>
        <v>0</v>
      </c>
      <c r="AD2416" s="93">
        <f>IF(AQ2416="7",BH2416,0)</f>
        <v>0</v>
      </c>
      <c r="AE2416" s="93">
        <f>IF(AQ2416="7",BI2416,0)</f>
        <v>0</v>
      </c>
      <c r="AF2416" s="93">
        <f>IF(AQ2416="2",BH2416,0)</f>
        <v>0</v>
      </c>
      <c r="AG2416" s="93">
        <f>IF(AQ2416="2",BI2416,0)</f>
        <v>0</v>
      </c>
      <c r="AH2416" s="93">
        <f>IF(AQ2416="0",BJ2416,0)</f>
        <v>0</v>
      </c>
      <c r="AI2416" s="88" t="s">
        <v>55</v>
      </c>
      <c r="AJ2416" s="93">
        <f>IF(AN2416=0,L2416,0)</f>
        <v>0</v>
      </c>
      <c r="AK2416" s="93">
        <f>IF(AN2416=12,L2416,0)</f>
        <v>0</v>
      </c>
      <c r="AL2416" s="93">
        <f>IF(AN2416=21,L2416,0)</f>
        <v>0</v>
      </c>
      <c r="AN2416" s="93">
        <v>21</v>
      </c>
      <c r="AO2416" s="93">
        <f>H2416*0.493573034</f>
        <v>0</v>
      </c>
      <c r="AP2416" s="93">
        <f>H2416*(1-0.493573034)</f>
        <v>0</v>
      </c>
      <c r="AQ2416" s="94" t="s">
        <v>148</v>
      </c>
      <c r="AV2416" s="93">
        <f>AW2416+AX2416</f>
        <v>0</v>
      </c>
      <c r="AW2416" s="93">
        <f>G2416*AO2416</f>
        <v>0</v>
      </c>
      <c r="AX2416" s="93">
        <f>G2416*AP2416</f>
        <v>0</v>
      </c>
      <c r="AY2416" s="94" t="s">
        <v>3140</v>
      </c>
      <c r="AZ2416" s="94" t="s">
        <v>2936</v>
      </c>
      <c r="BA2416" s="88" t="s">
        <v>67</v>
      </c>
      <c r="BC2416" s="93">
        <f>AW2416+AX2416</f>
        <v>0</v>
      </c>
      <c r="BD2416" s="93">
        <f>H2416/(100-BE2416)*100</f>
        <v>0</v>
      </c>
      <c r="BE2416" s="93">
        <v>0</v>
      </c>
      <c r="BF2416" s="93">
        <f>O2416</f>
        <v>4.095E-2</v>
      </c>
      <c r="BH2416" s="93">
        <f>G2416*AO2416</f>
        <v>0</v>
      </c>
      <c r="BI2416" s="93">
        <f>G2416*AP2416</f>
        <v>0</v>
      </c>
      <c r="BJ2416" s="93">
        <f>G2416*H2416</f>
        <v>0</v>
      </c>
      <c r="BK2416" s="93"/>
      <c r="BL2416" s="93"/>
      <c r="BW2416" s="93" t="str">
        <f>I2416</f>
        <v>21</v>
      </c>
      <c r="BX2416" s="2" t="s">
        <v>3263</v>
      </c>
    </row>
    <row r="2417" spans="1:76" s="81" customFormat="1" ht="25.5" x14ac:dyDescent="0.25">
      <c r="A2417" s="72" t="s">
        <v>3264</v>
      </c>
      <c r="B2417" s="72" t="s">
        <v>55</v>
      </c>
      <c r="C2417" s="72" t="s">
        <v>3265</v>
      </c>
      <c r="D2417" s="175" t="s">
        <v>3266</v>
      </c>
      <c r="E2417" s="175"/>
      <c r="F2417" s="72" t="s">
        <v>213</v>
      </c>
      <c r="G2417" s="90">
        <v>117.5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1.31E-3</v>
      </c>
      <c r="O2417" s="90">
        <f>G2417*N2417</f>
        <v>0.15392500000000001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H2417*0.477365967</f>
        <v>0</v>
      </c>
      <c r="AP2417" s="93">
        <f>H2417*(1-0.477365967)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3140</v>
      </c>
      <c r="AZ2417" s="94" t="s">
        <v>2936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0.15392500000000001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3266</v>
      </c>
    </row>
    <row r="2418" spans="1:76" s="81" customFormat="1" ht="13.5" customHeight="1" x14ac:dyDescent="0.25">
      <c r="A2418" s="95"/>
      <c r="B2418" s="95"/>
      <c r="C2418" s="95"/>
      <c r="D2418" s="182" t="s">
        <v>3241</v>
      </c>
      <c r="E2418" s="182"/>
      <c r="F2418" s="182"/>
      <c r="G2418" s="182"/>
      <c r="H2418" s="182"/>
      <c r="I2418" s="182"/>
      <c r="J2418" s="182"/>
      <c r="K2418" s="182"/>
      <c r="L2418" s="182"/>
      <c r="M2418" s="182"/>
      <c r="N2418" s="182"/>
      <c r="O2418" s="182"/>
      <c r="P2418" s="182"/>
    </row>
    <row r="2419" spans="1:76" s="81" customFormat="1" ht="25.5" x14ac:dyDescent="0.25">
      <c r="A2419" s="72" t="s">
        <v>3267</v>
      </c>
      <c r="B2419" s="72" t="s">
        <v>55</v>
      </c>
      <c r="C2419" s="72" t="s">
        <v>3268</v>
      </c>
      <c r="D2419" s="175" t="s">
        <v>3269</v>
      </c>
      <c r="E2419" s="175"/>
      <c r="F2419" s="72" t="s">
        <v>203</v>
      </c>
      <c r="G2419" s="90">
        <v>2</v>
      </c>
      <c r="H2419" s="91"/>
      <c r="I2419" s="92" t="s">
        <v>63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1.25E-3</v>
      </c>
      <c r="O2419" s="90">
        <f>G2419*N2419</f>
        <v>2.5000000000000001E-3</v>
      </c>
      <c r="P2419" s="92" t="s">
        <v>64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55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H2419*0.939348485</f>
        <v>0</v>
      </c>
      <c r="AP2419" s="93">
        <f>H2419*(1-0.939348485)</f>
        <v>0</v>
      </c>
      <c r="AQ2419" s="94" t="s">
        <v>148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3140</v>
      </c>
      <c r="AZ2419" s="94" t="s">
        <v>2936</v>
      </c>
      <c r="BA2419" s="88" t="s">
        <v>67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2.5000000000000001E-3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3269</v>
      </c>
    </row>
    <row r="2420" spans="1:76" s="81" customFormat="1" ht="25.5" x14ac:dyDescent="0.25">
      <c r="A2420" s="72" t="s">
        <v>3270</v>
      </c>
      <c r="B2420" s="72" t="s">
        <v>55</v>
      </c>
      <c r="C2420" s="72" t="s">
        <v>3271</v>
      </c>
      <c r="D2420" s="175" t="s">
        <v>3272</v>
      </c>
      <c r="E2420" s="175"/>
      <c r="F2420" s="72" t="s">
        <v>213</v>
      </c>
      <c r="G2420" s="90">
        <v>306</v>
      </c>
      <c r="H2420" s="91"/>
      <c r="I2420" s="92" t="s">
        <v>63</v>
      </c>
      <c r="J2420" s="90">
        <f>G2420*AO2420</f>
        <v>0</v>
      </c>
      <c r="K2420" s="90">
        <f>G2420*AP2420</f>
        <v>0</v>
      </c>
      <c r="L2420" s="90">
        <f>G2420*H2420</f>
        <v>0</v>
      </c>
      <c r="M2420" s="90">
        <f>L2420*(1+BW2420/100)</f>
        <v>0</v>
      </c>
      <c r="N2420" s="90">
        <v>2.7999999999999998E-4</v>
      </c>
      <c r="O2420" s="90">
        <f>G2420*N2420</f>
        <v>8.5679999999999992E-2</v>
      </c>
      <c r="P2420" s="92" t="s">
        <v>371</v>
      </c>
      <c r="Z2420" s="93">
        <f>IF(AQ2420="5",BJ2420,0)</f>
        <v>0</v>
      </c>
      <c r="AB2420" s="93">
        <f>IF(AQ2420="1",BH2420,0)</f>
        <v>0</v>
      </c>
      <c r="AC2420" s="93">
        <f>IF(AQ2420="1",BI2420,0)</f>
        <v>0</v>
      </c>
      <c r="AD2420" s="93">
        <f>IF(AQ2420="7",BH2420,0)</f>
        <v>0</v>
      </c>
      <c r="AE2420" s="93">
        <f>IF(AQ2420="7",BI2420,0)</f>
        <v>0</v>
      </c>
      <c r="AF2420" s="93">
        <f>IF(AQ2420="2",BH2420,0)</f>
        <v>0</v>
      </c>
      <c r="AG2420" s="93">
        <f>IF(AQ2420="2",BI2420,0)</f>
        <v>0</v>
      </c>
      <c r="AH2420" s="93">
        <f>IF(AQ2420="0",BJ2420,0)</f>
        <v>0</v>
      </c>
      <c r="AI2420" s="88" t="s">
        <v>55</v>
      </c>
      <c r="AJ2420" s="93">
        <f>IF(AN2420=0,L2420,0)</f>
        <v>0</v>
      </c>
      <c r="AK2420" s="93">
        <f>IF(AN2420=12,L2420,0)</f>
        <v>0</v>
      </c>
      <c r="AL2420" s="93">
        <f>IF(AN2420=21,L2420,0)</f>
        <v>0</v>
      </c>
      <c r="AN2420" s="93">
        <v>21</v>
      </c>
      <c r="AO2420" s="93">
        <f>H2420*0.811571906</f>
        <v>0</v>
      </c>
      <c r="AP2420" s="93">
        <f>H2420*(1-0.811571906)</f>
        <v>0</v>
      </c>
      <c r="AQ2420" s="94" t="s">
        <v>148</v>
      </c>
      <c r="AV2420" s="93">
        <f>AW2420+AX2420</f>
        <v>0</v>
      </c>
      <c r="AW2420" s="93">
        <f>G2420*AO2420</f>
        <v>0</v>
      </c>
      <c r="AX2420" s="93">
        <f>G2420*AP2420</f>
        <v>0</v>
      </c>
      <c r="AY2420" s="94" t="s">
        <v>3140</v>
      </c>
      <c r="AZ2420" s="94" t="s">
        <v>2936</v>
      </c>
      <c r="BA2420" s="88" t="s">
        <v>67</v>
      </c>
      <c r="BC2420" s="93">
        <f>AW2420+AX2420</f>
        <v>0</v>
      </c>
      <c r="BD2420" s="93">
        <f>H2420/(100-BE2420)*100</f>
        <v>0</v>
      </c>
      <c r="BE2420" s="93">
        <v>0</v>
      </c>
      <c r="BF2420" s="93">
        <f>O2420</f>
        <v>8.5679999999999992E-2</v>
      </c>
      <c r="BH2420" s="93">
        <f>G2420*AO2420</f>
        <v>0</v>
      </c>
      <c r="BI2420" s="93">
        <f>G2420*AP2420</f>
        <v>0</v>
      </c>
      <c r="BJ2420" s="93">
        <f>G2420*H2420</f>
        <v>0</v>
      </c>
      <c r="BK2420" s="93"/>
      <c r="BL2420" s="93"/>
      <c r="BW2420" s="93" t="str">
        <f>I2420</f>
        <v>21</v>
      </c>
      <c r="BX2420" s="2" t="s">
        <v>3272</v>
      </c>
    </row>
    <row r="2421" spans="1:76" s="81" customFormat="1" ht="25.5" x14ac:dyDescent="0.25">
      <c r="A2421" s="72" t="s">
        <v>3273</v>
      </c>
      <c r="B2421" s="72" t="s">
        <v>55</v>
      </c>
      <c r="C2421" s="72" t="s">
        <v>3274</v>
      </c>
      <c r="D2421" s="175" t="s">
        <v>3275</v>
      </c>
      <c r="E2421" s="175"/>
      <c r="F2421" s="72" t="s">
        <v>203</v>
      </c>
      <c r="G2421" s="90">
        <v>30</v>
      </c>
      <c r="H2421" s="91"/>
      <c r="I2421" s="92" t="s">
        <v>63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0</v>
      </c>
      <c r="O2421" s="90">
        <f>G2421*N2421</f>
        <v>0</v>
      </c>
      <c r="P2421" s="92" t="s">
        <v>64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55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</f>
        <v>0</v>
      </c>
      <c r="AP2421" s="93">
        <f>H2421*(1-0)</f>
        <v>0</v>
      </c>
      <c r="AQ2421" s="94" t="s">
        <v>148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3140</v>
      </c>
      <c r="AZ2421" s="94" t="s">
        <v>2936</v>
      </c>
      <c r="BA2421" s="88" t="s">
        <v>67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0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3275</v>
      </c>
    </row>
    <row r="2422" spans="1:76" s="81" customFormat="1" x14ac:dyDescent="0.25">
      <c r="A2422" s="95"/>
      <c r="B2422" s="95"/>
      <c r="C2422" s="95"/>
      <c r="D2422" s="76" t="s">
        <v>3276</v>
      </c>
      <c r="E2422" s="76" t="s">
        <v>54</v>
      </c>
      <c r="F2422" s="95"/>
      <c r="G2422" s="96">
        <v>30</v>
      </c>
      <c r="H2422" s="95"/>
      <c r="I2422" s="95"/>
      <c r="J2422" s="95"/>
      <c r="K2422" s="95"/>
      <c r="L2422" s="95"/>
      <c r="M2422" s="95"/>
      <c r="N2422" s="95"/>
      <c r="O2422" s="95"/>
      <c r="P2422" s="95"/>
    </row>
    <row r="2423" spans="1:76" s="81" customFormat="1" ht="25.5" x14ac:dyDescent="0.25">
      <c r="A2423" s="72" t="s">
        <v>3277</v>
      </c>
      <c r="B2423" s="72" t="s">
        <v>55</v>
      </c>
      <c r="C2423" s="72" t="s">
        <v>3278</v>
      </c>
      <c r="D2423" s="175" t="s">
        <v>3279</v>
      </c>
      <c r="E2423" s="175"/>
      <c r="F2423" s="72" t="s">
        <v>203</v>
      </c>
      <c r="G2423" s="90">
        <v>11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0</v>
      </c>
      <c r="O2423" s="90">
        <f>G2423*N2423</f>
        <v>0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</f>
        <v>0</v>
      </c>
      <c r="AP2423" s="93">
        <f>H2423*(1-0)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3140</v>
      </c>
      <c r="AZ2423" s="94" t="s">
        <v>2936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0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3279</v>
      </c>
    </row>
    <row r="2424" spans="1:76" s="81" customFormat="1" x14ac:dyDescent="0.25">
      <c r="A2424" s="95"/>
      <c r="B2424" s="95"/>
      <c r="C2424" s="95"/>
      <c r="D2424" s="76" t="s">
        <v>3280</v>
      </c>
      <c r="E2424" s="76" t="s">
        <v>54</v>
      </c>
      <c r="F2424" s="95"/>
      <c r="G2424" s="96">
        <v>11</v>
      </c>
      <c r="H2424" s="95"/>
      <c r="I2424" s="95"/>
      <c r="J2424" s="95"/>
      <c r="K2424" s="95"/>
      <c r="L2424" s="95"/>
      <c r="M2424" s="95"/>
      <c r="N2424" s="95"/>
      <c r="O2424" s="95"/>
      <c r="P2424" s="95"/>
    </row>
    <row r="2425" spans="1:76" s="81" customFormat="1" ht="25.5" x14ac:dyDescent="0.25">
      <c r="A2425" s="72" t="s">
        <v>3281</v>
      </c>
      <c r="B2425" s="72" t="s">
        <v>55</v>
      </c>
      <c r="C2425" s="72" t="s">
        <v>3282</v>
      </c>
      <c r="D2425" s="175" t="s">
        <v>3283</v>
      </c>
      <c r="E2425" s="175"/>
      <c r="F2425" s="72" t="s">
        <v>203</v>
      </c>
      <c r="G2425" s="90">
        <v>9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4.8999999999999998E-4</v>
      </c>
      <c r="O2425" s="90">
        <f>G2425*N2425</f>
        <v>4.4099999999999999E-3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H2425*0.959427391</f>
        <v>0</v>
      </c>
      <c r="AP2425" s="93">
        <f>H2425*(1-0.959427391)</f>
        <v>0</v>
      </c>
      <c r="AQ2425" s="94" t="s">
        <v>148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3140</v>
      </c>
      <c r="AZ2425" s="94" t="s">
        <v>2936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4.4099999999999999E-3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3283</v>
      </c>
    </row>
    <row r="2426" spans="1:76" s="81" customFormat="1" ht="13.5" customHeight="1" x14ac:dyDescent="0.25">
      <c r="A2426" s="95"/>
      <c r="B2426" s="95"/>
      <c r="C2426" s="95"/>
      <c r="D2426" s="182" t="s">
        <v>3284</v>
      </c>
      <c r="E2426" s="182"/>
      <c r="F2426" s="182"/>
      <c r="G2426" s="182"/>
      <c r="H2426" s="182"/>
      <c r="I2426" s="182"/>
      <c r="J2426" s="182"/>
      <c r="K2426" s="182"/>
      <c r="L2426" s="182"/>
      <c r="M2426" s="182"/>
      <c r="N2426" s="182"/>
      <c r="O2426" s="182"/>
      <c r="P2426" s="182"/>
    </row>
    <row r="2427" spans="1:76" s="81" customFormat="1" ht="25.5" x14ac:dyDescent="0.25">
      <c r="A2427" s="72" t="s">
        <v>3285</v>
      </c>
      <c r="B2427" s="72" t="s">
        <v>55</v>
      </c>
      <c r="C2427" s="72" t="s">
        <v>3286</v>
      </c>
      <c r="D2427" s="175" t="s">
        <v>3287</v>
      </c>
      <c r="E2427" s="175"/>
      <c r="F2427" s="72" t="s">
        <v>203</v>
      </c>
      <c r="G2427" s="90">
        <v>1</v>
      </c>
      <c r="H2427" s="91"/>
      <c r="I2427" s="92" t="s">
        <v>63</v>
      </c>
      <c r="J2427" s="90">
        <f>G2427*AO2427</f>
        <v>0</v>
      </c>
      <c r="K2427" s="90">
        <f>G2427*AP2427</f>
        <v>0</v>
      </c>
      <c r="L2427" s="90">
        <f>G2427*H2427</f>
        <v>0</v>
      </c>
      <c r="M2427" s="90">
        <f>L2427*(1+BW2427/100)</f>
        <v>0</v>
      </c>
      <c r="N2427" s="90">
        <v>1.2999999999999999E-4</v>
      </c>
      <c r="O2427" s="90">
        <f>G2427*N2427</f>
        <v>1.2999999999999999E-4</v>
      </c>
      <c r="P2427" s="92" t="s">
        <v>64</v>
      </c>
      <c r="Z2427" s="93">
        <f>IF(AQ2427="5",BJ2427,0)</f>
        <v>0</v>
      </c>
      <c r="AB2427" s="93">
        <f>IF(AQ2427="1",BH2427,0)</f>
        <v>0</v>
      </c>
      <c r="AC2427" s="93">
        <f>IF(AQ2427="1",BI2427,0)</f>
        <v>0</v>
      </c>
      <c r="AD2427" s="93">
        <f>IF(AQ2427="7",BH2427,0)</f>
        <v>0</v>
      </c>
      <c r="AE2427" s="93">
        <f>IF(AQ2427="7",BI2427,0)</f>
        <v>0</v>
      </c>
      <c r="AF2427" s="93">
        <f>IF(AQ2427="2",BH2427,0)</f>
        <v>0</v>
      </c>
      <c r="AG2427" s="93">
        <f>IF(AQ2427="2",BI2427,0)</f>
        <v>0</v>
      </c>
      <c r="AH2427" s="93">
        <f>IF(AQ2427="0",BJ2427,0)</f>
        <v>0</v>
      </c>
      <c r="AI2427" s="88" t="s">
        <v>55</v>
      </c>
      <c r="AJ2427" s="93">
        <f>IF(AN2427=0,L2427,0)</f>
        <v>0</v>
      </c>
      <c r="AK2427" s="93">
        <f>IF(AN2427=12,L2427,0)</f>
        <v>0</v>
      </c>
      <c r="AL2427" s="93">
        <f>IF(AN2427=21,L2427,0)</f>
        <v>0</v>
      </c>
      <c r="AN2427" s="93">
        <v>21</v>
      </c>
      <c r="AO2427" s="93">
        <f>H2427*0.859632953</f>
        <v>0</v>
      </c>
      <c r="AP2427" s="93">
        <f>H2427*(1-0.859632953)</f>
        <v>0</v>
      </c>
      <c r="AQ2427" s="94" t="s">
        <v>148</v>
      </c>
      <c r="AV2427" s="93">
        <f>AW2427+AX2427</f>
        <v>0</v>
      </c>
      <c r="AW2427" s="93">
        <f>G2427*AO2427</f>
        <v>0</v>
      </c>
      <c r="AX2427" s="93">
        <f>G2427*AP2427</f>
        <v>0</v>
      </c>
      <c r="AY2427" s="94" t="s">
        <v>3140</v>
      </c>
      <c r="AZ2427" s="94" t="s">
        <v>2936</v>
      </c>
      <c r="BA2427" s="88" t="s">
        <v>67</v>
      </c>
      <c r="BC2427" s="93">
        <f>AW2427+AX2427</f>
        <v>0</v>
      </c>
      <c r="BD2427" s="93">
        <f>H2427/(100-BE2427)*100</f>
        <v>0</v>
      </c>
      <c r="BE2427" s="93">
        <v>0</v>
      </c>
      <c r="BF2427" s="93">
        <f>O2427</f>
        <v>1.2999999999999999E-4</v>
      </c>
      <c r="BH2427" s="93">
        <f>G2427*AO2427</f>
        <v>0</v>
      </c>
      <c r="BI2427" s="93">
        <f>G2427*AP2427</f>
        <v>0</v>
      </c>
      <c r="BJ2427" s="93">
        <f>G2427*H2427</f>
        <v>0</v>
      </c>
      <c r="BK2427" s="93"/>
      <c r="BL2427" s="93"/>
      <c r="BW2427" s="93" t="str">
        <f>I2427</f>
        <v>21</v>
      </c>
      <c r="BX2427" s="2" t="s">
        <v>3287</v>
      </c>
    </row>
    <row r="2428" spans="1:76" s="81" customFormat="1" ht="13.5" customHeight="1" x14ac:dyDescent="0.25">
      <c r="A2428" s="95"/>
      <c r="B2428" s="95"/>
      <c r="C2428" s="95"/>
      <c r="D2428" s="182" t="s">
        <v>3288</v>
      </c>
      <c r="E2428" s="182"/>
      <c r="F2428" s="182"/>
      <c r="G2428" s="182"/>
      <c r="H2428" s="182"/>
      <c r="I2428" s="182"/>
      <c r="J2428" s="182"/>
      <c r="K2428" s="182"/>
      <c r="L2428" s="182"/>
      <c r="M2428" s="182"/>
      <c r="N2428" s="182"/>
      <c r="O2428" s="182"/>
      <c r="P2428" s="182"/>
    </row>
    <row r="2429" spans="1:76" s="81" customFormat="1" ht="25.5" x14ac:dyDescent="0.25">
      <c r="A2429" s="72" t="s">
        <v>3289</v>
      </c>
      <c r="B2429" s="72" t="s">
        <v>55</v>
      </c>
      <c r="C2429" s="72" t="s">
        <v>3290</v>
      </c>
      <c r="D2429" s="175" t="s">
        <v>3287</v>
      </c>
      <c r="E2429" s="175"/>
      <c r="F2429" s="72" t="s">
        <v>203</v>
      </c>
      <c r="G2429" s="90">
        <v>7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2.7E-4</v>
      </c>
      <c r="O2429" s="90">
        <f>G2429*N2429</f>
        <v>1.89E-3</v>
      </c>
      <c r="P2429" s="92" t="s">
        <v>64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H2429*0.822952675</f>
        <v>0</v>
      </c>
      <c r="AP2429" s="93">
        <f>H2429*(1-0.822952675)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3140</v>
      </c>
      <c r="AZ2429" s="94" t="s">
        <v>2936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1.89E-3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3287</v>
      </c>
    </row>
    <row r="2430" spans="1:76" s="81" customFormat="1" ht="13.5" customHeight="1" x14ac:dyDescent="0.25">
      <c r="A2430" s="95"/>
      <c r="B2430" s="95"/>
      <c r="C2430" s="95"/>
      <c r="D2430" s="182" t="s">
        <v>3291</v>
      </c>
      <c r="E2430" s="182"/>
      <c r="F2430" s="182"/>
      <c r="G2430" s="182"/>
      <c r="H2430" s="182"/>
      <c r="I2430" s="182"/>
      <c r="J2430" s="182"/>
      <c r="K2430" s="182"/>
      <c r="L2430" s="182"/>
      <c r="M2430" s="182"/>
      <c r="N2430" s="182"/>
      <c r="O2430" s="182"/>
      <c r="P2430" s="182"/>
    </row>
    <row r="2431" spans="1:76" s="81" customFormat="1" ht="25.5" x14ac:dyDescent="0.25">
      <c r="A2431" s="72" t="s">
        <v>3292</v>
      </c>
      <c r="B2431" s="72" t="s">
        <v>55</v>
      </c>
      <c r="C2431" s="72" t="s">
        <v>3293</v>
      </c>
      <c r="D2431" s="175" t="s">
        <v>3294</v>
      </c>
      <c r="E2431" s="175"/>
      <c r="F2431" s="72" t="s">
        <v>203</v>
      </c>
      <c r="G2431" s="90">
        <v>4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1.24E-3</v>
      </c>
      <c r="O2431" s="90">
        <f>G2431*N2431</f>
        <v>4.96E-3</v>
      </c>
      <c r="P2431" s="92" t="s">
        <v>64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H2431*0.940798599</f>
        <v>0</v>
      </c>
      <c r="AP2431" s="93">
        <f>H2431*(1-0.940798599)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3140</v>
      </c>
      <c r="AZ2431" s="94" t="s">
        <v>2936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4.96E-3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3294</v>
      </c>
    </row>
    <row r="2432" spans="1:76" s="81" customFormat="1" ht="13.5" customHeight="1" x14ac:dyDescent="0.25">
      <c r="A2432" s="95"/>
      <c r="B2432" s="95"/>
      <c r="C2432" s="95"/>
      <c r="D2432" s="182" t="s">
        <v>3295</v>
      </c>
      <c r="E2432" s="182"/>
      <c r="F2432" s="182"/>
      <c r="G2432" s="182"/>
      <c r="H2432" s="182"/>
      <c r="I2432" s="182"/>
      <c r="J2432" s="182"/>
      <c r="K2432" s="182"/>
      <c r="L2432" s="182"/>
      <c r="M2432" s="182"/>
      <c r="N2432" s="182"/>
      <c r="O2432" s="182"/>
      <c r="P2432" s="182"/>
    </row>
    <row r="2433" spans="1:76" s="81" customFormat="1" ht="25.5" x14ac:dyDescent="0.25">
      <c r="A2433" s="72" t="s">
        <v>3296</v>
      </c>
      <c r="B2433" s="72" t="s">
        <v>55</v>
      </c>
      <c r="C2433" s="72" t="s">
        <v>3297</v>
      </c>
      <c r="D2433" s="175" t="s">
        <v>3298</v>
      </c>
      <c r="E2433" s="175"/>
      <c r="F2433" s="72" t="s">
        <v>203</v>
      </c>
      <c r="G2433" s="90">
        <v>14</v>
      </c>
      <c r="H2433" s="91"/>
      <c r="I2433" s="92" t="s">
        <v>63</v>
      </c>
      <c r="J2433" s="90">
        <f>G2433*AO2433</f>
        <v>0</v>
      </c>
      <c r="K2433" s="90">
        <f>G2433*AP2433</f>
        <v>0</v>
      </c>
      <c r="L2433" s="90">
        <f>G2433*H2433</f>
        <v>0</v>
      </c>
      <c r="M2433" s="90">
        <f>L2433*(1+BW2433/100)</f>
        <v>0</v>
      </c>
      <c r="N2433" s="90">
        <v>4.0000000000000002E-4</v>
      </c>
      <c r="O2433" s="90">
        <f>G2433*N2433</f>
        <v>5.5999999999999999E-3</v>
      </c>
      <c r="P2433" s="92" t="s">
        <v>64</v>
      </c>
      <c r="Z2433" s="93">
        <f>IF(AQ2433="5",BJ2433,0)</f>
        <v>0</v>
      </c>
      <c r="AB2433" s="93">
        <f>IF(AQ2433="1",BH2433,0)</f>
        <v>0</v>
      </c>
      <c r="AC2433" s="93">
        <f>IF(AQ2433="1",BI2433,0)</f>
        <v>0</v>
      </c>
      <c r="AD2433" s="93">
        <f>IF(AQ2433="7",BH2433,0)</f>
        <v>0</v>
      </c>
      <c r="AE2433" s="93">
        <f>IF(AQ2433="7",BI2433,0)</f>
        <v>0</v>
      </c>
      <c r="AF2433" s="93">
        <f>IF(AQ2433="2",BH2433,0)</f>
        <v>0</v>
      </c>
      <c r="AG2433" s="93">
        <f>IF(AQ2433="2",BI2433,0)</f>
        <v>0</v>
      </c>
      <c r="AH2433" s="93">
        <f>IF(AQ2433="0",BJ2433,0)</f>
        <v>0</v>
      </c>
      <c r="AI2433" s="88" t="s">
        <v>55</v>
      </c>
      <c r="AJ2433" s="93">
        <f>IF(AN2433=0,L2433,0)</f>
        <v>0</v>
      </c>
      <c r="AK2433" s="93">
        <f>IF(AN2433=12,L2433,0)</f>
        <v>0</v>
      </c>
      <c r="AL2433" s="93">
        <f>IF(AN2433=21,L2433,0)</f>
        <v>0</v>
      </c>
      <c r="AN2433" s="93">
        <v>21</v>
      </c>
      <c r="AO2433" s="93">
        <f>H2433*0.933246445</f>
        <v>0</v>
      </c>
      <c r="AP2433" s="93">
        <f>H2433*(1-0.933246445)</f>
        <v>0</v>
      </c>
      <c r="AQ2433" s="94" t="s">
        <v>148</v>
      </c>
      <c r="AV2433" s="93">
        <f>AW2433+AX2433</f>
        <v>0</v>
      </c>
      <c r="AW2433" s="93">
        <f>G2433*AO2433</f>
        <v>0</v>
      </c>
      <c r="AX2433" s="93">
        <f>G2433*AP2433</f>
        <v>0</v>
      </c>
      <c r="AY2433" s="94" t="s">
        <v>3140</v>
      </c>
      <c r="AZ2433" s="94" t="s">
        <v>2936</v>
      </c>
      <c r="BA2433" s="88" t="s">
        <v>67</v>
      </c>
      <c r="BC2433" s="93">
        <f>AW2433+AX2433</f>
        <v>0</v>
      </c>
      <c r="BD2433" s="93">
        <f>H2433/(100-BE2433)*100</f>
        <v>0</v>
      </c>
      <c r="BE2433" s="93">
        <v>0</v>
      </c>
      <c r="BF2433" s="93">
        <f>O2433</f>
        <v>5.5999999999999999E-3</v>
      </c>
      <c r="BH2433" s="93">
        <f>G2433*AO2433</f>
        <v>0</v>
      </c>
      <c r="BI2433" s="93">
        <f>G2433*AP2433</f>
        <v>0</v>
      </c>
      <c r="BJ2433" s="93">
        <f>G2433*H2433</f>
        <v>0</v>
      </c>
      <c r="BK2433" s="93"/>
      <c r="BL2433" s="93"/>
      <c r="BW2433" s="93" t="str">
        <f>I2433</f>
        <v>21</v>
      </c>
      <c r="BX2433" s="2" t="s">
        <v>3298</v>
      </c>
    </row>
    <row r="2434" spans="1:76" s="81" customFormat="1" x14ac:dyDescent="0.25">
      <c r="A2434" s="95"/>
      <c r="B2434" s="95"/>
      <c r="C2434" s="95"/>
      <c r="D2434" s="76" t="s">
        <v>3299</v>
      </c>
      <c r="E2434" s="76" t="s">
        <v>54</v>
      </c>
      <c r="F2434" s="95"/>
      <c r="G2434" s="96">
        <v>14</v>
      </c>
      <c r="H2434" s="95"/>
      <c r="I2434" s="95"/>
      <c r="J2434" s="95"/>
      <c r="K2434" s="95"/>
      <c r="L2434" s="95"/>
      <c r="M2434" s="95"/>
      <c r="N2434" s="95"/>
      <c r="O2434" s="95"/>
      <c r="P2434" s="95"/>
    </row>
    <row r="2435" spans="1:76" s="81" customFormat="1" ht="25.5" x14ac:dyDescent="0.25">
      <c r="A2435" s="72" t="s">
        <v>3300</v>
      </c>
      <c r="B2435" s="72" t="s">
        <v>55</v>
      </c>
      <c r="C2435" s="72" t="s">
        <v>3301</v>
      </c>
      <c r="D2435" s="175" t="s">
        <v>3302</v>
      </c>
      <c r="E2435" s="175"/>
      <c r="F2435" s="72" t="s">
        <v>203</v>
      </c>
      <c r="G2435" s="90">
        <v>14</v>
      </c>
      <c r="H2435" s="91"/>
      <c r="I2435" s="92" t="s">
        <v>63</v>
      </c>
      <c r="J2435" s="90">
        <f>G2435*AO2435</f>
        <v>0</v>
      </c>
      <c r="K2435" s="90">
        <f>G2435*AP2435</f>
        <v>0</v>
      </c>
      <c r="L2435" s="90">
        <f>G2435*H2435</f>
        <v>0</v>
      </c>
      <c r="M2435" s="90">
        <f>L2435*(1+BW2435/100)</f>
        <v>0</v>
      </c>
      <c r="N2435" s="90">
        <v>6.0000000000000001E-3</v>
      </c>
      <c r="O2435" s="90">
        <f>G2435*N2435</f>
        <v>8.4000000000000005E-2</v>
      </c>
      <c r="P2435" s="92" t="s">
        <v>64</v>
      </c>
      <c r="Z2435" s="93">
        <f>IF(AQ2435="5",BJ2435,0)</f>
        <v>0</v>
      </c>
      <c r="AB2435" s="93">
        <f>IF(AQ2435="1",BH2435,0)</f>
        <v>0</v>
      </c>
      <c r="AC2435" s="93">
        <f>IF(AQ2435="1",BI2435,0)</f>
        <v>0</v>
      </c>
      <c r="AD2435" s="93">
        <f>IF(AQ2435="7",BH2435,0)</f>
        <v>0</v>
      </c>
      <c r="AE2435" s="93">
        <f>IF(AQ2435="7",BI2435,0)</f>
        <v>0</v>
      </c>
      <c r="AF2435" s="93">
        <f>IF(AQ2435="2",BH2435,0)</f>
        <v>0</v>
      </c>
      <c r="AG2435" s="93">
        <f>IF(AQ2435="2",BI2435,0)</f>
        <v>0</v>
      </c>
      <c r="AH2435" s="93">
        <f>IF(AQ2435="0",BJ2435,0)</f>
        <v>0</v>
      </c>
      <c r="AI2435" s="88" t="s">
        <v>55</v>
      </c>
      <c r="AJ2435" s="93">
        <f>IF(AN2435=0,L2435,0)</f>
        <v>0</v>
      </c>
      <c r="AK2435" s="93">
        <f>IF(AN2435=12,L2435,0)</f>
        <v>0</v>
      </c>
      <c r="AL2435" s="93">
        <f>IF(AN2435=21,L2435,0)</f>
        <v>0</v>
      </c>
      <c r="AN2435" s="93">
        <v>21</v>
      </c>
      <c r="AO2435" s="93">
        <f>H2435*0.993009926</f>
        <v>0</v>
      </c>
      <c r="AP2435" s="93">
        <f>H2435*(1-0.993009926)</f>
        <v>0</v>
      </c>
      <c r="AQ2435" s="94" t="s">
        <v>148</v>
      </c>
      <c r="AV2435" s="93">
        <f>AW2435+AX2435</f>
        <v>0</v>
      </c>
      <c r="AW2435" s="93">
        <f>G2435*AO2435</f>
        <v>0</v>
      </c>
      <c r="AX2435" s="93">
        <f>G2435*AP2435</f>
        <v>0</v>
      </c>
      <c r="AY2435" s="94" t="s">
        <v>3140</v>
      </c>
      <c r="AZ2435" s="94" t="s">
        <v>2936</v>
      </c>
      <c r="BA2435" s="88" t="s">
        <v>67</v>
      </c>
      <c r="BC2435" s="93">
        <f>AW2435+AX2435</f>
        <v>0</v>
      </c>
      <c r="BD2435" s="93">
        <f>H2435/(100-BE2435)*100</f>
        <v>0</v>
      </c>
      <c r="BE2435" s="93">
        <v>0</v>
      </c>
      <c r="BF2435" s="93">
        <f>O2435</f>
        <v>8.4000000000000005E-2</v>
      </c>
      <c r="BH2435" s="93">
        <f>G2435*AO2435</f>
        <v>0</v>
      </c>
      <c r="BI2435" s="93">
        <f>G2435*AP2435</f>
        <v>0</v>
      </c>
      <c r="BJ2435" s="93">
        <f>G2435*H2435</f>
        <v>0</v>
      </c>
      <c r="BK2435" s="93"/>
      <c r="BL2435" s="93"/>
      <c r="BW2435" s="93" t="str">
        <f>I2435</f>
        <v>21</v>
      </c>
      <c r="BX2435" s="2" t="s">
        <v>3302</v>
      </c>
    </row>
    <row r="2436" spans="1:76" s="81" customFormat="1" ht="13.5" customHeight="1" x14ac:dyDescent="0.25">
      <c r="A2436" s="95"/>
      <c r="B2436" s="95"/>
      <c r="C2436" s="95"/>
      <c r="D2436" s="182" t="s">
        <v>4291</v>
      </c>
      <c r="E2436" s="182"/>
      <c r="F2436" s="182"/>
      <c r="G2436" s="182"/>
      <c r="H2436" s="182"/>
      <c r="I2436" s="182"/>
      <c r="J2436" s="182"/>
      <c r="K2436" s="182"/>
      <c r="L2436" s="182"/>
      <c r="M2436" s="182"/>
      <c r="N2436" s="182"/>
      <c r="O2436" s="182"/>
      <c r="P2436" s="182"/>
    </row>
    <row r="2437" spans="1:76" s="81" customFormat="1" ht="25.5" x14ac:dyDescent="0.25">
      <c r="A2437" s="72" t="s">
        <v>3303</v>
      </c>
      <c r="B2437" s="72" t="s">
        <v>55</v>
      </c>
      <c r="C2437" s="72" t="s">
        <v>3304</v>
      </c>
      <c r="D2437" s="175" t="s">
        <v>3305</v>
      </c>
      <c r="E2437" s="175"/>
      <c r="F2437" s="72" t="s">
        <v>203</v>
      </c>
      <c r="G2437" s="90">
        <v>14</v>
      </c>
      <c r="H2437" s="91"/>
      <c r="I2437" s="92" t="s">
        <v>63</v>
      </c>
      <c r="J2437" s="90">
        <f>G2437*AO2437</f>
        <v>0</v>
      </c>
      <c r="K2437" s="90">
        <f>G2437*AP2437</f>
        <v>0</v>
      </c>
      <c r="L2437" s="90">
        <f>G2437*H2437</f>
        <v>0</v>
      </c>
      <c r="M2437" s="90">
        <f>L2437*(1+BW2437/100)</f>
        <v>0</v>
      </c>
      <c r="N2437" s="90">
        <v>2.2200000000000002E-3</v>
      </c>
      <c r="O2437" s="90">
        <f>G2437*N2437</f>
        <v>3.1080000000000003E-2</v>
      </c>
      <c r="P2437" s="92" t="s">
        <v>64</v>
      </c>
      <c r="Z2437" s="93">
        <f>IF(AQ2437="5",BJ2437,0)</f>
        <v>0</v>
      </c>
      <c r="AB2437" s="93">
        <f>IF(AQ2437="1",BH2437,0)</f>
        <v>0</v>
      </c>
      <c r="AC2437" s="93">
        <f>IF(AQ2437="1",BI2437,0)</f>
        <v>0</v>
      </c>
      <c r="AD2437" s="93">
        <f>IF(AQ2437="7",BH2437,0)</f>
        <v>0</v>
      </c>
      <c r="AE2437" s="93">
        <f>IF(AQ2437="7",BI2437,0)</f>
        <v>0</v>
      </c>
      <c r="AF2437" s="93">
        <f>IF(AQ2437="2",BH2437,0)</f>
        <v>0</v>
      </c>
      <c r="AG2437" s="93">
        <f>IF(AQ2437="2",BI2437,0)</f>
        <v>0</v>
      </c>
      <c r="AH2437" s="93">
        <f>IF(AQ2437="0",BJ2437,0)</f>
        <v>0</v>
      </c>
      <c r="AI2437" s="88" t="s">
        <v>55</v>
      </c>
      <c r="AJ2437" s="93">
        <f>IF(AN2437=0,L2437,0)</f>
        <v>0</v>
      </c>
      <c r="AK2437" s="93">
        <f>IF(AN2437=12,L2437,0)</f>
        <v>0</v>
      </c>
      <c r="AL2437" s="93">
        <f>IF(AN2437=21,L2437,0)</f>
        <v>0</v>
      </c>
      <c r="AN2437" s="93">
        <v>21</v>
      </c>
      <c r="AO2437" s="93">
        <f>H2437*0.901871776</f>
        <v>0</v>
      </c>
      <c r="AP2437" s="93">
        <f>H2437*(1-0.901871776)</f>
        <v>0</v>
      </c>
      <c r="AQ2437" s="94" t="s">
        <v>148</v>
      </c>
      <c r="AV2437" s="93">
        <f>AW2437+AX2437</f>
        <v>0</v>
      </c>
      <c r="AW2437" s="93">
        <f>G2437*AO2437</f>
        <v>0</v>
      </c>
      <c r="AX2437" s="93">
        <f>G2437*AP2437</f>
        <v>0</v>
      </c>
      <c r="AY2437" s="94" t="s">
        <v>3140</v>
      </c>
      <c r="AZ2437" s="94" t="s">
        <v>2936</v>
      </c>
      <c r="BA2437" s="88" t="s">
        <v>67</v>
      </c>
      <c r="BC2437" s="93">
        <f>AW2437+AX2437</f>
        <v>0</v>
      </c>
      <c r="BD2437" s="93">
        <f>H2437/(100-BE2437)*100</f>
        <v>0</v>
      </c>
      <c r="BE2437" s="93">
        <v>0</v>
      </c>
      <c r="BF2437" s="93">
        <f>O2437</f>
        <v>3.1080000000000003E-2</v>
      </c>
      <c r="BH2437" s="93">
        <f>G2437*AO2437</f>
        <v>0</v>
      </c>
      <c r="BI2437" s="93">
        <f>G2437*AP2437</f>
        <v>0</v>
      </c>
      <c r="BJ2437" s="93">
        <f>G2437*H2437</f>
        <v>0</v>
      </c>
      <c r="BK2437" s="93"/>
      <c r="BL2437" s="93"/>
      <c r="BW2437" s="93" t="str">
        <f>I2437</f>
        <v>21</v>
      </c>
      <c r="BX2437" s="2" t="s">
        <v>3305</v>
      </c>
    </row>
    <row r="2438" spans="1:76" s="81" customFormat="1" ht="13.5" customHeight="1" x14ac:dyDescent="0.25">
      <c r="A2438" s="95"/>
      <c r="B2438" s="95"/>
      <c r="C2438" s="95"/>
      <c r="D2438" s="182" t="s">
        <v>3306</v>
      </c>
      <c r="E2438" s="182"/>
      <c r="F2438" s="182"/>
      <c r="G2438" s="182"/>
      <c r="H2438" s="182"/>
      <c r="I2438" s="182"/>
      <c r="J2438" s="182"/>
      <c r="K2438" s="182"/>
      <c r="L2438" s="182"/>
      <c r="M2438" s="182"/>
      <c r="N2438" s="182"/>
      <c r="O2438" s="182"/>
      <c r="P2438" s="182"/>
    </row>
    <row r="2439" spans="1:76" s="81" customFormat="1" ht="25.5" x14ac:dyDescent="0.25">
      <c r="A2439" s="72" t="s">
        <v>3307</v>
      </c>
      <c r="B2439" s="72" t="s">
        <v>55</v>
      </c>
      <c r="C2439" s="72" t="s">
        <v>3308</v>
      </c>
      <c r="D2439" s="175" t="s">
        <v>3309</v>
      </c>
      <c r="E2439" s="175"/>
      <c r="F2439" s="72" t="s">
        <v>203</v>
      </c>
      <c r="G2439" s="90">
        <v>14</v>
      </c>
      <c r="H2439" s="91"/>
      <c r="I2439" s="92" t="s">
        <v>63</v>
      </c>
      <c r="J2439" s="90">
        <f>G2439*AO2439</f>
        <v>0</v>
      </c>
      <c r="K2439" s="90">
        <f>G2439*AP2439</f>
        <v>0</v>
      </c>
      <c r="L2439" s="90">
        <f>G2439*H2439</f>
        <v>0</v>
      </c>
      <c r="M2439" s="90">
        <f>L2439*(1+BW2439/100)</f>
        <v>0</v>
      </c>
      <c r="N2439" s="90">
        <v>0</v>
      </c>
      <c r="O2439" s="90">
        <f>G2439*N2439</f>
        <v>0</v>
      </c>
      <c r="P2439" s="92" t="s">
        <v>64</v>
      </c>
      <c r="Z2439" s="93">
        <f>IF(AQ2439="5",BJ2439,0)</f>
        <v>0</v>
      </c>
      <c r="AB2439" s="93">
        <f>IF(AQ2439="1",BH2439,0)</f>
        <v>0</v>
      </c>
      <c r="AC2439" s="93">
        <f>IF(AQ2439="1",BI2439,0)</f>
        <v>0</v>
      </c>
      <c r="AD2439" s="93">
        <f>IF(AQ2439="7",BH2439,0)</f>
        <v>0</v>
      </c>
      <c r="AE2439" s="93">
        <f>IF(AQ2439="7",BI2439,0)</f>
        <v>0</v>
      </c>
      <c r="AF2439" s="93">
        <f>IF(AQ2439="2",BH2439,0)</f>
        <v>0</v>
      </c>
      <c r="AG2439" s="93">
        <f>IF(AQ2439="2",BI2439,0)</f>
        <v>0</v>
      </c>
      <c r="AH2439" s="93">
        <f>IF(AQ2439="0",BJ2439,0)</f>
        <v>0</v>
      </c>
      <c r="AI2439" s="88" t="s">
        <v>55</v>
      </c>
      <c r="AJ2439" s="93">
        <f>IF(AN2439=0,L2439,0)</f>
        <v>0</v>
      </c>
      <c r="AK2439" s="93">
        <f>IF(AN2439=12,L2439,0)</f>
        <v>0</v>
      </c>
      <c r="AL2439" s="93">
        <f>IF(AN2439=21,L2439,0)</f>
        <v>0</v>
      </c>
      <c r="AN2439" s="93">
        <v>21</v>
      </c>
      <c r="AO2439" s="93">
        <f>H2439*0.87605225</f>
        <v>0</v>
      </c>
      <c r="AP2439" s="93">
        <f>H2439*(1-0.87605225)</f>
        <v>0</v>
      </c>
      <c r="AQ2439" s="94" t="s">
        <v>148</v>
      </c>
      <c r="AV2439" s="93">
        <f>AW2439+AX2439</f>
        <v>0</v>
      </c>
      <c r="AW2439" s="93">
        <f>G2439*AO2439</f>
        <v>0</v>
      </c>
      <c r="AX2439" s="93">
        <f>G2439*AP2439</f>
        <v>0</v>
      </c>
      <c r="AY2439" s="94" t="s">
        <v>3140</v>
      </c>
      <c r="AZ2439" s="94" t="s">
        <v>2936</v>
      </c>
      <c r="BA2439" s="88" t="s">
        <v>67</v>
      </c>
      <c r="BC2439" s="93">
        <f>AW2439+AX2439</f>
        <v>0</v>
      </c>
      <c r="BD2439" s="93">
        <f>H2439/(100-BE2439)*100</f>
        <v>0</v>
      </c>
      <c r="BE2439" s="93">
        <v>0</v>
      </c>
      <c r="BF2439" s="93">
        <f>O2439</f>
        <v>0</v>
      </c>
      <c r="BH2439" s="93">
        <f>G2439*AO2439</f>
        <v>0</v>
      </c>
      <c r="BI2439" s="93">
        <f>G2439*AP2439</f>
        <v>0</v>
      </c>
      <c r="BJ2439" s="93">
        <f>G2439*H2439</f>
        <v>0</v>
      </c>
      <c r="BK2439" s="93"/>
      <c r="BL2439" s="93"/>
      <c r="BW2439" s="93" t="str">
        <f>I2439</f>
        <v>21</v>
      </c>
      <c r="BX2439" s="2" t="s">
        <v>3309</v>
      </c>
    </row>
    <row r="2440" spans="1:76" s="81" customFormat="1" ht="25.5" x14ac:dyDescent="0.25">
      <c r="A2440" s="72" t="s">
        <v>3310</v>
      </c>
      <c r="B2440" s="72" t="s">
        <v>55</v>
      </c>
      <c r="C2440" s="72" t="s">
        <v>3311</v>
      </c>
      <c r="D2440" s="175" t="s">
        <v>3312</v>
      </c>
      <c r="E2440" s="175"/>
      <c r="F2440" s="72" t="s">
        <v>213</v>
      </c>
      <c r="G2440" s="90">
        <v>549</v>
      </c>
      <c r="H2440" s="91"/>
      <c r="I2440" s="92" t="s">
        <v>63</v>
      </c>
      <c r="J2440" s="90">
        <f>G2440*AO2440</f>
        <v>0</v>
      </c>
      <c r="K2440" s="90">
        <f>G2440*AP2440</f>
        <v>0</v>
      </c>
      <c r="L2440" s="90">
        <f>G2440*H2440</f>
        <v>0</v>
      </c>
      <c r="M2440" s="90">
        <f>L2440*(1+BW2440/100)</f>
        <v>0</v>
      </c>
      <c r="N2440" s="90">
        <v>0</v>
      </c>
      <c r="O2440" s="90">
        <f>G2440*N2440</f>
        <v>0</v>
      </c>
      <c r="P2440" s="92" t="s">
        <v>64</v>
      </c>
      <c r="Z2440" s="93">
        <f>IF(AQ2440="5",BJ2440,0)</f>
        <v>0</v>
      </c>
      <c r="AB2440" s="93">
        <f>IF(AQ2440="1",BH2440,0)</f>
        <v>0</v>
      </c>
      <c r="AC2440" s="93">
        <f>IF(AQ2440="1",BI2440,0)</f>
        <v>0</v>
      </c>
      <c r="AD2440" s="93">
        <f>IF(AQ2440="7",BH2440,0)</f>
        <v>0</v>
      </c>
      <c r="AE2440" s="93">
        <f>IF(AQ2440="7",BI2440,0)</f>
        <v>0</v>
      </c>
      <c r="AF2440" s="93">
        <f>IF(AQ2440="2",BH2440,0)</f>
        <v>0</v>
      </c>
      <c r="AG2440" s="93">
        <f>IF(AQ2440="2",BI2440,0)</f>
        <v>0</v>
      </c>
      <c r="AH2440" s="93">
        <f>IF(AQ2440="0",BJ2440,0)</f>
        <v>0</v>
      </c>
      <c r="AI2440" s="88" t="s">
        <v>55</v>
      </c>
      <c r="AJ2440" s="93">
        <f>IF(AN2440=0,L2440,0)</f>
        <v>0</v>
      </c>
      <c r="AK2440" s="93">
        <f>IF(AN2440=12,L2440,0)</f>
        <v>0</v>
      </c>
      <c r="AL2440" s="93">
        <f>IF(AN2440=21,L2440,0)</f>
        <v>0</v>
      </c>
      <c r="AN2440" s="93">
        <v>21</v>
      </c>
      <c r="AO2440" s="93">
        <f>H2440*0.029749104</f>
        <v>0</v>
      </c>
      <c r="AP2440" s="93">
        <f>H2440*(1-0.029749104)</f>
        <v>0</v>
      </c>
      <c r="AQ2440" s="94" t="s">
        <v>148</v>
      </c>
      <c r="AV2440" s="93">
        <f>AW2440+AX2440</f>
        <v>0</v>
      </c>
      <c r="AW2440" s="93">
        <f>G2440*AO2440</f>
        <v>0</v>
      </c>
      <c r="AX2440" s="93">
        <f>G2440*AP2440</f>
        <v>0</v>
      </c>
      <c r="AY2440" s="94" t="s">
        <v>3140</v>
      </c>
      <c r="AZ2440" s="94" t="s">
        <v>2936</v>
      </c>
      <c r="BA2440" s="88" t="s">
        <v>67</v>
      </c>
      <c r="BC2440" s="93">
        <f>AW2440+AX2440</f>
        <v>0</v>
      </c>
      <c r="BD2440" s="93">
        <f>H2440/(100-BE2440)*100</f>
        <v>0</v>
      </c>
      <c r="BE2440" s="93">
        <v>0</v>
      </c>
      <c r="BF2440" s="93">
        <f>O2440</f>
        <v>0</v>
      </c>
      <c r="BH2440" s="93">
        <f>G2440*AO2440</f>
        <v>0</v>
      </c>
      <c r="BI2440" s="93">
        <f>G2440*AP2440</f>
        <v>0</v>
      </c>
      <c r="BJ2440" s="93">
        <f>G2440*H2440</f>
        <v>0</v>
      </c>
      <c r="BK2440" s="93"/>
      <c r="BL2440" s="93"/>
      <c r="BW2440" s="93" t="str">
        <f>I2440</f>
        <v>21</v>
      </c>
      <c r="BX2440" s="2" t="s">
        <v>3312</v>
      </c>
    </row>
    <row r="2441" spans="1:76" s="81" customFormat="1" x14ac:dyDescent="0.25">
      <c r="A2441" s="95"/>
      <c r="B2441" s="95"/>
      <c r="C2441" s="95"/>
      <c r="D2441" s="76" t="s">
        <v>3313</v>
      </c>
      <c r="E2441" s="76" t="s">
        <v>54</v>
      </c>
      <c r="F2441" s="95"/>
      <c r="G2441" s="96">
        <v>549</v>
      </c>
      <c r="H2441" s="95"/>
      <c r="I2441" s="95"/>
      <c r="J2441" s="95"/>
      <c r="K2441" s="95"/>
      <c r="L2441" s="95"/>
      <c r="M2441" s="95"/>
      <c r="N2441" s="95"/>
      <c r="O2441" s="95"/>
      <c r="P2441" s="95"/>
    </row>
    <row r="2442" spans="1:76" s="81" customFormat="1" ht="25.5" x14ac:dyDescent="0.25">
      <c r="A2442" s="72" t="s">
        <v>3314</v>
      </c>
      <c r="B2442" s="72" t="s">
        <v>55</v>
      </c>
      <c r="C2442" s="72" t="s">
        <v>3315</v>
      </c>
      <c r="D2442" s="175" t="s">
        <v>3316</v>
      </c>
      <c r="E2442" s="175"/>
      <c r="F2442" s="72" t="s">
        <v>1449</v>
      </c>
      <c r="G2442" s="91"/>
      <c r="H2442" s="91"/>
      <c r="I2442" s="92" t="s">
        <v>63</v>
      </c>
      <c r="J2442" s="90">
        <f t="shared" ref="J2442:J2447" si="436">G2442*AO2442</f>
        <v>0</v>
      </c>
      <c r="K2442" s="90">
        <f t="shared" ref="K2442:K2447" si="437">G2442*AP2442</f>
        <v>0</v>
      </c>
      <c r="L2442" s="90">
        <f t="shared" ref="L2442:L2447" si="438">G2442*H2442</f>
        <v>0</v>
      </c>
      <c r="M2442" s="90">
        <f t="shared" ref="M2442:M2447" si="439">L2442*(1+BW2442/100)</f>
        <v>0</v>
      </c>
      <c r="N2442" s="90">
        <v>0</v>
      </c>
      <c r="O2442" s="90">
        <f t="shared" ref="O2442:O2447" si="440">G2442*N2442</f>
        <v>0</v>
      </c>
      <c r="P2442" s="92" t="s">
        <v>64</v>
      </c>
      <c r="Z2442" s="93">
        <f t="shared" ref="Z2442:Z2447" si="441">IF(AQ2442="5",BJ2442,0)</f>
        <v>0</v>
      </c>
      <c r="AB2442" s="93">
        <f t="shared" ref="AB2442:AB2447" si="442">IF(AQ2442="1",BH2442,0)</f>
        <v>0</v>
      </c>
      <c r="AC2442" s="93">
        <f t="shared" ref="AC2442:AC2447" si="443">IF(AQ2442="1",BI2442,0)</f>
        <v>0</v>
      </c>
      <c r="AD2442" s="93">
        <f t="shared" ref="AD2442:AD2447" si="444">IF(AQ2442="7",BH2442,0)</f>
        <v>0</v>
      </c>
      <c r="AE2442" s="93">
        <f t="shared" ref="AE2442:AE2447" si="445">IF(AQ2442="7",BI2442,0)</f>
        <v>0</v>
      </c>
      <c r="AF2442" s="93">
        <f t="shared" ref="AF2442:AF2447" si="446">IF(AQ2442="2",BH2442,0)</f>
        <v>0</v>
      </c>
      <c r="AG2442" s="93">
        <f t="shared" ref="AG2442:AG2447" si="447">IF(AQ2442="2",BI2442,0)</f>
        <v>0</v>
      </c>
      <c r="AH2442" s="93">
        <f t="shared" ref="AH2442:AH2447" si="448">IF(AQ2442="0",BJ2442,0)</f>
        <v>0</v>
      </c>
      <c r="AI2442" s="88" t="s">
        <v>55</v>
      </c>
      <c r="AJ2442" s="93">
        <f t="shared" ref="AJ2442:AJ2447" si="449">IF(AN2442=0,L2442,0)</f>
        <v>0</v>
      </c>
      <c r="AK2442" s="93">
        <f t="shared" ref="AK2442:AK2447" si="450">IF(AN2442=12,L2442,0)</f>
        <v>0</v>
      </c>
      <c r="AL2442" s="93">
        <f t="shared" ref="AL2442:AL2447" si="451">IF(AN2442=21,L2442,0)</f>
        <v>0</v>
      </c>
      <c r="AN2442" s="93">
        <v>21</v>
      </c>
      <c r="AO2442" s="93">
        <f>H2442*0</f>
        <v>0</v>
      </c>
      <c r="AP2442" s="93">
        <f>H2442*(1-0)</f>
        <v>0</v>
      </c>
      <c r="AQ2442" s="94" t="s">
        <v>136</v>
      </c>
      <c r="AV2442" s="93">
        <f t="shared" ref="AV2442:AV2447" si="452">AW2442+AX2442</f>
        <v>0</v>
      </c>
      <c r="AW2442" s="93">
        <f t="shared" ref="AW2442:AW2447" si="453">G2442*AO2442</f>
        <v>0</v>
      </c>
      <c r="AX2442" s="93">
        <f t="shared" ref="AX2442:AX2447" si="454">G2442*AP2442</f>
        <v>0</v>
      </c>
      <c r="AY2442" s="94" t="s">
        <v>3140</v>
      </c>
      <c r="AZ2442" s="94" t="s">
        <v>2936</v>
      </c>
      <c r="BA2442" s="88" t="s">
        <v>67</v>
      </c>
      <c r="BC2442" s="93">
        <f t="shared" ref="BC2442:BC2447" si="455">AW2442+AX2442</f>
        <v>0</v>
      </c>
      <c r="BD2442" s="93">
        <f t="shared" ref="BD2442:BD2447" si="456">H2442/(100-BE2442)*100</f>
        <v>0</v>
      </c>
      <c r="BE2442" s="93">
        <v>0</v>
      </c>
      <c r="BF2442" s="93">
        <f t="shared" ref="BF2442:BF2447" si="457">O2442</f>
        <v>0</v>
      </c>
      <c r="BH2442" s="93">
        <f t="shared" ref="BH2442:BH2447" si="458">G2442*AO2442</f>
        <v>0</v>
      </c>
      <c r="BI2442" s="93">
        <f t="shared" ref="BI2442:BI2447" si="459">G2442*AP2442</f>
        <v>0</v>
      </c>
      <c r="BJ2442" s="93">
        <f t="shared" ref="BJ2442:BJ2447" si="460">G2442*H2442</f>
        <v>0</v>
      </c>
      <c r="BK2442" s="93"/>
      <c r="BL2442" s="93"/>
      <c r="BW2442" s="93" t="str">
        <f t="shared" ref="BW2442:BW2447" si="461">I2442</f>
        <v>21</v>
      </c>
      <c r="BX2442" s="2" t="s">
        <v>3316</v>
      </c>
    </row>
    <row r="2443" spans="1:76" s="81" customFormat="1" ht="25.5" x14ac:dyDescent="0.25">
      <c r="A2443" s="72" t="s">
        <v>3317</v>
      </c>
      <c r="B2443" s="72" t="s">
        <v>55</v>
      </c>
      <c r="C2443" s="72" t="s">
        <v>3318</v>
      </c>
      <c r="D2443" s="175" t="s">
        <v>3319</v>
      </c>
      <c r="E2443" s="175"/>
      <c r="F2443" s="72" t="s">
        <v>1334</v>
      </c>
      <c r="G2443" s="90">
        <v>2</v>
      </c>
      <c r="H2443" s="91"/>
      <c r="I2443" s="92" t="s">
        <v>63</v>
      </c>
      <c r="J2443" s="90">
        <f t="shared" si="436"/>
        <v>0</v>
      </c>
      <c r="K2443" s="90">
        <f t="shared" si="437"/>
        <v>0</v>
      </c>
      <c r="L2443" s="90">
        <f t="shared" si="438"/>
        <v>0</v>
      </c>
      <c r="M2443" s="90">
        <f t="shared" si="439"/>
        <v>0</v>
      </c>
      <c r="N2443" s="90">
        <v>9.6000000000000002E-4</v>
      </c>
      <c r="O2443" s="90">
        <f t="shared" si="440"/>
        <v>1.92E-3</v>
      </c>
      <c r="P2443" s="92" t="s">
        <v>64</v>
      </c>
      <c r="Z2443" s="93">
        <f t="shared" si="441"/>
        <v>0</v>
      </c>
      <c r="AB2443" s="93">
        <f t="shared" si="442"/>
        <v>0</v>
      </c>
      <c r="AC2443" s="93">
        <f t="shared" si="443"/>
        <v>0</v>
      </c>
      <c r="AD2443" s="93">
        <f t="shared" si="444"/>
        <v>0</v>
      </c>
      <c r="AE2443" s="93">
        <f t="shared" si="445"/>
        <v>0</v>
      </c>
      <c r="AF2443" s="93">
        <f t="shared" si="446"/>
        <v>0</v>
      </c>
      <c r="AG2443" s="93">
        <f t="shared" si="447"/>
        <v>0</v>
      </c>
      <c r="AH2443" s="93">
        <f t="shared" si="448"/>
        <v>0</v>
      </c>
      <c r="AI2443" s="88" t="s">
        <v>55</v>
      </c>
      <c r="AJ2443" s="93">
        <f t="shared" si="449"/>
        <v>0</v>
      </c>
      <c r="AK2443" s="93">
        <f t="shared" si="450"/>
        <v>0</v>
      </c>
      <c r="AL2443" s="93">
        <f t="shared" si="451"/>
        <v>0</v>
      </c>
      <c r="AN2443" s="93">
        <v>21</v>
      </c>
      <c r="AO2443" s="93">
        <f>H2443*0.676934441</f>
        <v>0</v>
      </c>
      <c r="AP2443" s="93">
        <f>H2443*(1-0.676934441)</f>
        <v>0</v>
      </c>
      <c r="AQ2443" s="94" t="s">
        <v>148</v>
      </c>
      <c r="AV2443" s="93">
        <f t="shared" si="452"/>
        <v>0</v>
      </c>
      <c r="AW2443" s="93">
        <f t="shared" si="453"/>
        <v>0</v>
      </c>
      <c r="AX2443" s="93">
        <f t="shared" si="454"/>
        <v>0</v>
      </c>
      <c r="AY2443" s="94" t="s">
        <v>3140</v>
      </c>
      <c r="AZ2443" s="94" t="s">
        <v>2936</v>
      </c>
      <c r="BA2443" s="88" t="s">
        <v>67</v>
      </c>
      <c r="BC2443" s="93">
        <f t="shared" si="455"/>
        <v>0</v>
      </c>
      <c r="BD2443" s="93">
        <f t="shared" si="456"/>
        <v>0</v>
      </c>
      <c r="BE2443" s="93">
        <v>0</v>
      </c>
      <c r="BF2443" s="93">
        <f t="shared" si="457"/>
        <v>1.92E-3</v>
      </c>
      <c r="BH2443" s="93">
        <f t="shared" si="458"/>
        <v>0</v>
      </c>
      <c r="BI2443" s="93">
        <f t="shared" si="459"/>
        <v>0</v>
      </c>
      <c r="BJ2443" s="93">
        <f t="shared" si="460"/>
        <v>0</v>
      </c>
      <c r="BK2443" s="93"/>
      <c r="BL2443" s="93"/>
      <c r="BW2443" s="93" t="str">
        <f t="shared" si="461"/>
        <v>21</v>
      </c>
      <c r="BX2443" s="2" t="s">
        <v>3319</v>
      </c>
    </row>
    <row r="2444" spans="1:76" s="81" customFormat="1" ht="25.5" x14ac:dyDescent="0.25">
      <c r="A2444" s="72" t="s">
        <v>3320</v>
      </c>
      <c r="B2444" s="72" t="s">
        <v>55</v>
      </c>
      <c r="C2444" s="72" t="s">
        <v>2080</v>
      </c>
      <c r="D2444" s="175" t="s">
        <v>3321</v>
      </c>
      <c r="E2444" s="175"/>
      <c r="F2444" s="72" t="s">
        <v>1334</v>
      </c>
      <c r="G2444" s="90">
        <v>1</v>
      </c>
      <c r="H2444" s="91"/>
      <c r="I2444" s="92" t="s">
        <v>63</v>
      </c>
      <c r="J2444" s="90">
        <f t="shared" si="436"/>
        <v>0</v>
      </c>
      <c r="K2444" s="90">
        <f t="shared" si="437"/>
        <v>0</v>
      </c>
      <c r="L2444" s="90">
        <f t="shared" si="438"/>
        <v>0</v>
      </c>
      <c r="M2444" s="90">
        <f t="shared" si="439"/>
        <v>0</v>
      </c>
      <c r="N2444" s="90">
        <v>1.25E-3</v>
      </c>
      <c r="O2444" s="90">
        <f t="shared" si="440"/>
        <v>1.25E-3</v>
      </c>
      <c r="P2444" s="92" t="s">
        <v>64</v>
      </c>
      <c r="Z2444" s="93">
        <f t="shared" si="441"/>
        <v>0</v>
      </c>
      <c r="AB2444" s="93">
        <f t="shared" si="442"/>
        <v>0</v>
      </c>
      <c r="AC2444" s="93">
        <f t="shared" si="443"/>
        <v>0</v>
      </c>
      <c r="AD2444" s="93">
        <f t="shared" si="444"/>
        <v>0</v>
      </c>
      <c r="AE2444" s="93">
        <f t="shared" si="445"/>
        <v>0</v>
      </c>
      <c r="AF2444" s="93">
        <f t="shared" si="446"/>
        <v>0</v>
      </c>
      <c r="AG2444" s="93">
        <f t="shared" si="447"/>
        <v>0</v>
      </c>
      <c r="AH2444" s="93">
        <f t="shared" si="448"/>
        <v>0</v>
      </c>
      <c r="AI2444" s="88" t="s">
        <v>55</v>
      </c>
      <c r="AJ2444" s="93">
        <f t="shared" si="449"/>
        <v>0</v>
      </c>
      <c r="AK2444" s="93">
        <f t="shared" si="450"/>
        <v>0</v>
      </c>
      <c r="AL2444" s="93">
        <f t="shared" si="451"/>
        <v>0</v>
      </c>
      <c r="AN2444" s="93">
        <v>21</v>
      </c>
      <c r="AO2444" s="93">
        <f>H2444*0.958779219</f>
        <v>0</v>
      </c>
      <c r="AP2444" s="93">
        <f>H2444*(1-0.958779219)</f>
        <v>0</v>
      </c>
      <c r="AQ2444" s="94" t="s">
        <v>148</v>
      </c>
      <c r="AV2444" s="93">
        <f t="shared" si="452"/>
        <v>0</v>
      </c>
      <c r="AW2444" s="93">
        <f t="shared" si="453"/>
        <v>0</v>
      </c>
      <c r="AX2444" s="93">
        <f t="shared" si="454"/>
        <v>0</v>
      </c>
      <c r="AY2444" s="94" t="s">
        <v>3140</v>
      </c>
      <c r="AZ2444" s="94" t="s">
        <v>2936</v>
      </c>
      <c r="BA2444" s="88" t="s">
        <v>67</v>
      </c>
      <c r="BC2444" s="93">
        <f t="shared" si="455"/>
        <v>0</v>
      </c>
      <c r="BD2444" s="93">
        <f t="shared" si="456"/>
        <v>0</v>
      </c>
      <c r="BE2444" s="93">
        <v>0</v>
      </c>
      <c r="BF2444" s="93">
        <f t="shared" si="457"/>
        <v>1.25E-3</v>
      </c>
      <c r="BH2444" s="93">
        <f t="shared" si="458"/>
        <v>0</v>
      </c>
      <c r="BI2444" s="93">
        <f t="shared" si="459"/>
        <v>0</v>
      </c>
      <c r="BJ2444" s="93">
        <f t="shared" si="460"/>
        <v>0</v>
      </c>
      <c r="BK2444" s="93"/>
      <c r="BL2444" s="93"/>
      <c r="BW2444" s="93" t="str">
        <f t="shared" si="461"/>
        <v>21</v>
      </c>
      <c r="BX2444" s="2" t="s">
        <v>3321</v>
      </c>
    </row>
    <row r="2445" spans="1:76" s="81" customFormat="1" ht="25.5" x14ac:dyDescent="0.25">
      <c r="A2445" s="72" t="s">
        <v>3322</v>
      </c>
      <c r="B2445" s="72" t="s">
        <v>55</v>
      </c>
      <c r="C2445" s="72" t="s">
        <v>3323</v>
      </c>
      <c r="D2445" s="175" t="s">
        <v>3324</v>
      </c>
      <c r="E2445" s="175"/>
      <c r="F2445" s="72" t="s">
        <v>203</v>
      </c>
      <c r="G2445" s="90">
        <v>1</v>
      </c>
      <c r="H2445" s="91"/>
      <c r="I2445" s="92" t="s">
        <v>63</v>
      </c>
      <c r="J2445" s="90">
        <f t="shared" si="436"/>
        <v>0</v>
      </c>
      <c r="K2445" s="90">
        <f t="shared" si="437"/>
        <v>0</v>
      </c>
      <c r="L2445" s="90">
        <f t="shared" si="438"/>
        <v>0</v>
      </c>
      <c r="M2445" s="90">
        <f t="shared" si="439"/>
        <v>0</v>
      </c>
      <c r="N2445" s="90">
        <v>4.4999999999999997E-3</v>
      </c>
      <c r="O2445" s="90">
        <f t="shared" si="440"/>
        <v>4.4999999999999997E-3</v>
      </c>
      <c r="P2445" s="92" t="s">
        <v>64</v>
      </c>
      <c r="Z2445" s="93">
        <f t="shared" si="441"/>
        <v>0</v>
      </c>
      <c r="AB2445" s="93">
        <f t="shared" si="442"/>
        <v>0</v>
      </c>
      <c r="AC2445" s="93">
        <f t="shared" si="443"/>
        <v>0</v>
      </c>
      <c r="AD2445" s="93">
        <f t="shared" si="444"/>
        <v>0</v>
      </c>
      <c r="AE2445" s="93">
        <f t="shared" si="445"/>
        <v>0</v>
      </c>
      <c r="AF2445" s="93">
        <f t="shared" si="446"/>
        <v>0</v>
      </c>
      <c r="AG2445" s="93">
        <f t="shared" si="447"/>
        <v>0</v>
      </c>
      <c r="AH2445" s="93">
        <f t="shared" si="448"/>
        <v>0</v>
      </c>
      <c r="AI2445" s="88" t="s">
        <v>55</v>
      </c>
      <c r="AJ2445" s="93">
        <f t="shared" si="449"/>
        <v>0</v>
      </c>
      <c r="AK2445" s="93">
        <f t="shared" si="450"/>
        <v>0</v>
      </c>
      <c r="AL2445" s="93">
        <f t="shared" si="451"/>
        <v>0</v>
      </c>
      <c r="AN2445" s="93">
        <v>21</v>
      </c>
      <c r="AO2445" s="93">
        <f>H2445*0.942086022</f>
        <v>0</v>
      </c>
      <c r="AP2445" s="93">
        <f>H2445*(1-0.942086022)</f>
        <v>0</v>
      </c>
      <c r="AQ2445" s="94" t="s">
        <v>148</v>
      </c>
      <c r="AV2445" s="93">
        <f t="shared" si="452"/>
        <v>0</v>
      </c>
      <c r="AW2445" s="93">
        <f t="shared" si="453"/>
        <v>0</v>
      </c>
      <c r="AX2445" s="93">
        <f t="shared" si="454"/>
        <v>0</v>
      </c>
      <c r="AY2445" s="94" t="s">
        <v>3140</v>
      </c>
      <c r="AZ2445" s="94" t="s">
        <v>2936</v>
      </c>
      <c r="BA2445" s="88" t="s">
        <v>67</v>
      </c>
      <c r="BC2445" s="93">
        <f t="shared" si="455"/>
        <v>0</v>
      </c>
      <c r="BD2445" s="93">
        <f t="shared" si="456"/>
        <v>0</v>
      </c>
      <c r="BE2445" s="93">
        <v>0</v>
      </c>
      <c r="BF2445" s="93">
        <f t="shared" si="457"/>
        <v>4.4999999999999997E-3</v>
      </c>
      <c r="BH2445" s="93">
        <f t="shared" si="458"/>
        <v>0</v>
      </c>
      <c r="BI2445" s="93">
        <f t="shared" si="459"/>
        <v>0</v>
      </c>
      <c r="BJ2445" s="93">
        <f t="shared" si="460"/>
        <v>0</v>
      </c>
      <c r="BK2445" s="93"/>
      <c r="BL2445" s="93"/>
      <c r="BW2445" s="93" t="str">
        <f t="shared" si="461"/>
        <v>21</v>
      </c>
      <c r="BX2445" s="2" t="s">
        <v>3324</v>
      </c>
    </row>
    <row r="2446" spans="1:76" s="81" customFormat="1" ht="25.5" x14ac:dyDescent="0.25">
      <c r="A2446" s="72" t="s">
        <v>3325</v>
      </c>
      <c r="B2446" s="72" t="s">
        <v>55</v>
      </c>
      <c r="C2446" s="72" t="s">
        <v>3315</v>
      </c>
      <c r="D2446" s="175" t="s">
        <v>3316</v>
      </c>
      <c r="E2446" s="175"/>
      <c r="F2446" s="72" t="s">
        <v>1449</v>
      </c>
      <c r="G2446" s="91"/>
      <c r="H2446" s="91"/>
      <c r="I2446" s="92" t="s">
        <v>63</v>
      </c>
      <c r="J2446" s="90">
        <f t="shared" si="436"/>
        <v>0</v>
      </c>
      <c r="K2446" s="90">
        <f t="shared" si="437"/>
        <v>0</v>
      </c>
      <c r="L2446" s="90">
        <f t="shared" si="438"/>
        <v>0</v>
      </c>
      <c r="M2446" s="90">
        <f t="shared" si="439"/>
        <v>0</v>
      </c>
      <c r="N2446" s="90">
        <v>0</v>
      </c>
      <c r="O2446" s="90">
        <f t="shared" si="440"/>
        <v>0</v>
      </c>
      <c r="P2446" s="92" t="s">
        <v>64</v>
      </c>
      <c r="Z2446" s="93">
        <f t="shared" si="441"/>
        <v>0</v>
      </c>
      <c r="AB2446" s="93">
        <f t="shared" si="442"/>
        <v>0</v>
      </c>
      <c r="AC2446" s="93">
        <f t="shared" si="443"/>
        <v>0</v>
      </c>
      <c r="AD2446" s="93">
        <f t="shared" si="444"/>
        <v>0</v>
      </c>
      <c r="AE2446" s="93">
        <f t="shared" si="445"/>
        <v>0</v>
      </c>
      <c r="AF2446" s="93">
        <f t="shared" si="446"/>
        <v>0</v>
      </c>
      <c r="AG2446" s="93">
        <f t="shared" si="447"/>
        <v>0</v>
      </c>
      <c r="AH2446" s="93">
        <f t="shared" si="448"/>
        <v>0</v>
      </c>
      <c r="AI2446" s="88" t="s">
        <v>55</v>
      </c>
      <c r="AJ2446" s="93">
        <f t="shared" si="449"/>
        <v>0</v>
      </c>
      <c r="AK2446" s="93">
        <f t="shared" si="450"/>
        <v>0</v>
      </c>
      <c r="AL2446" s="93">
        <f t="shared" si="451"/>
        <v>0</v>
      </c>
      <c r="AN2446" s="93">
        <v>21</v>
      </c>
      <c r="AO2446" s="93">
        <f>H2446*0</f>
        <v>0</v>
      </c>
      <c r="AP2446" s="93">
        <f>H2446*(1-0)</f>
        <v>0</v>
      </c>
      <c r="AQ2446" s="94" t="s">
        <v>136</v>
      </c>
      <c r="AV2446" s="93">
        <f t="shared" si="452"/>
        <v>0</v>
      </c>
      <c r="AW2446" s="93">
        <f t="shared" si="453"/>
        <v>0</v>
      </c>
      <c r="AX2446" s="93">
        <f t="shared" si="454"/>
        <v>0</v>
      </c>
      <c r="AY2446" s="94" t="s">
        <v>3140</v>
      </c>
      <c r="AZ2446" s="94" t="s">
        <v>2936</v>
      </c>
      <c r="BA2446" s="88" t="s">
        <v>67</v>
      </c>
      <c r="BC2446" s="93">
        <f t="shared" si="455"/>
        <v>0</v>
      </c>
      <c r="BD2446" s="93">
        <f t="shared" si="456"/>
        <v>0</v>
      </c>
      <c r="BE2446" s="93">
        <v>0</v>
      </c>
      <c r="BF2446" s="93">
        <f t="shared" si="457"/>
        <v>0</v>
      </c>
      <c r="BH2446" s="93">
        <f t="shared" si="458"/>
        <v>0</v>
      </c>
      <c r="BI2446" s="93">
        <f t="shared" si="459"/>
        <v>0</v>
      </c>
      <c r="BJ2446" s="93">
        <f t="shared" si="460"/>
        <v>0</v>
      </c>
      <c r="BK2446" s="93"/>
      <c r="BL2446" s="93"/>
      <c r="BW2446" s="93" t="str">
        <f t="shared" si="461"/>
        <v>21</v>
      </c>
      <c r="BX2446" s="2" t="s">
        <v>3316</v>
      </c>
    </row>
    <row r="2447" spans="1:76" s="81" customFormat="1" ht="25.5" x14ac:dyDescent="0.25">
      <c r="A2447" s="72" t="s">
        <v>3326</v>
      </c>
      <c r="B2447" s="72" t="s">
        <v>55</v>
      </c>
      <c r="C2447" s="72" t="s">
        <v>3327</v>
      </c>
      <c r="D2447" s="175" t="s">
        <v>3328</v>
      </c>
      <c r="E2447" s="175"/>
      <c r="F2447" s="72" t="s">
        <v>213</v>
      </c>
      <c r="G2447" s="90">
        <v>68</v>
      </c>
      <c r="H2447" s="91"/>
      <c r="I2447" s="92" t="s">
        <v>63</v>
      </c>
      <c r="J2447" s="90">
        <f t="shared" si="436"/>
        <v>0</v>
      </c>
      <c r="K2447" s="90">
        <f t="shared" si="437"/>
        <v>0</v>
      </c>
      <c r="L2447" s="90">
        <f t="shared" si="438"/>
        <v>0</v>
      </c>
      <c r="M2447" s="90">
        <f t="shared" si="439"/>
        <v>0</v>
      </c>
      <c r="N2447" s="90">
        <v>5.8E-4</v>
      </c>
      <c r="O2447" s="90">
        <f t="shared" si="440"/>
        <v>3.9440000000000003E-2</v>
      </c>
      <c r="P2447" s="92" t="s">
        <v>64</v>
      </c>
      <c r="Z2447" s="93">
        <f t="shared" si="441"/>
        <v>0</v>
      </c>
      <c r="AB2447" s="93">
        <f t="shared" si="442"/>
        <v>0</v>
      </c>
      <c r="AC2447" s="93">
        <f t="shared" si="443"/>
        <v>0</v>
      </c>
      <c r="AD2447" s="93">
        <f t="shared" si="444"/>
        <v>0</v>
      </c>
      <c r="AE2447" s="93">
        <f t="shared" si="445"/>
        <v>0</v>
      </c>
      <c r="AF2447" s="93">
        <f t="shared" si="446"/>
        <v>0</v>
      </c>
      <c r="AG2447" s="93">
        <f t="shared" si="447"/>
        <v>0</v>
      </c>
      <c r="AH2447" s="93">
        <f t="shared" si="448"/>
        <v>0</v>
      </c>
      <c r="AI2447" s="88" t="s">
        <v>55</v>
      </c>
      <c r="AJ2447" s="93">
        <f t="shared" si="449"/>
        <v>0</v>
      </c>
      <c r="AK2447" s="93">
        <f t="shared" si="450"/>
        <v>0</v>
      </c>
      <c r="AL2447" s="93">
        <f t="shared" si="451"/>
        <v>0</v>
      </c>
      <c r="AN2447" s="93">
        <v>21</v>
      </c>
      <c r="AO2447" s="93">
        <f>H2447*0.314219895</f>
        <v>0</v>
      </c>
      <c r="AP2447" s="93">
        <f>H2447*(1-0.314219895)</f>
        <v>0</v>
      </c>
      <c r="AQ2447" s="94" t="s">
        <v>148</v>
      </c>
      <c r="AV2447" s="93">
        <f t="shared" si="452"/>
        <v>0</v>
      </c>
      <c r="AW2447" s="93">
        <f t="shared" si="453"/>
        <v>0</v>
      </c>
      <c r="AX2447" s="93">
        <f t="shared" si="454"/>
        <v>0</v>
      </c>
      <c r="AY2447" s="94" t="s">
        <v>3140</v>
      </c>
      <c r="AZ2447" s="94" t="s">
        <v>2936</v>
      </c>
      <c r="BA2447" s="88" t="s">
        <v>67</v>
      </c>
      <c r="BC2447" s="93">
        <f t="shared" si="455"/>
        <v>0</v>
      </c>
      <c r="BD2447" s="93">
        <f t="shared" si="456"/>
        <v>0</v>
      </c>
      <c r="BE2447" s="93">
        <v>0</v>
      </c>
      <c r="BF2447" s="93">
        <f t="shared" si="457"/>
        <v>3.9440000000000003E-2</v>
      </c>
      <c r="BH2447" s="93">
        <f t="shared" si="458"/>
        <v>0</v>
      </c>
      <c r="BI2447" s="93">
        <f t="shared" si="459"/>
        <v>0</v>
      </c>
      <c r="BJ2447" s="93">
        <f t="shared" si="460"/>
        <v>0</v>
      </c>
      <c r="BK2447" s="93"/>
      <c r="BL2447" s="93"/>
      <c r="BW2447" s="93" t="str">
        <f t="shared" si="461"/>
        <v>21</v>
      </c>
      <c r="BX2447" s="2" t="s">
        <v>3328</v>
      </c>
    </row>
    <row r="2448" spans="1:76" s="81" customFormat="1" x14ac:dyDescent="0.25">
      <c r="A2448" s="95"/>
      <c r="B2448" s="95"/>
      <c r="C2448" s="95"/>
      <c r="D2448" s="76" t="s">
        <v>3329</v>
      </c>
      <c r="E2448" s="76" t="s">
        <v>54</v>
      </c>
      <c r="F2448" s="95"/>
      <c r="G2448" s="96">
        <v>68</v>
      </c>
      <c r="H2448" s="95"/>
      <c r="I2448" s="95"/>
      <c r="J2448" s="95"/>
      <c r="K2448" s="95"/>
      <c r="L2448" s="95"/>
      <c r="M2448" s="95"/>
      <c r="N2448" s="95"/>
      <c r="O2448" s="95"/>
      <c r="P2448" s="95"/>
    </row>
    <row r="2449" spans="1:76" s="81" customFormat="1" ht="25.5" x14ac:dyDescent="0.25">
      <c r="A2449" s="72" t="s">
        <v>3330</v>
      </c>
      <c r="B2449" s="72" t="s">
        <v>55</v>
      </c>
      <c r="C2449" s="72" t="s">
        <v>3331</v>
      </c>
      <c r="D2449" s="175" t="s">
        <v>3332</v>
      </c>
      <c r="E2449" s="175"/>
      <c r="F2449" s="72" t="s">
        <v>213</v>
      </c>
      <c r="G2449" s="90">
        <v>342</v>
      </c>
      <c r="H2449" s="91"/>
      <c r="I2449" s="92" t="s">
        <v>63</v>
      </c>
      <c r="J2449" s="90">
        <f>G2449*AO2449</f>
        <v>0</v>
      </c>
      <c r="K2449" s="90">
        <f>G2449*AP2449</f>
        <v>0</v>
      </c>
      <c r="L2449" s="90">
        <f>G2449*H2449</f>
        <v>0</v>
      </c>
      <c r="M2449" s="90">
        <f>L2449*(1+BW2449/100)</f>
        <v>0</v>
      </c>
      <c r="N2449" s="90">
        <v>4.6000000000000001E-4</v>
      </c>
      <c r="O2449" s="90">
        <f>G2449*N2449</f>
        <v>0.15732000000000002</v>
      </c>
      <c r="P2449" s="92" t="s">
        <v>64</v>
      </c>
      <c r="Z2449" s="93">
        <f>IF(AQ2449="5",BJ2449,0)</f>
        <v>0</v>
      </c>
      <c r="AB2449" s="93">
        <f>IF(AQ2449="1",BH2449,0)</f>
        <v>0</v>
      </c>
      <c r="AC2449" s="93">
        <f>IF(AQ2449="1",BI2449,0)</f>
        <v>0</v>
      </c>
      <c r="AD2449" s="93">
        <f>IF(AQ2449="7",BH2449,0)</f>
        <v>0</v>
      </c>
      <c r="AE2449" s="93">
        <f>IF(AQ2449="7",BI2449,0)</f>
        <v>0</v>
      </c>
      <c r="AF2449" s="93">
        <f>IF(AQ2449="2",BH2449,0)</f>
        <v>0</v>
      </c>
      <c r="AG2449" s="93">
        <f>IF(AQ2449="2",BI2449,0)</f>
        <v>0</v>
      </c>
      <c r="AH2449" s="93">
        <f>IF(AQ2449="0",BJ2449,0)</f>
        <v>0</v>
      </c>
      <c r="AI2449" s="88" t="s">
        <v>55</v>
      </c>
      <c r="AJ2449" s="93">
        <f>IF(AN2449=0,L2449,0)</f>
        <v>0</v>
      </c>
      <c r="AK2449" s="93">
        <f>IF(AN2449=12,L2449,0)</f>
        <v>0</v>
      </c>
      <c r="AL2449" s="93">
        <f>IF(AN2449=21,L2449,0)</f>
        <v>0</v>
      </c>
      <c r="AN2449" s="93">
        <v>21</v>
      </c>
      <c r="AO2449" s="93">
        <f>H2449*0.264600144</f>
        <v>0</v>
      </c>
      <c r="AP2449" s="93">
        <f>H2449*(1-0.264600144)</f>
        <v>0</v>
      </c>
      <c r="AQ2449" s="94" t="s">
        <v>148</v>
      </c>
      <c r="AV2449" s="93">
        <f>AW2449+AX2449</f>
        <v>0</v>
      </c>
      <c r="AW2449" s="93">
        <f>G2449*AO2449</f>
        <v>0</v>
      </c>
      <c r="AX2449" s="93">
        <f>G2449*AP2449</f>
        <v>0</v>
      </c>
      <c r="AY2449" s="94" t="s">
        <v>3140</v>
      </c>
      <c r="AZ2449" s="94" t="s">
        <v>2936</v>
      </c>
      <c r="BA2449" s="88" t="s">
        <v>67</v>
      </c>
      <c r="BC2449" s="93">
        <f>AW2449+AX2449</f>
        <v>0</v>
      </c>
      <c r="BD2449" s="93">
        <f>H2449/(100-BE2449)*100</f>
        <v>0</v>
      </c>
      <c r="BE2449" s="93">
        <v>0</v>
      </c>
      <c r="BF2449" s="93">
        <f>O2449</f>
        <v>0.15732000000000002</v>
      </c>
      <c r="BH2449" s="93">
        <f>G2449*AO2449</f>
        <v>0</v>
      </c>
      <c r="BI2449" s="93">
        <f>G2449*AP2449</f>
        <v>0</v>
      </c>
      <c r="BJ2449" s="93">
        <f>G2449*H2449</f>
        <v>0</v>
      </c>
      <c r="BK2449" s="93"/>
      <c r="BL2449" s="93"/>
      <c r="BW2449" s="93" t="str">
        <f>I2449</f>
        <v>21</v>
      </c>
      <c r="BX2449" s="2" t="s">
        <v>3332</v>
      </c>
    </row>
    <row r="2450" spans="1:76" s="81" customFormat="1" x14ac:dyDescent="0.25">
      <c r="A2450" s="95"/>
      <c r="B2450" s="95"/>
      <c r="C2450" s="95"/>
      <c r="D2450" s="76" t="s">
        <v>3333</v>
      </c>
      <c r="E2450" s="76" t="s">
        <v>54</v>
      </c>
      <c r="F2450" s="95"/>
      <c r="G2450" s="96">
        <v>342</v>
      </c>
      <c r="H2450" s="95"/>
      <c r="I2450" s="95"/>
      <c r="J2450" s="95"/>
      <c r="K2450" s="95"/>
      <c r="L2450" s="95"/>
      <c r="M2450" s="95"/>
      <c r="N2450" s="95"/>
      <c r="O2450" s="95"/>
      <c r="P2450" s="95"/>
    </row>
    <row r="2451" spans="1:76" s="81" customFormat="1" ht="25.5" x14ac:dyDescent="0.25">
      <c r="A2451" s="72" t="s">
        <v>3334</v>
      </c>
      <c r="B2451" s="72" t="s">
        <v>55</v>
      </c>
      <c r="C2451" s="72" t="s">
        <v>3335</v>
      </c>
      <c r="D2451" s="175" t="s">
        <v>3336</v>
      </c>
      <c r="E2451" s="175"/>
      <c r="F2451" s="72" t="s">
        <v>213</v>
      </c>
      <c r="G2451" s="90">
        <v>34</v>
      </c>
      <c r="H2451" s="91"/>
      <c r="I2451" s="92" t="s">
        <v>63</v>
      </c>
      <c r="J2451" s="90">
        <f t="shared" ref="J2451:J2464" si="462">G2451*AO2451</f>
        <v>0</v>
      </c>
      <c r="K2451" s="90">
        <f t="shared" ref="K2451:K2464" si="463">G2451*AP2451</f>
        <v>0</v>
      </c>
      <c r="L2451" s="90">
        <f t="shared" ref="L2451:L2464" si="464">G2451*H2451</f>
        <v>0</v>
      </c>
      <c r="M2451" s="90">
        <f t="shared" ref="M2451:M2464" si="465">L2451*(1+BW2451/100)</f>
        <v>0</v>
      </c>
      <c r="N2451" s="90">
        <v>7.3999999999999999E-4</v>
      </c>
      <c r="O2451" s="90">
        <f t="shared" ref="O2451:O2464" si="466">G2451*N2451</f>
        <v>2.5159999999999998E-2</v>
      </c>
      <c r="P2451" s="92" t="s">
        <v>64</v>
      </c>
      <c r="Z2451" s="93">
        <f t="shared" ref="Z2451:Z2464" si="467">IF(AQ2451="5",BJ2451,0)</f>
        <v>0</v>
      </c>
      <c r="AB2451" s="93">
        <f t="shared" ref="AB2451:AB2464" si="468">IF(AQ2451="1",BH2451,0)</f>
        <v>0</v>
      </c>
      <c r="AC2451" s="93">
        <f t="shared" ref="AC2451:AC2464" si="469">IF(AQ2451="1",BI2451,0)</f>
        <v>0</v>
      </c>
      <c r="AD2451" s="93">
        <f t="shared" ref="AD2451:AD2464" si="470">IF(AQ2451="7",BH2451,0)</f>
        <v>0</v>
      </c>
      <c r="AE2451" s="93">
        <f t="shared" ref="AE2451:AE2464" si="471">IF(AQ2451="7",BI2451,0)</f>
        <v>0</v>
      </c>
      <c r="AF2451" s="93">
        <f t="shared" ref="AF2451:AF2464" si="472">IF(AQ2451="2",BH2451,0)</f>
        <v>0</v>
      </c>
      <c r="AG2451" s="93">
        <f t="shared" ref="AG2451:AG2464" si="473">IF(AQ2451="2",BI2451,0)</f>
        <v>0</v>
      </c>
      <c r="AH2451" s="93">
        <f t="shared" ref="AH2451:AH2464" si="474">IF(AQ2451="0",BJ2451,0)</f>
        <v>0</v>
      </c>
      <c r="AI2451" s="88" t="s">
        <v>55</v>
      </c>
      <c r="AJ2451" s="93">
        <f t="shared" ref="AJ2451:AJ2464" si="475">IF(AN2451=0,L2451,0)</f>
        <v>0</v>
      </c>
      <c r="AK2451" s="93">
        <f t="shared" ref="AK2451:AK2464" si="476">IF(AN2451=12,L2451,0)</f>
        <v>0</v>
      </c>
      <c r="AL2451" s="93">
        <f t="shared" ref="AL2451:AL2464" si="477">IF(AN2451=21,L2451,0)</f>
        <v>0</v>
      </c>
      <c r="AN2451" s="93">
        <v>21</v>
      </c>
      <c r="AO2451" s="93">
        <f>H2451*0.382080642</f>
        <v>0</v>
      </c>
      <c r="AP2451" s="93">
        <f>H2451*(1-0.382080642)</f>
        <v>0</v>
      </c>
      <c r="AQ2451" s="94" t="s">
        <v>148</v>
      </c>
      <c r="AV2451" s="93">
        <f t="shared" ref="AV2451:AV2464" si="478">AW2451+AX2451</f>
        <v>0</v>
      </c>
      <c r="AW2451" s="93">
        <f t="shared" ref="AW2451:AW2464" si="479">G2451*AO2451</f>
        <v>0</v>
      </c>
      <c r="AX2451" s="93">
        <f t="shared" ref="AX2451:AX2464" si="480">G2451*AP2451</f>
        <v>0</v>
      </c>
      <c r="AY2451" s="94" t="s">
        <v>3140</v>
      </c>
      <c r="AZ2451" s="94" t="s">
        <v>2936</v>
      </c>
      <c r="BA2451" s="88" t="s">
        <v>67</v>
      </c>
      <c r="BC2451" s="93">
        <f t="shared" ref="BC2451:BC2464" si="481">AW2451+AX2451</f>
        <v>0</v>
      </c>
      <c r="BD2451" s="93">
        <f t="shared" ref="BD2451:BD2464" si="482">H2451/(100-BE2451)*100</f>
        <v>0</v>
      </c>
      <c r="BE2451" s="93">
        <v>0</v>
      </c>
      <c r="BF2451" s="93">
        <f t="shared" ref="BF2451:BF2464" si="483">O2451</f>
        <v>2.5159999999999998E-2</v>
      </c>
      <c r="BH2451" s="93">
        <f t="shared" ref="BH2451:BH2464" si="484">G2451*AO2451</f>
        <v>0</v>
      </c>
      <c r="BI2451" s="93">
        <f t="shared" ref="BI2451:BI2464" si="485">G2451*AP2451</f>
        <v>0</v>
      </c>
      <c r="BJ2451" s="93">
        <f t="shared" ref="BJ2451:BJ2464" si="486">G2451*H2451</f>
        <v>0</v>
      </c>
      <c r="BK2451" s="93"/>
      <c r="BL2451" s="93"/>
      <c r="BW2451" s="93" t="str">
        <f t="shared" ref="BW2451:BW2464" si="487">I2451</f>
        <v>21</v>
      </c>
      <c r="BX2451" s="2" t="s">
        <v>3336</v>
      </c>
    </row>
    <row r="2452" spans="1:76" s="81" customFormat="1" ht="25.5" x14ac:dyDescent="0.25">
      <c r="A2452" s="72" t="s">
        <v>3337</v>
      </c>
      <c r="B2452" s="72" t="s">
        <v>55</v>
      </c>
      <c r="C2452" s="72" t="s">
        <v>3338</v>
      </c>
      <c r="D2452" s="175" t="s">
        <v>3339</v>
      </c>
      <c r="E2452" s="175"/>
      <c r="F2452" s="72" t="s">
        <v>213</v>
      </c>
      <c r="G2452" s="90">
        <v>14</v>
      </c>
      <c r="H2452" s="91"/>
      <c r="I2452" s="92" t="s">
        <v>63</v>
      </c>
      <c r="J2452" s="90">
        <f t="shared" si="462"/>
        <v>0</v>
      </c>
      <c r="K2452" s="90">
        <f t="shared" si="463"/>
        <v>0</v>
      </c>
      <c r="L2452" s="90">
        <f t="shared" si="464"/>
        <v>0</v>
      </c>
      <c r="M2452" s="90">
        <f t="shared" si="465"/>
        <v>0</v>
      </c>
      <c r="N2452" s="90">
        <v>1.1100000000000001E-3</v>
      </c>
      <c r="O2452" s="90">
        <f t="shared" si="466"/>
        <v>1.5540000000000002E-2</v>
      </c>
      <c r="P2452" s="92" t="s">
        <v>64</v>
      </c>
      <c r="Z2452" s="93">
        <f t="shared" si="467"/>
        <v>0</v>
      </c>
      <c r="AB2452" s="93">
        <f t="shared" si="468"/>
        <v>0</v>
      </c>
      <c r="AC2452" s="93">
        <f t="shared" si="469"/>
        <v>0</v>
      </c>
      <c r="AD2452" s="93">
        <f t="shared" si="470"/>
        <v>0</v>
      </c>
      <c r="AE2452" s="93">
        <f t="shared" si="471"/>
        <v>0</v>
      </c>
      <c r="AF2452" s="93">
        <f t="shared" si="472"/>
        <v>0</v>
      </c>
      <c r="AG2452" s="93">
        <f t="shared" si="473"/>
        <v>0</v>
      </c>
      <c r="AH2452" s="93">
        <f t="shared" si="474"/>
        <v>0</v>
      </c>
      <c r="AI2452" s="88" t="s">
        <v>55</v>
      </c>
      <c r="AJ2452" s="93">
        <f t="shared" si="475"/>
        <v>0</v>
      </c>
      <c r="AK2452" s="93">
        <f t="shared" si="476"/>
        <v>0</v>
      </c>
      <c r="AL2452" s="93">
        <f t="shared" si="477"/>
        <v>0</v>
      </c>
      <c r="AN2452" s="93">
        <v>21</v>
      </c>
      <c r="AO2452" s="93">
        <f>H2452*0.525397924</f>
        <v>0</v>
      </c>
      <c r="AP2452" s="93">
        <f>H2452*(1-0.525397924)</f>
        <v>0</v>
      </c>
      <c r="AQ2452" s="94" t="s">
        <v>148</v>
      </c>
      <c r="AV2452" s="93">
        <f t="shared" si="478"/>
        <v>0</v>
      </c>
      <c r="AW2452" s="93">
        <f t="shared" si="479"/>
        <v>0</v>
      </c>
      <c r="AX2452" s="93">
        <f t="shared" si="480"/>
        <v>0</v>
      </c>
      <c r="AY2452" s="94" t="s">
        <v>3140</v>
      </c>
      <c r="AZ2452" s="94" t="s">
        <v>2936</v>
      </c>
      <c r="BA2452" s="88" t="s">
        <v>67</v>
      </c>
      <c r="BC2452" s="93">
        <f t="shared" si="481"/>
        <v>0</v>
      </c>
      <c r="BD2452" s="93">
        <f t="shared" si="482"/>
        <v>0</v>
      </c>
      <c r="BE2452" s="93">
        <v>0</v>
      </c>
      <c r="BF2452" s="93">
        <f t="shared" si="483"/>
        <v>1.5540000000000002E-2</v>
      </c>
      <c r="BH2452" s="93">
        <f t="shared" si="484"/>
        <v>0</v>
      </c>
      <c r="BI2452" s="93">
        <f t="shared" si="485"/>
        <v>0</v>
      </c>
      <c r="BJ2452" s="93">
        <f t="shared" si="486"/>
        <v>0</v>
      </c>
      <c r="BK2452" s="93"/>
      <c r="BL2452" s="93"/>
      <c r="BW2452" s="93" t="str">
        <f t="shared" si="487"/>
        <v>21</v>
      </c>
      <c r="BX2452" s="2" t="s">
        <v>3339</v>
      </c>
    </row>
    <row r="2453" spans="1:76" s="81" customFormat="1" ht="25.5" x14ac:dyDescent="0.25">
      <c r="A2453" s="72" t="s">
        <v>3340</v>
      </c>
      <c r="B2453" s="72" t="s">
        <v>55</v>
      </c>
      <c r="C2453" s="72" t="s">
        <v>3341</v>
      </c>
      <c r="D2453" s="175" t="s">
        <v>3342</v>
      </c>
      <c r="E2453" s="175"/>
      <c r="F2453" s="72" t="s">
        <v>213</v>
      </c>
      <c r="G2453" s="90">
        <v>35</v>
      </c>
      <c r="H2453" s="91"/>
      <c r="I2453" s="92" t="s">
        <v>63</v>
      </c>
      <c r="J2453" s="90">
        <f t="shared" si="462"/>
        <v>0</v>
      </c>
      <c r="K2453" s="90">
        <f t="shared" si="463"/>
        <v>0</v>
      </c>
      <c r="L2453" s="90">
        <f t="shared" si="464"/>
        <v>0</v>
      </c>
      <c r="M2453" s="90">
        <f t="shared" si="465"/>
        <v>0</v>
      </c>
      <c r="N2453" s="90">
        <v>6.0000000000000001E-3</v>
      </c>
      <c r="O2453" s="90">
        <f t="shared" si="466"/>
        <v>0.21</v>
      </c>
      <c r="P2453" s="92" t="s">
        <v>64</v>
      </c>
      <c r="Z2453" s="93">
        <f t="shared" si="467"/>
        <v>0</v>
      </c>
      <c r="AB2453" s="93">
        <f t="shared" si="468"/>
        <v>0</v>
      </c>
      <c r="AC2453" s="93">
        <f t="shared" si="469"/>
        <v>0</v>
      </c>
      <c r="AD2453" s="93">
        <f t="shared" si="470"/>
        <v>0</v>
      </c>
      <c r="AE2453" s="93">
        <f t="shared" si="471"/>
        <v>0</v>
      </c>
      <c r="AF2453" s="93">
        <f t="shared" si="472"/>
        <v>0</v>
      </c>
      <c r="AG2453" s="93">
        <f t="shared" si="473"/>
        <v>0</v>
      </c>
      <c r="AH2453" s="93">
        <f t="shared" si="474"/>
        <v>0</v>
      </c>
      <c r="AI2453" s="88" t="s">
        <v>55</v>
      </c>
      <c r="AJ2453" s="93">
        <f t="shared" si="475"/>
        <v>0</v>
      </c>
      <c r="AK2453" s="93">
        <f t="shared" si="476"/>
        <v>0</v>
      </c>
      <c r="AL2453" s="93">
        <f t="shared" si="477"/>
        <v>0</v>
      </c>
      <c r="AN2453" s="93">
        <v>21</v>
      </c>
      <c r="AO2453" s="93">
        <f>H2453*0.559139506</f>
        <v>0</v>
      </c>
      <c r="AP2453" s="93">
        <f>H2453*(1-0.559139506)</f>
        <v>0</v>
      </c>
      <c r="AQ2453" s="94" t="s">
        <v>148</v>
      </c>
      <c r="AV2453" s="93">
        <f t="shared" si="478"/>
        <v>0</v>
      </c>
      <c r="AW2453" s="93">
        <f t="shared" si="479"/>
        <v>0</v>
      </c>
      <c r="AX2453" s="93">
        <f t="shared" si="480"/>
        <v>0</v>
      </c>
      <c r="AY2453" s="94" t="s">
        <v>3140</v>
      </c>
      <c r="AZ2453" s="94" t="s">
        <v>2936</v>
      </c>
      <c r="BA2453" s="88" t="s">
        <v>67</v>
      </c>
      <c r="BC2453" s="93">
        <f t="shared" si="481"/>
        <v>0</v>
      </c>
      <c r="BD2453" s="93">
        <f t="shared" si="482"/>
        <v>0</v>
      </c>
      <c r="BE2453" s="93">
        <v>0</v>
      </c>
      <c r="BF2453" s="93">
        <f t="shared" si="483"/>
        <v>0.21</v>
      </c>
      <c r="BH2453" s="93">
        <f t="shared" si="484"/>
        <v>0</v>
      </c>
      <c r="BI2453" s="93">
        <f t="shared" si="485"/>
        <v>0</v>
      </c>
      <c r="BJ2453" s="93">
        <f t="shared" si="486"/>
        <v>0</v>
      </c>
      <c r="BK2453" s="93"/>
      <c r="BL2453" s="93"/>
      <c r="BW2453" s="93" t="str">
        <f t="shared" si="487"/>
        <v>21</v>
      </c>
      <c r="BX2453" s="2" t="s">
        <v>3342</v>
      </c>
    </row>
    <row r="2454" spans="1:76" s="81" customFormat="1" ht="25.5" x14ac:dyDescent="0.25">
      <c r="A2454" s="72" t="s">
        <v>3343</v>
      </c>
      <c r="B2454" s="72" t="s">
        <v>55</v>
      </c>
      <c r="C2454" s="72" t="s">
        <v>3344</v>
      </c>
      <c r="D2454" s="175" t="s">
        <v>3345</v>
      </c>
      <c r="E2454" s="175"/>
      <c r="F2454" s="72" t="s">
        <v>213</v>
      </c>
      <c r="G2454" s="90">
        <v>30</v>
      </c>
      <c r="H2454" s="91"/>
      <c r="I2454" s="92" t="s">
        <v>63</v>
      </c>
      <c r="J2454" s="90">
        <f t="shared" si="462"/>
        <v>0</v>
      </c>
      <c r="K2454" s="90">
        <f t="shared" si="463"/>
        <v>0</v>
      </c>
      <c r="L2454" s="90">
        <f t="shared" si="464"/>
        <v>0</v>
      </c>
      <c r="M2454" s="90">
        <f t="shared" si="465"/>
        <v>0</v>
      </c>
      <c r="N2454" s="90">
        <v>1.6100000000000001E-3</v>
      </c>
      <c r="O2454" s="90">
        <f t="shared" si="466"/>
        <v>4.8300000000000003E-2</v>
      </c>
      <c r="P2454" s="92" t="s">
        <v>64</v>
      </c>
      <c r="Z2454" s="93">
        <f t="shared" si="467"/>
        <v>0</v>
      </c>
      <c r="AB2454" s="93">
        <f t="shared" si="468"/>
        <v>0</v>
      </c>
      <c r="AC2454" s="93">
        <f t="shared" si="469"/>
        <v>0</v>
      </c>
      <c r="AD2454" s="93">
        <f t="shared" si="470"/>
        <v>0</v>
      </c>
      <c r="AE2454" s="93">
        <f t="shared" si="471"/>
        <v>0</v>
      </c>
      <c r="AF2454" s="93">
        <f t="shared" si="472"/>
        <v>0</v>
      </c>
      <c r="AG2454" s="93">
        <f t="shared" si="473"/>
        <v>0</v>
      </c>
      <c r="AH2454" s="93">
        <f t="shared" si="474"/>
        <v>0</v>
      </c>
      <c r="AI2454" s="88" t="s">
        <v>55</v>
      </c>
      <c r="AJ2454" s="93">
        <f t="shared" si="475"/>
        <v>0</v>
      </c>
      <c r="AK2454" s="93">
        <f t="shared" si="476"/>
        <v>0</v>
      </c>
      <c r="AL2454" s="93">
        <f t="shared" si="477"/>
        <v>0</v>
      </c>
      <c r="AN2454" s="93">
        <v>21</v>
      </c>
      <c r="AO2454" s="93">
        <f>H2454*0.899322603</f>
        <v>0</v>
      </c>
      <c r="AP2454" s="93">
        <f>H2454*(1-0.899322603)</f>
        <v>0</v>
      </c>
      <c r="AQ2454" s="94" t="s">
        <v>148</v>
      </c>
      <c r="AV2454" s="93">
        <f t="shared" si="478"/>
        <v>0</v>
      </c>
      <c r="AW2454" s="93">
        <f t="shared" si="479"/>
        <v>0</v>
      </c>
      <c r="AX2454" s="93">
        <f t="shared" si="480"/>
        <v>0</v>
      </c>
      <c r="AY2454" s="94" t="s">
        <v>3140</v>
      </c>
      <c r="AZ2454" s="94" t="s">
        <v>2936</v>
      </c>
      <c r="BA2454" s="88" t="s">
        <v>67</v>
      </c>
      <c r="BC2454" s="93">
        <f t="shared" si="481"/>
        <v>0</v>
      </c>
      <c r="BD2454" s="93">
        <f t="shared" si="482"/>
        <v>0</v>
      </c>
      <c r="BE2454" s="93">
        <v>0</v>
      </c>
      <c r="BF2454" s="93">
        <f t="shared" si="483"/>
        <v>4.8300000000000003E-2</v>
      </c>
      <c r="BH2454" s="93">
        <f t="shared" si="484"/>
        <v>0</v>
      </c>
      <c r="BI2454" s="93">
        <f t="shared" si="485"/>
        <v>0</v>
      </c>
      <c r="BJ2454" s="93">
        <f t="shared" si="486"/>
        <v>0</v>
      </c>
      <c r="BK2454" s="93"/>
      <c r="BL2454" s="93"/>
      <c r="BW2454" s="93" t="str">
        <f t="shared" si="487"/>
        <v>21</v>
      </c>
      <c r="BX2454" s="2" t="s">
        <v>3345</v>
      </c>
    </row>
    <row r="2455" spans="1:76" s="81" customFormat="1" ht="25.5" x14ac:dyDescent="0.25">
      <c r="A2455" s="72" t="s">
        <v>3346</v>
      </c>
      <c r="B2455" s="72" t="s">
        <v>55</v>
      </c>
      <c r="C2455" s="72" t="s">
        <v>3347</v>
      </c>
      <c r="D2455" s="175" t="s">
        <v>3348</v>
      </c>
      <c r="E2455" s="175"/>
      <c r="F2455" s="72" t="s">
        <v>213</v>
      </c>
      <c r="G2455" s="90">
        <v>25</v>
      </c>
      <c r="H2455" s="91"/>
      <c r="I2455" s="92" t="s">
        <v>63</v>
      </c>
      <c r="J2455" s="90">
        <f t="shared" si="462"/>
        <v>0</v>
      </c>
      <c r="K2455" s="90">
        <f t="shared" si="463"/>
        <v>0</v>
      </c>
      <c r="L2455" s="90">
        <f t="shared" si="464"/>
        <v>0</v>
      </c>
      <c r="M2455" s="90">
        <f t="shared" si="465"/>
        <v>0</v>
      </c>
      <c r="N2455" s="90">
        <v>1.14E-3</v>
      </c>
      <c r="O2455" s="90">
        <f t="shared" si="466"/>
        <v>2.8499999999999998E-2</v>
      </c>
      <c r="P2455" s="92" t="s">
        <v>64</v>
      </c>
      <c r="Z2455" s="93">
        <f t="shared" si="467"/>
        <v>0</v>
      </c>
      <c r="AB2455" s="93">
        <f t="shared" si="468"/>
        <v>0</v>
      </c>
      <c r="AC2455" s="93">
        <f t="shared" si="469"/>
        <v>0</v>
      </c>
      <c r="AD2455" s="93">
        <f t="shared" si="470"/>
        <v>0</v>
      </c>
      <c r="AE2455" s="93">
        <f t="shared" si="471"/>
        <v>0</v>
      </c>
      <c r="AF2455" s="93">
        <f t="shared" si="472"/>
        <v>0</v>
      </c>
      <c r="AG2455" s="93">
        <f t="shared" si="473"/>
        <v>0</v>
      </c>
      <c r="AH2455" s="93">
        <f t="shared" si="474"/>
        <v>0</v>
      </c>
      <c r="AI2455" s="88" t="s">
        <v>55</v>
      </c>
      <c r="AJ2455" s="93">
        <f t="shared" si="475"/>
        <v>0</v>
      </c>
      <c r="AK2455" s="93">
        <f t="shared" si="476"/>
        <v>0</v>
      </c>
      <c r="AL2455" s="93">
        <f t="shared" si="477"/>
        <v>0</v>
      </c>
      <c r="AN2455" s="93">
        <v>21</v>
      </c>
      <c r="AO2455" s="93">
        <f>H2455*0.876032736</f>
        <v>0</v>
      </c>
      <c r="AP2455" s="93">
        <f>H2455*(1-0.876032736)</f>
        <v>0</v>
      </c>
      <c r="AQ2455" s="94" t="s">
        <v>148</v>
      </c>
      <c r="AV2455" s="93">
        <f t="shared" si="478"/>
        <v>0</v>
      </c>
      <c r="AW2455" s="93">
        <f t="shared" si="479"/>
        <v>0</v>
      </c>
      <c r="AX2455" s="93">
        <f t="shared" si="480"/>
        <v>0</v>
      </c>
      <c r="AY2455" s="94" t="s">
        <v>3140</v>
      </c>
      <c r="AZ2455" s="94" t="s">
        <v>2936</v>
      </c>
      <c r="BA2455" s="88" t="s">
        <v>67</v>
      </c>
      <c r="BC2455" s="93">
        <f t="shared" si="481"/>
        <v>0</v>
      </c>
      <c r="BD2455" s="93">
        <f t="shared" si="482"/>
        <v>0</v>
      </c>
      <c r="BE2455" s="93">
        <v>0</v>
      </c>
      <c r="BF2455" s="93">
        <f t="shared" si="483"/>
        <v>2.8499999999999998E-2</v>
      </c>
      <c r="BH2455" s="93">
        <f t="shared" si="484"/>
        <v>0</v>
      </c>
      <c r="BI2455" s="93">
        <f t="shared" si="485"/>
        <v>0</v>
      </c>
      <c r="BJ2455" s="93">
        <f t="shared" si="486"/>
        <v>0</v>
      </c>
      <c r="BK2455" s="93"/>
      <c r="BL2455" s="93"/>
      <c r="BW2455" s="93" t="str">
        <f t="shared" si="487"/>
        <v>21</v>
      </c>
      <c r="BX2455" s="2" t="s">
        <v>3348</v>
      </c>
    </row>
    <row r="2456" spans="1:76" s="81" customFormat="1" ht="25.5" x14ac:dyDescent="0.25">
      <c r="A2456" s="72" t="s">
        <v>3349</v>
      </c>
      <c r="B2456" s="72" t="s">
        <v>55</v>
      </c>
      <c r="C2456" s="72" t="s">
        <v>3350</v>
      </c>
      <c r="D2456" s="175" t="s">
        <v>3351</v>
      </c>
      <c r="E2456" s="175"/>
      <c r="F2456" s="72" t="s">
        <v>203</v>
      </c>
      <c r="G2456" s="90">
        <v>23</v>
      </c>
      <c r="H2456" s="91"/>
      <c r="I2456" s="92" t="s">
        <v>63</v>
      </c>
      <c r="J2456" s="90">
        <f t="shared" si="462"/>
        <v>0</v>
      </c>
      <c r="K2456" s="90">
        <f t="shared" si="463"/>
        <v>0</v>
      </c>
      <c r="L2456" s="90">
        <f t="shared" si="464"/>
        <v>0</v>
      </c>
      <c r="M2456" s="90">
        <f t="shared" si="465"/>
        <v>0</v>
      </c>
      <c r="N2456" s="90">
        <v>2.5999999999999998E-4</v>
      </c>
      <c r="O2456" s="90">
        <f t="shared" si="466"/>
        <v>5.9799999999999992E-3</v>
      </c>
      <c r="P2456" s="92" t="s">
        <v>64</v>
      </c>
      <c r="Z2456" s="93">
        <f t="shared" si="467"/>
        <v>0</v>
      </c>
      <c r="AB2456" s="93">
        <f t="shared" si="468"/>
        <v>0</v>
      </c>
      <c r="AC2456" s="93">
        <f t="shared" si="469"/>
        <v>0</v>
      </c>
      <c r="AD2456" s="93">
        <f t="shared" si="470"/>
        <v>0</v>
      </c>
      <c r="AE2456" s="93">
        <f t="shared" si="471"/>
        <v>0</v>
      </c>
      <c r="AF2456" s="93">
        <f t="shared" si="472"/>
        <v>0</v>
      </c>
      <c r="AG2456" s="93">
        <f t="shared" si="473"/>
        <v>0</v>
      </c>
      <c r="AH2456" s="93">
        <f t="shared" si="474"/>
        <v>0</v>
      </c>
      <c r="AI2456" s="88" t="s">
        <v>55</v>
      </c>
      <c r="AJ2456" s="93">
        <f t="shared" si="475"/>
        <v>0</v>
      </c>
      <c r="AK2456" s="93">
        <f t="shared" si="476"/>
        <v>0</v>
      </c>
      <c r="AL2456" s="93">
        <f t="shared" si="477"/>
        <v>0</v>
      </c>
      <c r="AN2456" s="93">
        <v>21</v>
      </c>
      <c r="AO2456" s="93">
        <f>H2456*0.813333333</f>
        <v>0</v>
      </c>
      <c r="AP2456" s="93">
        <f>H2456*(1-0.813333333)</f>
        <v>0</v>
      </c>
      <c r="AQ2456" s="94" t="s">
        <v>148</v>
      </c>
      <c r="AV2456" s="93">
        <f t="shared" si="478"/>
        <v>0</v>
      </c>
      <c r="AW2456" s="93">
        <f t="shared" si="479"/>
        <v>0</v>
      </c>
      <c r="AX2456" s="93">
        <f t="shared" si="480"/>
        <v>0</v>
      </c>
      <c r="AY2456" s="94" t="s">
        <v>3140</v>
      </c>
      <c r="AZ2456" s="94" t="s">
        <v>2936</v>
      </c>
      <c r="BA2456" s="88" t="s">
        <v>67</v>
      </c>
      <c r="BC2456" s="93">
        <f t="shared" si="481"/>
        <v>0</v>
      </c>
      <c r="BD2456" s="93">
        <f t="shared" si="482"/>
        <v>0</v>
      </c>
      <c r="BE2456" s="93">
        <v>0</v>
      </c>
      <c r="BF2456" s="93">
        <f t="shared" si="483"/>
        <v>5.9799999999999992E-3</v>
      </c>
      <c r="BH2456" s="93">
        <f t="shared" si="484"/>
        <v>0</v>
      </c>
      <c r="BI2456" s="93">
        <f t="shared" si="485"/>
        <v>0</v>
      </c>
      <c r="BJ2456" s="93">
        <f t="shared" si="486"/>
        <v>0</v>
      </c>
      <c r="BK2456" s="93"/>
      <c r="BL2456" s="93"/>
      <c r="BW2456" s="93" t="str">
        <f t="shared" si="487"/>
        <v>21</v>
      </c>
      <c r="BX2456" s="2" t="s">
        <v>3351</v>
      </c>
    </row>
    <row r="2457" spans="1:76" s="81" customFormat="1" ht="25.5" x14ac:dyDescent="0.25">
      <c r="A2457" s="72" t="s">
        <v>3352</v>
      </c>
      <c r="B2457" s="72" t="s">
        <v>55</v>
      </c>
      <c r="C2457" s="72" t="s">
        <v>3353</v>
      </c>
      <c r="D2457" s="175" t="s">
        <v>3354</v>
      </c>
      <c r="E2457" s="175"/>
      <c r="F2457" s="72" t="s">
        <v>203</v>
      </c>
      <c r="G2457" s="90">
        <v>7</v>
      </c>
      <c r="H2457" s="91"/>
      <c r="I2457" s="92" t="s">
        <v>63</v>
      </c>
      <c r="J2457" s="90">
        <f t="shared" si="462"/>
        <v>0</v>
      </c>
      <c r="K2457" s="90">
        <f t="shared" si="463"/>
        <v>0</v>
      </c>
      <c r="L2457" s="90">
        <f t="shared" si="464"/>
        <v>0</v>
      </c>
      <c r="M2457" s="90">
        <f t="shared" si="465"/>
        <v>0</v>
      </c>
      <c r="N2457" s="90">
        <v>3.8999999999999999E-4</v>
      </c>
      <c r="O2457" s="90">
        <f t="shared" si="466"/>
        <v>2.7299999999999998E-3</v>
      </c>
      <c r="P2457" s="92" t="s">
        <v>64</v>
      </c>
      <c r="Z2457" s="93">
        <f t="shared" si="467"/>
        <v>0</v>
      </c>
      <c r="AB2457" s="93">
        <f t="shared" si="468"/>
        <v>0</v>
      </c>
      <c r="AC2457" s="93">
        <f t="shared" si="469"/>
        <v>0</v>
      </c>
      <c r="AD2457" s="93">
        <f t="shared" si="470"/>
        <v>0</v>
      </c>
      <c r="AE2457" s="93">
        <f t="shared" si="471"/>
        <v>0</v>
      </c>
      <c r="AF2457" s="93">
        <f t="shared" si="472"/>
        <v>0</v>
      </c>
      <c r="AG2457" s="93">
        <f t="shared" si="473"/>
        <v>0</v>
      </c>
      <c r="AH2457" s="93">
        <f t="shared" si="474"/>
        <v>0</v>
      </c>
      <c r="AI2457" s="88" t="s">
        <v>55</v>
      </c>
      <c r="AJ2457" s="93">
        <f t="shared" si="475"/>
        <v>0</v>
      </c>
      <c r="AK2457" s="93">
        <f t="shared" si="476"/>
        <v>0</v>
      </c>
      <c r="AL2457" s="93">
        <f t="shared" si="477"/>
        <v>0</v>
      </c>
      <c r="AN2457" s="93">
        <v>21</v>
      </c>
      <c r="AO2457" s="93">
        <f>H2457*0.819752705</f>
        <v>0</v>
      </c>
      <c r="AP2457" s="93">
        <f>H2457*(1-0.819752705)</f>
        <v>0</v>
      </c>
      <c r="AQ2457" s="94" t="s">
        <v>148</v>
      </c>
      <c r="AV2457" s="93">
        <f t="shared" si="478"/>
        <v>0</v>
      </c>
      <c r="AW2457" s="93">
        <f t="shared" si="479"/>
        <v>0</v>
      </c>
      <c r="AX2457" s="93">
        <f t="shared" si="480"/>
        <v>0</v>
      </c>
      <c r="AY2457" s="94" t="s">
        <v>3140</v>
      </c>
      <c r="AZ2457" s="94" t="s">
        <v>2936</v>
      </c>
      <c r="BA2457" s="88" t="s">
        <v>67</v>
      </c>
      <c r="BC2457" s="93">
        <f t="shared" si="481"/>
        <v>0</v>
      </c>
      <c r="BD2457" s="93">
        <f t="shared" si="482"/>
        <v>0</v>
      </c>
      <c r="BE2457" s="93">
        <v>0</v>
      </c>
      <c r="BF2457" s="93">
        <f t="shared" si="483"/>
        <v>2.7299999999999998E-3</v>
      </c>
      <c r="BH2457" s="93">
        <f t="shared" si="484"/>
        <v>0</v>
      </c>
      <c r="BI2457" s="93">
        <f t="shared" si="485"/>
        <v>0</v>
      </c>
      <c r="BJ2457" s="93">
        <f t="shared" si="486"/>
        <v>0</v>
      </c>
      <c r="BK2457" s="93"/>
      <c r="BL2457" s="93"/>
      <c r="BW2457" s="93" t="str">
        <f t="shared" si="487"/>
        <v>21</v>
      </c>
      <c r="BX2457" s="2" t="s">
        <v>3354</v>
      </c>
    </row>
    <row r="2458" spans="1:76" s="81" customFormat="1" ht="25.5" x14ac:dyDescent="0.25">
      <c r="A2458" s="72" t="s">
        <v>3355</v>
      </c>
      <c r="B2458" s="72" t="s">
        <v>55</v>
      </c>
      <c r="C2458" s="72" t="s">
        <v>3356</v>
      </c>
      <c r="D2458" s="175" t="s">
        <v>3357</v>
      </c>
      <c r="E2458" s="175"/>
      <c r="F2458" s="72" t="s">
        <v>203</v>
      </c>
      <c r="G2458" s="90">
        <v>1</v>
      </c>
      <c r="H2458" s="91"/>
      <c r="I2458" s="92" t="s">
        <v>63</v>
      </c>
      <c r="J2458" s="90">
        <f t="shared" si="462"/>
        <v>0</v>
      </c>
      <c r="K2458" s="90">
        <f t="shared" si="463"/>
        <v>0</v>
      </c>
      <c r="L2458" s="90">
        <f t="shared" si="464"/>
        <v>0</v>
      </c>
      <c r="M2458" s="90">
        <f t="shared" si="465"/>
        <v>0</v>
      </c>
      <c r="N2458" s="90">
        <v>1.0399999999999999E-3</v>
      </c>
      <c r="O2458" s="90">
        <f t="shared" si="466"/>
        <v>1.0399999999999999E-3</v>
      </c>
      <c r="P2458" s="92" t="s">
        <v>64</v>
      </c>
      <c r="Z2458" s="93">
        <f t="shared" si="467"/>
        <v>0</v>
      </c>
      <c r="AB2458" s="93">
        <f t="shared" si="468"/>
        <v>0</v>
      </c>
      <c r="AC2458" s="93">
        <f t="shared" si="469"/>
        <v>0</v>
      </c>
      <c r="AD2458" s="93">
        <f t="shared" si="470"/>
        <v>0</v>
      </c>
      <c r="AE2458" s="93">
        <f t="shared" si="471"/>
        <v>0</v>
      </c>
      <c r="AF2458" s="93">
        <f t="shared" si="472"/>
        <v>0</v>
      </c>
      <c r="AG2458" s="93">
        <f t="shared" si="473"/>
        <v>0</v>
      </c>
      <c r="AH2458" s="93">
        <f t="shared" si="474"/>
        <v>0</v>
      </c>
      <c r="AI2458" s="88" t="s">
        <v>55</v>
      </c>
      <c r="AJ2458" s="93">
        <f t="shared" si="475"/>
        <v>0</v>
      </c>
      <c r="AK2458" s="93">
        <f t="shared" si="476"/>
        <v>0</v>
      </c>
      <c r="AL2458" s="93">
        <f t="shared" si="477"/>
        <v>0</v>
      </c>
      <c r="AN2458" s="93">
        <v>21</v>
      </c>
      <c r="AO2458" s="93">
        <f>H2458*0.859239436</f>
        <v>0</v>
      </c>
      <c r="AP2458" s="93">
        <f>H2458*(1-0.859239436)</f>
        <v>0</v>
      </c>
      <c r="AQ2458" s="94" t="s">
        <v>148</v>
      </c>
      <c r="AV2458" s="93">
        <f t="shared" si="478"/>
        <v>0</v>
      </c>
      <c r="AW2458" s="93">
        <f t="shared" si="479"/>
        <v>0</v>
      </c>
      <c r="AX2458" s="93">
        <f t="shared" si="480"/>
        <v>0</v>
      </c>
      <c r="AY2458" s="94" t="s">
        <v>3140</v>
      </c>
      <c r="AZ2458" s="94" t="s">
        <v>2936</v>
      </c>
      <c r="BA2458" s="88" t="s">
        <v>67</v>
      </c>
      <c r="BC2458" s="93">
        <f t="shared" si="481"/>
        <v>0</v>
      </c>
      <c r="BD2458" s="93">
        <f t="shared" si="482"/>
        <v>0</v>
      </c>
      <c r="BE2458" s="93">
        <v>0</v>
      </c>
      <c r="BF2458" s="93">
        <f t="shared" si="483"/>
        <v>1.0399999999999999E-3</v>
      </c>
      <c r="BH2458" s="93">
        <f t="shared" si="484"/>
        <v>0</v>
      </c>
      <c r="BI2458" s="93">
        <f t="shared" si="485"/>
        <v>0</v>
      </c>
      <c r="BJ2458" s="93">
        <f t="shared" si="486"/>
        <v>0</v>
      </c>
      <c r="BK2458" s="93"/>
      <c r="BL2458" s="93"/>
      <c r="BW2458" s="93" t="str">
        <f t="shared" si="487"/>
        <v>21</v>
      </c>
      <c r="BX2458" s="2" t="s">
        <v>3357</v>
      </c>
    </row>
    <row r="2459" spans="1:76" s="81" customFormat="1" ht="25.5" x14ac:dyDescent="0.25">
      <c r="A2459" s="72" t="s">
        <v>3358</v>
      </c>
      <c r="B2459" s="72" t="s">
        <v>55</v>
      </c>
      <c r="C2459" s="72" t="s">
        <v>3359</v>
      </c>
      <c r="D2459" s="175" t="s">
        <v>3360</v>
      </c>
      <c r="E2459" s="175"/>
      <c r="F2459" s="72" t="s">
        <v>203</v>
      </c>
      <c r="G2459" s="90">
        <v>3</v>
      </c>
      <c r="H2459" s="91"/>
      <c r="I2459" s="92" t="s">
        <v>63</v>
      </c>
      <c r="J2459" s="90">
        <f t="shared" si="462"/>
        <v>0</v>
      </c>
      <c r="K2459" s="90">
        <f t="shared" si="463"/>
        <v>0</v>
      </c>
      <c r="L2459" s="90">
        <f t="shared" si="464"/>
        <v>0</v>
      </c>
      <c r="M2459" s="90">
        <f t="shared" si="465"/>
        <v>0</v>
      </c>
      <c r="N2459" s="90">
        <v>6.8000000000000005E-4</v>
      </c>
      <c r="O2459" s="90">
        <f t="shared" si="466"/>
        <v>2.0400000000000001E-3</v>
      </c>
      <c r="P2459" s="92" t="s">
        <v>64</v>
      </c>
      <c r="Z2459" s="93">
        <f t="shared" si="467"/>
        <v>0</v>
      </c>
      <c r="AB2459" s="93">
        <f t="shared" si="468"/>
        <v>0</v>
      </c>
      <c r="AC2459" s="93">
        <f t="shared" si="469"/>
        <v>0</v>
      </c>
      <c r="AD2459" s="93">
        <f t="shared" si="470"/>
        <v>0</v>
      </c>
      <c r="AE2459" s="93">
        <f t="shared" si="471"/>
        <v>0</v>
      </c>
      <c r="AF2459" s="93">
        <f t="shared" si="472"/>
        <v>0</v>
      </c>
      <c r="AG2459" s="93">
        <f t="shared" si="473"/>
        <v>0</v>
      </c>
      <c r="AH2459" s="93">
        <f t="shared" si="474"/>
        <v>0</v>
      </c>
      <c r="AI2459" s="88" t="s">
        <v>55</v>
      </c>
      <c r="AJ2459" s="93">
        <f t="shared" si="475"/>
        <v>0</v>
      </c>
      <c r="AK2459" s="93">
        <f t="shared" si="476"/>
        <v>0</v>
      </c>
      <c r="AL2459" s="93">
        <f t="shared" si="477"/>
        <v>0</v>
      </c>
      <c r="AN2459" s="93">
        <v>21</v>
      </c>
      <c r="AO2459" s="93">
        <f>H2459*0.843601651</f>
        <v>0</v>
      </c>
      <c r="AP2459" s="93">
        <f>H2459*(1-0.843601651)</f>
        <v>0</v>
      </c>
      <c r="AQ2459" s="94" t="s">
        <v>148</v>
      </c>
      <c r="AV2459" s="93">
        <f t="shared" si="478"/>
        <v>0</v>
      </c>
      <c r="AW2459" s="93">
        <f t="shared" si="479"/>
        <v>0</v>
      </c>
      <c r="AX2459" s="93">
        <f t="shared" si="480"/>
        <v>0</v>
      </c>
      <c r="AY2459" s="94" t="s">
        <v>3140</v>
      </c>
      <c r="AZ2459" s="94" t="s">
        <v>2936</v>
      </c>
      <c r="BA2459" s="88" t="s">
        <v>67</v>
      </c>
      <c r="BC2459" s="93">
        <f t="shared" si="481"/>
        <v>0</v>
      </c>
      <c r="BD2459" s="93">
        <f t="shared" si="482"/>
        <v>0</v>
      </c>
      <c r="BE2459" s="93">
        <v>0</v>
      </c>
      <c r="BF2459" s="93">
        <f t="shared" si="483"/>
        <v>2.0400000000000001E-3</v>
      </c>
      <c r="BH2459" s="93">
        <f t="shared" si="484"/>
        <v>0</v>
      </c>
      <c r="BI2459" s="93">
        <f t="shared" si="485"/>
        <v>0</v>
      </c>
      <c r="BJ2459" s="93">
        <f t="shared" si="486"/>
        <v>0</v>
      </c>
      <c r="BK2459" s="93"/>
      <c r="BL2459" s="93"/>
      <c r="BW2459" s="93" t="str">
        <f t="shared" si="487"/>
        <v>21</v>
      </c>
      <c r="BX2459" s="2" t="s">
        <v>3360</v>
      </c>
    </row>
    <row r="2460" spans="1:76" s="81" customFormat="1" ht="25.5" x14ac:dyDescent="0.25">
      <c r="A2460" s="72" t="s">
        <v>3361</v>
      </c>
      <c r="B2460" s="72" t="s">
        <v>55</v>
      </c>
      <c r="C2460" s="72" t="s">
        <v>3362</v>
      </c>
      <c r="D2460" s="175" t="s">
        <v>3363</v>
      </c>
      <c r="E2460" s="175"/>
      <c r="F2460" s="72" t="s">
        <v>203</v>
      </c>
      <c r="G2460" s="90">
        <v>2</v>
      </c>
      <c r="H2460" s="91"/>
      <c r="I2460" s="92" t="s">
        <v>63</v>
      </c>
      <c r="J2460" s="90">
        <f t="shared" si="462"/>
        <v>0</v>
      </c>
      <c r="K2460" s="90">
        <f t="shared" si="463"/>
        <v>0</v>
      </c>
      <c r="L2460" s="90">
        <f t="shared" si="464"/>
        <v>0</v>
      </c>
      <c r="M2460" s="90">
        <f t="shared" si="465"/>
        <v>0</v>
      </c>
      <c r="N2460" s="90">
        <v>3.1E-4</v>
      </c>
      <c r="O2460" s="90">
        <f t="shared" si="466"/>
        <v>6.2E-4</v>
      </c>
      <c r="P2460" s="92" t="s">
        <v>64</v>
      </c>
      <c r="Z2460" s="93">
        <f t="shared" si="467"/>
        <v>0</v>
      </c>
      <c r="AB2460" s="93">
        <f t="shared" si="468"/>
        <v>0</v>
      </c>
      <c r="AC2460" s="93">
        <f t="shared" si="469"/>
        <v>0</v>
      </c>
      <c r="AD2460" s="93">
        <f t="shared" si="470"/>
        <v>0</v>
      </c>
      <c r="AE2460" s="93">
        <f t="shared" si="471"/>
        <v>0</v>
      </c>
      <c r="AF2460" s="93">
        <f t="shared" si="472"/>
        <v>0</v>
      </c>
      <c r="AG2460" s="93">
        <f t="shared" si="473"/>
        <v>0</v>
      </c>
      <c r="AH2460" s="93">
        <f t="shared" si="474"/>
        <v>0</v>
      </c>
      <c r="AI2460" s="88" t="s">
        <v>55</v>
      </c>
      <c r="AJ2460" s="93">
        <f t="shared" si="475"/>
        <v>0</v>
      </c>
      <c r="AK2460" s="93">
        <f t="shared" si="476"/>
        <v>0</v>
      </c>
      <c r="AL2460" s="93">
        <f t="shared" si="477"/>
        <v>0</v>
      </c>
      <c r="AN2460" s="93">
        <v>21</v>
      </c>
      <c r="AO2460" s="93">
        <f>H2460*0.759546392</f>
        <v>0</v>
      </c>
      <c r="AP2460" s="93">
        <f>H2460*(1-0.759546392)</f>
        <v>0</v>
      </c>
      <c r="AQ2460" s="94" t="s">
        <v>148</v>
      </c>
      <c r="AV2460" s="93">
        <f t="shared" si="478"/>
        <v>0</v>
      </c>
      <c r="AW2460" s="93">
        <f t="shared" si="479"/>
        <v>0</v>
      </c>
      <c r="AX2460" s="93">
        <f t="shared" si="480"/>
        <v>0</v>
      </c>
      <c r="AY2460" s="94" t="s">
        <v>3140</v>
      </c>
      <c r="AZ2460" s="94" t="s">
        <v>2936</v>
      </c>
      <c r="BA2460" s="88" t="s">
        <v>67</v>
      </c>
      <c r="BC2460" s="93">
        <f t="shared" si="481"/>
        <v>0</v>
      </c>
      <c r="BD2460" s="93">
        <f t="shared" si="482"/>
        <v>0</v>
      </c>
      <c r="BE2460" s="93">
        <v>0</v>
      </c>
      <c r="BF2460" s="93">
        <f t="shared" si="483"/>
        <v>6.2E-4</v>
      </c>
      <c r="BH2460" s="93">
        <f t="shared" si="484"/>
        <v>0</v>
      </c>
      <c r="BI2460" s="93">
        <f t="shared" si="485"/>
        <v>0</v>
      </c>
      <c r="BJ2460" s="93">
        <f t="shared" si="486"/>
        <v>0</v>
      </c>
      <c r="BK2460" s="93"/>
      <c r="BL2460" s="93"/>
      <c r="BW2460" s="93" t="str">
        <f t="shared" si="487"/>
        <v>21</v>
      </c>
      <c r="BX2460" s="2" t="s">
        <v>3363</v>
      </c>
    </row>
    <row r="2461" spans="1:76" s="81" customFormat="1" ht="25.5" x14ac:dyDescent="0.25">
      <c r="A2461" s="72" t="s">
        <v>3364</v>
      </c>
      <c r="B2461" s="72" t="s">
        <v>55</v>
      </c>
      <c r="C2461" s="72" t="s">
        <v>3365</v>
      </c>
      <c r="D2461" s="175" t="s">
        <v>3366</v>
      </c>
      <c r="E2461" s="175"/>
      <c r="F2461" s="72" t="s">
        <v>203</v>
      </c>
      <c r="G2461" s="90">
        <v>1</v>
      </c>
      <c r="H2461" s="91"/>
      <c r="I2461" s="92" t="s">
        <v>63</v>
      </c>
      <c r="J2461" s="90">
        <f t="shared" si="462"/>
        <v>0</v>
      </c>
      <c r="K2461" s="90">
        <f t="shared" si="463"/>
        <v>0</v>
      </c>
      <c r="L2461" s="90">
        <f t="shared" si="464"/>
        <v>0</v>
      </c>
      <c r="M2461" s="90">
        <f t="shared" si="465"/>
        <v>0</v>
      </c>
      <c r="N2461" s="90">
        <v>1.8000000000000001E-4</v>
      </c>
      <c r="O2461" s="90">
        <f t="shared" si="466"/>
        <v>1.8000000000000001E-4</v>
      </c>
      <c r="P2461" s="92" t="s">
        <v>64</v>
      </c>
      <c r="Z2461" s="93">
        <f t="shared" si="467"/>
        <v>0</v>
      </c>
      <c r="AB2461" s="93">
        <f t="shared" si="468"/>
        <v>0</v>
      </c>
      <c r="AC2461" s="93">
        <f t="shared" si="469"/>
        <v>0</v>
      </c>
      <c r="AD2461" s="93">
        <f t="shared" si="470"/>
        <v>0</v>
      </c>
      <c r="AE2461" s="93">
        <f t="shared" si="471"/>
        <v>0</v>
      </c>
      <c r="AF2461" s="93">
        <f t="shared" si="472"/>
        <v>0</v>
      </c>
      <c r="AG2461" s="93">
        <f t="shared" si="473"/>
        <v>0</v>
      </c>
      <c r="AH2461" s="93">
        <f t="shared" si="474"/>
        <v>0</v>
      </c>
      <c r="AI2461" s="88" t="s">
        <v>55</v>
      </c>
      <c r="AJ2461" s="93">
        <f t="shared" si="475"/>
        <v>0</v>
      </c>
      <c r="AK2461" s="93">
        <f t="shared" si="476"/>
        <v>0</v>
      </c>
      <c r="AL2461" s="93">
        <f t="shared" si="477"/>
        <v>0</v>
      </c>
      <c r="AN2461" s="93">
        <v>21</v>
      </c>
      <c r="AO2461" s="93">
        <f>H2461*0.718729198</f>
        <v>0</v>
      </c>
      <c r="AP2461" s="93">
        <f>H2461*(1-0.718729198)</f>
        <v>0</v>
      </c>
      <c r="AQ2461" s="94" t="s">
        <v>148</v>
      </c>
      <c r="AV2461" s="93">
        <f t="shared" si="478"/>
        <v>0</v>
      </c>
      <c r="AW2461" s="93">
        <f t="shared" si="479"/>
        <v>0</v>
      </c>
      <c r="AX2461" s="93">
        <f t="shared" si="480"/>
        <v>0</v>
      </c>
      <c r="AY2461" s="94" t="s">
        <v>3140</v>
      </c>
      <c r="AZ2461" s="94" t="s">
        <v>2936</v>
      </c>
      <c r="BA2461" s="88" t="s">
        <v>67</v>
      </c>
      <c r="BC2461" s="93">
        <f t="shared" si="481"/>
        <v>0</v>
      </c>
      <c r="BD2461" s="93">
        <f t="shared" si="482"/>
        <v>0</v>
      </c>
      <c r="BE2461" s="93">
        <v>0</v>
      </c>
      <c r="BF2461" s="93">
        <f t="shared" si="483"/>
        <v>1.8000000000000001E-4</v>
      </c>
      <c r="BH2461" s="93">
        <f t="shared" si="484"/>
        <v>0</v>
      </c>
      <c r="BI2461" s="93">
        <f t="shared" si="485"/>
        <v>0</v>
      </c>
      <c r="BJ2461" s="93">
        <f t="shared" si="486"/>
        <v>0</v>
      </c>
      <c r="BK2461" s="93"/>
      <c r="BL2461" s="93"/>
      <c r="BW2461" s="93" t="str">
        <f t="shared" si="487"/>
        <v>21</v>
      </c>
      <c r="BX2461" s="2" t="s">
        <v>3366</v>
      </c>
    </row>
    <row r="2462" spans="1:76" s="81" customFormat="1" ht="25.5" x14ac:dyDescent="0.25">
      <c r="A2462" s="72" t="s">
        <v>3367</v>
      </c>
      <c r="B2462" s="72" t="s">
        <v>55</v>
      </c>
      <c r="C2462" s="72" t="s">
        <v>3368</v>
      </c>
      <c r="D2462" s="175" t="s">
        <v>3369</v>
      </c>
      <c r="E2462" s="175"/>
      <c r="F2462" s="72" t="s">
        <v>203</v>
      </c>
      <c r="G2462" s="90">
        <v>1</v>
      </c>
      <c r="H2462" s="91"/>
      <c r="I2462" s="92" t="s">
        <v>63</v>
      </c>
      <c r="J2462" s="90">
        <f t="shared" si="462"/>
        <v>0</v>
      </c>
      <c r="K2462" s="90">
        <f t="shared" si="463"/>
        <v>0</v>
      </c>
      <c r="L2462" s="90">
        <f t="shared" si="464"/>
        <v>0</v>
      </c>
      <c r="M2462" s="90">
        <f t="shared" si="465"/>
        <v>0</v>
      </c>
      <c r="N2462" s="90">
        <v>1.6000000000000001E-3</v>
      </c>
      <c r="O2462" s="90">
        <f t="shared" si="466"/>
        <v>1.6000000000000001E-3</v>
      </c>
      <c r="P2462" s="92" t="s">
        <v>64</v>
      </c>
      <c r="Z2462" s="93">
        <f t="shared" si="467"/>
        <v>0</v>
      </c>
      <c r="AB2462" s="93">
        <f t="shared" si="468"/>
        <v>0</v>
      </c>
      <c r="AC2462" s="93">
        <f t="shared" si="469"/>
        <v>0</v>
      </c>
      <c r="AD2462" s="93">
        <f t="shared" si="470"/>
        <v>0</v>
      </c>
      <c r="AE2462" s="93">
        <f t="shared" si="471"/>
        <v>0</v>
      </c>
      <c r="AF2462" s="93">
        <f t="shared" si="472"/>
        <v>0</v>
      </c>
      <c r="AG2462" s="93">
        <f t="shared" si="473"/>
        <v>0</v>
      </c>
      <c r="AH2462" s="93">
        <f t="shared" si="474"/>
        <v>0</v>
      </c>
      <c r="AI2462" s="88" t="s">
        <v>55</v>
      </c>
      <c r="AJ2462" s="93">
        <f t="shared" si="475"/>
        <v>0</v>
      </c>
      <c r="AK2462" s="93">
        <f t="shared" si="476"/>
        <v>0</v>
      </c>
      <c r="AL2462" s="93">
        <f t="shared" si="477"/>
        <v>0</v>
      </c>
      <c r="AN2462" s="93">
        <v>21</v>
      </c>
      <c r="AO2462" s="93">
        <f>H2462*0.959786207</f>
        <v>0</v>
      </c>
      <c r="AP2462" s="93">
        <f>H2462*(1-0.959786207)</f>
        <v>0</v>
      </c>
      <c r="AQ2462" s="94" t="s">
        <v>148</v>
      </c>
      <c r="AV2462" s="93">
        <f t="shared" si="478"/>
        <v>0</v>
      </c>
      <c r="AW2462" s="93">
        <f t="shared" si="479"/>
        <v>0</v>
      </c>
      <c r="AX2462" s="93">
        <f t="shared" si="480"/>
        <v>0</v>
      </c>
      <c r="AY2462" s="94" t="s">
        <v>3140</v>
      </c>
      <c r="AZ2462" s="94" t="s">
        <v>2936</v>
      </c>
      <c r="BA2462" s="88" t="s">
        <v>67</v>
      </c>
      <c r="BC2462" s="93">
        <f t="shared" si="481"/>
        <v>0</v>
      </c>
      <c r="BD2462" s="93">
        <f t="shared" si="482"/>
        <v>0</v>
      </c>
      <c r="BE2462" s="93">
        <v>0</v>
      </c>
      <c r="BF2462" s="93">
        <f t="shared" si="483"/>
        <v>1.6000000000000001E-3</v>
      </c>
      <c r="BH2462" s="93">
        <f t="shared" si="484"/>
        <v>0</v>
      </c>
      <c r="BI2462" s="93">
        <f t="shared" si="485"/>
        <v>0</v>
      </c>
      <c r="BJ2462" s="93">
        <f t="shared" si="486"/>
        <v>0</v>
      </c>
      <c r="BK2462" s="93"/>
      <c r="BL2462" s="93"/>
      <c r="BW2462" s="93" t="str">
        <f t="shared" si="487"/>
        <v>21</v>
      </c>
      <c r="BX2462" s="2" t="s">
        <v>3369</v>
      </c>
    </row>
    <row r="2463" spans="1:76" s="81" customFormat="1" ht="25.5" x14ac:dyDescent="0.25">
      <c r="A2463" s="72" t="s">
        <v>3370</v>
      </c>
      <c r="B2463" s="72" t="s">
        <v>55</v>
      </c>
      <c r="C2463" s="72" t="s">
        <v>3371</v>
      </c>
      <c r="D2463" s="175" t="s">
        <v>3372</v>
      </c>
      <c r="E2463" s="175"/>
      <c r="F2463" s="72" t="s">
        <v>203</v>
      </c>
      <c r="G2463" s="90">
        <v>6</v>
      </c>
      <c r="H2463" s="91"/>
      <c r="I2463" s="92" t="s">
        <v>63</v>
      </c>
      <c r="J2463" s="90">
        <f t="shared" si="462"/>
        <v>0</v>
      </c>
      <c r="K2463" s="90">
        <f t="shared" si="463"/>
        <v>0</v>
      </c>
      <c r="L2463" s="90">
        <f t="shared" si="464"/>
        <v>0</v>
      </c>
      <c r="M2463" s="90">
        <f t="shared" si="465"/>
        <v>0</v>
      </c>
      <c r="N2463" s="90">
        <v>1.9000000000000001E-4</v>
      </c>
      <c r="O2463" s="90">
        <f t="shared" si="466"/>
        <v>1.14E-3</v>
      </c>
      <c r="P2463" s="92" t="s">
        <v>64</v>
      </c>
      <c r="Z2463" s="93">
        <f t="shared" si="467"/>
        <v>0</v>
      </c>
      <c r="AB2463" s="93">
        <f t="shared" si="468"/>
        <v>0</v>
      </c>
      <c r="AC2463" s="93">
        <f t="shared" si="469"/>
        <v>0</v>
      </c>
      <c r="AD2463" s="93">
        <f t="shared" si="470"/>
        <v>0</v>
      </c>
      <c r="AE2463" s="93">
        <f t="shared" si="471"/>
        <v>0</v>
      </c>
      <c r="AF2463" s="93">
        <f t="shared" si="472"/>
        <v>0</v>
      </c>
      <c r="AG2463" s="93">
        <f t="shared" si="473"/>
        <v>0</v>
      </c>
      <c r="AH2463" s="93">
        <f t="shared" si="474"/>
        <v>0</v>
      </c>
      <c r="AI2463" s="88" t="s">
        <v>55</v>
      </c>
      <c r="AJ2463" s="93">
        <f t="shared" si="475"/>
        <v>0</v>
      </c>
      <c r="AK2463" s="93">
        <f t="shared" si="476"/>
        <v>0</v>
      </c>
      <c r="AL2463" s="93">
        <f t="shared" si="477"/>
        <v>0</v>
      </c>
      <c r="AN2463" s="93">
        <v>21</v>
      </c>
      <c r="AO2463" s="93">
        <f>H2463*0.856779687</f>
        <v>0</v>
      </c>
      <c r="AP2463" s="93">
        <f>H2463*(1-0.856779687)</f>
        <v>0</v>
      </c>
      <c r="AQ2463" s="94" t="s">
        <v>148</v>
      </c>
      <c r="AV2463" s="93">
        <f t="shared" si="478"/>
        <v>0</v>
      </c>
      <c r="AW2463" s="93">
        <f t="shared" si="479"/>
        <v>0</v>
      </c>
      <c r="AX2463" s="93">
        <f t="shared" si="480"/>
        <v>0</v>
      </c>
      <c r="AY2463" s="94" t="s">
        <v>3140</v>
      </c>
      <c r="AZ2463" s="94" t="s">
        <v>2936</v>
      </c>
      <c r="BA2463" s="88" t="s">
        <v>67</v>
      </c>
      <c r="BC2463" s="93">
        <f t="shared" si="481"/>
        <v>0</v>
      </c>
      <c r="BD2463" s="93">
        <f t="shared" si="482"/>
        <v>0</v>
      </c>
      <c r="BE2463" s="93">
        <v>0</v>
      </c>
      <c r="BF2463" s="93">
        <f t="shared" si="483"/>
        <v>1.14E-3</v>
      </c>
      <c r="BH2463" s="93">
        <f t="shared" si="484"/>
        <v>0</v>
      </c>
      <c r="BI2463" s="93">
        <f t="shared" si="485"/>
        <v>0</v>
      </c>
      <c r="BJ2463" s="93">
        <f t="shared" si="486"/>
        <v>0</v>
      </c>
      <c r="BK2463" s="93"/>
      <c r="BL2463" s="93"/>
      <c r="BW2463" s="93" t="str">
        <f t="shared" si="487"/>
        <v>21</v>
      </c>
      <c r="BX2463" s="2" t="s">
        <v>3372</v>
      </c>
    </row>
    <row r="2464" spans="1:76" s="81" customFormat="1" ht="25.5" x14ac:dyDescent="0.25">
      <c r="A2464" s="72" t="s">
        <v>3373</v>
      </c>
      <c r="B2464" s="72" t="s">
        <v>55</v>
      </c>
      <c r="C2464" s="72" t="s">
        <v>3374</v>
      </c>
      <c r="D2464" s="175" t="s">
        <v>3375</v>
      </c>
      <c r="E2464" s="175"/>
      <c r="F2464" s="72" t="s">
        <v>203</v>
      </c>
      <c r="G2464" s="90">
        <v>3</v>
      </c>
      <c r="H2464" s="91"/>
      <c r="I2464" s="92" t="s">
        <v>63</v>
      </c>
      <c r="J2464" s="90">
        <f t="shared" si="462"/>
        <v>0</v>
      </c>
      <c r="K2464" s="90">
        <f t="shared" si="463"/>
        <v>0</v>
      </c>
      <c r="L2464" s="90">
        <f t="shared" si="464"/>
        <v>0</v>
      </c>
      <c r="M2464" s="90">
        <f t="shared" si="465"/>
        <v>0</v>
      </c>
      <c r="N2464" s="90">
        <v>0.03</v>
      </c>
      <c r="O2464" s="90">
        <f t="shared" si="466"/>
        <v>0.09</v>
      </c>
      <c r="P2464" s="92" t="s">
        <v>64</v>
      </c>
      <c r="Z2464" s="93">
        <f t="shared" si="467"/>
        <v>0</v>
      </c>
      <c r="AB2464" s="93">
        <f t="shared" si="468"/>
        <v>0</v>
      </c>
      <c r="AC2464" s="93">
        <f t="shared" si="469"/>
        <v>0</v>
      </c>
      <c r="AD2464" s="93">
        <f t="shared" si="470"/>
        <v>0</v>
      </c>
      <c r="AE2464" s="93">
        <f t="shared" si="471"/>
        <v>0</v>
      </c>
      <c r="AF2464" s="93">
        <f t="shared" si="472"/>
        <v>0</v>
      </c>
      <c r="AG2464" s="93">
        <f t="shared" si="473"/>
        <v>0</v>
      </c>
      <c r="AH2464" s="93">
        <f t="shared" si="474"/>
        <v>0</v>
      </c>
      <c r="AI2464" s="88" t="s">
        <v>55</v>
      </c>
      <c r="AJ2464" s="93">
        <f t="shared" si="475"/>
        <v>0</v>
      </c>
      <c r="AK2464" s="93">
        <f t="shared" si="476"/>
        <v>0</v>
      </c>
      <c r="AL2464" s="93">
        <f t="shared" si="477"/>
        <v>0</v>
      </c>
      <c r="AN2464" s="93">
        <v>21</v>
      </c>
      <c r="AO2464" s="93">
        <f>H2464*0.909280611</f>
        <v>0</v>
      </c>
      <c r="AP2464" s="93">
        <f>H2464*(1-0.909280611)</f>
        <v>0</v>
      </c>
      <c r="AQ2464" s="94" t="s">
        <v>148</v>
      </c>
      <c r="AV2464" s="93">
        <f t="shared" si="478"/>
        <v>0</v>
      </c>
      <c r="AW2464" s="93">
        <f t="shared" si="479"/>
        <v>0</v>
      </c>
      <c r="AX2464" s="93">
        <f t="shared" si="480"/>
        <v>0</v>
      </c>
      <c r="AY2464" s="94" t="s">
        <v>3140</v>
      </c>
      <c r="AZ2464" s="94" t="s">
        <v>2936</v>
      </c>
      <c r="BA2464" s="88" t="s">
        <v>67</v>
      </c>
      <c r="BC2464" s="93">
        <f t="shared" si="481"/>
        <v>0</v>
      </c>
      <c r="BD2464" s="93">
        <f t="shared" si="482"/>
        <v>0</v>
      </c>
      <c r="BE2464" s="93">
        <v>0</v>
      </c>
      <c r="BF2464" s="93">
        <f t="shared" si="483"/>
        <v>0.09</v>
      </c>
      <c r="BH2464" s="93">
        <f t="shared" si="484"/>
        <v>0</v>
      </c>
      <c r="BI2464" s="93">
        <f t="shared" si="485"/>
        <v>0</v>
      </c>
      <c r="BJ2464" s="93">
        <f t="shared" si="486"/>
        <v>0</v>
      </c>
      <c r="BK2464" s="93"/>
      <c r="BL2464" s="93"/>
      <c r="BW2464" s="93" t="str">
        <f t="shared" si="487"/>
        <v>21</v>
      </c>
      <c r="BX2464" s="2" t="s">
        <v>3375</v>
      </c>
    </row>
    <row r="2465" spans="1:76" s="81" customFormat="1" ht="13.5" customHeight="1" x14ac:dyDescent="0.25">
      <c r="A2465" s="95"/>
      <c r="B2465" s="95"/>
      <c r="C2465" s="95"/>
      <c r="D2465" s="182" t="s">
        <v>3376</v>
      </c>
      <c r="E2465" s="182"/>
      <c r="F2465" s="182"/>
      <c r="G2465" s="182"/>
      <c r="H2465" s="182"/>
      <c r="I2465" s="182"/>
      <c r="J2465" s="182"/>
      <c r="K2465" s="182"/>
      <c r="L2465" s="182"/>
      <c r="M2465" s="182"/>
      <c r="N2465" s="182"/>
      <c r="O2465" s="182"/>
      <c r="P2465" s="182"/>
    </row>
    <row r="2466" spans="1:76" s="81" customFormat="1" ht="25.5" x14ac:dyDescent="0.25">
      <c r="A2466" s="72" t="s">
        <v>3377</v>
      </c>
      <c r="B2466" s="72" t="s">
        <v>55</v>
      </c>
      <c r="C2466" s="72" t="s">
        <v>3378</v>
      </c>
      <c r="D2466" s="175" t="s">
        <v>3379</v>
      </c>
      <c r="E2466" s="175"/>
      <c r="F2466" s="72" t="s">
        <v>203</v>
      </c>
      <c r="G2466" s="90">
        <v>1</v>
      </c>
      <c r="H2466" s="91"/>
      <c r="I2466" s="92" t="s">
        <v>63</v>
      </c>
      <c r="J2466" s="90">
        <f>G2466*AO2466</f>
        <v>0</v>
      </c>
      <c r="K2466" s="90">
        <f>G2466*AP2466</f>
        <v>0</v>
      </c>
      <c r="L2466" s="90">
        <f>G2466*H2466</f>
        <v>0</v>
      </c>
      <c r="M2466" s="90">
        <f>L2466*(1+BW2466/100)</f>
        <v>0</v>
      </c>
      <c r="N2466" s="90">
        <v>6.7400000000000003E-3</v>
      </c>
      <c r="O2466" s="90">
        <f>G2466*N2466</f>
        <v>6.7400000000000003E-3</v>
      </c>
      <c r="P2466" s="92" t="s">
        <v>578</v>
      </c>
      <c r="Z2466" s="93">
        <f>IF(AQ2466="5",BJ2466,0)</f>
        <v>0</v>
      </c>
      <c r="AB2466" s="93">
        <f>IF(AQ2466="1",BH2466,0)</f>
        <v>0</v>
      </c>
      <c r="AC2466" s="93">
        <f>IF(AQ2466="1",BI2466,0)</f>
        <v>0</v>
      </c>
      <c r="AD2466" s="93">
        <f>IF(AQ2466="7",BH2466,0)</f>
        <v>0</v>
      </c>
      <c r="AE2466" s="93">
        <f>IF(AQ2466="7",BI2466,0)</f>
        <v>0</v>
      </c>
      <c r="AF2466" s="93">
        <f>IF(AQ2466="2",BH2466,0)</f>
        <v>0</v>
      </c>
      <c r="AG2466" s="93">
        <f>IF(AQ2466="2",BI2466,0)</f>
        <v>0</v>
      </c>
      <c r="AH2466" s="93">
        <f>IF(AQ2466="0",BJ2466,0)</f>
        <v>0</v>
      </c>
      <c r="AI2466" s="88" t="s">
        <v>55</v>
      </c>
      <c r="AJ2466" s="93">
        <f>IF(AN2466=0,L2466,0)</f>
        <v>0</v>
      </c>
      <c r="AK2466" s="93">
        <f>IF(AN2466=12,L2466,0)</f>
        <v>0</v>
      </c>
      <c r="AL2466" s="93">
        <f>IF(AN2466=21,L2466,0)</f>
        <v>0</v>
      </c>
      <c r="AN2466" s="93">
        <v>21</v>
      </c>
      <c r="AO2466" s="93">
        <f>H2466*0.832205323</f>
        <v>0</v>
      </c>
      <c r="AP2466" s="93">
        <f>H2466*(1-0.832205323)</f>
        <v>0</v>
      </c>
      <c r="AQ2466" s="94" t="s">
        <v>148</v>
      </c>
      <c r="AV2466" s="93">
        <f>AW2466+AX2466</f>
        <v>0</v>
      </c>
      <c r="AW2466" s="93">
        <f>G2466*AO2466</f>
        <v>0</v>
      </c>
      <c r="AX2466" s="93">
        <f>G2466*AP2466</f>
        <v>0</v>
      </c>
      <c r="AY2466" s="94" t="s">
        <v>3140</v>
      </c>
      <c r="AZ2466" s="94" t="s">
        <v>2936</v>
      </c>
      <c r="BA2466" s="88" t="s">
        <v>67</v>
      </c>
      <c r="BC2466" s="93">
        <f>AW2466+AX2466</f>
        <v>0</v>
      </c>
      <c r="BD2466" s="93">
        <f>H2466/(100-BE2466)*100</f>
        <v>0</v>
      </c>
      <c r="BE2466" s="93">
        <v>0</v>
      </c>
      <c r="BF2466" s="93">
        <f>O2466</f>
        <v>6.7400000000000003E-3</v>
      </c>
      <c r="BH2466" s="93">
        <f>G2466*AO2466</f>
        <v>0</v>
      </c>
      <c r="BI2466" s="93">
        <f>G2466*AP2466</f>
        <v>0</v>
      </c>
      <c r="BJ2466" s="93">
        <f>G2466*H2466</f>
        <v>0</v>
      </c>
      <c r="BK2466" s="93"/>
      <c r="BL2466" s="93"/>
      <c r="BW2466" s="93" t="str">
        <f>I2466</f>
        <v>21</v>
      </c>
      <c r="BX2466" s="2" t="s">
        <v>3379</v>
      </c>
    </row>
    <row r="2467" spans="1:76" s="81" customFormat="1" ht="25.5" x14ac:dyDescent="0.25">
      <c r="A2467" s="72" t="s">
        <v>3380</v>
      </c>
      <c r="B2467" s="72" t="s">
        <v>55</v>
      </c>
      <c r="C2467" s="72" t="s">
        <v>3381</v>
      </c>
      <c r="D2467" s="175" t="s">
        <v>3382</v>
      </c>
      <c r="E2467" s="175"/>
      <c r="F2467" s="72" t="s">
        <v>203</v>
      </c>
      <c r="G2467" s="90">
        <v>2</v>
      </c>
      <c r="H2467" s="91"/>
      <c r="I2467" s="92" t="s">
        <v>63</v>
      </c>
      <c r="J2467" s="90">
        <f>G2467*AO2467</f>
        <v>0</v>
      </c>
      <c r="K2467" s="90">
        <f>G2467*AP2467</f>
        <v>0</v>
      </c>
      <c r="L2467" s="90">
        <f>G2467*H2467</f>
        <v>0</v>
      </c>
      <c r="M2467" s="90">
        <f>L2467*(1+BW2467/100)</f>
        <v>0</v>
      </c>
      <c r="N2467" s="90">
        <v>6.4999999999999997E-4</v>
      </c>
      <c r="O2467" s="90">
        <f>G2467*N2467</f>
        <v>1.2999999999999999E-3</v>
      </c>
      <c r="P2467" s="92" t="s">
        <v>64</v>
      </c>
      <c r="Z2467" s="93">
        <f>IF(AQ2467="5",BJ2467,0)</f>
        <v>0</v>
      </c>
      <c r="AB2467" s="93">
        <f>IF(AQ2467="1",BH2467,0)</f>
        <v>0</v>
      </c>
      <c r="AC2467" s="93">
        <f>IF(AQ2467="1",BI2467,0)</f>
        <v>0</v>
      </c>
      <c r="AD2467" s="93">
        <f>IF(AQ2467="7",BH2467,0)</f>
        <v>0</v>
      </c>
      <c r="AE2467" s="93">
        <f>IF(AQ2467="7",BI2467,0)</f>
        <v>0</v>
      </c>
      <c r="AF2467" s="93">
        <f>IF(AQ2467="2",BH2467,0)</f>
        <v>0</v>
      </c>
      <c r="AG2467" s="93">
        <f>IF(AQ2467="2",BI2467,0)</f>
        <v>0</v>
      </c>
      <c r="AH2467" s="93">
        <f>IF(AQ2467="0",BJ2467,0)</f>
        <v>0</v>
      </c>
      <c r="AI2467" s="88" t="s">
        <v>55</v>
      </c>
      <c r="AJ2467" s="93">
        <f>IF(AN2467=0,L2467,0)</f>
        <v>0</v>
      </c>
      <c r="AK2467" s="93">
        <f>IF(AN2467=12,L2467,0)</f>
        <v>0</v>
      </c>
      <c r="AL2467" s="93">
        <f>IF(AN2467=21,L2467,0)</f>
        <v>0</v>
      </c>
      <c r="AN2467" s="93">
        <v>21</v>
      </c>
      <c r="AO2467" s="93">
        <f>H2467*0.943898612</f>
        <v>0</v>
      </c>
      <c r="AP2467" s="93">
        <f>H2467*(1-0.943898612)</f>
        <v>0</v>
      </c>
      <c r="AQ2467" s="94" t="s">
        <v>148</v>
      </c>
      <c r="AV2467" s="93">
        <f>AW2467+AX2467</f>
        <v>0</v>
      </c>
      <c r="AW2467" s="93">
        <f>G2467*AO2467</f>
        <v>0</v>
      </c>
      <c r="AX2467" s="93">
        <f>G2467*AP2467</f>
        <v>0</v>
      </c>
      <c r="AY2467" s="94" t="s">
        <v>3140</v>
      </c>
      <c r="AZ2467" s="94" t="s">
        <v>2936</v>
      </c>
      <c r="BA2467" s="88" t="s">
        <v>67</v>
      </c>
      <c r="BC2467" s="93">
        <f>AW2467+AX2467</f>
        <v>0</v>
      </c>
      <c r="BD2467" s="93">
        <f>H2467/(100-BE2467)*100</f>
        <v>0</v>
      </c>
      <c r="BE2467" s="93">
        <v>0</v>
      </c>
      <c r="BF2467" s="93">
        <f>O2467</f>
        <v>1.2999999999999999E-3</v>
      </c>
      <c r="BH2467" s="93">
        <f>G2467*AO2467</f>
        <v>0</v>
      </c>
      <c r="BI2467" s="93">
        <f>G2467*AP2467</f>
        <v>0</v>
      </c>
      <c r="BJ2467" s="93">
        <f>G2467*H2467</f>
        <v>0</v>
      </c>
      <c r="BK2467" s="93"/>
      <c r="BL2467" s="93"/>
      <c r="BW2467" s="93" t="str">
        <f>I2467</f>
        <v>21</v>
      </c>
      <c r="BX2467" s="2" t="s">
        <v>3382</v>
      </c>
    </row>
    <row r="2468" spans="1:76" s="81" customFormat="1" ht="13.5" customHeight="1" x14ac:dyDescent="0.25">
      <c r="A2468" s="95"/>
      <c r="B2468" s="95"/>
      <c r="C2468" s="95"/>
      <c r="D2468" s="182" t="s">
        <v>3383</v>
      </c>
      <c r="E2468" s="182"/>
      <c r="F2468" s="182"/>
      <c r="G2468" s="182"/>
      <c r="H2468" s="182"/>
      <c r="I2468" s="182"/>
      <c r="J2468" s="182"/>
      <c r="K2468" s="182"/>
      <c r="L2468" s="182"/>
      <c r="M2468" s="182"/>
      <c r="N2468" s="182"/>
      <c r="O2468" s="182"/>
      <c r="P2468" s="182"/>
    </row>
    <row r="2469" spans="1:76" s="81" customFormat="1" ht="25.5" x14ac:dyDescent="0.25">
      <c r="A2469" s="72" t="s">
        <v>3384</v>
      </c>
      <c r="B2469" s="72" t="s">
        <v>55</v>
      </c>
      <c r="C2469" s="72" t="s">
        <v>3385</v>
      </c>
      <c r="D2469" s="175" t="s">
        <v>3386</v>
      </c>
      <c r="E2469" s="175"/>
      <c r="F2469" s="72" t="s">
        <v>203</v>
      </c>
      <c r="G2469" s="90">
        <v>1</v>
      </c>
      <c r="H2469" s="91"/>
      <c r="I2469" s="92" t="s">
        <v>63</v>
      </c>
      <c r="J2469" s="90">
        <f t="shared" ref="J2469:J2474" si="488">G2469*AO2469</f>
        <v>0</v>
      </c>
      <c r="K2469" s="90">
        <f t="shared" ref="K2469:K2474" si="489">G2469*AP2469</f>
        <v>0</v>
      </c>
      <c r="L2469" s="90">
        <f t="shared" ref="L2469:L2474" si="490">G2469*H2469</f>
        <v>0</v>
      </c>
      <c r="M2469" s="90">
        <f t="shared" ref="M2469:M2474" si="491">L2469*(1+BW2469/100)</f>
        <v>0</v>
      </c>
      <c r="N2469" s="90">
        <v>0</v>
      </c>
      <c r="O2469" s="90">
        <f t="shared" ref="O2469:O2474" si="492">G2469*N2469</f>
        <v>0</v>
      </c>
      <c r="P2469" s="92" t="s">
        <v>64</v>
      </c>
      <c r="Z2469" s="93">
        <f t="shared" ref="Z2469:Z2474" si="493">IF(AQ2469="5",BJ2469,0)</f>
        <v>0</v>
      </c>
      <c r="AB2469" s="93">
        <f t="shared" ref="AB2469:AB2474" si="494">IF(AQ2469="1",BH2469,0)</f>
        <v>0</v>
      </c>
      <c r="AC2469" s="93">
        <f t="shared" ref="AC2469:AC2474" si="495">IF(AQ2469="1",BI2469,0)</f>
        <v>0</v>
      </c>
      <c r="AD2469" s="93">
        <f t="shared" ref="AD2469:AD2474" si="496">IF(AQ2469="7",BH2469,0)</f>
        <v>0</v>
      </c>
      <c r="AE2469" s="93">
        <f t="shared" ref="AE2469:AE2474" si="497">IF(AQ2469="7",BI2469,0)</f>
        <v>0</v>
      </c>
      <c r="AF2469" s="93">
        <f t="shared" ref="AF2469:AF2474" si="498">IF(AQ2469="2",BH2469,0)</f>
        <v>0</v>
      </c>
      <c r="AG2469" s="93">
        <f t="shared" ref="AG2469:AG2474" si="499">IF(AQ2469="2",BI2469,0)</f>
        <v>0</v>
      </c>
      <c r="AH2469" s="93">
        <f t="shared" ref="AH2469:AH2474" si="500">IF(AQ2469="0",BJ2469,0)</f>
        <v>0</v>
      </c>
      <c r="AI2469" s="88" t="s">
        <v>55</v>
      </c>
      <c r="AJ2469" s="93">
        <f t="shared" ref="AJ2469:AJ2474" si="501">IF(AN2469=0,L2469,0)</f>
        <v>0</v>
      </c>
      <c r="AK2469" s="93">
        <f t="shared" ref="AK2469:AK2474" si="502">IF(AN2469=12,L2469,0)</f>
        <v>0</v>
      </c>
      <c r="AL2469" s="93">
        <f t="shared" ref="AL2469:AL2474" si="503">IF(AN2469=21,L2469,0)</f>
        <v>0</v>
      </c>
      <c r="AN2469" s="93">
        <v>21</v>
      </c>
      <c r="AO2469" s="93">
        <f>H2469*0.739977703</f>
        <v>0</v>
      </c>
      <c r="AP2469" s="93">
        <f>H2469*(1-0.739977703)</f>
        <v>0</v>
      </c>
      <c r="AQ2469" s="94" t="s">
        <v>148</v>
      </c>
      <c r="AV2469" s="93">
        <f t="shared" ref="AV2469:AV2474" si="504">AW2469+AX2469</f>
        <v>0</v>
      </c>
      <c r="AW2469" s="93">
        <f t="shared" ref="AW2469:AW2474" si="505">G2469*AO2469</f>
        <v>0</v>
      </c>
      <c r="AX2469" s="93">
        <f t="shared" ref="AX2469:AX2474" si="506">G2469*AP2469</f>
        <v>0</v>
      </c>
      <c r="AY2469" s="94" t="s">
        <v>3140</v>
      </c>
      <c r="AZ2469" s="94" t="s">
        <v>2936</v>
      </c>
      <c r="BA2469" s="88" t="s">
        <v>67</v>
      </c>
      <c r="BC2469" s="93">
        <f t="shared" ref="BC2469:BC2474" si="507">AW2469+AX2469</f>
        <v>0</v>
      </c>
      <c r="BD2469" s="93">
        <f t="shared" ref="BD2469:BD2474" si="508">H2469/(100-BE2469)*100</f>
        <v>0</v>
      </c>
      <c r="BE2469" s="93">
        <v>0</v>
      </c>
      <c r="BF2469" s="93">
        <f t="shared" ref="BF2469:BF2474" si="509">O2469</f>
        <v>0</v>
      </c>
      <c r="BH2469" s="93">
        <f t="shared" ref="BH2469:BH2474" si="510">G2469*AO2469</f>
        <v>0</v>
      </c>
      <c r="BI2469" s="93">
        <f t="shared" ref="BI2469:BI2474" si="511">G2469*AP2469</f>
        <v>0</v>
      </c>
      <c r="BJ2469" s="93">
        <f t="shared" ref="BJ2469:BJ2474" si="512">G2469*H2469</f>
        <v>0</v>
      </c>
      <c r="BK2469" s="93"/>
      <c r="BL2469" s="93"/>
      <c r="BW2469" s="93" t="str">
        <f t="shared" ref="BW2469:BW2474" si="513">I2469</f>
        <v>21</v>
      </c>
      <c r="BX2469" s="2" t="s">
        <v>3386</v>
      </c>
    </row>
    <row r="2470" spans="1:76" s="81" customFormat="1" ht="25.5" x14ac:dyDescent="0.25">
      <c r="A2470" s="72" t="s">
        <v>3387</v>
      </c>
      <c r="B2470" s="72" t="s">
        <v>55</v>
      </c>
      <c r="C2470" s="72" t="s">
        <v>3388</v>
      </c>
      <c r="D2470" s="175" t="s">
        <v>3389</v>
      </c>
      <c r="E2470" s="175"/>
      <c r="F2470" s="72" t="s">
        <v>203</v>
      </c>
      <c r="G2470" s="90">
        <v>1</v>
      </c>
      <c r="H2470" s="91"/>
      <c r="I2470" s="92" t="s">
        <v>63</v>
      </c>
      <c r="J2470" s="90">
        <f t="shared" si="488"/>
        <v>0</v>
      </c>
      <c r="K2470" s="90">
        <f t="shared" si="489"/>
        <v>0</v>
      </c>
      <c r="L2470" s="90">
        <f t="shared" si="490"/>
        <v>0</v>
      </c>
      <c r="M2470" s="90">
        <f t="shared" si="491"/>
        <v>0</v>
      </c>
      <c r="N2470" s="90">
        <v>5.5000000000000003E-4</v>
      </c>
      <c r="O2470" s="90">
        <f t="shared" si="492"/>
        <v>5.5000000000000003E-4</v>
      </c>
      <c r="P2470" s="92" t="s">
        <v>64</v>
      </c>
      <c r="Z2470" s="93">
        <f t="shared" si="493"/>
        <v>0</v>
      </c>
      <c r="AB2470" s="93">
        <f t="shared" si="494"/>
        <v>0</v>
      </c>
      <c r="AC2470" s="93">
        <f t="shared" si="495"/>
        <v>0</v>
      </c>
      <c r="AD2470" s="93">
        <f t="shared" si="496"/>
        <v>0</v>
      </c>
      <c r="AE2470" s="93">
        <f t="shared" si="497"/>
        <v>0</v>
      </c>
      <c r="AF2470" s="93">
        <f t="shared" si="498"/>
        <v>0</v>
      </c>
      <c r="AG2470" s="93">
        <f t="shared" si="499"/>
        <v>0</v>
      </c>
      <c r="AH2470" s="93">
        <f t="shared" si="500"/>
        <v>0</v>
      </c>
      <c r="AI2470" s="88" t="s">
        <v>55</v>
      </c>
      <c r="AJ2470" s="93">
        <f t="shared" si="501"/>
        <v>0</v>
      </c>
      <c r="AK2470" s="93">
        <f t="shared" si="502"/>
        <v>0</v>
      </c>
      <c r="AL2470" s="93">
        <f t="shared" si="503"/>
        <v>0</v>
      </c>
      <c r="AN2470" s="93">
        <v>21</v>
      </c>
      <c r="AO2470" s="93">
        <f>H2470*0.864080717</f>
        <v>0</v>
      </c>
      <c r="AP2470" s="93">
        <f>H2470*(1-0.864080717)</f>
        <v>0</v>
      </c>
      <c r="AQ2470" s="94" t="s">
        <v>148</v>
      </c>
      <c r="AV2470" s="93">
        <f t="shared" si="504"/>
        <v>0</v>
      </c>
      <c r="AW2470" s="93">
        <f t="shared" si="505"/>
        <v>0</v>
      </c>
      <c r="AX2470" s="93">
        <f t="shared" si="506"/>
        <v>0</v>
      </c>
      <c r="AY2470" s="94" t="s">
        <v>3140</v>
      </c>
      <c r="AZ2470" s="94" t="s">
        <v>2936</v>
      </c>
      <c r="BA2470" s="88" t="s">
        <v>67</v>
      </c>
      <c r="BC2470" s="93">
        <f t="shared" si="507"/>
        <v>0</v>
      </c>
      <c r="BD2470" s="93">
        <f t="shared" si="508"/>
        <v>0</v>
      </c>
      <c r="BE2470" s="93">
        <v>0</v>
      </c>
      <c r="BF2470" s="93">
        <f t="shared" si="509"/>
        <v>5.5000000000000003E-4</v>
      </c>
      <c r="BH2470" s="93">
        <f t="shared" si="510"/>
        <v>0</v>
      </c>
      <c r="BI2470" s="93">
        <f t="shared" si="511"/>
        <v>0</v>
      </c>
      <c r="BJ2470" s="93">
        <f t="shared" si="512"/>
        <v>0</v>
      </c>
      <c r="BK2470" s="93"/>
      <c r="BL2470" s="93"/>
      <c r="BW2470" s="93" t="str">
        <f t="shared" si="513"/>
        <v>21</v>
      </c>
      <c r="BX2470" s="2" t="s">
        <v>3389</v>
      </c>
    </row>
    <row r="2471" spans="1:76" s="81" customFormat="1" ht="25.5" x14ac:dyDescent="0.25">
      <c r="A2471" s="72" t="s">
        <v>3390</v>
      </c>
      <c r="B2471" s="72" t="s">
        <v>55</v>
      </c>
      <c r="C2471" s="72" t="s">
        <v>3391</v>
      </c>
      <c r="D2471" s="175" t="s">
        <v>3392</v>
      </c>
      <c r="E2471" s="175"/>
      <c r="F2471" s="72" t="s">
        <v>203</v>
      </c>
      <c r="G2471" s="90">
        <v>1</v>
      </c>
      <c r="H2471" s="91"/>
      <c r="I2471" s="92" t="s">
        <v>63</v>
      </c>
      <c r="J2471" s="90">
        <f t="shared" si="488"/>
        <v>0</v>
      </c>
      <c r="K2471" s="90">
        <f t="shared" si="489"/>
        <v>0</v>
      </c>
      <c r="L2471" s="90">
        <f t="shared" si="490"/>
        <v>0</v>
      </c>
      <c r="M2471" s="90">
        <f t="shared" si="491"/>
        <v>0</v>
      </c>
      <c r="N2471" s="90">
        <v>2.3000000000000001E-4</v>
      </c>
      <c r="O2471" s="90">
        <f t="shared" si="492"/>
        <v>2.3000000000000001E-4</v>
      </c>
      <c r="P2471" s="92" t="s">
        <v>64</v>
      </c>
      <c r="Z2471" s="93">
        <f t="shared" si="493"/>
        <v>0</v>
      </c>
      <c r="AB2471" s="93">
        <f t="shared" si="494"/>
        <v>0</v>
      </c>
      <c r="AC2471" s="93">
        <f t="shared" si="495"/>
        <v>0</v>
      </c>
      <c r="AD2471" s="93">
        <f t="shared" si="496"/>
        <v>0</v>
      </c>
      <c r="AE2471" s="93">
        <f t="shared" si="497"/>
        <v>0</v>
      </c>
      <c r="AF2471" s="93">
        <f t="shared" si="498"/>
        <v>0</v>
      </c>
      <c r="AG2471" s="93">
        <f t="shared" si="499"/>
        <v>0</v>
      </c>
      <c r="AH2471" s="93">
        <f t="shared" si="500"/>
        <v>0</v>
      </c>
      <c r="AI2471" s="88" t="s">
        <v>55</v>
      </c>
      <c r="AJ2471" s="93">
        <f t="shared" si="501"/>
        <v>0</v>
      </c>
      <c r="AK2471" s="93">
        <f t="shared" si="502"/>
        <v>0</v>
      </c>
      <c r="AL2471" s="93">
        <f t="shared" si="503"/>
        <v>0</v>
      </c>
      <c r="AN2471" s="93">
        <v>21</v>
      </c>
      <c r="AO2471" s="93">
        <f>H2471*0.797534722</f>
        <v>0</v>
      </c>
      <c r="AP2471" s="93">
        <f>H2471*(1-0.797534722)</f>
        <v>0</v>
      </c>
      <c r="AQ2471" s="94" t="s">
        <v>148</v>
      </c>
      <c r="AV2471" s="93">
        <f t="shared" si="504"/>
        <v>0</v>
      </c>
      <c r="AW2471" s="93">
        <f t="shared" si="505"/>
        <v>0</v>
      </c>
      <c r="AX2471" s="93">
        <f t="shared" si="506"/>
        <v>0</v>
      </c>
      <c r="AY2471" s="94" t="s">
        <v>3140</v>
      </c>
      <c r="AZ2471" s="94" t="s">
        <v>2936</v>
      </c>
      <c r="BA2471" s="88" t="s">
        <v>67</v>
      </c>
      <c r="BC2471" s="93">
        <f t="shared" si="507"/>
        <v>0</v>
      </c>
      <c r="BD2471" s="93">
        <f t="shared" si="508"/>
        <v>0</v>
      </c>
      <c r="BE2471" s="93">
        <v>0</v>
      </c>
      <c r="BF2471" s="93">
        <f t="shared" si="509"/>
        <v>2.3000000000000001E-4</v>
      </c>
      <c r="BH2471" s="93">
        <f t="shared" si="510"/>
        <v>0</v>
      </c>
      <c r="BI2471" s="93">
        <f t="shared" si="511"/>
        <v>0</v>
      </c>
      <c r="BJ2471" s="93">
        <f t="shared" si="512"/>
        <v>0</v>
      </c>
      <c r="BK2471" s="93"/>
      <c r="BL2471" s="93"/>
      <c r="BW2471" s="93" t="str">
        <f t="shared" si="513"/>
        <v>21</v>
      </c>
      <c r="BX2471" s="2" t="s">
        <v>3392</v>
      </c>
    </row>
    <row r="2472" spans="1:76" s="81" customFormat="1" ht="25.5" x14ac:dyDescent="0.25">
      <c r="A2472" s="72" t="s">
        <v>1356</v>
      </c>
      <c r="B2472" s="72" t="s">
        <v>55</v>
      </c>
      <c r="C2472" s="72" t="s">
        <v>3393</v>
      </c>
      <c r="D2472" s="175" t="s">
        <v>3394</v>
      </c>
      <c r="E2472" s="175"/>
      <c r="F2472" s="72" t="s">
        <v>203</v>
      </c>
      <c r="G2472" s="90">
        <v>2</v>
      </c>
      <c r="H2472" s="91"/>
      <c r="I2472" s="92" t="s">
        <v>63</v>
      </c>
      <c r="J2472" s="90">
        <f t="shared" si="488"/>
        <v>0</v>
      </c>
      <c r="K2472" s="90">
        <f t="shared" si="489"/>
        <v>0</v>
      </c>
      <c r="L2472" s="90">
        <f t="shared" si="490"/>
        <v>0</v>
      </c>
      <c r="M2472" s="90">
        <f t="shared" si="491"/>
        <v>0</v>
      </c>
      <c r="N2472" s="90">
        <v>1.4999999999999999E-4</v>
      </c>
      <c r="O2472" s="90">
        <f t="shared" si="492"/>
        <v>2.9999999999999997E-4</v>
      </c>
      <c r="P2472" s="92" t="s">
        <v>64</v>
      </c>
      <c r="Z2472" s="93">
        <f t="shared" si="493"/>
        <v>0</v>
      </c>
      <c r="AB2472" s="93">
        <f t="shared" si="494"/>
        <v>0</v>
      </c>
      <c r="AC2472" s="93">
        <f t="shared" si="495"/>
        <v>0</v>
      </c>
      <c r="AD2472" s="93">
        <f t="shared" si="496"/>
        <v>0</v>
      </c>
      <c r="AE2472" s="93">
        <f t="shared" si="497"/>
        <v>0</v>
      </c>
      <c r="AF2472" s="93">
        <f t="shared" si="498"/>
        <v>0</v>
      </c>
      <c r="AG2472" s="93">
        <f t="shared" si="499"/>
        <v>0</v>
      </c>
      <c r="AH2472" s="93">
        <f t="shared" si="500"/>
        <v>0</v>
      </c>
      <c r="AI2472" s="88" t="s">
        <v>55</v>
      </c>
      <c r="AJ2472" s="93">
        <f t="shared" si="501"/>
        <v>0</v>
      </c>
      <c r="AK2472" s="93">
        <f t="shared" si="502"/>
        <v>0</v>
      </c>
      <c r="AL2472" s="93">
        <f t="shared" si="503"/>
        <v>0</v>
      </c>
      <c r="AN2472" s="93">
        <v>21</v>
      </c>
      <c r="AO2472" s="93">
        <f>H2472*0.792962138</f>
        <v>0</v>
      </c>
      <c r="AP2472" s="93">
        <f>H2472*(1-0.792962138)</f>
        <v>0</v>
      </c>
      <c r="AQ2472" s="94" t="s">
        <v>148</v>
      </c>
      <c r="AV2472" s="93">
        <f t="shared" si="504"/>
        <v>0</v>
      </c>
      <c r="AW2472" s="93">
        <f t="shared" si="505"/>
        <v>0</v>
      </c>
      <c r="AX2472" s="93">
        <f t="shared" si="506"/>
        <v>0</v>
      </c>
      <c r="AY2472" s="94" t="s">
        <v>3140</v>
      </c>
      <c r="AZ2472" s="94" t="s">
        <v>2936</v>
      </c>
      <c r="BA2472" s="88" t="s">
        <v>67</v>
      </c>
      <c r="BC2472" s="93">
        <f t="shared" si="507"/>
        <v>0</v>
      </c>
      <c r="BD2472" s="93">
        <f t="shared" si="508"/>
        <v>0</v>
      </c>
      <c r="BE2472" s="93">
        <v>0</v>
      </c>
      <c r="BF2472" s="93">
        <f t="shared" si="509"/>
        <v>2.9999999999999997E-4</v>
      </c>
      <c r="BH2472" s="93">
        <f t="shared" si="510"/>
        <v>0</v>
      </c>
      <c r="BI2472" s="93">
        <f t="shared" si="511"/>
        <v>0</v>
      </c>
      <c r="BJ2472" s="93">
        <f t="shared" si="512"/>
        <v>0</v>
      </c>
      <c r="BK2472" s="93"/>
      <c r="BL2472" s="93"/>
      <c r="BW2472" s="93" t="str">
        <f t="shared" si="513"/>
        <v>21</v>
      </c>
      <c r="BX2472" s="2" t="s">
        <v>3394</v>
      </c>
    </row>
    <row r="2473" spans="1:76" s="81" customFormat="1" ht="25.5" x14ac:dyDescent="0.25">
      <c r="A2473" s="72" t="s">
        <v>1450</v>
      </c>
      <c r="B2473" s="72" t="s">
        <v>55</v>
      </c>
      <c r="C2473" s="72" t="s">
        <v>3395</v>
      </c>
      <c r="D2473" s="175" t="s">
        <v>3396</v>
      </c>
      <c r="E2473" s="175"/>
      <c r="F2473" s="72" t="s">
        <v>1334</v>
      </c>
      <c r="G2473" s="90">
        <v>1</v>
      </c>
      <c r="H2473" s="91"/>
      <c r="I2473" s="92" t="s">
        <v>63</v>
      </c>
      <c r="J2473" s="90">
        <f t="shared" si="488"/>
        <v>0</v>
      </c>
      <c r="K2473" s="90">
        <f t="shared" si="489"/>
        <v>0</v>
      </c>
      <c r="L2473" s="90">
        <f t="shared" si="490"/>
        <v>0</v>
      </c>
      <c r="M2473" s="90">
        <f t="shared" si="491"/>
        <v>0</v>
      </c>
      <c r="N2473" s="90">
        <v>3.3899999999999998E-3</v>
      </c>
      <c r="O2473" s="90">
        <f t="shared" si="492"/>
        <v>3.3899999999999998E-3</v>
      </c>
      <c r="P2473" s="92" t="s">
        <v>371</v>
      </c>
      <c r="Z2473" s="93">
        <f t="shared" si="493"/>
        <v>0</v>
      </c>
      <c r="AB2473" s="93">
        <f t="shared" si="494"/>
        <v>0</v>
      </c>
      <c r="AC2473" s="93">
        <f t="shared" si="495"/>
        <v>0</v>
      </c>
      <c r="AD2473" s="93">
        <f t="shared" si="496"/>
        <v>0</v>
      </c>
      <c r="AE2473" s="93">
        <f t="shared" si="497"/>
        <v>0</v>
      </c>
      <c r="AF2473" s="93">
        <f t="shared" si="498"/>
        <v>0</v>
      </c>
      <c r="AG2473" s="93">
        <f t="shared" si="499"/>
        <v>0</v>
      </c>
      <c r="AH2473" s="93">
        <f t="shared" si="500"/>
        <v>0</v>
      </c>
      <c r="AI2473" s="88" t="s">
        <v>55</v>
      </c>
      <c r="AJ2473" s="93">
        <f t="shared" si="501"/>
        <v>0</v>
      </c>
      <c r="AK2473" s="93">
        <f t="shared" si="502"/>
        <v>0</v>
      </c>
      <c r="AL2473" s="93">
        <f t="shared" si="503"/>
        <v>0</v>
      </c>
      <c r="AN2473" s="93">
        <v>21</v>
      </c>
      <c r="AO2473" s="93">
        <f>H2473*0.954232143</f>
        <v>0</v>
      </c>
      <c r="AP2473" s="93">
        <f>H2473*(1-0.954232143)</f>
        <v>0</v>
      </c>
      <c r="AQ2473" s="94" t="s">
        <v>148</v>
      </c>
      <c r="AV2473" s="93">
        <f t="shared" si="504"/>
        <v>0</v>
      </c>
      <c r="AW2473" s="93">
        <f t="shared" si="505"/>
        <v>0</v>
      </c>
      <c r="AX2473" s="93">
        <f t="shared" si="506"/>
        <v>0</v>
      </c>
      <c r="AY2473" s="94" t="s">
        <v>3140</v>
      </c>
      <c r="AZ2473" s="94" t="s">
        <v>2936</v>
      </c>
      <c r="BA2473" s="88" t="s">
        <v>67</v>
      </c>
      <c r="BC2473" s="93">
        <f t="shared" si="507"/>
        <v>0</v>
      </c>
      <c r="BD2473" s="93">
        <f t="shared" si="508"/>
        <v>0</v>
      </c>
      <c r="BE2473" s="93">
        <v>0</v>
      </c>
      <c r="BF2473" s="93">
        <f t="shared" si="509"/>
        <v>3.3899999999999998E-3</v>
      </c>
      <c r="BH2473" s="93">
        <f t="shared" si="510"/>
        <v>0</v>
      </c>
      <c r="BI2473" s="93">
        <f t="shared" si="511"/>
        <v>0</v>
      </c>
      <c r="BJ2473" s="93">
        <f t="shared" si="512"/>
        <v>0</v>
      </c>
      <c r="BK2473" s="93"/>
      <c r="BL2473" s="93"/>
      <c r="BW2473" s="93" t="str">
        <f t="shared" si="513"/>
        <v>21</v>
      </c>
      <c r="BX2473" s="2" t="s">
        <v>3396</v>
      </c>
    </row>
    <row r="2474" spans="1:76" s="81" customFormat="1" ht="25.5" x14ac:dyDescent="0.25">
      <c r="A2474" s="72" t="s">
        <v>1522</v>
      </c>
      <c r="B2474" s="72" t="s">
        <v>55</v>
      </c>
      <c r="C2474" s="72" t="s">
        <v>3397</v>
      </c>
      <c r="D2474" s="175" t="s">
        <v>3398</v>
      </c>
      <c r="E2474" s="175"/>
      <c r="F2474" s="72" t="s">
        <v>203</v>
      </c>
      <c r="G2474" s="90">
        <v>51</v>
      </c>
      <c r="H2474" s="91"/>
      <c r="I2474" s="92" t="s">
        <v>63</v>
      </c>
      <c r="J2474" s="90">
        <f t="shared" si="488"/>
        <v>0</v>
      </c>
      <c r="K2474" s="90">
        <f t="shared" si="489"/>
        <v>0</v>
      </c>
      <c r="L2474" s="90">
        <f t="shared" si="490"/>
        <v>0</v>
      </c>
      <c r="M2474" s="90">
        <f t="shared" si="491"/>
        <v>0</v>
      </c>
      <c r="N2474" s="90">
        <v>0</v>
      </c>
      <c r="O2474" s="90">
        <f t="shared" si="492"/>
        <v>0</v>
      </c>
      <c r="P2474" s="92" t="s">
        <v>64</v>
      </c>
      <c r="Z2474" s="93">
        <f t="shared" si="493"/>
        <v>0</v>
      </c>
      <c r="AB2474" s="93">
        <f t="shared" si="494"/>
        <v>0</v>
      </c>
      <c r="AC2474" s="93">
        <f t="shared" si="495"/>
        <v>0</v>
      </c>
      <c r="AD2474" s="93">
        <f t="shared" si="496"/>
        <v>0</v>
      </c>
      <c r="AE2474" s="93">
        <f t="shared" si="497"/>
        <v>0</v>
      </c>
      <c r="AF2474" s="93">
        <f t="shared" si="498"/>
        <v>0</v>
      </c>
      <c r="AG2474" s="93">
        <f t="shared" si="499"/>
        <v>0</v>
      </c>
      <c r="AH2474" s="93">
        <f t="shared" si="500"/>
        <v>0</v>
      </c>
      <c r="AI2474" s="88" t="s">
        <v>55</v>
      </c>
      <c r="AJ2474" s="93">
        <f t="shared" si="501"/>
        <v>0</v>
      </c>
      <c r="AK2474" s="93">
        <f t="shared" si="502"/>
        <v>0</v>
      </c>
      <c r="AL2474" s="93">
        <f t="shared" si="503"/>
        <v>0</v>
      </c>
      <c r="AN2474" s="93">
        <v>21</v>
      </c>
      <c r="AO2474" s="93">
        <f>H2474*0</f>
        <v>0</v>
      </c>
      <c r="AP2474" s="93">
        <f>H2474*(1-0)</f>
        <v>0</v>
      </c>
      <c r="AQ2474" s="94" t="s">
        <v>148</v>
      </c>
      <c r="AV2474" s="93">
        <f t="shared" si="504"/>
        <v>0</v>
      </c>
      <c r="AW2474" s="93">
        <f t="shared" si="505"/>
        <v>0</v>
      </c>
      <c r="AX2474" s="93">
        <f t="shared" si="506"/>
        <v>0</v>
      </c>
      <c r="AY2474" s="94" t="s">
        <v>3140</v>
      </c>
      <c r="AZ2474" s="94" t="s">
        <v>2936</v>
      </c>
      <c r="BA2474" s="88" t="s">
        <v>67</v>
      </c>
      <c r="BC2474" s="93">
        <f t="shared" si="507"/>
        <v>0</v>
      </c>
      <c r="BD2474" s="93">
        <f t="shared" si="508"/>
        <v>0</v>
      </c>
      <c r="BE2474" s="93">
        <v>0</v>
      </c>
      <c r="BF2474" s="93">
        <f t="shared" si="509"/>
        <v>0</v>
      </c>
      <c r="BH2474" s="93">
        <f t="shared" si="510"/>
        <v>0</v>
      </c>
      <c r="BI2474" s="93">
        <f t="shared" si="511"/>
        <v>0</v>
      </c>
      <c r="BJ2474" s="93">
        <f t="shared" si="512"/>
        <v>0</v>
      </c>
      <c r="BK2474" s="93"/>
      <c r="BL2474" s="93"/>
      <c r="BW2474" s="93" t="str">
        <f t="shared" si="513"/>
        <v>21</v>
      </c>
      <c r="BX2474" s="2" t="s">
        <v>3398</v>
      </c>
    </row>
    <row r="2475" spans="1:76" s="81" customFormat="1" x14ac:dyDescent="0.25">
      <c r="A2475" s="95"/>
      <c r="B2475" s="95"/>
      <c r="C2475" s="95"/>
      <c r="D2475" s="76" t="s">
        <v>3399</v>
      </c>
      <c r="E2475" s="76" t="s">
        <v>54</v>
      </c>
      <c r="F2475" s="95"/>
      <c r="G2475" s="96">
        <v>51</v>
      </c>
      <c r="H2475" s="95"/>
      <c r="I2475" s="95"/>
      <c r="J2475" s="95"/>
      <c r="K2475" s="95"/>
      <c r="L2475" s="95"/>
      <c r="M2475" s="95"/>
      <c r="N2475" s="95"/>
      <c r="O2475" s="95"/>
      <c r="P2475" s="95"/>
    </row>
    <row r="2476" spans="1:76" s="81" customFormat="1" ht="25.5" x14ac:dyDescent="0.25">
      <c r="A2476" s="72" t="s">
        <v>3400</v>
      </c>
      <c r="B2476" s="72" t="s">
        <v>55</v>
      </c>
      <c r="C2476" s="72" t="s">
        <v>3401</v>
      </c>
      <c r="D2476" s="175" t="s">
        <v>3402</v>
      </c>
      <c r="E2476" s="175"/>
      <c r="F2476" s="72" t="s">
        <v>213</v>
      </c>
      <c r="G2476" s="90">
        <v>548</v>
      </c>
      <c r="H2476" s="91"/>
      <c r="I2476" s="92" t="s">
        <v>63</v>
      </c>
      <c r="J2476" s="90">
        <f>G2476*AO2476</f>
        <v>0</v>
      </c>
      <c r="K2476" s="90">
        <f>G2476*AP2476</f>
        <v>0</v>
      </c>
      <c r="L2476" s="90">
        <f>G2476*H2476</f>
        <v>0</v>
      </c>
      <c r="M2476" s="90">
        <f>L2476*(1+BW2476/100)</f>
        <v>0</v>
      </c>
      <c r="N2476" s="90">
        <v>3.8000000000000002E-4</v>
      </c>
      <c r="O2476" s="90">
        <f>G2476*N2476</f>
        <v>0.20824000000000001</v>
      </c>
      <c r="P2476" s="92" t="s">
        <v>64</v>
      </c>
      <c r="Z2476" s="93">
        <f>IF(AQ2476="5",BJ2476,0)</f>
        <v>0</v>
      </c>
      <c r="AB2476" s="93">
        <f>IF(AQ2476="1",BH2476,0)</f>
        <v>0</v>
      </c>
      <c r="AC2476" s="93">
        <f>IF(AQ2476="1",BI2476,0)</f>
        <v>0</v>
      </c>
      <c r="AD2476" s="93">
        <f>IF(AQ2476="7",BH2476,0)</f>
        <v>0</v>
      </c>
      <c r="AE2476" s="93">
        <f>IF(AQ2476="7",BI2476,0)</f>
        <v>0</v>
      </c>
      <c r="AF2476" s="93">
        <f>IF(AQ2476="2",BH2476,0)</f>
        <v>0</v>
      </c>
      <c r="AG2476" s="93">
        <f>IF(AQ2476="2",BI2476,0)</f>
        <v>0</v>
      </c>
      <c r="AH2476" s="93">
        <f>IF(AQ2476="0",BJ2476,0)</f>
        <v>0</v>
      </c>
      <c r="AI2476" s="88" t="s">
        <v>55</v>
      </c>
      <c r="AJ2476" s="93">
        <f>IF(AN2476=0,L2476,0)</f>
        <v>0</v>
      </c>
      <c r="AK2476" s="93">
        <f>IF(AN2476=12,L2476,0)</f>
        <v>0</v>
      </c>
      <c r="AL2476" s="93">
        <f>IF(AN2476=21,L2476,0)</f>
        <v>0</v>
      </c>
      <c r="AN2476" s="93">
        <v>21</v>
      </c>
      <c r="AO2476" s="93">
        <f>H2476*0.223214286</f>
        <v>0</v>
      </c>
      <c r="AP2476" s="93">
        <f>H2476*(1-0.223214286)</f>
        <v>0</v>
      </c>
      <c r="AQ2476" s="94" t="s">
        <v>148</v>
      </c>
      <c r="AV2476" s="93">
        <f>AW2476+AX2476</f>
        <v>0</v>
      </c>
      <c r="AW2476" s="93">
        <f>G2476*AO2476</f>
        <v>0</v>
      </c>
      <c r="AX2476" s="93">
        <f>G2476*AP2476</f>
        <v>0</v>
      </c>
      <c r="AY2476" s="94" t="s">
        <v>3140</v>
      </c>
      <c r="AZ2476" s="94" t="s">
        <v>2936</v>
      </c>
      <c r="BA2476" s="88" t="s">
        <v>67</v>
      </c>
      <c r="BC2476" s="93">
        <f>AW2476+AX2476</f>
        <v>0</v>
      </c>
      <c r="BD2476" s="93">
        <f>H2476/(100-BE2476)*100</f>
        <v>0</v>
      </c>
      <c r="BE2476" s="93">
        <v>0</v>
      </c>
      <c r="BF2476" s="93">
        <f>O2476</f>
        <v>0.20824000000000001</v>
      </c>
      <c r="BH2476" s="93">
        <f>G2476*AO2476</f>
        <v>0</v>
      </c>
      <c r="BI2476" s="93">
        <f>G2476*AP2476</f>
        <v>0</v>
      </c>
      <c r="BJ2476" s="93">
        <f>G2476*H2476</f>
        <v>0</v>
      </c>
      <c r="BK2476" s="93"/>
      <c r="BL2476" s="93"/>
      <c r="BW2476" s="93" t="str">
        <f>I2476</f>
        <v>21</v>
      </c>
      <c r="BX2476" s="2" t="s">
        <v>3402</v>
      </c>
    </row>
    <row r="2477" spans="1:76" s="81" customFormat="1" ht="25.5" x14ac:dyDescent="0.25">
      <c r="A2477" s="72" t="s">
        <v>3403</v>
      </c>
      <c r="B2477" s="72" t="s">
        <v>55</v>
      </c>
      <c r="C2477" s="72" t="s">
        <v>3404</v>
      </c>
      <c r="D2477" s="175" t="s">
        <v>3405</v>
      </c>
      <c r="E2477" s="175"/>
      <c r="F2477" s="72" t="s">
        <v>213</v>
      </c>
      <c r="G2477" s="90">
        <v>548</v>
      </c>
      <c r="H2477" s="91"/>
      <c r="I2477" s="92" t="s">
        <v>63</v>
      </c>
      <c r="J2477" s="90">
        <f>G2477*AO2477</f>
        <v>0</v>
      </c>
      <c r="K2477" s="90">
        <f>G2477*AP2477</f>
        <v>0</v>
      </c>
      <c r="L2477" s="90">
        <f>G2477*H2477</f>
        <v>0</v>
      </c>
      <c r="M2477" s="90">
        <f>L2477*(1+BW2477/100)</f>
        <v>0</v>
      </c>
      <c r="N2477" s="90">
        <v>1.0000000000000001E-5</v>
      </c>
      <c r="O2477" s="90">
        <f>G2477*N2477</f>
        <v>5.4800000000000005E-3</v>
      </c>
      <c r="P2477" s="92" t="s">
        <v>64</v>
      </c>
      <c r="Z2477" s="93">
        <f>IF(AQ2477="5",BJ2477,0)</f>
        <v>0</v>
      </c>
      <c r="AB2477" s="93">
        <f>IF(AQ2477="1",BH2477,0)</f>
        <v>0</v>
      </c>
      <c r="AC2477" s="93">
        <f>IF(AQ2477="1",BI2477,0)</f>
        <v>0</v>
      </c>
      <c r="AD2477" s="93">
        <f>IF(AQ2477="7",BH2477,0)</f>
        <v>0</v>
      </c>
      <c r="AE2477" s="93">
        <f>IF(AQ2477="7",BI2477,0)</f>
        <v>0</v>
      </c>
      <c r="AF2477" s="93">
        <f>IF(AQ2477="2",BH2477,0)</f>
        <v>0</v>
      </c>
      <c r="AG2477" s="93">
        <f>IF(AQ2477="2",BI2477,0)</f>
        <v>0</v>
      </c>
      <c r="AH2477" s="93">
        <f>IF(AQ2477="0",BJ2477,0)</f>
        <v>0</v>
      </c>
      <c r="AI2477" s="88" t="s">
        <v>55</v>
      </c>
      <c r="AJ2477" s="93">
        <f>IF(AN2477=0,L2477,0)</f>
        <v>0</v>
      </c>
      <c r="AK2477" s="93">
        <f>IF(AN2477=12,L2477,0)</f>
        <v>0</v>
      </c>
      <c r="AL2477" s="93">
        <f>IF(AN2477=21,L2477,0)</f>
        <v>0</v>
      </c>
      <c r="AN2477" s="93">
        <v>21</v>
      </c>
      <c r="AO2477" s="93">
        <f>H2477*0.054324324</f>
        <v>0</v>
      </c>
      <c r="AP2477" s="93">
        <f>H2477*(1-0.054324324)</f>
        <v>0</v>
      </c>
      <c r="AQ2477" s="94" t="s">
        <v>148</v>
      </c>
      <c r="AV2477" s="93">
        <f>AW2477+AX2477</f>
        <v>0</v>
      </c>
      <c r="AW2477" s="93">
        <f>G2477*AO2477</f>
        <v>0</v>
      </c>
      <c r="AX2477" s="93">
        <f>G2477*AP2477</f>
        <v>0</v>
      </c>
      <c r="AY2477" s="94" t="s">
        <v>3140</v>
      </c>
      <c r="AZ2477" s="94" t="s">
        <v>2936</v>
      </c>
      <c r="BA2477" s="88" t="s">
        <v>67</v>
      </c>
      <c r="BC2477" s="93">
        <f>AW2477+AX2477</f>
        <v>0</v>
      </c>
      <c r="BD2477" s="93">
        <f>H2477/(100-BE2477)*100</f>
        <v>0</v>
      </c>
      <c r="BE2477" s="93">
        <v>0</v>
      </c>
      <c r="BF2477" s="93">
        <f>O2477</f>
        <v>5.4800000000000005E-3</v>
      </c>
      <c r="BH2477" s="93">
        <f>G2477*AO2477</f>
        <v>0</v>
      </c>
      <c r="BI2477" s="93">
        <f>G2477*AP2477</f>
        <v>0</v>
      </c>
      <c r="BJ2477" s="93">
        <f>G2477*H2477</f>
        <v>0</v>
      </c>
      <c r="BK2477" s="93"/>
      <c r="BL2477" s="93"/>
      <c r="BW2477" s="93" t="str">
        <f>I2477</f>
        <v>21</v>
      </c>
      <c r="BX2477" s="2" t="s">
        <v>3405</v>
      </c>
    </row>
    <row r="2478" spans="1:76" s="81" customFormat="1" x14ac:dyDescent="0.25">
      <c r="A2478" s="95"/>
      <c r="B2478" s="95"/>
      <c r="C2478" s="95"/>
      <c r="D2478" s="76" t="s">
        <v>3406</v>
      </c>
      <c r="E2478" s="76" t="s">
        <v>54</v>
      </c>
      <c r="F2478" s="95"/>
      <c r="G2478" s="96">
        <v>548</v>
      </c>
      <c r="H2478" s="95"/>
      <c r="I2478" s="95"/>
      <c r="J2478" s="95"/>
      <c r="K2478" s="95"/>
      <c r="L2478" s="95"/>
      <c r="M2478" s="95"/>
      <c r="N2478" s="95"/>
      <c r="O2478" s="95"/>
      <c r="P2478" s="95"/>
    </row>
    <row r="2479" spans="1:76" s="81" customFormat="1" ht="25.5" x14ac:dyDescent="0.25">
      <c r="A2479" s="72" t="s">
        <v>3407</v>
      </c>
      <c r="B2479" s="72" t="s">
        <v>55</v>
      </c>
      <c r="C2479" s="72" t="s">
        <v>3408</v>
      </c>
      <c r="D2479" s="175" t="s">
        <v>3409</v>
      </c>
      <c r="E2479" s="175"/>
      <c r="F2479" s="72" t="s">
        <v>213</v>
      </c>
      <c r="G2479" s="90">
        <v>225</v>
      </c>
      <c r="H2479" s="91"/>
      <c r="I2479" s="92" t="s">
        <v>63</v>
      </c>
      <c r="J2479" s="90">
        <f>G2479*AO2479</f>
        <v>0</v>
      </c>
      <c r="K2479" s="90">
        <f>G2479*AP2479</f>
        <v>0</v>
      </c>
      <c r="L2479" s="90">
        <f>G2479*H2479</f>
        <v>0</v>
      </c>
      <c r="M2479" s="90">
        <f>L2479*(1+BW2479/100)</f>
        <v>0</v>
      </c>
      <c r="N2479" s="90">
        <v>3.0000000000000001E-5</v>
      </c>
      <c r="O2479" s="90">
        <f>G2479*N2479</f>
        <v>6.7499999999999999E-3</v>
      </c>
      <c r="P2479" s="92" t="s">
        <v>64</v>
      </c>
      <c r="Z2479" s="93">
        <f>IF(AQ2479="5",BJ2479,0)</f>
        <v>0</v>
      </c>
      <c r="AB2479" s="93">
        <f>IF(AQ2479="1",BH2479,0)</f>
        <v>0</v>
      </c>
      <c r="AC2479" s="93">
        <f>IF(AQ2479="1",BI2479,0)</f>
        <v>0</v>
      </c>
      <c r="AD2479" s="93">
        <f>IF(AQ2479="7",BH2479,0)</f>
        <v>0</v>
      </c>
      <c r="AE2479" s="93">
        <f>IF(AQ2479="7",BI2479,0)</f>
        <v>0</v>
      </c>
      <c r="AF2479" s="93">
        <f>IF(AQ2479="2",BH2479,0)</f>
        <v>0</v>
      </c>
      <c r="AG2479" s="93">
        <f>IF(AQ2479="2",BI2479,0)</f>
        <v>0</v>
      </c>
      <c r="AH2479" s="93">
        <f>IF(AQ2479="0",BJ2479,0)</f>
        <v>0</v>
      </c>
      <c r="AI2479" s="88" t="s">
        <v>55</v>
      </c>
      <c r="AJ2479" s="93">
        <f>IF(AN2479=0,L2479,0)</f>
        <v>0</v>
      </c>
      <c r="AK2479" s="93">
        <f>IF(AN2479=12,L2479,0)</f>
        <v>0</v>
      </c>
      <c r="AL2479" s="93">
        <f>IF(AN2479=21,L2479,0)</f>
        <v>0</v>
      </c>
      <c r="AN2479" s="93">
        <v>21</v>
      </c>
      <c r="AO2479" s="93">
        <f>H2479*0.351009396</f>
        <v>0</v>
      </c>
      <c r="AP2479" s="93">
        <f>H2479*(1-0.351009396)</f>
        <v>0</v>
      </c>
      <c r="AQ2479" s="94" t="s">
        <v>148</v>
      </c>
      <c r="AV2479" s="93">
        <f>AW2479+AX2479</f>
        <v>0</v>
      </c>
      <c r="AW2479" s="93">
        <f>G2479*AO2479</f>
        <v>0</v>
      </c>
      <c r="AX2479" s="93">
        <f>G2479*AP2479</f>
        <v>0</v>
      </c>
      <c r="AY2479" s="94" t="s">
        <v>3140</v>
      </c>
      <c r="AZ2479" s="94" t="s">
        <v>2936</v>
      </c>
      <c r="BA2479" s="88" t="s">
        <v>67</v>
      </c>
      <c r="BC2479" s="93">
        <f>AW2479+AX2479</f>
        <v>0</v>
      </c>
      <c r="BD2479" s="93">
        <f>H2479/(100-BE2479)*100</f>
        <v>0</v>
      </c>
      <c r="BE2479" s="93">
        <v>0</v>
      </c>
      <c r="BF2479" s="93">
        <f>O2479</f>
        <v>6.7499999999999999E-3</v>
      </c>
      <c r="BH2479" s="93">
        <f>G2479*AO2479</f>
        <v>0</v>
      </c>
      <c r="BI2479" s="93">
        <f>G2479*AP2479</f>
        <v>0</v>
      </c>
      <c r="BJ2479" s="93">
        <f>G2479*H2479</f>
        <v>0</v>
      </c>
      <c r="BK2479" s="93"/>
      <c r="BL2479" s="93"/>
      <c r="BW2479" s="93" t="str">
        <f>I2479</f>
        <v>21</v>
      </c>
      <c r="BX2479" s="2" t="s">
        <v>3409</v>
      </c>
    </row>
    <row r="2480" spans="1:76" s="81" customFormat="1" ht="13.5" customHeight="1" x14ac:dyDescent="0.25">
      <c r="A2480" s="95"/>
      <c r="B2480" s="95"/>
      <c r="C2480" s="95"/>
      <c r="D2480" s="182" t="s">
        <v>3410</v>
      </c>
      <c r="E2480" s="182"/>
      <c r="F2480" s="182"/>
      <c r="G2480" s="182"/>
      <c r="H2480" s="182"/>
      <c r="I2480" s="182"/>
      <c r="J2480" s="182"/>
      <c r="K2480" s="182"/>
      <c r="L2480" s="182"/>
      <c r="M2480" s="182"/>
      <c r="N2480" s="182"/>
      <c r="O2480" s="182"/>
      <c r="P2480" s="182"/>
    </row>
    <row r="2481" spans="1:76" s="81" customFormat="1" ht="25.5" x14ac:dyDescent="0.25">
      <c r="A2481" s="72" t="s">
        <v>3411</v>
      </c>
      <c r="B2481" s="72" t="s">
        <v>55</v>
      </c>
      <c r="C2481" s="72" t="s">
        <v>2017</v>
      </c>
      <c r="D2481" s="175" t="s">
        <v>3409</v>
      </c>
      <c r="E2481" s="175"/>
      <c r="F2481" s="72" t="s">
        <v>213</v>
      </c>
      <c r="G2481" s="90">
        <v>10</v>
      </c>
      <c r="H2481" s="91"/>
      <c r="I2481" s="92" t="s">
        <v>63</v>
      </c>
      <c r="J2481" s="90">
        <f>G2481*AO2481</f>
        <v>0</v>
      </c>
      <c r="K2481" s="90">
        <f>G2481*AP2481</f>
        <v>0</v>
      </c>
      <c r="L2481" s="90">
        <f>G2481*H2481</f>
        <v>0</v>
      </c>
      <c r="M2481" s="90">
        <f>L2481*(1+BW2481/100)</f>
        <v>0</v>
      </c>
      <c r="N2481" s="90">
        <v>5.0000000000000002E-5</v>
      </c>
      <c r="O2481" s="90">
        <f>G2481*N2481</f>
        <v>5.0000000000000001E-4</v>
      </c>
      <c r="P2481" s="92" t="s">
        <v>64</v>
      </c>
      <c r="Z2481" s="93">
        <f>IF(AQ2481="5",BJ2481,0)</f>
        <v>0</v>
      </c>
      <c r="AB2481" s="93">
        <f>IF(AQ2481="1",BH2481,0)</f>
        <v>0</v>
      </c>
      <c r="AC2481" s="93">
        <f>IF(AQ2481="1",BI2481,0)</f>
        <v>0</v>
      </c>
      <c r="AD2481" s="93">
        <f>IF(AQ2481="7",BH2481,0)</f>
        <v>0</v>
      </c>
      <c r="AE2481" s="93">
        <f>IF(AQ2481="7",BI2481,0)</f>
        <v>0</v>
      </c>
      <c r="AF2481" s="93">
        <f>IF(AQ2481="2",BH2481,0)</f>
        <v>0</v>
      </c>
      <c r="AG2481" s="93">
        <f>IF(AQ2481="2",BI2481,0)</f>
        <v>0</v>
      </c>
      <c r="AH2481" s="93">
        <f>IF(AQ2481="0",BJ2481,0)</f>
        <v>0</v>
      </c>
      <c r="AI2481" s="88" t="s">
        <v>55</v>
      </c>
      <c r="AJ2481" s="93">
        <f>IF(AN2481=0,L2481,0)</f>
        <v>0</v>
      </c>
      <c r="AK2481" s="93">
        <f>IF(AN2481=12,L2481,0)</f>
        <v>0</v>
      </c>
      <c r="AL2481" s="93">
        <f>IF(AN2481=21,L2481,0)</f>
        <v>0</v>
      </c>
      <c r="AN2481" s="93">
        <v>21</v>
      </c>
      <c r="AO2481" s="93">
        <f>H2481*0.399315254</f>
        <v>0</v>
      </c>
      <c r="AP2481" s="93">
        <f>H2481*(1-0.399315254)</f>
        <v>0</v>
      </c>
      <c r="AQ2481" s="94" t="s">
        <v>148</v>
      </c>
      <c r="AV2481" s="93">
        <f>AW2481+AX2481</f>
        <v>0</v>
      </c>
      <c r="AW2481" s="93">
        <f>G2481*AO2481</f>
        <v>0</v>
      </c>
      <c r="AX2481" s="93">
        <f>G2481*AP2481</f>
        <v>0</v>
      </c>
      <c r="AY2481" s="94" t="s">
        <v>3140</v>
      </c>
      <c r="AZ2481" s="94" t="s">
        <v>2936</v>
      </c>
      <c r="BA2481" s="88" t="s">
        <v>67</v>
      </c>
      <c r="BC2481" s="93">
        <f>AW2481+AX2481</f>
        <v>0</v>
      </c>
      <c r="BD2481" s="93">
        <f>H2481/(100-BE2481)*100</f>
        <v>0</v>
      </c>
      <c r="BE2481" s="93">
        <v>0</v>
      </c>
      <c r="BF2481" s="93">
        <f>O2481</f>
        <v>5.0000000000000001E-4</v>
      </c>
      <c r="BH2481" s="93">
        <f>G2481*AO2481</f>
        <v>0</v>
      </c>
      <c r="BI2481" s="93">
        <f>G2481*AP2481</f>
        <v>0</v>
      </c>
      <c r="BJ2481" s="93">
        <f>G2481*H2481</f>
        <v>0</v>
      </c>
      <c r="BK2481" s="93"/>
      <c r="BL2481" s="93"/>
      <c r="BW2481" s="93" t="str">
        <f>I2481</f>
        <v>21</v>
      </c>
      <c r="BX2481" s="2" t="s">
        <v>3409</v>
      </c>
    </row>
    <row r="2482" spans="1:76" s="81" customFormat="1" ht="13.5" customHeight="1" x14ac:dyDescent="0.25">
      <c r="A2482" s="95"/>
      <c r="B2482" s="95"/>
      <c r="C2482" s="95"/>
      <c r="D2482" s="182" t="s">
        <v>3412</v>
      </c>
      <c r="E2482" s="182"/>
      <c r="F2482" s="182"/>
      <c r="G2482" s="182"/>
      <c r="H2482" s="182"/>
      <c r="I2482" s="182"/>
      <c r="J2482" s="182"/>
      <c r="K2482" s="182"/>
      <c r="L2482" s="182"/>
      <c r="M2482" s="182"/>
      <c r="N2482" s="182"/>
      <c r="O2482" s="182"/>
      <c r="P2482" s="182"/>
    </row>
    <row r="2483" spans="1:76" s="81" customFormat="1" ht="25.5" x14ac:dyDescent="0.25">
      <c r="A2483" s="72" t="s">
        <v>3413</v>
      </c>
      <c r="B2483" s="72" t="s">
        <v>55</v>
      </c>
      <c r="C2483" s="72" t="s">
        <v>3414</v>
      </c>
      <c r="D2483" s="175" t="s">
        <v>3415</v>
      </c>
      <c r="E2483" s="175"/>
      <c r="F2483" s="72" t="s">
        <v>213</v>
      </c>
      <c r="G2483" s="90">
        <v>24</v>
      </c>
      <c r="H2483" s="91"/>
      <c r="I2483" s="92" t="s">
        <v>63</v>
      </c>
      <c r="J2483" s="90">
        <f>G2483*AO2483</f>
        <v>0</v>
      </c>
      <c r="K2483" s="90">
        <f>G2483*AP2483</f>
        <v>0</v>
      </c>
      <c r="L2483" s="90">
        <f>G2483*H2483</f>
        <v>0</v>
      </c>
      <c r="M2483" s="90">
        <f>L2483*(1+BW2483/100)</f>
        <v>0</v>
      </c>
      <c r="N2483" s="90">
        <v>3.0000000000000001E-5</v>
      </c>
      <c r="O2483" s="90">
        <f>G2483*N2483</f>
        <v>7.2000000000000005E-4</v>
      </c>
      <c r="P2483" s="92" t="s">
        <v>64</v>
      </c>
      <c r="Z2483" s="93">
        <f>IF(AQ2483="5",BJ2483,0)</f>
        <v>0</v>
      </c>
      <c r="AB2483" s="93">
        <f>IF(AQ2483="1",BH2483,0)</f>
        <v>0</v>
      </c>
      <c r="AC2483" s="93">
        <f>IF(AQ2483="1",BI2483,0)</f>
        <v>0</v>
      </c>
      <c r="AD2483" s="93">
        <f>IF(AQ2483="7",BH2483,0)</f>
        <v>0</v>
      </c>
      <c r="AE2483" s="93">
        <f>IF(AQ2483="7",BI2483,0)</f>
        <v>0</v>
      </c>
      <c r="AF2483" s="93">
        <f>IF(AQ2483="2",BH2483,0)</f>
        <v>0</v>
      </c>
      <c r="AG2483" s="93">
        <f>IF(AQ2483="2",BI2483,0)</f>
        <v>0</v>
      </c>
      <c r="AH2483" s="93">
        <f>IF(AQ2483="0",BJ2483,0)</f>
        <v>0</v>
      </c>
      <c r="AI2483" s="88" t="s">
        <v>55</v>
      </c>
      <c r="AJ2483" s="93">
        <f>IF(AN2483=0,L2483,0)</f>
        <v>0</v>
      </c>
      <c r="AK2483" s="93">
        <f>IF(AN2483=12,L2483,0)</f>
        <v>0</v>
      </c>
      <c r="AL2483" s="93">
        <f>IF(AN2483=21,L2483,0)</f>
        <v>0</v>
      </c>
      <c r="AN2483" s="93">
        <v>21</v>
      </c>
      <c r="AO2483" s="93">
        <f>H2483*0.463343334</f>
        <v>0</v>
      </c>
      <c r="AP2483" s="93">
        <f>H2483*(1-0.463343334)</f>
        <v>0</v>
      </c>
      <c r="AQ2483" s="94" t="s">
        <v>148</v>
      </c>
      <c r="AV2483" s="93">
        <f>AW2483+AX2483</f>
        <v>0</v>
      </c>
      <c r="AW2483" s="93">
        <f>G2483*AO2483</f>
        <v>0</v>
      </c>
      <c r="AX2483" s="93">
        <f>G2483*AP2483</f>
        <v>0</v>
      </c>
      <c r="AY2483" s="94" t="s">
        <v>3140</v>
      </c>
      <c r="AZ2483" s="94" t="s">
        <v>2936</v>
      </c>
      <c r="BA2483" s="88" t="s">
        <v>67</v>
      </c>
      <c r="BC2483" s="93">
        <f>AW2483+AX2483</f>
        <v>0</v>
      </c>
      <c r="BD2483" s="93">
        <f>H2483/(100-BE2483)*100</f>
        <v>0</v>
      </c>
      <c r="BE2483" s="93">
        <v>0</v>
      </c>
      <c r="BF2483" s="93">
        <f>O2483</f>
        <v>7.2000000000000005E-4</v>
      </c>
      <c r="BH2483" s="93">
        <f>G2483*AO2483</f>
        <v>0</v>
      </c>
      <c r="BI2483" s="93">
        <f>G2483*AP2483</f>
        <v>0</v>
      </c>
      <c r="BJ2483" s="93">
        <f>G2483*H2483</f>
        <v>0</v>
      </c>
      <c r="BK2483" s="93"/>
      <c r="BL2483" s="93"/>
      <c r="BW2483" s="93" t="str">
        <f>I2483</f>
        <v>21</v>
      </c>
      <c r="BX2483" s="2" t="s">
        <v>3415</v>
      </c>
    </row>
    <row r="2484" spans="1:76" s="81" customFormat="1" ht="13.5" customHeight="1" x14ac:dyDescent="0.25">
      <c r="A2484" s="95"/>
      <c r="B2484" s="95"/>
      <c r="C2484" s="95"/>
      <c r="D2484" s="182" t="s">
        <v>3416</v>
      </c>
      <c r="E2484" s="182"/>
      <c r="F2484" s="182"/>
      <c r="G2484" s="182"/>
      <c r="H2484" s="182"/>
      <c r="I2484" s="182"/>
      <c r="J2484" s="182"/>
      <c r="K2484" s="182"/>
      <c r="L2484" s="182"/>
      <c r="M2484" s="182"/>
      <c r="N2484" s="182"/>
      <c r="O2484" s="182"/>
      <c r="P2484" s="182"/>
    </row>
    <row r="2485" spans="1:76" s="81" customFormat="1" ht="25.5" x14ac:dyDescent="0.25">
      <c r="A2485" s="72" t="s">
        <v>3417</v>
      </c>
      <c r="B2485" s="72" t="s">
        <v>55</v>
      </c>
      <c r="C2485" s="72" t="s">
        <v>3418</v>
      </c>
      <c r="D2485" s="175" t="s">
        <v>3419</v>
      </c>
      <c r="E2485" s="175"/>
      <c r="F2485" s="72" t="s">
        <v>213</v>
      </c>
      <c r="G2485" s="90">
        <v>289</v>
      </c>
      <c r="H2485" s="91"/>
      <c r="I2485" s="92" t="s">
        <v>63</v>
      </c>
      <c r="J2485" s="90">
        <f>G2485*AO2485</f>
        <v>0</v>
      </c>
      <c r="K2485" s="90">
        <f>G2485*AP2485</f>
        <v>0</v>
      </c>
      <c r="L2485" s="90">
        <f>G2485*H2485</f>
        <v>0</v>
      </c>
      <c r="M2485" s="90">
        <f>L2485*(1+BW2485/100)</f>
        <v>0</v>
      </c>
      <c r="N2485" s="90">
        <v>0</v>
      </c>
      <c r="O2485" s="90">
        <f>G2485*N2485</f>
        <v>0</v>
      </c>
      <c r="P2485" s="92" t="s">
        <v>64</v>
      </c>
      <c r="Z2485" s="93">
        <f>IF(AQ2485="5",BJ2485,0)</f>
        <v>0</v>
      </c>
      <c r="AB2485" s="93">
        <f>IF(AQ2485="1",BH2485,0)</f>
        <v>0</v>
      </c>
      <c r="AC2485" s="93">
        <f>IF(AQ2485="1",BI2485,0)</f>
        <v>0</v>
      </c>
      <c r="AD2485" s="93">
        <f>IF(AQ2485="7",BH2485,0)</f>
        <v>0</v>
      </c>
      <c r="AE2485" s="93">
        <f>IF(AQ2485="7",BI2485,0)</f>
        <v>0</v>
      </c>
      <c r="AF2485" s="93">
        <f>IF(AQ2485="2",BH2485,0)</f>
        <v>0</v>
      </c>
      <c r="AG2485" s="93">
        <f>IF(AQ2485="2",BI2485,0)</f>
        <v>0</v>
      </c>
      <c r="AH2485" s="93">
        <f>IF(AQ2485="0",BJ2485,0)</f>
        <v>0</v>
      </c>
      <c r="AI2485" s="88" t="s">
        <v>55</v>
      </c>
      <c r="AJ2485" s="93">
        <f>IF(AN2485=0,L2485,0)</f>
        <v>0</v>
      </c>
      <c r="AK2485" s="93">
        <f>IF(AN2485=12,L2485,0)</f>
        <v>0</v>
      </c>
      <c r="AL2485" s="93">
        <f>IF(AN2485=21,L2485,0)</f>
        <v>0</v>
      </c>
      <c r="AN2485" s="93">
        <v>21</v>
      </c>
      <c r="AO2485" s="93">
        <f>H2485*0</f>
        <v>0</v>
      </c>
      <c r="AP2485" s="93">
        <f>H2485*(1-0)</f>
        <v>0</v>
      </c>
      <c r="AQ2485" s="94" t="s">
        <v>148</v>
      </c>
      <c r="AV2485" s="93">
        <f>AW2485+AX2485</f>
        <v>0</v>
      </c>
      <c r="AW2485" s="93">
        <f>G2485*AO2485</f>
        <v>0</v>
      </c>
      <c r="AX2485" s="93">
        <f>G2485*AP2485</f>
        <v>0</v>
      </c>
      <c r="AY2485" s="94" t="s">
        <v>3140</v>
      </c>
      <c r="AZ2485" s="94" t="s">
        <v>2936</v>
      </c>
      <c r="BA2485" s="88" t="s">
        <v>67</v>
      </c>
      <c r="BC2485" s="93">
        <f>AW2485+AX2485</f>
        <v>0</v>
      </c>
      <c r="BD2485" s="93">
        <f>H2485/(100-BE2485)*100</f>
        <v>0</v>
      </c>
      <c r="BE2485" s="93">
        <v>0</v>
      </c>
      <c r="BF2485" s="93">
        <f>O2485</f>
        <v>0</v>
      </c>
      <c r="BH2485" s="93">
        <f>G2485*AO2485</f>
        <v>0</v>
      </c>
      <c r="BI2485" s="93">
        <f>G2485*AP2485</f>
        <v>0</v>
      </c>
      <c r="BJ2485" s="93">
        <f>G2485*H2485</f>
        <v>0</v>
      </c>
      <c r="BK2485" s="93"/>
      <c r="BL2485" s="93"/>
      <c r="BW2485" s="93" t="str">
        <f>I2485</f>
        <v>21</v>
      </c>
      <c r="BX2485" s="2" t="s">
        <v>3419</v>
      </c>
    </row>
    <row r="2486" spans="1:76" s="81" customFormat="1" x14ac:dyDescent="0.25">
      <c r="A2486" s="95"/>
      <c r="B2486" s="95"/>
      <c r="C2486" s="95"/>
      <c r="D2486" s="76" t="s">
        <v>3420</v>
      </c>
      <c r="E2486" s="76" t="s">
        <v>54</v>
      </c>
      <c r="F2486" s="95"/>
      <c r="G2486" s="96">
        <v>289</v>
      </c>
      <c r="H2486" s="95"/>
      <c r="I2486" s="95"/>
      <c r="J2486" s="95"/>
      <c r="K2486" s="95"/>
      <c r="L2486" s="95"/>
      <c r="M2486" s="95"/>
      <c r="N2486" s="95"/>
      <c r="O2486" s="95"/>
      <c r="P2486" s="95"/>
    </row>
    <row r="2487" spans="1:76" s="81" customFormat="1" ht="25.5" x14ac:dyDescent="0.25">
      <c r="A2487" s="72" t="s">
        <v>3421</v>
      </c>
      <c r="B2487" s="72" t="s">
        <v>55</v>
      </c>
      <c r="C2487" s="72" t="s">
        <v>3422</v>
      </c>
      <c r="D2487" s="175" t="s">
        <v>3423</v>
      </c>
      <c r="E2487" s="175"/>
      <c r="F2487" s="72" t="s">
        <v>213</v>
      </c>
      <c r="G2487" s="90">
        <v>55</v>
      </c>
      <c r="H2487" s="91"/>
      <c r="I2487" s="92" t="s">
        <v>63</v>
      </c>
      <c r="J2487" s="90">
        <f t="shared" ref="J2487:J2497" si="514">G2487*AO2487</f>
        <v>0</v>
      </c>
      <c r="K2487" s="90">
        <f t="shared" ref="K2487:K2497" si="515">G2487*AP2487</f>
        <v>0</v>
      </c>
      <c r="L2487" s="90">
        <f t="shared" ref="L2487:L2497" si="516">G2487*H2487</f>
        <v>0</v>
      </c>
      <c r="M2487" s="90">
        <f t="shared" ref="M2487:M2497" si="517">L2487*(1+BW2487/100)</f>
        <v>0</v>
      </c>
      <c r="N2487" s="90">
        <v>2.0000000000000001E-4</v>
      </c>
      <c r="O2487" s="90">
        <f t="shared" ref="O2487:O2497" si="518">G2487*N2487</f>
        <v>1.1000000000000001E-2</v>
      </c>
      <c r="P2487" s="92" t="s">
        <v>64</v>
      </c>
      <c r="Z2487" s="93">
        <f t="shared" ref="Z2487:Z2497" si="519">IF(AQ2487="5",BJ2487,0)</f>
        <v>0</v>
      </c>
      <c r="AB2487" s="93">
        <f t="shared" ref="AB2487:AB2497" si="520">IF(AQ2487="1",BH2487,0)</f>
        <v>0</v>
      </c>
      <c r="AC2487" s="93">
        <f t="shared" ref="AC2487:AC2497" si="521">IF(AQ2487="1",BI2487,0)</f>
        <v>0</v>
      </c>
      <c r="AD2487" s="93">
        <f t="shared" ref="AD2487:AD2497" si="522">IF(AQ2487="7",BH2487,0)</f>
        <v>0</v>
      </c>
      <c r="AE2487" s="93">
        <f t="shared" ref="AE2487:AE2497" si="523">IF(AQ2487="7",BI2487,0)</f>
        <v>0</v>
      </c>
      <c r="AF2487" s="93">
        <f t="shared" ref="AF2487:AF2497" si="524">IF(AQ2487="2",BH2487,0)</f>
        <v>0</v>
      </c>
      <c r="AG2487" s="93">
        <f t="shared" ref="AG2487:AG2497" si="525">IF(AQ2487="2",BI2487,0)</f>
        <v>0</v>
      </c>
      <c r="AH2487" s="93">
        <f t="shared" ref="AH2487:AH2497" si="526">IF(AQ2487="0",BJ2487,0)</f>
        <v>0</v>
      </c>
      <c r="AI2487" s="88" t="s">
        <v>55</v>
      </c>
      <c r="AJ2487" s="93">
        <f t="shared" ref="AJ2487:AJ2497" si="527">IF(AN2487=0,L2487,0)</f>
        <v>0</v>
      </c>
      <c r="AK2487" s="93">
        <f t="shared" ref="AK2487:AK2497" si="528">IF(AN2487=12,L2487,0)</f>
        <v>0</v>
      </c>
      <c r="AL2487" s="93">
        <f t="shared" ref="AL2487:AL2497" si="529">IF(AN2487=21,L2487,0)</f>
        <v>0</v>
      </c>
      <c r="AN2487" s="93">
        <v>21</v>
      </c>
      <c r="AO2487" s="93">
        <f t="shared" ref="AO2487:AO2492" si="530">H2487*1</f>
        <v>0</v>
      </c>
      <c r="AP2487" s="93">
        <f t="shared" ref="AP2487:AP2492" si="531">H2487*(1-1)</f>
        <v>0</v>
      </c>
      <c r="AQ2487" s="94" t="s">
        <v>148</v>
      </c>
      <c r="AV2487" s="93">
        <f t="shared" ref="AV2487:AV2497" si="532">AW2487+AX2487</f>
        <v>0</v>
      </c>
      <c r="AW2487" s="93">
        <f t="shared" ref="AW2487:AW2497" si="533">G2487*AO2487</f>
        <v>0</v>
      </c>
      <c r="AX2487" s="93">
        <f t="shared" ref="AX2487:AX2497" si="534">G2487*AP2487</f>
        <v>0</v>
      </c>
      <c r="AY2487" s="94" t="s">
        <v>3140</v>
      </c>
      <c r="AZ2487" s="94" t="s">
        <v>2936</v>
      </c>
      <c r="BA2487" s="88" t="s">
        <v>67</v>
      </c>
      <c r="BC2487" s="93">
        <f t="shared" ref="BC2487:BC2497" si="535">AW2487+AX2487</f>
        <v>0</v>
      </c>
      <c r="BD2487" s="93">
        <f t="shared" ref="BD2487:BD2497" si="536">H2487/(100-BE2487)*100</f>
        <v>0</v>
      </c>
      <c r="BE2487" s="93">
        <v>0</v>
      </c>
      <c r="BF2487" s="93">
        <f t="shared" ref="BF2487:BF2497" si="537">O2487</f>
        <v>1.1000000000000001E-2</v>
      </c>
      <c r="BH2487" s="93">
        <f t="shared" ref="BH2487:BH2497" si="538">G2487*AO2487</f>
        <v>0</v>
      </c>
      <c r="BI2487" s="93">
        <f t="shared" ref="BI2487:BI2497" si="539">G2487*AP2487</f>
        <v>0</v>
      </c>
      <c r="BJ2487" s="93">
        <f t="shared" ref="BJ2487:BJ2497" si="540">G2487*H2487</f>
        <v>0</v>
      </c>
      <c r="BK2487" s="93"/>
      <c r="BL2487" s="93"/>
      <c r="BW2487" s="93" t="str">
        <f t="shared" ref="BW2487:BW2497" si="541">I2487</f>
        <v>21</v>
      </c>
      <c r="BX2487" s="2" t="s">
        <v>3423</v>
      </c>
    </row>
    <row r="2488" spans="1:76" s="81" customFormat="1" ht="25.5" x14ac:dyDescent="0.25">
      <c r="A2488" s="72" t="s">
        <v>3424</v>
      </c>
      <c r="B2488" s="72" t="s">
        <v>55</v>
      </c>
      <c r="C2488" s="72" t="s">
        <v>3425</v>
      </c>
      <c r="D2488" s="175" t="s">
        <v>3426</v>
      </c>
      <c r="E2488" s="175"/>
      <c r="F2488" s="72" t="s">
        <v>213</v>
      </c>
      <c r="G2488" s="90">
        <v>35</v>
      </c>
      <c r="H2488" s="91"/>
      <c r="I2488" s="92" t="s">
        <v>63</v>
      </c>
      <c r="J2488" s="90">
        <f t="shared" si="514"/>
        <v>0</v>
      </c>
      <c r="K2488" s="90">
        <f t="shared" si="515"/>
        <v>0</v>
      </c>
      <c r="L2488" s="90">
        <f t="shared" si="516"/>
        <v>0</v>
      </c>
      <c r="M2488" s="90">
        <f t="shared" si="517"/>
        <v>0</v>
      </c>
      <c r="N2488" s="90">
        <v>7.2000000000000005E-4</v>
      </c>
      <c r="O2488" s="90">
        <f t="shared" si="518"/>
        <v>2.52E-2</v>
      </c>
      <c r="P2488" s="92" t="s">
        <v>64</v>
      </c>
      <c r="Z2488" s="93">
        <f t="shared" si="519"/>
        <v>0</v>
      </c>
      <c r="AB2488" s="93">
        <f t="shared" si="520"/>
        <v>0</v>
      </c>
      <c r="AC2488" s="93">
        <f t="shared" si="521"/>
        <v>0</v>
      </c>
      <c r="AD2488" s="93">
        <f t="shared" si="522"/>
        <v>0</v>
      </c>
      <c r="AE2488" s="93">
        <f t="shared" si="523"/>
        <v>0</v>
      </c>
      <c r="AF2488" s="93">
        <f t="shared" si="524"/>
        <v>0</v>
      </c>
      <c r="AG2488" s="93">
        <f t="shared" si="525"/>
        <v>0</v>
      </c>
      <c r="AH2488" s="93">
        <f t="shared" si="526"/>
        <v>0</v>
      </c>
      <c r="AI2488" s="88" t="s">
        <v>55</v>
      </c>
      <c r="AJ2488" s="93">
        <f t="shared" si="527"/>
        <v>0</v>
      </c>
      <c r="AK2488" s="93">
        <f t="shared" si="528"/>
        <v>0</v>
      </c>
      <c r="AL2488" s="93">
        <f t="shared" si="529"/>
        <v>0</v>
      </c>
      <c r="AN2488" s="93">
        <v>21</v>
      </c>
      <c r="AO2488" s="93">
        <f t="shared" si="530"/>
        <v>0</v>
      </c>
      <c r="AP2488" s="93">
        <f t="shared" si="531"/>
        <v>0</v>
      </c>
      <c r="AQ2488" s="94" t="s">
        <v>148</v>
      </c>
      <c r="AV2488" s="93">
        <f t="shared" si="532"/>
        <v>0</v>
      </c>
      <c r="AW2488" s="93">
        <f t="shared" si="533"/>
        <v>0</v>
      </c>
      <c r="AX2488" s="93">
        <f t="shared" si="534"/>
        <v>0</v>
      </c>
      <c r="AY2488" s="94" t="s">
        <v>3140</v>
      </c>
      <c r="AZ2488" s="94" t="s">
        <v>2936</v>
      </c>
      <c r="BA2488" s="88" t="s">
        <v>67</v>
      </c>
      <c r="BC2488" s="93">
        <f t="shared" si="535"/>
        <v>0</v>
      </c>
      <c r="BD2488" s="93">
        <f t="shared" si="536"/>
        <v>0</v>
      </c>
      <c r="BE2488" s="93">
        <v>0</v>
      </c>
      <c r="BF2488" s="93">
        <f t="shared" si="537"/>
        <v>2.52E-2</v>
      </c>
      <c r="BH2488" s="93">
        <f t="shared" si="538"/>
        <v>0</v>
      </c>
      <c r="BI2488" s="93">
        <f t="shared" si="539"/>
        <v>0</v>
      </c>
      <c r="BJ2488" s="93">
        <f t="shared" si="540"/>
        <v>0</v>
      </c>
      <c r="BK2488" s="93"/>
      <c r="BL2488" s="93"/>
      <c r="BW2488" s="93" t="str">
        <f t="shared" si="541"/>
        <v>21</v>
      </c>
      <c r="BX2488" s="2" t="s">
        <v>3426</v>
      </c>
    </row>
    <row r="2489" spans="1:76" s="81" customFormat="1" ht="25.5" x14ac:dyDescent="0.25">
      <c r="A2489" s="72" t="s">
        <v>3427</v>
      </c>
      <c r="B2489" s="72" t="s">
        <v>55</v>
      </c>
      <c r="C2489" s="72" t="s">
        <v>3428</v>
      </c>
      <c r="D2489" s="175" t="s">
        <v>3429</v>
      </c>
      <c r="E2489" s="175"/>
      <c r="F2489" s="72" t="s">
        <v>213</v>
      </c>
      <c r="G2489" s="90">
        <v>14</v>
      </c>
      <c r="H2489" s="91"/>
      <c r="I2489" s="92" t="s">
        <v>63</v>
      </c>
      <c r="J2489" s="90">
        <f t="shared" si="514"/>
        <v>0</v>
      </c>
      <c r="K2489" s="90">
        <f t="shared" si="515"/>
        <v>0</v>
      </c>
      <c r="L2489" s="90">
        <f t="shared" si="516"/>
        <v>0</v>
      </c>
      <c r="M2489" s="90">
        <f t="shared" si="517"/>
        <v>0</v>
      </c>
      <c r="N2489" s="90">
        <v>6.4999999999999997E-4</v>
      </c>
      <c r="O2489" s="90">
        <f t="shared" si="518"/>
        <v>9.1000000000000004E-3</v>
      </c>
      <c r="P2489" s="92" t="s">
        <v>64</v>
      </c>
      <c r="Z2489" s="93">
        <f t="shared" si="519"/>
        <v>0</v>
      </c>
      <c r="AB2489" s="93">
        <f t="shared" si="520"/>
        <v>0</v>
      </c>
      <c r="AC2489" s="93">
        <f t="shared" si="521"/>
        <v>0</v>
      </c>
      <c r="AD2489" s="93">
        <f t="shared" si="522"/>
        <v>0</v>
      </c>
      <c r="AE2489" s="93">
        <f t="shared" si="523"/>
        <v>0</v>
      </c>
      <c r="AF2489" s="93">
        <f t="shared" si="524"/>
        <v>0</v>
      </c>
      <c r="AG2489" s="93">
        <f t="shared" si="525"/>
        <v>0</v>
      </c>
      <c r="AH2489" s="93">
        <f t="shared" si="526"/>
        <v>0</v>
      </c>
      <c r="AI2489" s="88" t="s">
        <v>55</v>
      </c>
      <c r="AJ2489" s="93">
        <f t="shared" si="527"/>
        <v>0</v>
      </c>
      <c r="AK2489" s="93">
        <f t="shared" si="528"/>
        <v>0</v>
      </c>
      <c r="AL2489" s="93">
        <f t="shared" si="529"/>
        <v>0</v>
      </c>
      <c r="AN2489" s="93">
        <v>21</v>
      </c>
      <c r="AO2489" s="93">
        <f t="shared" si="530"/>
        <v>0</v>
      </c>
      <c r="AP2489" s="93">
        <f t="shared" si="531"/>
        <v>0</v>
      </c>
      <c r="AQ2489" s="94" t="s">
        <v>148</v>
      </c>
      <c r="AV2489" s="93">
        <f t="shared" si="532"/>
        <v>0</v>
      </c>
      <c r="AW2489" s="93">
        <f t="shared" si="533"/>
        <v>0</v>
      </c>
      <c r="AX2489" s="93">
        <f t="shared" si="534"/>
        <v>0</v>
      </c>
      <c r="AY2489" s="94" t="s">
        <v>3140</v>
      </c>
      <c r="AZ2489" s="94" t="s">
        <v>2936</v>
      </c>
      <c r="BA2489" s="88" t="s">
        <v>67</v>
      </c>
      <c r="BC2489" s="93">
        <f t="shared" si="535"/>
        <v>0</v>
      </c>
      <c r="BD2489" s="93">
        <f t="shared" si="536"/>
        <v>0</v>
      </c>
      <c r="BE2489" s="93">
        <v>0</v>
      </c>
      <c r="BF2489" s="93">
        <f t="shared" si="537"/>
        <v>9.1000000000000004E-3</v>
      </c>
      <c r="BH2489" s="93">
        <f t="shared" si="538"/>
        <v>0</v>
      </c>
      <c r="BI2489" s="93">
        <f t="shared" si="539"/>
        <v>0</v>
      </c>
      <c r="BJ2489" s="93">
        <f t="shared" si="540"/>
        <v>0</v>
      </c>
      <c r="BK2489" s="93"/>
      <c r="BL2489" s="93"/>
      <c r="BW2489" s="93" t="str">
        <f t="shared" si="541"/>
        <v>21</v>
      </c>
      <c r="BX2489" s="2" t="s">
        <v>3429</v>
      </c>
    </row>
    <row r="2490" spans="1:76" s="81" customFormat="1" ht="25.5" x14ac:dyDescent="0.25">
      <c r="A2490" s="72" t="s">
        <v>3430</v>
      </c>
      <c r="B2490" s="72" t="s">
        <v>55</v>
      </c>
      <c r="C2490" s="72" t="s">
        <v>3431</v>
      </c>
      <c r="D2490" s="175" t="s">
        <v>3432</v>
      </c>
      <c r="E2490" s="175"/>
      <c r="F2490" s="72" t="s">
        <v>213</v>
      </c>
      <c r="G2490" s="90">
        <v>34</v>
      </c>
      <c r="H2490" s="91"/>
      <c r="I2490" s="92" t="s">
        <v>63</v>
      </c>
      <c r="J2490" s="90">
        <f t="shared" si="514"/>
        <v>0</v>
      </c>
      <c r="K2490" s="90">
        <f t="shared" si="515"/>
        <v>0</v>
      </c>
      <c r="L2490" s="90">
        <f t="shared" si="516"/>
        <v>0</v>
      </c>
      <c r="M2490" s="90">
        <f t="shared" si="517"/>
        <v>0</v>
      </c>
      <c r="N2490" s="90">
        <v>3.6999999999999999E-4</v>
      </c>
      <c r="O2490" s="90">
        <f t="shared" si="518"/>
        <v>1.2579999999999999E-2</v>
      </c>
      <c r="P2490" s="92" t="s">
        <v>64</v>
      </c>
      <c r="Z2490" s="93">
        <f t="shared" si="519"/>
        <v>0</v>
      </c>
      <c r="AB2490" s="93">
        <f t="shared" si="520"/>
        <v>0</v>
      </c>
      <c r="AC2490" s="93">
        <f t="shared" si="521"/>
        <v>0</v>
      </c>
      <c r="AD2490" s="93">
        <f t="shared" si="522"/>
        <v>0</v>
      </c>
      <c r="AE2490" s="93">
        <f t="shared" si="523"/>
        <v>0</v>
      </c>
      <c r="AF2490" s="93">
        <f t="shared" si="524"/>
        <v>0</v>
      </c>
      <c r="AG2490" s="93">
        <f t="shared" si="525"/>
        <v>0</v>
      </c>
      <c r="AH2490" s="93">
        <f t="shared" si="526"/>
        <v>0</v>
      </c>
      <c r="AI2490" s="88" t="s">
        <v>55</v>
      </c>
      <c r="AJ2490" s="93">
        <f t="shared" si="527"/>
        <v>0</v>
      </c>
      <c r="AK2490" s="93">
        <f t="shared" si="528"/>
        <v>0</v>
      </c>
      <c r="AL2490" s="93">
        <f t="shared" si="529"/>
        <v>0</v>
      </c>
      <c r="AN2490" s="93">
        <v>21</v>
      </c>
      <c r="AO2490" s="93">
        <f t="shared" si="530"/>
        <v>0</v>
      </c>
      <c r="AP2490" s="93">
        <f t="shared" si="531"/>
        <v>0</v>
      </c>
      <c r="AQ2490" s="94" t="s">
        <v>148</v>
      </c>
      <c r="AV2490" s="93">
        <f t="shared" si="532"/>
        <v>0</v>
      </c>
      <c r="AW2490" s="93">
        <f t="shared" si="533"/>
        <v>0</v>
      </c>
      <c r="AX2490" s="93">
        <f t="shared" si="534"/>
        <v>0</v>
      </c>
      <c r="AY2490" s="94" t="s">
        <v>3140</v>
      </c>
      <c r="AZ2490" s="94" t="s">
        <v>2936</v>
      </c>
      <c r="BA2490" s="88" t="s">
        <v>67</v>
      </c>
      <c r="BC2490" s="93">
        <f t="shared" si="535"/>
        <v>0</v>
      </c>
      <c r="BD2490" s="93">
        <f t="shared" si="536"/>
        <v>0</v>
      </c>
      <c r="BE2490" s="93">
        <v>0</v>
      </c>
      <c r="BF2490" s="93">
        <f t="shared" si="537"/>
        <v>1.2579999999999999E-2</v>
      </c>
      <c r="BH2490" s="93">
        <f t="shared" si="538"/>
        <v>0</v>
      </c>
      <c r="BI2490" s="93">
        <f t="shared" si="539"/>
        <v>0</v>
      </c>
      <c r="BJ2490" s="93">
        <f t="shared" si="540"/>
        <v>0</v>
      </c>
      <c r="BK2490" s="93"/>
      <c r="BL2490" s="93"/>
      <c r="BW2490" s="93" t="str">
        <f t="shared" si="541"/>
        <v>21</v>
      </c>
      <c r="BX2490" s="2" t="s">
        <v>3432</v>
      </c>
    </row>
    <row r="2491" spans="1:76" s="81" customFormat="1" ht="25.5" x14ac:dyDescent="0.25">
      <c r="A2491" s="72" t="s">
        <v>3433</v>
      </c>
      <c r="B2491" s="72" t="s">
        <v>55</v>
      </c>
      <c r="C2491" s="72" t="s">
        <v>3434</v>
      </c>
      <c r="D2491" s="175" t="s">
        <v>3435</v>
      </c>
      <c r="E2491" s="175"/>
      <c r="F2491" s="72" t="s">
        <v>213</v>
      </c>
      <c r="G2491" s="90">
        <v>58</v>
      </c>
      <c r="H2491" s="91"/>
      <c r="I2491" s="92" t="s">
        <v>63</v>
      </c>
      <c r="J2491" s="90">
        <f t="shared" si="514"/>
        <v>0</v>
      </c>
      <c r="K2491" s="90">
        <f t="shared" si="515"/>
        <v>0</v>
      </c>
      <c r="L2491" s="90">
        <f t="shared" si="516"/>
        <v>0</v>
      </c>
      <c r="M2491" s="90">
        <f t="shared" si="517"/>
        <v>0</v>
      </c>
      <c r="N2491" s="90">
        <v>3.4000000000000002E-4</v>
      </c>
      <c r="O2491" s="90">
        <f t="shared" si="518"/>
        <v>1.9720000000000001E-2</v>
      </c>
      <c r="P2491" s="92" t="s">
        <v>64</v>
      </c>
      <c r="Z2491" s="93">
        <f t="shared" si="519"/>
        <v>0</v>
      </c>
      <c r="AB2491" s="93">
        <f t="shared" si="520"/>
        <v>0</v>
      </c>
      <c r="AC2491" s="93">
        <f t="shared" si="521"/>
        <v>0</v>
      </c>
      <c r="AD2491" s="93">
        <f t="shared" si="522"/>
        <v>0</v>
      </c>
      <c r="AE2491" s="93">
        <f t="shared" si="523"/>
        <v>0</v>
      </c>
      <c r="AF2491" s="93">
        <f t="shared" si="524"/>
        <v>0</v>
      </c>
      <c r="AG2491" s="93">
        <f t="shared" si="525"/>
        <v>0</v>
      </c>
      <c r="AH2491" s="93">
        <f t="shared" si="526"/>
        <v>0</v>
      </c>
      <c r="AI2491" s="88" t="s">
        <v>55</v>
      </c>
      <c r="AJ2491" s="93">
        <f t="shared" si="527"/>
        <v>0</v>
      </c>
      <c r="AK2491" s="93">
        <f t="shared" si="528"/>
        <v>0</v>
      </c>
      <c r="AL2491" s="93">
        <f t="shared" si="529"/>
        <v>0</v>
      </c>
      <c r="AN2491" s="93">
        <v>21</v>
      </c>
      <c r="AO2491" s="93">
        <f t="shared" si="530"/>
        <v>0</v>
      </c>
      <c r="AP2491" s="93">
        <f t="shared" si="531"/>
        <v>0</v>
      </c>
      <c r="AQ2491" s="94" t="s">
        <v>148</v>
      </c>
      <c r="AV2491" s="93">
        <f t="shared" si="532"/>
        <v>0</v>
      </c>
      <c r="AW2491" s="93">
        <f t="shared" si="533"/>
        <v>0</v>
      </c>
      <c r="AX2491" s="93">
        <f t="shared" si="534"/>
        <v>0</v>
      </c>
      <c r="AY2491" s="94" t="s">
        <v>3140</v>
      </c>
      <c r="AZ2491" s="94" t="s">
        <v>2936</v>
      </c>
      <c r="BA2491" s="88" t="s">
        <v>67</v>
      </c>
      <c r="BC2491" s="93">
        <f t="shared" si="535"/>
        <v>0</v>
      </c>
      <c r="BD2491" s="93">
        <f t="shared" si="536"/>
        <v>0</v>
      </c>
      <c r="BE2491" s="93">
        <v>0</v>
      </c>
      <c r="BF2491" s="93">
        <f t="shared" si="537"/>
        <v>1.9720000000000001E-2</v>
      </c>
      <c r="BH2491" s="93">
        <f t="shared" si="538"/>
        <v>0</v>
      </c>
      <c r="BI2491" s="93">
        <f t="shared" si="539"/>
        <v>0</v>
      </c>
      <c r="BJ2491" s="93">
        <f t="shared" si="540"/>
        <v>0</v>
      </c>
      <c r="BK2491" s="93"/>
      <c r="BL2491" s="93"/>
      <c r="BW2491" s="93" t="str">
        <f t="shared" si="541"/>
        <v>21</v>
      </c>
      <c r="BX2491" s="2" t="s">
        <v>3435</v>
      </c>
    </row>
    <row r="2492" spans="1:76" s="81" customFormat="1" ht="25.5" x14ac:dyDescent="0.25">
      <c r="A2492" s="72" t="s">
        <v>3436</v>
      </c>
      <c r="B2492" s="72" t="s">
        <v>55</v>
      </c>
      <c r="C2492" s="72" t="s">
        <v>3437</v>
      </c>
      <c r="D2492" s="175" t="s">
        <v>3438</v>
      </c>
      <c r="E2492" s="175"/>
      <c r="F2492" s="72" t="s">
        <v>213</v>
      </c>
      <c r="G2492" s="90">
        <v>93</v>
      </c>
      <c r="H2492" s="91"/>
      <c r="I2492" s="92" t="s">
        <v>63</v>
      </c>
      <c r="J2492" s="90">
        <f t="shared" si="514"/>
        <v>0</v>
      </c>
      <c r="K2492" s="90">
        <f t="shared" si="515"/>
        <v>0</v>
      </c>
      <c r="L2492" s="90">
        <f t="shared" si="516"/>
        <v>0</v>
      </c>
      <c r="M2492" s="90">
        <f t="shared" si="517"/>
        <v>0</v>
      </c>
      <c r="N2492" s="90">
        <v>1.4999999999999999E-4</v>
      </c>
      <c r="O2492" s="90">
        <f t="shared" si="518"/>
        <v>1.3949999999999999E-2</v>
      </c>
      <c r="P2492" s="92" t="s">
        <v>64</v>
      </c>
      <c r="Z2492" s="93">
        <f t="shared" si="519"/>
        <v>0</v>
      </c>
      <c r="AB2492" s="93">
        <f t="shared" si="520"/>
        <v>0</v>
      </c>
      <c r="AC2492" s="93">
        <f t="shared" si="521"/>
        <v>0</v>
      </c>
      <c r="AD2492" s="93">
        <f t="shared" si="522"/>
        <v>0</v>
      </c>
      <c r="AE2492" s="93">
        <f t="shared" si="523"/>
        <v>0</v>
      </c>
      <c r="AF2492" s="93">
        <f t="shared" si="524"/>
        <v>0</v>
      </c>
      <c r="AG2492" s="93">
        <f t="shared" si="525"/>
        <v>0</v>
      </c>
      <c r="AH2492" s="93">
        <f t="shared" si="526"/>
        <v>0</v>
      </c>
      <c r="AI2492" s="88" t="s">
        <v>55</v>
      </c>
      <c r="AJ2492" s="93">
        <f t="shared" si="527"/>
        <v>0</v>
      </c>
      <c r="AK2492" s="93">
        <f t="shared" si="528"/>
        <v>0</v>
      </c>
      <c r="AL2492" s="93">
        <f t="shared" si="529"/>
        <v>0</v>
      </c>
      <c r="AN2492" s="93">
        <v>21</v>
      </c>
      <c r="AO2492" s="93">
        <f t="shared" si="530"/>
        <v>0</v>
      </c>
      <c r="AP2492" s="93">
        <f t="shared" si="531"/>
        <v>0</v>
      </c>
      <c r="AQ2492" s="94" t="s">
        <v>148</v>
      </c>
      <c r="AV2492" s="93">
        <f t="shared" si="532"/>
        <v>0</v>
      </c>
      <c r="AW2492" s="93">
        <f t="shared" si="533"/>
        <v>0</v>
      </c>
      <c r="AX2492" s="93">
        <f t="shared" si="534"/>
        <v>0</v>
      </c>
      <c r="AY2492" s="94" t="s">
        <v>3140</v>
      </c>
      <c r="AZ2492" s="94" t="s">
        <v>2936</v>
      </c>
      <c r="BA2492" s="88" t="s">
        <v>67</v>
      </c>
      <c r="BC2492" s="93">
        <f t="shared" si="535"/>
        <v>0</v>
      </c>
      <c r="BD2492" s="93">
        <f t="shared" si="536"/>
        <v>0</v>
      </c>
      <c r="BE2492" s="93">
        <v>0</v>
      </c>
      <c r="BF2492" s="93">
        <f t="shared" si="537"/>
        <v>1.3949999999999999E-2</v>
      </c>
      <c r="BH2492" s="93">
        <f t="shared" si="538"/>
        <v>0</v>
      </c>
      <c r="BI2492" s="93">
        <f t="shared" si="539"/>
        <v>0</v>
      </c>
      <c r="BJ2492" s="93">
        <f t="shared" si="540"/>
        <v>0</v>
      </c>
      <c r="BK2492" s="93"/>
      <c r="BL2492" s="93"/>
      <c r="BW2492" s="93" t="str">
        <f t="shared" si="541"/>
        <v>21</v>
      </c>
      <c r="BX2492" s="2" t="s">
        <v>3438</v>
      </c>
    </row>
    <row r="2493" spans="1:76" s="81" customFormat="1" ht="25.5" x14ac:dyDescent="0.25">
      <c r="A2493" s="72" t="s">
        <v>3439</v>
      </c>
      <c r="B2493" s="72" t="s">
        <v>55</v>
      </c>
      <c r="C2493" s="72" t="s">
        <v>3440</v>
      </c>
      <c r="D2493" s="175" t="s">
        <v>3441</v>
      </c>
      <c r="E2493" s="175"/>
      <c r="F2493" s="72" t="s">
        <v>1334</v>
      </c>
      <c r="G2493" s="90">
        <v>17</v>
      </c>
      <c r="H2493" s="91"/>
      <c r="I2493" s="92" t="s">
        <v>63</v>
      </c>
      <c r="J2493" s="90">
        <f t="shared" si="514"/>
        <v>0</v>
      </c>
      <c r="K2493" s="90">
        <f t="shared" si="515"/>
        <v>0</v>
      </c>
      <c r="L2493" s="90">
        <f t="shared" si="516"/>
        <v>0</v>
      </c>
      <c r="M2493" s="90">
        <f t="shared" si="517"/>
        <v>0</v>
      </c>
      <c r="N2493" s="90">
        <v>1.521E-2</v>
      </c>
      <c r="O2493" s="90">
        <f t="shared" si="518"/>
        <v>0.25856999999999997</v>
      </c>
      <c r="P2493" s="92" t="s">
        <v>64</v>
      </c>
      <c r="Z2493" s="93">
        <f t="shared" si="519"/>
        <v>0</v>
      </c>
      <c r="AB2493" s="93">
        <f t="shared" si="520"/>
        <v>0</v>
      </c>
      <c r="AC2493" s="93">
        <f t="shared" si="521"/>
        <v>0</v>
      </c>
      <c r="AD2493" s="93">
        <f t="shared" si="522"/>
        <v>0</v>
      </c>
      <c r="AE2493" s="93">
        <f t="shared" si="523"/>
        <v>0</v>
      </c>
      <c r="AF2493" s="93">
        <f t="shared" si="524"/>
        <v>0</v>
      </c>
      <c r="AG2493" s="93">
        <f t="shared" si="525"/>
        <v>0</v>
      </c>
      <c r="AH2493" s="93">
        <f t="shared" si="526"/>
        <v>0</v>
      </c>
      <c r="AI2493" s="88" t="s">
        <v>55</v>
      </c>
      <c r="AJ2493" s="93">
        <f t="shared" si="527"/>
        <v>0</v>
      </c>
      <c r="AK2493" s="93">
        <f t="shared" si="528"/>
        <v>0</v>
      </c>
      <c r="AL2493" s="93">
        <f t="shared" si="529"/>
        <v>0</v>
      </c>
      <c r="AN2493" s="93">
        <v>21</v>
      </c>
      <c r="AO2493" s="93">
        <f>H2493*0.805291275</f>
        <v>0</v>
      </c>
      <c r="AP2493" s="93">
        <f>H2493*(1-0.805291275)</f>
        <v>0</v>
      </c>
      <c r="AQ2493" s="94" t="s">
        <v>148</v>
      </c>
      <c r="AV2493" s="93">
        <f t="shared" si="532"/>
        <v>0</v>
      </c>
      <c r="AW2493" s="93">
        <f t="shared" si="533"/>
        <v>0</v>
      </c>
      <c r="AX2493" s="93">
        <f t="shared" si="534"/>
        <v>0</v>
      </c>
      <c r="AY2493" s="94" t="s">
        <v>3140</v>
      </c>
      <c r="AZ2493" s="94" t="s">
        <v>2936</v>
      </c>
      <c r="BA2493" s="88" t="s">
        <v>67</v>
      </c>
      <c r="BC2493" s="93">
        <f t="shared" si="535"/>
        <v>0</v>
      </c>
      <c r="BD2493" s="93">
        <f t="shared" si="536"/>
        <v>0</v>
      </c>
      <c r="BE2493" s="93">
        <v>0</v>
      </c>
      <c r="BF2493" s="93">
        <f t="shared" si="537"/>
        <v>0.25856999999999997</v>
      </c>
      <c r="BH2493" s="93">
        <f t="shared" si="538"/>
        <v>0</v>
      </c>
      <c r="BI2493" s="93">
        <f t="shared" si="539"/>
        <v>0</v>
      </c>
      <c r="BJ2493" s="93">
        <f t="shared" si="540"/>
        <v>0</v>
      </c>
      <c r="BK2493" s="93"/>
      <c r="BL2493" s="93"/>
      <c r="BW2493" s="93" t="str">
        <f t="shared" si="541"/>
        <v>21</v>
      </c>
      <c r="BX2493" s="2" t="s">
        <v>3441</v>
      </c>
    </row>
    <row r="2494" spans="1:76" s="81" customFormat="1" ht="25.5" x14ac:dyDescent="0.25">
      <c r="A2494" s="72" t="s">
        <v>3442</v>
      </c>
      <c r="B2494" s="72" t="s">
        <v>55</v>
      </c>
      <c r="C2494" s="72" t="s">
        <v>3443</v>
      </c>
      <c r="D2494" s="175" t="s">
        <v>3444</v>
      </c>
      <c r="E2494" s="175"/>
      <c r="F2494" s="72" t="s">
        <v>1334</v>
      </c>
      <c r="G2494" s="90">
        <v>7</v>
      </c>
      <c r="H2494" s="91"/>
      <c r="I2494" s="92" t="s">
        <v>63</v>
      </c>
      <c r="J2494" s="90">
        <f t="shared" si="514"/>
        <v>0</v>
      </c>
      <c r="K2494" s="90">
        <f t="shared" si="515"/>
        <v>0</v>
      </c>
      <c r="L2494" s="90">
        <f t="shared" si="516"/>
        <v>0</v>
      </c>
      <c r="M2494" s="90">
        <f t="shared" si="517"/>
        <v>0</v>
      </c>
      <c r="N2494" s="90">
        <v>1.1199999999999999E-3</v>
      </c>
      <c r="O2494" s="90">
        <f t="shared" si="518"/>
        <v>7.8399999999999997E-3</v>
      </c>
      <c r="P2494" s="92" t="s">
        <v>371</v>
      </c>
      <c r="Z2494" s="93">
        <f t="shared" si="519"/>
        <v>0</v>
      </c>
      <c r="AB2494" s="93">
        <f t="shared" si="520"/>
        <v>0</v>
      </c>
      <c r="AC2494" s="93">
        <f t="shared" si="521"/>
        <v>0</v>
      </c>
      <c r="AD2494" s="93">
        <f t="shared" si="522"/>
        <v>0</v>
      </c>
      <c r="AE2494" s="93">
        <f t="shared" si="523"/>
        <v>0</v>
      </c>
      <c r="AF2494" s="93">
        <f t="shared" si="524"/>
        <v>0</v>
      </c>
      <c r="AG2494" s="93">
        <f t="shared" si="525"/>
        <v>0</v>
      </c>
      <c r="AH2494" s="93">
        <f t="shared" si="526"/>
        <v>0</v>
      </c>
      <c r="AI2494" s="88" t="s">
        <v>55</v>
      </c>
      <c r="AJ2494" s="93">
        <f t="shared" si="527"/>
        <v>0</v>
      </c>
      <c r="AK2494" s="93">
        <f t="shared" si="528"/>
        <v>0</v>
      </c>
      <c r="AL2494" s="93">
        <f t="shared" si="529"/>
        <v>0</v>
      </c>
      <c r="AN2494" s="93">
        <v>21</v>
      </c>
      <c r="AO2494" s="93">
        <f>H2494*0.935152941</f>
        <v>0</v>
      </c>
      <c r="AP2494" s="93">
        <f>H2494*(1-0.935152941)</f>
        <v>0</v>
      </c>
      <c r="AQ2494" s="94" t="s">
        <v>148</v>
      </c>
      <c r="AV2494" s="93">
        <f t="shared" si="532"/>
        <v>0</v>
      </c>
      <c r="AW2494" s="93">
        <f t="shared" si="533"/>
        <v>0</v>
      </c>
      <c r="AX2494" s="93">
        <f t="shared" si="534"/>
        <v>0</v>
      </c>
      <c r="AY2494" s="94" t="s">
        <v>3140</v>
      </c>
      <c r="AZ2494" s="94" t="s">
        <v>2936</v>
      </c>
      <c r="BA2494" s="88" t="s">
        <v>67</v>
      </c>
      <c r="BC2494" s="93">
        <f t="shared" si="535"/>
        <v>0</v>
      </c>
      <c r="BD2494" s="93">
        <f t="shared" si="536"/>
        <v>0</v>
      </c>
      <c r="BE2494" s="93">
        <v>0</v>
      </c>
      <c r="BF2494" s="93">
        <f t="shared" si="537"/>
        <v>7.8399999999999997E-3</v>
      </c>
      <c r="BH2494" s="93">
        <f t="shared" si="538"/>
        <v>0</v>
      </c>
      <c r="BI2494" s="93">
        <f t="shared" si="539"/>
        <v>0</v>
      </c>
      <c r="BJ2494" s="93">
        <f t="shared" si="540"/>
        <v>0</v>
      </c>
      <c r="BK2494" s="93"/>
      <c r="BL2494" s="93"/>
      <c r="BW2494" s="93" t="str">
        <f t="shared" si="541"/>
        <v>21</v>
      </c>
      <c r="BX2494" s="2" t="s">
        <v>3444</v>
      </c>
    </row>
    <row r="2495" spans="1:76" s="81" customFormat="1" ht="25.5" x14ac:dyDescent="0.25">
      <c r="A2495" s="72" t="s">
        <v>3445</v>
      </c>
      <c r="B2495" s="72" t="s">
        <v>55</v>
      </c>
      <c r="C2495" s="72" t="s">
        <v>3446</v>
      </c>
      <c r="D2495" s="175" t="s">
        <v>3447</v>
      </c>
      <c r="E2495" s="175"/>
      <c r="F2495" s="72" t="s">
        <v>203</v>
      </c>
      <c r="G2495" s="90">
        <v>3</v>
      </c>
      <c r="H2495" s="91"/>
      <c r="I2495" s="92" t="s">
        <v>63</v>
      </c>
      <c r="J2495" s="90">
        <f t="shared" si="514"/>
        <v>0</v>
      </c>
      <c r="K2495" s="90">
        <f t="shared" si="515"/>
        <v>0</v>
      </c>
      <c r="L2495" s="90">
        <f t="shared" si="516"/>
        <v>0</v>
      </c>
      <c r="M2495" s="90">
        <f t="shared" si="517"/>
        <v>0</v>
      </c>
      <c r="N2495" s="90">
        <v>2.0000000000000001E-4</v>
      </c>
      <c r="O2495" s="90">
        <f t="shared" si="518"/>
        <v>6.0000000000000006E-4</v>
      </c>
      <c r="P2495" s="92" t="s">
        <v>3448</v>
      </c>
      <c r="Z2495" s="93">
        <f t="shared" si="519"/>
        <v>0</v>
      </c>
      <c r="AB2495" s="93">
        <f t="shared" si="520"/>
        <v>0</v>
      </c>
      <c r="AC2495" s="93">
        <f t="shared" si="521"/>
        <v>0</v>
      </c>
      <c r="AD2495" s="93">
        <f t="shared" si="522"/>
        <v>0</v>
      </c>
      <c r="AE2495" s="93">
        <f t="shared" si="523"/>
        <v>0</v>
      </c>
      <c r="AF2495" s="93">
        <f t="shared" si="524"/>
        <v>0</v>
      </c>
      <c r="AG2495" s="93">
        <f t="shared" si="525"/>
        <v>0</v>
      </c>
      <c r="AH2495" s="93">
        <f t="shared" si="526"/>
        <v>0</v>
      </c>
      <c r="AI2495" s="88" t="s">
        <v>55</v>
      </c>
      <c r="AJ2495" s="93">
        <f t="shared" si="527"/>
        <v>0</v>
      </c>
      <c r="AK2495" s="93">
        <f t="shared" si="528"/>
        <v>0</v>
      </c>
      <c r="AL2495" s="93">
        <f t="shared" si="529"/>
        <v>0</v>
      </c>
      <c r="AN2495" s="93">
        <v>21</v>
      </c>
      <c r="AO2495" s="93">
        <f>H2495*0.917095766</f>
        <v>0</v>
      </c>
      <c r="AP2495" s="93">
        <f>H2495*(1-0.917095766)</f>
        <v>0</v>
      </c>
      <c r="AQ2495" s="94" t="s">
        <v>148</v>
      </c>
      <c r="AV2495" s="93">
        <f t="shared" si="532"/>
        <v>0</v>
      </c>
      <c r="AW2495" s="93">
        <f t="shared" si="533"/>
        <v>0</v>
      </c>
      <c r="AX2495" s="93">
        <f t="shared" si="534"/>
        <v>0</v>
      </c>
      <c r="AY2495" s="94" t="s">
        <v>3140</v>
      </c>
      <c r="AZ2495" s="94" t="s">
        <v>2936</v>
      </c>
      <c r="BA2495" s="88" t="s">
        <v>67</v>
      </c>
      <c r="BC2495" s="93">
        <f t="shared" si="535"/>
        <v>0</v>
      </c>
      <c r="BD2495" s="93">
        <f t="shared" si="536"/>
        <v>0</v>
      </c>
      <c r="BE2495" s="93">
        <v>0</v>
      </c>
      <c r="BF2495" s="93">
        <f t="shared" si="537"/>
        <v>6.0000000000000006E-4</v>
      </c>
      <c r="BH2495" s="93">
        <f t="shared" si="538"/>
        <v>0</v>
      </c>
      <c r="BI2495" s="93">
        <f t="shared" si="539"/>
        <v>0</v>
      </c>
      <c r="BJ2495" s="93">
        <f t="shared" si="540"/>
        <v>0</v>
      </c>
      <c r="BK2495" s="93"/>
      <c r="BL2495" s="93"/>
      <c r="BW2495" s="93" t="str">
        <f t="shared" si="541"/>
        <v>21</v>
      </c>
      <c r="BX2495" s="2" t="s">
        <v>3447</v>
      </c>
    </row>
    <row r="2496" spans="1:76" s="81" customFormat="1" ht="25.5" x14ac:dyDescent="0.25">
      <c r="A2496" s="72" t="s">
        <v>3449</v>
      </c>
      <c r="B2496" s="72" t="s">
        <v>55</v>
      </c>
      <c r="C2496" s="72" t="s">
        <v>3450</v>
      </c>
      <c r="D2496" s="175" t="s">
        <v>3451</v>
      </c>
      <c r="E2496" s="175"/>
      <c r="F2496" s="72" t="s">
        <v>203</v>
      </c>
      <c r="G2496" s="90">
        <v>7</v>
      </c>
      <c r="H2496" s="91"/>
      <c r="I2496" s="92" t="s">
        <v>63</v>
      </c>
      <c r="J2496" s="90">
        <f t="shared" si="514"/>
        <v>0</v>
      </c>
      <c r="K2496" s="90">
        <f t="shared" si="515"/>
        <v>0</v>
      </c>
      <c r="L2496" s="90">
        <f t="shared" si="516"/>
        <v>0</v>
      </c>
      <c r="M2496" s="90">
        <f t="shared" si="517"/>
        <v>0</v>
      </c>
      <c r="N2496" s="90">
        <v>0</v>
      </c>
      <c r="O2496" s="90">
        <f t="shared" si="518"/>
        <v>0</v>
      </c>
      <c r="P2496" s="92" t="s">
        <v>371</v>
      </c>
      <c r="Z2496" s="93">
        <f t="shared" si="519"/>
        <v>0</v>
      </c>
      <c r="AB2496" s="93">
        <f t="shared" si="520"/>
        <v>0</v>
      </c>
      <c r="AC2496" s="93">
        <f t="shared" si="521"/>
        <v>0</v>
      </c>
      <c r="AD2496" s="93">
        <f t="shared" si="522"/>
        <v>0</v>
      </c>
      <c r="AE2496" s="93">
        <f t="shared" si="523"/>
        <v>0</v>
      </c>
      <c r="AF2496" s="93">
        <f t="shared" si="524"/>
        <v>0</v>
      </c>
      <c r="AG2496" s="93">
        <f t="shared" si="525"/>
        <v>0</v>
      </c>
      <c r="AH2496" s="93">
        <f t="shared" si="526"/>
        <v>0</v>
      </c>
      <c r="AI2496" s="88" t="s">
        <v>55</v>
      </c>
      <c r="AJ2496" s="93">
        <f t="shared" si="527"/>
        <v>0</v>
      </c>
      <c r="AK2496" s="93">
        <f t="shared" si="528"/>
        <v>0</v>
      </c>
      <c r="AL2496" s="93">
        <f t="shared" si="529"/>
        <v>0</v>
      </c>
      <c r="AN2496" s="93">
        <v>21</v>
      </c>
      <c r="AO2496" s="93">
        <f>H2496*0.872219799</f>
        <v>0</v>
      </c>
      <c r="AP2496" s="93">
        <f>H2496*(1-0.872219799)</f>
        <v>0</v>
      </c>
      <c r="AQ2496" s="94" t="s">
        <v>148</v>
      </c>
      <c r="AV2496" s="93">
        <f t="shared" si="532"/>
        <v>0</v>
      </c>
      <c r="AW2496" s="93">
        <f t="shared" si="533"/>
        <v>0</v>
      </c>
      <c r="AX2496" s="93">
        <f t="shared" si="534"/>
        <v>0</v>
      </c>
      <c r="AY2496" s="94" t="s">
        <v>3140</v>
      </c>
      <c r="AZ2496" s="94" t="s">
        <v>2936</v>
      </c>
      <c r="BA2496" s="88" t="s">
        <v>67</v>
      </c>
      <c r="BC2496" s="93">
        <f t="shared" si="535"/>
        <v>0</v>
      </c>
      <c r="BD2496" s="93">
        <f t="shared" si="536"/>
        <v>0</v>
      </c>
      <c r="BE2496" s="93">
        <v>0</v>
      </c>
      <c r="BF2496" s="93">
        <f t="shared" si="537"/>
        <v>0</v>
      </c>
      <c r="BH2496" s="93">
        <f t="shared" si="538"/>
        <v>0</v>
      </c>
      <c r="BI2496" s="93">
        <f t="shared" si="539"/>
        <v>0</v>
      </c>
      <c r="BJ2496" s="93">
        <f t="shared" si="540"/>
        <v>0</v>
      </c>
      <c r="BK2496" s="93"/>
      <c r="BL2496" s="93"/>
      <c r="BW2496" s="93" t="str">
        <f t="shared" si="541"/>
        <v>21</v>
      </c>
      <c r="BX2496" s="2" t="s">
        <v>3451</v>
      </c>
    </row>
    <row r="2497" spans="1:76" s="81" customFormat="1" ht="25.5" x14ac:dyDescent="0.25">
      <c r="A2497" s="72" t="s">
        <v>3452</v>
      </c>
      <c r="B2497" s="72" t="s">
        <v>55</v>
      </c>
      <c r="C2497" s="72" t="s">
        <v>3453</v>
      </c>
      <c r="D2497" s="175" t="s">
        <v>3454</v>
      </c>
      <c r="E2497" s="175"/>
      <c r="F2497" s="72" t="s">
        <v>1334</v>
      </c>
      <c r="G2497" s="90">
        <v>45</v>
      </c>
      <c r="H2497" s="91"/>
      <c r="I2497" s="92" t="s">
        <v>63</v>
      </c>
      <c r="J2497" s="90">
        <f t="shared" si="514"/>
        <v>0</v>
      </c>
      <c r="K2497" s="90">
        <f t="shared" si="515"/>
        <v>0</v>
      </c>
      <c r="L2497" s="90">
        <f t="shared" si="516"/>
        <v>0</v>
      </c>
      <c r="M2497" s="90">
        <f t="shared" si="517"/>
        <v>0</v>
      </c>
      <c r="N2497" s="90">
        <v>2.4000000000000001E-4</v>
      </c>
      <c r="O2497" s="90">
        <f t="shared" si="518"/>
        <v>1.0800000000000001E-2</v>
      </c>
      <c r="P2497" s="92" t="s">
        <v>64</v>
      </c>
      <c r="Z2497" s="93">
        <f t="shared" si="519"/>
        <v>0</v>
      </c>
      <c r="AB2497" s="93">
        <f t="shared" si="520"/>
        <v>0</v>
      </c>
      <c r="AC2497" s="93">
        <f t="shared" si="521"/>
        <v>0</v>
      </c>
      <c r="AD2497" s="93">
        <f t="shared" si="522"/>
        <v>0</v>
      </c>
      <c r="AE2497" s="93">
        <f t="shared" si="523"/>
        <v>0</v>
      </c>
      <c r="AF2497" s="93">
        <f t="shared" si="524"/>
        <v>0</v>
      </c>
      <c r="AG2497" s="93">
        <f t="shared" si="525"/>
        <v>0</v>
      </c>
      <c r="AH2497" s="93">
        <f t="shared" si="526"/>
        <v>0</v>
      </c>
      <c r="AI2497" s="88" t="s">
        <v>55</v>
      </c>
      <c r="AJ2497" s="93">
        <f t="shared" si="527"/>
        <v>0</v>
      </c>
      <c r="AK2497" s="93">
        <f t="shared" si="528"/>
        <v>0</v>
      </c>
      <c r="AL2497" s="93">
        <f t="shared" si="529"/>
        <v>0</v>
      </c>
      <c r="AN2497" s="93">
        <v>21</v>
      </c>
      <c r="AO2497" s="93">
        <f>H2497*0.821334493</f>
        <v>0</v>
      </c>
      <c r="AP2497" s="93">
        <f>H2497*(1-0.821334493)</f>
        <v>0</v>
      </c>
      <c r="AQ2497" s="94" t="s">
        <v>148</v>
      </c>
      <c r="AV2497" s="93">
        <f t="shared" si="532"/>
        <v>0</v>
      </c>
      <c r="AW2497" s="93">
        <f t="shared" si="533"/>
        <v>0</v>
      </c>
      <c r="AX2497" s="93">
        <f t="shared" si="534"/>
        <v>0</v>
      </c>
      <c r="AY2497" s="94" t="s">
        <v>3140</v>
      </c>
      <c r="AZ2497" s="94" t="s">
        <v>2936</v>
      </c>
      <c r="BA2497" s="88" t="s">
        <v>67</v>
      </c>
      <c r="BC2497" s="93">
        <f t="shared" si="535"/>
        <v>0</v>
      </c>
      <c r="BD2497" s="93">
        <f t="shared" si="536"/>
        <v>0</v>
      </c>
      <c r="BE2497" s="93">
        <v>0</v>
      </c>
      <c r="BF2497" s="93">
        <f t="shared" si="537"/>
        <v>1.0800000000000001E-2</v>
      </c>
      <c r="BH2497" s="93">
        <f t="shared" si="538"/>
        <v>0</v>
      </c>
      <c r="BI2497" s="93">
        <f t="shared" si="539"/>
        <v>0</v>
      </c>
      <c r="BJ2497" s="93">
        <f t="shared" si="540"/>
        <v>0</v>
      </c>
      <c r="BK2497" s="93"/>
      <c r="BL2497" s="93"/>
      <c r="BW2497" s="93" t="str">
        <f t="shared" si="541"/>
        <v>21</v>
      </c>
      <c r="BX2497" s="2" t="s">
        <v>3454</v>
      </c>
    </row>
    <row r="2498" spans="1:76" s="81" customFormat="1" x14ac:dyDescent="0.25">
      <c r="A2498" s="95"/>
      <c r="B2498" s="95"/>
      <c r="C2498" s="95"/>
      <c r="D2498" s="76" t="s">
        <v>3455</v>
      </c>
      <c r="E2498" s="76" t="s">
        <v>54</v>
      </c>
      <c r="F2498" s="95"/>
      <c r="G2498" s="96">
        <v>45</v>
      </c>
      <c r="H2498" s="95"/>
      <c r="I2498" s="95"/>
      <c r="J2498" s="95"/>
      <c r="K2498" s="95"/>
      <c r="L2498" s="95"/>
      <c r="M2498" s="95"/>
      <c r="N2498" s="95"/>
      <c r="O2498" s="95"/>
      <c r="P2498" s="95"/>
    </row>
    <row r="2499" spans="1:76" s="81" customFormat="1" ht="25.5" x14ac:dyDescent="0.25">
      <c r="A2499" s="72" t="s">
        <v>3456</v>
      </c>
      <c r="B2499" s="72" t="s">
        <v>55</v>
      </c>
      <c r="C2499" s="72" t="s">
        <v>3457</v>
      </c>
      <c r="D2499" s="175" t="s">
        <v>3458</v>
      </c>
      <c r="E2499" s="175"/>
      <c r="F2499" s="72" t="s">
        <v>203</v>
      </c>
      <c r="G2499" s="90">
        <v>19</v>
      </c>
      <c r="H2499" s="91"/>
      <c r="I2499" s="92" t="s">
        <v>63</v>
      </c>
      <c r="J2499" s="90">
        <f>G2499*AO2499</f>
        <v>0</v>
      </c>
      <c r="K2499" s="90">
        <f>G2499*AP2499</f>
        <v>0</v>
      </c>
      <c r="L2499" s="90">
        <f>G2499*H2499</f>
        <v>0</v>
      </c>
      <c r="M2499" s="90">
        <f>L2499*(1+BW2499/100)</f>
        <v>0</v>
      </c>
      <c r="N2499" s="90">
        <v>1.6999999999999999E-3</v>
      </c>
      <c r="O2499" s="90">
        <f>G2499*N2499</f>
        <v>3.2299999999999995E-2</v>
      </c>
      <c r="P2499" s="92" t="s">
        <v>64</v>
      </c>
      <c r="Z2499" s="93">
        <f>IF(AQ2499="5",BJ2499,0)</f>
        <v>0</v>
      </c>
      <c r="AB2499" s="93">
        <f>IF(AQ2499="1",BH2499,0)</f>
        <v>0</v>
      </c>
      <c r="AC2499" s="93">
        <f>IF(AQ2499="1",BI2499,0)</f>
        <v>0</v>
      </c>
      <c r="AD2499" s="93">
        <f>IF(AQ2499="7",BH2499,0)</f>
        <v>0</v>
      </c>
      <c r="AE2499" s="93">
        <f>IF(AQ2499="7",BI2499,0)</f>
        <v>0</v>
      </c>
      <c r="AF2499" s="93">
        <f>IF(AQ2499="2",BH2499,0)</f>
        <v>0</v>
      </c>
      <c r="AG2499" s="93">
        <f>IF(AQ2499="2",BI2499,0)</f>
        <v>0</v>
      </c>
      <c r="AH2499" s="93">
        <f>IF(AQ2499="0",BJ2499,0)</f>
        <v>0</v>
      </c>
      <c r="AI2499" s="88" t="s">
        <v>55</v>
      </c>
      <c r="AJ2499" s="93">
        <f>IF(AN2499=0,L2499,0)</f>
        <v>0</v>
      </c>
      <c r="AK2499" s="93">
        <f>IF(AN2499=12,L2499,0)</f>
        <v>0</v>
      </c>
      <c r="AL2499" s="93">
        <f>IF(AN2499=21,L2499,0)</f>
        <v>0</v>
      </c>
      <c r="AN2499" s="93">
        <v>21</v>
      </c>
      <c r="AO2499" s="93">
        <f>H2499*0.91951499</f>
        <v>0</v>
      </c>
      <c r="AP2499" s="93">
        <f>H2499*(1-0.91951499)</f>
        <v>0</v>
      </c>
      <c r="AQ2499" s="94" t="s">
        <v>148</v>
      </c>
      <c r="AV2499" s="93">
        <f>AW2499+AX2499</f>
        <v>0</v>
      </c>
      <c r="AW2499" s="93">
        <f>G2499*AO2499</f>
        <v>0</v>
      </c>
      <c r="AX2499" s="93">
        <f>G2499*AP2499</f>
        <v>0</v>
      </c>
      <c r="AY2499" s="94" t="s">
        <v>3140</v>
      </c>
      <c r="AZ2499" s="94" t="s">
        <v>2936</v>
      </c>
      <c r="BA2499" s="88" t="s">
        <v>67</v>
      </c>
      <c r="BC2499" s="93">
        <f>AW2499+AX2499</f>
        <v>0</v>
      </c>
      <c r="BD2499" s="93">
        <f>H2499/(100-BE2499)*100</f>
        <v>0</v>
      </c>
      <c r="BE2499" s="93">
        <v>0</v>
      </c>
      <c r="BF2499" s="93">
        <f>O2499</f>
        <v>3.2299999999999995E-2</v>
      </c>
      <c r="BH2499" s="93">
        <f>G2499*AO2499</f>
        <v>0</v>
      </c>
      <c r="BI2499" s="93">
        <f>G2499*AP2499</f>
        <v>0</v>
      </c>
      <c r="BJ2499" s="93">
        <f>G2499*H2499</f>
        <v>0</v>
      </c>
      <c r="BK2499" s="93"/>
      <c r="BL2499" s="93"/>
      <c r="BW2499" s="93" t="str">
        <f>I2499</f>
        <v>21</v>
      </c>
      <c r="BX2499" s="2" t="s">
        <v>3458</v>
      </c>
    </row>
    <row r="2500" spans="1:76" s="81" customFormat="1" ht="25.5" x14ac:dyDescent="0.25">
      <c r="A2500" s="72" t="s">
        <v>1914</v>
      </c>
      <c r="B2500" s="72" t="s">
        <v>55</v>
      </c>
      <c r="C2500" s="72" t="s">
        <v>3459</v>
      </c>
      <c r="D2500" s="175" t="s">
        <v>3460</v>
      </c>
      <c r="E2500" s="175"/>
      <c r="F2500" s="72" t="s">
        <v>203</v>
      </c>
      <c r="G2500" s="90">
        <v>19</v>
      </c>
      <c r="H2500" s="91"/>
      <c r="I2500" s="92" t="s">
        <v>63</v>
      </c>
      <c r="J2500" s="90">
        <f>G2500*AO2500</f>
        <v>0</v>
      </c>
      <c r="K2500" s="90">
        <f>G2500*AP2500</f>
        <v>0</v>
      </c>
      <c r="L2500" s="90">
        <f>G2500*H2500</f>
        <v>0</v>
      </c>
      <c r="M2500" s="90">
        <f>L2500*(1+BW2500/100)</f>
        <v>0</v>
      </c>
      <c r="N2500" s="90">
        <v>0</v>
      </c>
      <c r="O2500" s="90">
        <f>G2500*N2500</f>
        <v>0</v>
      </c>
      <c r="P2500" s="92" t="s">
        <v>64</v>
      </c>
      <c r="Z2500" s="93">
        <f>IF(AQ2500="5",BJ2500,0)</f>
        <v>0</v>
      </c>
      <c r="AB2500" s="93">
        <f>IF(AQ2500="1",BH2500,0)</f>
        <v>0</v>
      </c>
      <c r="AC2500" s="93">
        <f>IF(AQ2500="1",BI2500,0)</f>
        <v>0</v>
      </c>
      <c r="AD2500" s="93">
        <f>IF(AQ2500="7",BH2500,0)</f>
        <v>0</v>
      </c>
      <c r="AE2500" s="93">
        <f>IF(AQ2500="7",BI2500,0)</f>
        <v>0</v>
      </c>
      <c r="AF2500" s="93">
        <f>IF(AQ2500="2",BH2500,0)</f>
        <v>0</v>
      </c>
      <c r="AG2500" s="93">
        <f>IF(AQ2500="2",BI2500,0)</f>
        <v>0</v>
      </c>
      <c r="AH2500" s="93">
        <f>IF(AQ2500="0",BJ2500,0)</f>
        <v>0</v>
      </c>
      <c r="AI2500" s="88" t="s">
        <v>55</v>
      </c>
      <c r="AJ2500" s="93">
        <f>IF(AN2500=0,L2500,0)</f>
        <v>0</v>
      </c>
      <c r="AK2500" s="93">
        <f>IF(AN2500=12,L2500,0)</f>
        <v>0</v>
      </c>
      <c r="AL2500" s="93">
        <f>IF(AN2500=21,L2500,0)</f>
        <v>0</v>
      </c>
      <c r="AN2500" s="93">
        <v>21</v>
      </c>
      <c r="AO2500" s="93">
        <f>H2500*0.870093721</f>
        <v>0</v>
      </c>
      <c r="AP2500" s="93">
        <f>H2500*(1-0.870093721)</f>
        <v>0</v>
      </c>
      <c r="AQ2500" s="94" t="s">
        <v>148</v>
      </c>
      <c r="AV2500" s="93">
        <f>AW2500+AX2500</f>
        <v>0</v>
      </c>
      <c r="AW2500" s="93">
        <f>G2500*AO2500</f>
        <v>0</v>
      </c>
      <c r="AX2500" s="93">
        <f>G2500*AP2500</f>
        <v>0</v>
      </c>
      <c r="AY2500" s="94" t="s">
        <v>3140</v>
      </c>
      <c r="AZ2500" s="94" t="s">
        <v>2936</v>
      </c>
      <c r="BA2500" s="88" t="s">
        <v>67</v>
      </c>
      <c r="BC2500" s="93">
        <f>AW2500+AX2500</f>
        <v>0</v>
      </c>
      <c r="BD2500" s="93">
        <f>H2500/(100-BE2500)*100</f>
        <v>0</v>
      </c>
      <c r="BE2500" s="93">
        <v>0</v>
      </c>
      <c r="BF2500" s="93">
        <f>O2500</f>
        <v>0</v>
      </c>
      <c r="BH2500" s="93">
        <f>G2500*AO2500</f>
        <v>0</v>
      </c>
      <c r="BI2500" s="93">
        <f>G2500*AP2500</f>
        <v>0</v>
      </c>
      <c r="BJ2500" s="93">
        <f>G2500*H2500</f>
        <v>0</v>
      </c>
      <c r="BK2500" s="93"/>
      <c r="BL2500" s="93"/>
      <c r="BW2500" s="93" t="str">
        <f>I2500</f>
        <v>21</v>
      </c>
      <c r="BX2500" s="2" t="s">
        <v>3460</v>
      </c>
    </row>
    <row r="2501" spans="1:76" s="81" customFormat="1" ht="25.5" x14ac:dyDescent="0.25">
      <c r="A2501" s="72" t="s">
        <v>1986</v>
      </c>
      <c r="B2501" s="72" t="s">
        <v>55</v>
      </c>
      <c r="C2501" s="72" t="s">
        <v>3461</v>
      </c>
      <c r="D2501" s="175" t="s">
        <v>3462</v>
      </c>
      <c r="E2501" s="175"/>
      <c r="F2501" s="72" t="s">
        <v>1334</v>
      </c>
      <c r="G2501" s="90">
        <v>2</v>
      </c>
      <c r="H2501" s="91"/>
      <c r="I2501" s="92" t="s">
        <v>63</v>
      </c>
      <c r="J2501" s="90">
        <f>G2501*AO2501</f>
        <v>0</v>
      </c>
      <c r="K2501" s="90">
        <f>G2501*AP2501</f>
        <v>0</v>
      </c>
      <c r="L2501" s="90">
        <f>G2501*H2501</f>
        <v>0</v>
      </c>
      <c r="M2501" s="90">
        <f>L2501*(1+BW2501/100)</f>
        <v>0</v>
      </c>
      <c r="N2501" s="90">
        <v>1.6209999999999999E-2</v>
      </c>
      <c r="O2501" s="90">
        <f>G2501*N2501</f>
        <v>3.2419999999999997E-2</v>
      </c>
      <c r="P2501" s="92" t="s">
        <v>64</v>
      </c>
      <c r="Z2501" s="93">
        <f>IF(AQ2501="5",BJ2501,0)</f>
        <v>0</v>
      </c>
      <c r="AB2501" s="93">
        <f>IF(AQ2501="1",BH2501,0)</f>
        <v>0</v>
      </c>
      <c r="AC2501" s="93">
        <f>IF(AQ2501="1",BI2501,0)</f>
        <v>0</v>
      </c>
      <c r="AD2501" s="93">
        <f>IF(AQ2501="7",BH2501,0)</f>
        <v>0</v>
      </c>
      <c r="AE2501" s="93">
        <f>IF(AQ2501="7",BI2501,0)</f>
        <v>0</v>
      </c>
      <c r="AF2501" s="93">
        <f>IF(AQ2501="2",BH2501,0)</f>
        <v>0</v>
      </c>
      <c r="AG2501" s="93">
        <f>IF(AQ2501="2",BI2501,0)</f>
        <v>0</v>
      </c>
      <c r="AH2501" s="93">
        <f>IF(AQ2501="0",BJ2501,0)</f>
        <v>0</v>
      </c>
      <c r="AI2501" s="88" t="s">
        <v>55</v>
      </c>
      <c r="AJ2501" s="93">
        <f>IF(AN2501=0,L2501,0)</f>
        <v>0</v>
      </c>
      <c r="AK2501" s="93">
        <f>IF(AN2501=12,L2501,0)</f>
        <v>0</v>
      </c>
      <c r="AL2501" s="93">
        <f>IF(AN2501=21,L2501,0)</f>
        <v>0</v>
      </c>
      <c r="AN2501" s="93">
        <v>21</v>
      </c>
      <c r="AO2501" s="93">
        <f>H2501*0.829343529</f>
        <v>0</v>
      </c>
      <c r="AP2501" s="93">
        <f>H2501*(1-0.829343529)</f>
        <v>0</v>
      </c>
      <c r="AQ2501" s="94" t="s">
        <v>148</v>
      </c>
      <c r="AV2501" s="93">
        <f>AW2501+AX2501</f>
        <v>0</v>
      </c>
      <c r="AW2501" s="93">
        <f>G2501*AO2501</f>
        <v>0</v>
      </c>
      <c r="AX2501" s="93">
        <f>G2501*AP2501</f>
        <v>0</v>
      </c>
      <c r="AY2501" s="94" t="s">
        <v>3140</v>
      </c>
      <c r="AZ2501" s="94" t="s">
        <v>2936</v>
      </c>
      <c r="BA2501" s="88" t="s">
        <v>67</v>
      </c>
      <c r="BC2501" s="93">
        <f>AW2501+AX2501</f>
        <v>0</v>
      </c>
      <c r="BD2501" s="93">
        <f>H2501/(100-BE2501)*100</f>
        <v>0</v>
      </c>
      <c r="BE2501" s="93">
        <v>0</v>
      </c>
      <c r="BF2501" s="93">
        <f>O2501</f>
        <v>3.2419999999999997E-2</v>
      </c>
      <c r="BH2501" s="93">
        <f>G2501*AO2501</f>
        <v>0</v>
      </c>
      <c r="BI2501" s="93">
        <f>G2501*AP2501</f>
        <v>0</v>
      </c>
      <c r="BJ2501" s="93">
        <f>G2501*H2501</f>
        <v>0</v>
      </c>
      <c r="BK2501" s="93"/>
      <c r="BL2501" s="93"/>
      <c r="BW2501" s="93" t="str">
        <f>I2501</f>
        <v>21</v>
      </c>
      <c r="BX2501" s="2" t="s">
        <v>3462</v>
      </c>
    </row>
    <row r="2502" spans="1:76" s="81" customFormat="1" ht="25.5" x14ac:dyDescent="0.25">
      <c r="A2502" s="72" t="s">
        <v>2049</v>
      </c>
      <c r="B2502" s="72" t="s">
        <v>55</v>
      </c>
      <c r="C2502" s="72" t="s">
        <v>3463</v>
      </c>
      <c r="D2502" s="175" t="s">
        <v>3464</v>
      </c>
      <c r="E2502" s="175"/>
      <c r="F2502" s="72" t="s">
        <v>203</v>
      </c>
      <c r="G2502" s="90">
        <v>2</v>
      </c>
      <c r="H2502" s="91"/>
      <c r="I2502" s="92" t="s">
        <v>63</v>
      </c>
      <c r="J2502" s="90">
        <f>G2502*AO2502</f>
        <v>0</v>
      </c>
      <c r="K2502" s="90">
        <f>G2502*AP2502</f>
        <v>0</v>
      </c>
      <c r="L2502" s="90">
        <f>G2502*H2502</f>
        <v>0</v>
      </c>
      <c r="M2502" s="90">
        <f>L2502*(1+BW2502/100)</f>
        <v>0</v>
      </c>
      <c r="N2502" s="90">
        <v>1.64E-3</v>
      </c>
      <c r="O2502" s="90">
        <f>G2502*N2502</f>
        <v>3.2799999999999999E-3</v>
      </c>
      <c r="P2502" s="92" t="s">
        <v>64</v>
      </c>
      <c r="Z2502" s="93">
        <f>IF(AQ2502="5",BJ2502,0)</f>
        <v>0</v>
      </c>
      <c r="AB2502" s="93">
        <f>IF(AQ2502="1",BH2502,0)</f>
        <v>0</v>
      </c>
      <c r="AC2502" s="93">
        <f>IF(AQ2502="1",BI2502,0)</f>
        <v>0</v>
      </c>
      <c r="AD2502" s="93">
        <f>IF(AQ2502="7",BH2502,0)</f>
        <v>0</v>
      </c>
      <c r="AE2502" s="93">
        <f>IF(AQ2502="7",BI2502,0)</f>
        <v>0</v>
      </c>
      <c r="AF2502" s="93">
        <f>IF(AQ2502="2",BH2502,0)</f>
        <v>0</v>
      </c>
      <c r="AG2502" s="93">
        <f>IF(AQ2502="2",BI2502,0)</f>
        <v>0</v>
      </c>
      <c r="AH2502" s="93">
        <f>IF(AQ2502="0",BJ2502,0)</f>
        <v>0</v>
      </c>
      <c r="AI2502" s="88" t="s">
        <v>55</v>
      </c>
      <c r="AJ2502" s="93">
        <f>IF(AN2502=0,L2502,0)</f>
        <v>0</v>
      </c>
      <c r="AK2502" s="93">
        <f>IF(AN2502=12,L2502,0)</f>
        <v>0</v>
      </c>
      <c r="AL2502" s="93">
        <f>IF(AN2502=21,L2502,0)</f>
        <v>0</v>
      </c>
      <c r="AN2502" s="93">
        <v>21</v>
      </c>
      <c r="AO2502" s="93">
        <f>H2502*0.912974799</f>
        <v>0</v>
      </c>
      <c r="AP2502" s="93">
        <f>H2502*(1-0.912974799)</f>
        <v>0</v>
      </c>
      <c r="AQ2502" s="94" t="s">
        <v>148</v>
      </c>
      <c r="AV2502" s="93">
        <f>AW2502+AX2502</f>
        <v>0</v>
      </c>
      <c r="AW2502" s="93">
        <f>G2502*AO2502</f>
        <v>0</v>
      </c>
      <c r="AX2502" s="93">
        <f>G2502*AP2502</f>
        <v>0</v>
      </c>
      <c r="AY2502" s="94" t="s">
        <v>3140</v>
      </c>
      <c r="AZ2502" s="94" t="s">
        <v>2936</v>
      </c>
      <c r="BA2502" s="88" t="s">
        <v>67</v>
      </c>
      <c r="BC2502" s="93">
        <f>AW2502+AX2502</f>
        <v>0</v>
      </c>
      <c r="BD2502" s="93">
        <f>H2502/(100-BE2502)*100</f>
        <v>0</v>
      </c>
      <c r="BE2502" s="93">
        <v>0</v>
      </c>
      <c r="BF2502" s="93">
        <f>O2502</f>
        <v>3.2799999999999999E-3</v>
      </c>
      <c r="BH2502" s="93">
        <f>G2502*AO2502</f>
        <v>0</v>
      </c>
      <c r="BI2502" s="93">
        <f>G2502*AP2502</f>
        <v>0</v>
      </c>
      <c r="BJ2502" s="93">
        <f>G2502*H2502</f>
        <v>0</v>
      </c>
      <c r="BK2502" s="93"/>
      <c r="BL2502" s="93"/>
      <c r="BW2502" s="93" t="str">
        <f>I2502</f>
        <v>21</v>
      </c>
      <c r="BX2502" s="2" t="s">
        <v>3464</v>
      </c>
    </row>
    <row r="2503" spans="1:76" s="81" customFormat="1" ht="25.5" x14ac:dyDescent="0.25">
      <c r="A2503" s="72" t="s">
        <v>2136</v>
      </c>
      <c r="B2503" s="72" t="s">
        <v>55</v>
      </c>
      <c r="C2503" s="72" t="s">
        <v>3465</v>
      </c>
      <c r="D2503" s="175" t="s">
        <v>3466</v>
      </c>
      <c r="E2503" s="175"/>
      <c r="F2503" s="72" t="s">
        <v>203</v>
      </c>
      <c r="G2503" s="90">
        <v>2</v>
      </c>
      <c r="H2503" s="91"/>
      <c r="I2503" s="92" t="s">
        <v>63</v>
      </c>
      <c r="J2503" s="90">
        <f>G2503*AO2503</f>
        <v>0</v>
      </c>
      <c r="K2503" s="90">
        <f>G2503*AP2503</f>
        <v>0</v>
      </c>
      <c r="L2503" s="90">
        <f>G2503*H2503</f>
        <v>0</v>
      </c>
      <c r="M2503" s="90">
        <f>L2503*(1+BW2503/100)</f>
        <v>0</v>
      </c>
      <c r="N2503" s="90">
        <v>2.5999999999999998E-4</v>
      </c>
      <c r="O2503" s="90">
        <f>G2503*N2503</f>
        <v>5.1999999999999995E-4</v>
      </c>
      <c r="P2503" s="92" t="s">
        <v>64</v>
      </c>
      <c r="Z2503" s="93">
        <f>IF(AQ2503="5",BJ2503,0)</f>
        <v>0</v>
      </c>
      <c r="AB2503" s="93">
        <f>IF(AQ2503="1",BH2503,0)</f>
        <v>0</v>
      </c>
      <c r="AC2503" s="93">
        <f>IF(AQ2503="1",BI2503,0)</f>
        <v>0</v>
      </c>
      <c r="AD2503" s="93">
        <f>IF(AQ2503="7",BH2503,0)</f>
        <v>0</v>
      </c>
      <c r="AE2503" s="93">
        <f>IF(AQ2503="7",BI2503,0)</f>
        <v>0</v>
      </c>
      <c r="AF2503" s="93">
        <f>IF(AQ2503="2",BH2503,0)</f>
        <v>0</v>
      </c>
      <c r="AG2503" s="93">
        <f>IF(AQ2503="2",BI2503,0)</f>
        <v>0</v>
      </c>
      <c r="AH2503" s="93">
        <f>IF(AQ2503="0",BJ2503,0)</f>
        <v>0</v>
      </c>
      <c r="AI2503" s="88" t="s">
        <v>55</v>
      </c>
      <c r="AJ2503" s="93">
        <f>IF(AN2503=0,L2503,0)</f>
        <v>0</v>
      </c>
      <c r="AK2503" s="93">
        <f>IF(AN2503=12,L2503,0)</f>
        <v>0</v>
      </c>
      <c r="AL2503" s="93">
        <f>IF(AN2503=21,L2503,0)</f>
        <v>0</v>
      </c>
      <c r="AN2503" s="93">
        <v>21</v>
      </c>
      <c r="AO2503" s="93">
        <f>H2503*0.755106007</f>
        <v>0</v>
      </c>
      <c r="AP2503" s="93">
        <f>H2503*(1-0.755106007)</f>
        <v>0</v>
      </c>
      <c r="AQ2503" s="94" t="s">
        <v>148</v>
      </c>
      <c r="AV2503" s="93">
        <f>AW2503+AX2503</f>
        <v>0</v>
      </c>
      <c r="AW2503" s="93">
        <f>G2503*AO2503</f>
        <v>0</v>
      </c>
      <c r="AX2503" s="93">
        <f>G2503*AP2503</f>
        <v>0</v>
      </c>
      <c r="AY2503" s="94" t="s">
        <v>3140</v>
      </c>
      <c r="AZ2503" s="94" t="s">
        <v>2936</v>
      </c>
      <c r="BA2503" s="88" t="s">
        <v>67</v>
      </c>
      <c r="BC2503" s="93">
        <f>AW2503+AX2503</f>
        <v>0</v>
      </c>
      <c r="BD2503" s="93">
        <f>H2503/(100-BE2503)*100</f>
        <v>0</v>
      </c>
      <c r="BE2503" s="93">
        <v>0</v>
      </c>
      <c r="BF2503" s="93">
        <f>O2503</f>
        <v>5.1999999999999995E-4</v>
      </c>
      <c r="BH2503" s="93">
        <f>G2503*AO2503</f>
        <v>0</v>
      </c>
      <c r="BI2503" s="93">
        <f>G2503*AP2503</f>
        <v>0</v>
      </c>
      <c r="BJ2503" s="93">
        <f>G2503*H2503</f>
        <v>0</v>
      </c>
      <c r="BK2503" s="93"/>
      <c r="BL2503" s="93"/>
      <c r="BW2503" s="93" t="str">
        <f>I2503</f>
        <v>21</v>
      </c>
      <c r="BX2503" s="2" t="s">
        <v>3466</v>
      </c>
    </row>
    <row r="2504" spans="1:76" s="81" customFormat="1" ht="13.5" customHeight="1" x14ac:dyDescent="0.25">
      <c r="A2504" s="95"/>
      <c r="B2504" s="95"/>
      <c r="C2504" s="95"/>
      <c r="D2504" s="182" t="s">
        <v>3467</v>
      </c>
      <c r="E2504" s="182"/>
      <c r="F2504" s="182"/>
      <c r="G2504" s="182"/>
      <c r="H2504" s="182"/>
      <c r="I2504" s="182"/>
      <c r="J2504" s="182"/>
      <c r="K2504" s="182"/>
      <c r="L2504" s="182"/>
      <c r="M2504" s="182"/>
      <c r="N2504" s="182"/>
      <c r="O2504" s="182"/>
      <c r="P2504" s="182"/>
    </row>
    <row r="2505" spans="1:76" s="81" customFormat="1" ht="25.5" x14ac:dyDescent="0.25">
      <c r="A2505" s="72" t="s">
        <v>3468</v>
      </c>
      <c r="B2505" s="72" t="s">
        <v>55</v>
      </c>
      <c r="C2505" s="72" t="s">
        <v>3469</v>
      </c>
      <c r="D2505" s="175" t="s">
        <v>3470</v>
      </c>
      <c r="E2505" s="175"/>
      <c r="F2505" s="72" t="s">
        <v>1334</v>
      </c>
      <c r="G2505" s="90">
        <v>3</v>
      </c>
      <c r="H2505" s="91"/>
      <c r="I2505" s="92" t="s">
        <v>63</v>
      </c>
      <c r="J2505" s="90">
        <f>G2505*AO2505</f>
        <v>0</v>
      </c>
      <c r="K2505" s="90">
        <f>G2505*AP2505</f>
        <v>0</v>
      </c>
      <c r="L2505" s="90">
        <f>G2505*H2505</f>
        <v>0</v>
      </c>
      <c r="M2505" s="90">
        <f>L2505*(1+BW2505/100)</f>
        <v>0</v>
      </c>
      <c r="N2505" s="90">
        <v>1.09E-2</v>
      </c>
      <c r="O2505" s="90">
        <f>G2505*N2505</f>
        <v>3.27E-2</v>
      </c>
      <c r="P2505" s="92" t="s">
        <v>64</v>
      </c>
      <c r="Z2505" s="93">
        <f>IF(AQ2505="5",BJ2505,0)</f>
        <v>0</v>
      </c>
      <c r="AB2505" s="93">
        <f>IF(AQ2505="1",BH2505,0)</f>
        <v>0</v>
      </c>
      <c r="AC2505" s="93">
        <f>IF(AQ2505="1",BI2505,0)</f>
        <v>0</v>
      </c>
      <c r="AD2505" s="93">
        <f>IF(AQ2505="7",BH2505,0)</f>
        <v>0</v>
      </c>
      <c r="AE2505" s="93">
        <f>IF(AQ2505="7",BI2505,0)</f>
        <v>0</v>
      </c>
      <c r="AF2505" s="93">
        <f>IF(AQ2505="2",BH2505,0)</f>
        <v>0</v>
      </c>
      <c r="AG2505" s="93">
        <f>IF(AQ2505="2",BI2505,0)</f>
        <v>0</v>
      </c>
      <c r="AH2505" s="93">
        <f>IF(AQ2505="0",BJ2505,0)</f>
        <v>0</v>
      </c>
      <c r="AI2505" s="88" t="s">
        <v>55</v>
      </c>
      <c r="AJ2505" s="93">
        <f>IF(AN2505=0,L2505,0)</f>
        <v>0</v>
      </c>
      <c r="AK2505" s="93">
        <f>IF(AN2505=12,L2505,0)</f>
        <v>0</v>
      </c>
      <c r="AL2505" s="93">
        <f>IF(AN2505=21,L2505,0)</f>
        <v>0</v>
      </c>
      <c r="AN2505" s="93">
        <v>21</v>
      </c>
      <c r="AO2505" s="93">
        <f>H2505*0.889170219</f>
        <v>0</v>
      </c>
      <c r="AP2505" s="93">
        <f>H2505*(1-0.889170219)</f>
        <v>0</v>
      </c>
      <c r="AQ2505" s="94" t="s">
        <v>148</v>
      </c>
      <c r="AV2505" s="93">
        <f>AW2505+AX2505</f>
        <v>0</v>
      </c>
      <c r="AW2505" s="93">
        <f>G2505*AO2505</f>
        <v>0</v>
      </c>
      <c r="AX2505" s="93">
        <f>G2505*AP2505</f>
        <v>0</v>
      </c>
      <c r="AY2505" s="94" t="s">
        <v>3140</v>
      </c>
      <c r="AZ2505" s="94" t="s">
        <v>2936</v>
      </c>
      <c r="BA2505" s="88" t="s">
        <v>67</v>
      </c>
      <c r="BC2505" s="93">
        <f>AW2505+AX2505</f>
        <v>0</v>
      </c>
      <c r="BD2505" s="93">
        <f>H2505/(100-BE2505)*100</f>
        <v>0</v>
      </c>
      <c r="BE2505" s="93">
        <v>0</v>
      </c>
      <c r="BF2505" s="93">
        <f>O2505</f>
        <v>3.27E-2</v>
      </c>
      <c r="BH2505" s="93">
        <f>G2505*AO2505</f>
        <v>0</v>
      </c>
      <c r="BI2505" s="93">
        <f>G2505*AP2505</f>
        <v>0</v>
      </c>
      <c r="BJ2505" s="93">
        <f>G2505*H2505</f>
        <v>0</v>
      </c>
      <c r="BK2505" s="93"/>
      <c r="BL2505" s="93"/>
      <c r="BW2505" s="93" t="str">
        <f>I2505</f>
        <v>21</v>
      </c>
      <c r="BX2505" s="2" t="s">
        <v>3470</v>
      </c>
    </row>
    <row r="2506" spans="1:76" s="81" customFormat="1" ht="25.5" x14ac:dyDescent="0.25">
      <c r="A2506" s="72" t="s">
        <v>3471</v>
      </c>
      <c r="B2506" s="72" t="s">
        <v>55</v>
      </c>
      <c r="C2506" s="72" t="s">
        <v>3472</v>
      </c>
      <c r="D2506" s="175" t="s">
        <v>3473</v>
      </c>
      <c r="E2506" s="175"/>
      <c r="F2506" s="72" t="s">
        <v>203</v>
      </c>
      <c r="G2506" s="90">
        <v>3</v>
      </c>
      <c r="H2506" s="91"/>
      <c r="I2506" s="92" t="s">
        <v>63</v>
      </c>
      <c r="J2506" s="90">
        <f>G2506*AO2506</f>
        <v>0</v>
      </c>
      <c r="K2506" s="90">
        <f>G2506*AP2506</f>
        <v>0</v>
      </c>
      <c r="L2506" s="90">
        <f>G2506*H2506</f>
        <v>0</v>
      </c>
      <c r="M2506" s="90">
        <f>L2506*(1+BW2506/100)</f>
        <v>0</v>
      </c>
      <c r="N2506" s="90">
        <v>1.72E-3</v>
      </c>
      <c r="O2506" s="90">
        <f>G2506*N2506</f>
        <v>5.1599999999999997E-3</v>
      </c>
      <c r="P2506" s="92" t="s">
        <v>64</v>
      </c>
      <c r="Z2506" s="93">
        <f>IF(AQ2506="5",BJ2506,0)</f>
        <v>0</v>
      </c>
      <c r="AB2506" s="93">
        <f>IF(AQ2506="1",BH2506,0)</f>
        <v>0</v>
      </c>
      <c r="AC2506" s="93">
        <f>IF(AQ2506="1",BI2506,0)</f>
        <v>0</v>
      </c>
      <c r="AD2506" s="93">
        <f>IF(AQ2506="7",BH2506,0)</f>
        <v>0</v>
      </c>
      <c r="AE2506" s="93">
        <f>IF(AQ2506="7",BI2506,0)</f>
        <v>0</v>
      </c>
      <c r="AF2506" s="93">
        <f>IF(AQ2506="2",BH2506,0)</f>
        <v>0</v>
      </c>
      <c r="AG2506" s="93">
        <f>IF(AQ2506="2",BI2506,0)</f>
        <v>0</v>
      </c>
      <c r="AH2506" s="93">
        <f>IF(AQ2506="0",BJ2506,0)</f>
        <v>0</v>
      </c>
      <c r="AI2506" s="88" t="s">
        <v>55</v>
      </c>
      <c r="AJ2506" s="93">
        <f>IF(AN2506=0,L2506,0)</f>
        <v>0</v>
      </c>
      <c r="AK2506" s="93">
        <f>IF(AN2506=12,L2506,0)</f>
        <v>0</v>
      </c>
      <c r="AL2506" s="93">
        <f>IF(AN2506=21,L2506,0)</f>
        <v>0</v>
      </c>
      <c r="AN2506" s="93">
        <v>21</v>
      </c>
      <c r="AO2506" s="93">
        <f>H2506*0.898026616</f>
        <v>0</v>
      </c>
      <c r="AP2506" s="93">
        <f>H2506*(1-0.898026616)</f>
        <v>0</v>
      </c>
      <c r="AQ2506" s="94" t="s">
        <v>148</v>
      </c>
      <c r="AV2506" s="93">
        <f>AW2506+AX2506</f>
        <v>0</v>
      </c>
      <c r="AW2506" s="93">
        <f>G2506*AO2506</f>
        <v>0</v>
      </c>
      <c r="AX2506" s="93">
        <f>G2506*AP2506</f>
        <v>0</v>
      </c>
      <c r="AY2506" s="94" t="s">
        <v>3140</v>
      </c>
      <c r="AZ2506" s="94" t="s">
        <v>2936</v>
      </c>
      <c r="BA2506" s="88" t="s">
        <v>67</v>
      </c>
      <c r="BC2506" s="93">
        <f>AW2506+AX2506</f>
        <v>0</v>
      </c>
      <c r="BD2506" s="93">
        <f>H2506/(100-BE2506)*100</f>
        <v>0</v>
      </c>
      <c r="BE2506" s="93">
        <v>0</v>
      </c>
      <c r="BF2506" s="93">
        <f>O2506</f>
        <v>5.1599999999999997E-3</v>
      </c>
      <c r="BH2506" s="93">
        <f>G2506*AO2506</f>
        <v>0</v>
      </c>
      <c r="BI2506" s="93">
        <f>G2506*AP2506</f>
        <v>0</v>
      </c>
      <c r="BJ2506" s="93">
        <f>G2506*H2506</f>
        <v>0</v>
      </c>
      <c r="BK2506" s="93"/>
      <c r="BL2506" s="93"/>
      <c r="BW2506" s="93" t="str">
        <f>I2506</f>
        <v>21</v>
      </c>
      <c r="BX2506" s="2" t="s">
        <v>3473</v>
      </c>
    </row>
    <row r="2507" spans="1:76" s="81" customFormat="1" ht="25.5" x14ac:dyDescent="0.25">
      <c r="A2507" s="72" t="s">
        <v>3474</v>
      </c>
      <c r="B2507" s="72" t="s">
        <v>55</v>
      </c>
      <c r="C2507" s="72" t="s">
        <v>3475</v>
      </c>
      <c r="D2507" s="175" t="s">
        <v>3476</v>
      </c>
      <c r="E2507" s="175"/>
      <c r="F2507" s="72" t="s">
        <v>203</v>
      </c>
      <c r="G2507" s="90">
        <v>2</v>
      </c>
      <c r="H2507" s="91"/>
      <c r="I2507" s="92" t="s">
        <v>63</v>
      </c>
      <c r="J2507" s="90">
        <f>G2507*AO2507</f>
        <v>0</v>
      </c>
      <c r="K2507" s="90">
        <f>G2507*AP2507</f>
        <v>0</v>
      </c>
      <c r="L2507" s="90">
        <f>G2507*H2507</f>
        <v>0</v>
      </c>
      <c r="M2507" s="90">
        <f>L2507*(1+BW2507/100)</f>
        <v>0</v>
      </c>
      <c r="N2507" s="90">
        <v>1.01E-3</v>
      </c>
      <c r="O2507" s="90">
        <f>G2507*N2507</f>
        <v>2.0200000000000001E-3</v>
      </c>
      <c r="P2507" s="92" t="s">
        <v>64</v>
      </c>
      <c r="Z2507" s="93">
        <f>IF(AQ2507="5",BJ2507,0)</f>
        <v>0</v>
      </c>
      <c r="AB2507" s="93">
        <f>IF(AQ2507="1",BH2507,0)</f>
        <v>0</v>
      </c>
      <c r="AC2507" s="93">
        <f>IF(AQ2507="1",BI2507,0)</f>
        <v>0</v>
      </c>
      <c r="AD2507" s="93">
        <f>IF(AQ2507="7",BH2507,0)</f>
        <v>0</v>
      </c>
      <c r="AE2507" s="93">
        <f>IF(AQ2507="7",BI2507,0)</f>
        <v>0</v>
      </c>
      <c r="AF2507" s="93">
        <f>IF(AQ2507="2",BH2507,0)</f>
        <v>0</v>
      </c>
      <c r="AG2507" s="93">
        <f>IF(AQ2507="2",BI2507,0)</f>
        <v>0</v>
      </c>
      <c r="AH2507" s="93">
        <f>IF(AQ2507="0",BJ2507,0)</f>
        <v>0</v>
      </c>
      <c r="AI2507" s="88" t="s">
        <v>55</v>
      </c>
      <c r="AJ2507" s="93">
        <f>IF(AN2507=0,L2507,0)</f>
        <v>0</v>
      </c>
      <c r="AK2507" s="93">
        <f>IF(AN2507=12,L2507,0)</f>
        <v>0</v>
      </c>
      <c r="AL2507" s="93">
        <f>IF(AN2507=21,L2507,0)</f>
        <v>0</v>
      </c>
      <c r="AN2507" s="93">
        <v>21</v>
      </c>
      <c r="AO2507" s="93">
        <f>H2507*0.947595463</f>
        <v>0</v>
      </c>
      <c r="AP2507" s="93">
        <f>H2507*(1-0.947595463)</f>
        <v>0</v>
      </c>
      <c r="AQ2507" s="94" t="s">
        <v>148</v>
      </c>
      <c r="AV2507" s="93">
        <f>AW2507+AX2507</f>
        <v>0</v>
      </c>
      <c r="AW2507" s="93">
        <f>G2507*AO2507</f>
        <v>0</v>
      </c>
      <c r="AX2507" s="93">
        <f>G2507*AP2507</f>
        <v>0</v>
      </c>
      <c r="AY2507" s="94" t="s">
        <v>3140</v>
      </c>
      <c r="AZ2507" s="94" t="s">
        <v>2936</v>
      </c>
      <c r="BA2507" s="88" t="s">
        <v>67</v>
      </c>
      <c r="BC2507" s="93">
        <f>AW2507+AX2507</f>
        <v>0</v>
      </c>
      <c r="BD2507" s="93">
        <f>H2507/(100-BE2507)*100</f>
        <v>0</v>
      </c>
      <c r="BE2507" s="93">
        <v>0</v>
      </c>
      <c r="BF2507" s="93">
        <f>O2507</f>
        <v>2.0200000000000001E-3</v>
      </c>
      <c r="BH2507" s="93">
        <f>G2507*AO2507</f>
        <v>0</v>
      </c>
      <c r="BI2507" s="93">
        <f>G2507*AP2507</f>
        <v>0</v>
      </c>
      <c r="BJ2507" s="93">
        <f>G2507*H2507</f>
        <v>0</v>
      </c>
      <c r="BK2507" s="93"/>
      <c r="BL2507" s="93"/>
      <c r="BW2507" s="93" t="str">
        <f>I2507</f>
        <v>21</v>
      </c>
      <c r="BX2507" s="2" t="s">
        <v>3476</v>
      </c>
    </row>
    <row r="2508" spans="1:76" s="81" customFormat="1" ht="13.5" customHeight="1" x14ac:dyDescent="0.25">
      <c r="A2508" s="95"/>
      <c r="B2508" s="95"/>
      <c r="C2508" s="95"/>
      <c r="D2508" s="182" t="s">
        <v>3477</v>
      </c>
      <c r="E2508" s="182"/>
      <c r="F2508" s="182"/>
      <c r="G2508" s="182"/>
      <c r="H2508" s="182"/>
      <c r="I2508" s="182"/>
      <c r="J2508" s="182"/>
      <c r="K2508" s="182"/>
      <c r="L2508" s="182"/>
      <c r="M2508" s="182"/>
      <c r="N2508" s="182"/>
      <c r="O2508" s="182"/>
      <c r="P2508" s="182"/>
    </row>
    <row r="2509" spans="1:76" s="81" customFormat="1" ht="25.5" x14ac:dyDescent="0.25">
      <c r="A2509" s="72" t="s">
        <v>3478</v>
      </c>
      <c r="B2509" s="72" t="s">
        <v>55</v>
      </c>
      <c r="C2509" s="72" t="s">
        <v>3479</v>
      </c>
      <c r="D2509" s="175" t="s">
        <v>3480</v>
      </c>
      <c r="E2509" s="175"/>
      <c r="F2509" s="72" t="s">
        <v>203</v>
      </c>
      <c r="G2509" s="90">
        <v>4</v>
      </c>
      <c r="H2509" s="91"/>
      <c r="I2509" s="92" t="s">
        <v>63</v>
      </c>
      <c r="J2509" s="90">
        <f>G2509*AO2509</f>
        <v>0</v>
      </c>
      <c r="K2509" s="90">
        <f>G2509*AP2509</f>
        <v>0</v>
      </c>
      <c r="L2509" s="90">
        <f>G2509*H2509</f>
        <v>0</v>
      </c>
      <c r="M2509" s="90">
        <f>L2509*(1+BW2509/100)</f>
        <v>0</v>
      </c>
      <c r="N2509" s="90">
        <v>2.0000000000000001E-4</v>
      </c>
      <c r="O2509" s="90">
        <f>G2509*N2509</f>
        <v>8.0000000000000004E-4</v>
      </c>
      <c r="P2509" s="92" t="s">
        <v>3448</v>
      </c>
      <c r="Z2509" s="93">
        <f>IF(AQ2509="5",BJ2509,0)</f>
        <v>0</v>
      </c>
      <c r="AB2509" s="93">
        <f>IF(AQ2509="1",BH2509,0)</f>
        <v>0</v>
      </c>
      <c r="AC2509" s="93">
        <f>IF(AQ2509="1",BI2509,0)</f>
        <v>0</v>
      </c>
      <c r="AD2509" s="93">
        <f>IF(AQ2509="7",BH2509,0)</f>
        <v>0</v>
      </c>
      <c r="AE2509" s="93">
        <f>IF(AQ2509="7",BI2509,0)</f>
        <v>0</v>
      </c>
      <c r="AF2509" s="93">
        <f>IF(AQ2509="2",BH2509,0)</f>
        <v>0</v>
      </c>
      <c r="AG2509" s="93">
        <f>IF(AQ2509="2",BI2509,0)</f>
        <v>0</v>
      </c>
      <c r="AH2509" s="93">
        <f>IF(AQ2509="0",BJ2509,0)</f>
        <v>0</v>
      </c>
      <c r="AI2509" s="88" t="s">
        <v>55</v>
      </c>
      <c r="AJ2509" s="93">
        <f>IF(AN2509=0,L2509,0)</f>
        <v>0</v>
      </c>
      <c r="AK2509" s="93">
        <f>IF(AN2509=12,L2509,0)</f>
        <v>0</v>
      </c>
      <c r="AL2509" s="93">
        <f>IF(AN2509=21,L2509,0)</f>
        <v>0</v>
      </c>
      <c r="AN2509" s="93">
        <v>21</v>
      </c>
      <c r="AO2509" s="93">
        <f>H2509*0.917095636</f>
        <v>0</v>
      </c>
      <c r="AP2509" s="93">
        <f>H2509*(1-0.917095636)</f>
        <v>0</v>
      </c>
      <c r="AQ2509" s="94" t="s">
        <v>148</v>
      </c>
      <c r="AV2509" s="93">
        <f>AW2509+AX2509</f>
        <v>0</v>
      </c>
      <c r="AW2509" s="93">
        <f>G2509*AO2509</f>
        <v>0</v>
      </c>
      <c r="AX2509" s="93">
        <f>G2509*AP2509</f>
        <v>0</v>
      </c>
      <c r="AY2509" s="94" t="s">
        <v>3140</v>
      </c>
      <c r="AZ2509" s="94" t="s">
        <v>2936</v>
      </c>
      <c r="BA2509" s="88" t="s">
        <v>67</v>
      </c>
      <c r="BC2509" s="93">
        <f>AW2509+AX2509</f>
        <v>0</v>
      </c>
      <c r="BD2509" s="93">
        <f>H2509/(100-BE2509)*100</f>
        <v>0</v>
      </c>
      <c r="BE2509" s="93">
        <v>0</v>
      </c>
      <c r="BF2509" s="93">
        <f>O2509</f>
        <v>8.0000000000000004E-4</v>
      </c>
      <c r="BH2509" s="93">
        <f>G2509*AO2509</f>
        <v>0</v>
      </c>
      <c r="BI2509" s="93">
        <f>G2509*AP2509</f>
        <v>0</v>
      </c>
      <c r="BJ2509" s="93">
        <f>G2509*H2509</f>
        <v>0</v>
      </c>
      <c r="BK2509" s="93"/>
      <c r="BL2509" s="93"/>
      <c r="BW2509" s="93" t="str">
        <f>I2509</f>
        <v>21</v>
      </c>
      <c r="BX2509" s="2" t="s">
        <v>3480</v>
      </c>
    </row>
    <row r="2510" spans="1:76" s="81" customFormat="1" ht="25.5" x14ac:dyDescent="0.25">
      <c r="A2510" s="72" t="s">
        <v>3481</v>
      </c>
      <c r="B2510" s="72" t="s">
        <v>55</v>
      </c>
      <c r="C2510" s="72" t="s">
        <v>3482</v>
      </c>
      <c r="D2510" s="175" t="s">
        <v>3483</v>
      </c>
      <c r="E2510" s="175"/>
      <c r="F2510" s="72" t="s">
        <v>1334</v>
      </c>
      <c r="G2510" s="90">
        <v>8</v>
      </c>
      <c r="H2510" s="91"/>
      <c r="I2510" s="92" t="s">
        <v>63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1.772E-2</v>
      </c>
      <c r="O2510" s="90">
        <f>G2510*N2510</f>
        <v>0.14176</v>
      </c>
      <c r="P2510" s="92" t="s">
        <v>64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55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H2510*0.893443447</f>
        <v>0</v>
      </c>
      <c r="AP2510" s="93">
        <f>H2510*(1-0.893443447)</f>
        <v>0</v>
      </c>
      <c r="AQ2510" s="94" t="s">
        <v>148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3140</v>
      </c>
      <c r="AZ2510" s="94" t="s">
        <v>2936</v>
      </c>
      <c r="BA2510" s="88" t="s">
        <v>67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0.14176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3483</v>
      </c>
    </row>
    <row r="2511" spans="1:76" s="81" customFormat="1" ht="25.5" x14ac:dyDescent="0.25">
      <c r="A2511" s="72" t="s">
        <v>3484</v>
      </c>
      <c r="B2511" s="72" t="s">
        <v>55</v>
      </c>
      <c r="C2511" s="72" t="s">
        <v>3485</v>
      </c>
      <c r="D2511" s="175" t="s">
        <v>3486</v>
      </c>
      <c r="E2511" s="175"/>
      <c r="F2511" s="72" t="s">
        <v>1449</v>
      </c>
      <c r="G2511" s="91"/>
      <c r="H2511" s="91"/>
      <c r="I2511" s="92" t="s">
        <v>63</v>
      </c>
      <c r="J2511" s="90">
        <f>G2511*AO2511</f>
        <v>0</v>
      </c>
      <c r="K2511" s="90">
        <f>G2511*AP2511</f>
        <v>0</v>
      </c>
      <c r="L2511" s="90">
        <f>G2511*H2511</f>
        <v>0</v>
      </c>
      <c r="M2511" s="90">
        <f>L2511*(1+BW2511/100)</f>
        <v>0</v>
      </c>
      <c r="N2511" s="90">
        <v>0</v>
      </c>
      <c r="O2511" s="90">
        <f>G2511*N2511</f>
        <v>0</v>
      </c>
      <c r="P2511" s="92" t="s">
        <v>64</v>
      </c>
      <c r="Z2511" s="93">
        <f>IF(AQ2511="5",BJ2511,0)</f>
        <v>0</v>
      </c>
      <c r="AB2511" s="93">
        <f>IF(AQ2511="1",BH2511,0)</f>
        <v>0</v>
      </c>
      <c r="AC2511" s="93">
        <f>IF(AQ2511="1",BI2511,0)</f>
        <v>0</v>
      </c>
      <c r="AD2511" s="93">
        <f>IF(AQ2511="7",BH2511,0)</f>
        <v>0</v>
      </c>
      <c r="AE2511" s="93">
        <f>IF(AQ2511="7",BI2511,0)</f>
        <v>0</v>
      </c>
      <c r="AF2511" s="93">
        <f>IF(AQ2511="2",BH2511,0)</f>
        <v>0</v>
      </c>
      <c r="AG2511" s="93">
        <f>IF(AQ2511="2",BI2511,0)</f>
        <v>0</v>
      </c>
      <c r="AH2511" s="93">
        <f>IF(AQ2511="0",BJ2511,0)</f>
        <v>0</v>
      </c>
      <c r="AI2511" s="88" t="s">
        <v>55</v>
      </c>
      <c r="AJ2511" s="93">
        <f>IF(AN2511=0,L2511,0)</f>
        <v>0</v>
      </c>
      <c r="AK2511" s="93">
        <f>IF(AN2511=12,L2511,0)</f>
        <v>0</v>
      </c>
      <c r="AL2511" s="93">
        <f>IF(AN2511=21,L2511,0)</f>
        <v>0</v>
      </c>
      <c r="AN2511" s="93">
        <v>21</v>
      </c>
      <c r="AO2511" s="93">
        <f>H2511*0</f>
        <v>0</v>
      </c>
      <c r="AP2511" s="93">
        <f>H2511*(1-0)</f>
        <v>0</v>
      </c>
      <c r="AQ2511" s="94" t="s">
        <v>136</v>
      </c>
      <c r="AV2511" s="93">
        <f>AW2511+AX2511</f>
        <v>0</v>
      </c>
      <c r="AW2511" s="93">
        <f>G2511*AO2511</f>
        <v>0</v>
      </c>
      <c r="AX2511" s="93">
        <f>G2511*AP2511</f>
        <v>0</v>
      </c>
      <c r="AY2511" s="94" t="s">
        <v>3140</v>
      </c>
      <c r="AZ2511" s="94" t="s">
        <v>2936</v>
      </c>
      <c r="BA2511" s="88" t="s">
        <v>67</v>
      </c>
      <c r="BC2511" s="93">
        <f>AW2511+AX2511</f>
        <v>0</v>
      </c>
      <c r="BD2511" s="93">
        <f>H2511/(100-BE2511)*100</f>
        <v>0</v>
      </c>
      <c r="BE2511" s="93">
        <v>0</v>
      </c>
      <c r="BF2511" s="93">
        <f>O2511</f>
        <v>0</v>
      </c>
      <c r="BH2511" s="93">
        <f>G2511*AO2511</f>
        <v>0</v>
      </c>
      <c r="BI2511" s="93">
        <f>G2511*AP2511</f>
        <v>0</v>
      </c>
      <c r="BJ2511" s="93">
        <f>G2511*H2511</f>
        <v>0</v>
      </c>
      <c r="BK2511" s="93"/>
      <c r="BL2511" s="93"/>
      <c r="BW2511" s="93" t="str">
        <f>I2511</f>
        <v>21</v>
      </c>
      <c r="BX2511" s="2" t="s">
        <v>3486</v>
      </c>
    </row>
    <row r="2512" spans="1:76" s="81" customFormat="1" ht="25.5" x14ac:dyDescent="0.25">
      <c r="A2512" s="72" t="s">
        <v>3487</v>
      </c>
      <c r="B2512" s="72" t="s">
        <v>55</v>
      </c>
      <c r="C2512" s="72" t="s">
        <v>3488</v>
      </c>
      <c r="D2512" s="175" t="s">
        <v>3489</v>
      </c>
      <c r="E2512" s="175"/>
      <c r="F2512" s="72" t="s">
        <v>1334</v>
      </c>
      <c r="G2512" s="90">
        <v>8</v>
      </c>
      <c r="H2512" s="91"/>
      <c r="I2512" s="92" t="s">
        <v>63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1.4500000000000001E-2</v>
      </c>
      <c r="O2512" s="90">
        <f>G2512*N2512</f>
        <v>0.11600000000000001</v>
      </c>
      <c r="P2512" s="92" t="s">
        <v>64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55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H2512*0.914527961</f>
        <v>0</v>
      </c>
      <c r="AP2512" s="93">
        <f>H2512*(1-0.914527961)</f>
        <v>0</v>
      </c>
      <c r="AQ2512" s="94" t="s">
        <v>148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3140</v>
      </c>
      <c r="AZ2512" s="94" t="s">
        <v>2936</v>
      </c>
      <c r="BA2512" s="88" t="s">
        <v>67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0.11600000000000001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3489</v>
      </c>
    </row>
    <row r="2513" spans="1:76" s="81" customFormat="1" ht="13.5" customHeight="1" x14ac:dyDescent="0.25">
      <c r="A2513" s="95"/>
      <c r="B2513" s="95"/>
      <c r="C2513" s="95"/>
      <c r="D2513" s="182" t="s">
        <v>3490</v>
      </c>
      <c r="E2513" s="182"/>
      <c r="F2513" s="182"/>
      <c r="G2513" s="182"/>
      <c r="H2513" s="182"/>
      <c r="I2513" s="182"/>
      <c r="J2513" s="182"/>
      <c r="K2513" s="182"/>
      <c r="L2513" s="182"/>
      <c r="M2513" s="182"/>
      <c r="N2513" s="182"/>
      <c r="O2513" s="182"/>
      <c r="P2513" s="182"/>
    </row>
    <row r="2514" spans="1:76" s="81" customFormat="1" ht="25.5" x14ac:dyDescent="0.25">
      <c r="A2514" s="72" t="s">
        <v>3491</v>
      </c>
      <c r="B2514" s="72" t="s">
        <v>55</v>
      </c>
      <c r="C2514" s="72" t="s">
        <v>3492</v>
      </c>
      <c r="D2514" s="175" t="s">
        <v>3493</v>
      </c>
      <c r="E2514" s="175"/>
      <c r="F2514" s="72" t="s">
        <v>1334</v>
      </c>
      <c r="G2514" s="90">
        <v>3</v>
      </c>
      <c r="H2514" s="91"/>
      <c r="I2514" s="92" t="s">
        <v>63</v>
      </c>
      <c r="J2514" s="90">
        <f>G2514*AO2514</f>
        <v>0</v>
      </c>
      <c r="K2514" s="90">
        <f>G2514*AP2514</f>
        <v>0</v>
      </c>
      <c r="L2514" s="90">
        <f>G2514*H2514</f>
        <v>0</v>
      </c>
      <c r="M2514" s="90">
        <f>L2514*(1+BW2514/100)</f>
        <v>0</v>
      </c>
      <c r="N2514" s="90">
        <v>8.9999999999999993E-3</v>
      </c>
      <c r="O2514" s="90">
        <f>G2514*N2514</f>
        <v>2.6999999999999996E-2</v>
      </c>
      <c r="P2514" s="92" t="s">
        <v>64</v>
      </c>
      <c r="Z2514" s="93">
        <f>IF(AQ2514="5",BJ2514,0)</f>
        <v>0</v>
      </c>
      <c r="AB2514" s="93">
        <f>IF(AQ2514="1",BH2514,0)</f>
        <v>0</v>
      </c>
      <c r="AC2514" s="93">
        <f>IF(AQ2514="1",BI2514,0)</f>
        <v>0</v>
      </c>
      <c r="AD2514" s="93">
        <f>IF(AQ2514="7",BH2514,0)</f>
        <v>0</v>
      </c>
      <c r="AE2514" s="93">
        <f>IF(AQ2514="7",BI2514,0)</f>
        <v>0</v>
      </c>
      <c r="AF2514" s="93">
        <f>IF(AQ2514="2",BH2514,0)</f>
        <v>0</v>
      </c>
      <c r="AG2514" s="93">
        <f>IF(AQ2514="2",BI2514,0)</f>
        <v>0</v>
      </c>
      <c r="AH2514" s="93">
        <f>IF(AQ2514="0",BJ2514,0)</f>
        <v>0</v>
      </c>
      <c r="AI2514" s="88" t="s">
        <v>55</v>
      </c>
      <c r="AJ2514" s="93">
        <f>IF(AN2514=0,L2514,0)</f>
        <v>0</v>
      </c>
      <c r="AK2514" s="93">
        <f>IF(AN2514=12,L2514,0)</f>
        <v>0</v>
      </c>
      <c r="AL2514" s="93">
        <f>IF(AN2514=21,L2514,0)</f>
        <v>0</v>
      </c>
      <c r="AN2514" s="93">
        <v>21</v>
      </c>
      <c r="AO2514" s="93">
        <f>H2514*0.88710549</f>
        <v>0</v>
      </c>
      <c r="AP2514" s="93">
        <f>H2514*(1-0.88710549)</f>
        <v>0</v>
      </c>
      <c r="AQ2514" s="94" t="s">
        <v>148</v>
      </c>
      <c r="AV2514" s="93">
        <f>AW2514+AX2514</f>
        <v>0</v>
      </c>
      <c r="AW2514" s="93">
        <f>G2514*AO2514</f>
        <v>0</v>
      </c>
      <c r="AX2514" s="93">
        <f>G2514*AP2514</f>
        <v>0</v>
      </c>
      <c r="AY2514" s="94" t="s">
        <v>3140</v>
      </c>
      <c r="AZ2514" s="94" t="s">
        <v>2936</v>
      </c>
      <c r="BA2514" s="88" t="s">
        <v>67</v>
      </c>
      <c r="BC2514" s="93">
        <f>AW2514+AX2514</f>
        <v>0</v>
      </c>
      <c r="BD2514" s="93">
        <f>H2514/(100-BE2514)*100</f>
        <v>0</v>
      </c>
      <c r="BE2514" s="93">
        <v>0</v>
      </c>
      <c r="BF2514" s="93">
        <f>O2514</f>
        <v>2.6999999999999996E-2</v>
      </c>
      <c r="BH2514" s="93">
        <f>G2514*AO2514</f>
        <v>0</v>
      </c>
      <c r="BI2514" s="93">
        <f>G2514*AP2514</f>
        <v>0</v>
      </c>
      <c r="BJ2514" s="93">
        <f>G2514*H2514</f>
        <v>0</v>
      </c>
      <c r="BK2514" s="93"/>
      <c r="BL2514" s="93"/>
      <c r="BW2514" s="93" t="str">
        <f>I2514</f>
        <v>21</v>
      </c>
      <c r="BX2514" s="2" t="s">
        <v>3493</v>
      </c>
    </row>
    <row r="2515" spans="1:76" s="81" customFormat="1" ht="25.5" x14ac:dyDescent="0.25">
      <c r="A2515" s="72" t="s">
        <v>3494</v>
      </c>
      <c r="B2515" s="72" t="s">
        <v>55</v>
      </c>
      <c r="C2515" s="72" t="s">
        <v>3495</v>
      </c>
      <c r="D2515" s="175" t="s">
        <v>3496</v>
      </c>
      <c r="E2515" s="175"/>
      <c r="F2515" s="72" t="s">
        <v>1449</v>
      </c>
      <c r="G2515" s="91"/>
      <c r="H2515" s="91"/>
      <c r="I2515" s="92" t="s">
        <v>63</v>
      </c>
      <c r="J2515" s="90">
        <f>G2515*AO2515</f>
        <v>0</v>
      </c>
      <c r="K2515" s="90">
        <f>G2515*AP2515</f>
        <v>0</v>
      </c>
      <c r="L2515" s="90">
        <f>G2515*H2515</f>
        <v>0</v>
      </c>
      <c r="M2515" s="90">
        <f>L2515*(1+BW2515/100)</f>
        <v>0</v>
      </c>
      <c r="N2515" s="90">
        <v>0</v>
      </c>
      <c r="O2515" s="90">
        <f>G2515*N2515</f>
        <v>0</v>
      </c>
      <c r="P2515" s="92" t="s">
        <v>64</v>
      </c>
      <c r="Z2515" s="93">
        <f>IF(AQ2515="5",BJ2515,0)</f>
        <v>0</v>
      </c>
      <c r="AB2515" s="93">
        <f>IF(AQ2515="1",BH2515,0)</f>
        <v>0</v>
      </c>
      <c r="AC2515" s="93">
        <f>IF(AQ2515="1",BI2515,0)</f>
        <v>0</v>
      </c>
      <c r="AD2515" s="93">
        <f>IF(AQ2515="7",BH2515,0)</f>
        <v>0</v>
      </c>
      <c r="AE2515" s="93">
        <f>IF(AQ2515="7",BI2515,0)</f>
        <v>0</v>
      </c>
      <c r="AF2515" s="93">
        <f>IF(AQ2515="2",BH2515,0)</f>
        <v>0</v>
      </c>
      <c r="AG2515" s="93">
        <f>IF(AQ2515="2",BI2515,0)</f>
        <v>0</v>
      </c>
      <c r="AH2515" s="93">
        <f>IF(AQ2515="0",BJ2515,0)</f>
        <v>0</v>
      </c>
      <c r="AI2515" s="88" t="s">
        <v>55</v>
      </c>
      <c r="AJ2515" s="93">
        <f>IF(AN2515=0,L2515,0)</f>
        <v>0</v>
      </c>
      <c r="AK2515" s="93">
        <f>IF(AN2515=12,L2515,0)</f>
        <v>0</v>
      </c>
      <c r="AL2515" s="93">
        <f>IF(AN2515=21,L2515,0)</f>
        <v>0</v>
      </c>
      <c r="AN2515" s="93">
        <v>21</v>
      </c>
      <c r="AO2515" s="93">
        <f>H2515*0</f>
        <v>0</v>
      </c>
      <c r="AP2515" s="93">
        <f>H2515*(1-0)</f>
        <v>0</v>
      </c>
      <c r="AQ2515" s="94" t="s">
        <v>136</v>
      </c>
      <c r="AV2515" s="93">
        <f>AW2515+AX2515</f>
        <v>0</v>
      </c>
      <c r="AW2515" s="93">
        <f>G2515*AO2515</f>
        <v>0</v>
      </c>
      <c r="AX2515" s="93">
        <f>G2515*AP2515</f>
        <v>0</v>
      </c>
      <c r="AY2515" s="94" t="s">
        <v>3140</v>
      </c>
      <c r="AZ2515" s="94" t="s">
        <v>2936</v>
      </c>
      <c r="BA2515" s="88" t="s">
        <v>67</v>
      </c>
      <c r="BC2515" s="93">
        <f>AW2515+AX2515</f>
        <v>0</v>
      </c>
      <c r="BD2515" s="93">
        <f>H2515/(100-BE2515)*100</f>
        <v>0</v>
      </c>
      <c r="BE2515" s="93">
        <v>0</v>
      </c>
      <c r="BF2515" s="93">
        <f>O2515</f>
        <v>0</v>
      </c>
      <c r="BH2515" s="93">
        <f>G2515*AO2515</f>
        <v>0</v>
      </c>
      <c r="BI2515" s="93">
        <f>G2515*AP2515</f>
        <v>0</v>
      </c>
      <c r="BJ2515" s="93">
        <f>G2515*H2515</f>
        <v>0</v>
      </c>
      <c r="BK2515" s="93"/>
      <c r="BL2515" s="93"/>
      <c r="BW2515" s="93" t="str">
        <f>I2515</f>
        <v>21</v>
      </c>
      <c r="BX2515" s="2" t="s">
        <v>3496</v>
      </c>
    </row>
    <row r="2516" spans="1:76" s="81" customFormat="1" x14ac:dyDescent="0.25">
      <c r="A2516" s="82" t="s">
        <v>54</v>
      </c>
      <c r="B2516" s="73" t="s">
        <v>55</v>
      </c>
      <c r="C2516" s="73" t="s">
        <v>54</v>
      </c>
      <c r="D2516" s="168" t="s">
        <v>3497</v>
      </c>
      <c r="E2516" s="168"/>
      <c r="F2516" s="82" t="s">
        <v>4</v>
      </c>
      <c r="G2516" s="82" t="s">
        <v>4</v>
      </c>
      <c r="H2516" s="82" t="s">
        <v>4</v>
      </c>
      <c r="I2516" s="82" t="s">
        <v>4</v>
      </c>
      <c r="J2516" s="83">
        <f>J2517</f>
        <v>0</v>
      </c>
      <c r="K2516" s="83">
        <f>K2517</f>
        <v>0</v>
      </c>
      <c r="L2516" s="83">
        <f>L2517</f>
        <v>0</v>
      </c>
      <c r="M2516" s="83">
        <f>M2517</f>
        <v>0</v>
      </c>
      <c r="N2516" s="84" t="s">
        <v>54</v>
      </c>
      <c r="O2516" s="83">
        <f>O2517</f>
        <v>0</v>
      </c>
      <c r="P2516" s="84" t="s">
        <v>54</v>
      </c>
    </row>
    <row r="2517" spans="1:76" s="81" customFormat="1" x14ac:dyDescent="0.25">
      <c r="A2517" s="85" t="s">
        <v>54</v>
      </c>
      <c r="B2517" s="74" t="s">
        <v>55</v>
      </c>
      <c r="C2517" s="74" t="s">
        <v>3498</v>
      </c>
      <c r="D2517" s="176" t="s">
        <v>3499</v>
      </c>
      <c r="E2517" s="176"/>
      <c r="F2517" s="85" t="s">
        <v>4</v>
      </c>
      <c r="G2517" s="85" t="s">
        <v>4</v>
      </c>
      <c r="H2517" s="85" t="s">
        <v>4</v>
      </c>
      <c r="I2517" s="85" t="s">
        <v>4</v>
      </c>
      <c r="J2517" s="86">
        <f>SUM(J2518:J2696)</f>
        <v>0</v>
      </c>
      <c r="K2517" s="86">
        <f>SUM(K2518:K2696)</f>
        <v>0</v>
      </c>
      <c r="L2517" s="86">
        <f>SUM(L2518:L2696)</f>
        <v>0</v>
      </c>
      <c r="M2517" s="86">
        <f>SUM(M2518:M2696)</f>
        <v>0</v>
      </c>
      <c r="N2517" s="87" t="s">
        <v>54</v>
      </c>
      <c r="O2517" s="86">
        <f>SUM(O2518:O2696)</f>
        <v>0</v>
      </c>
      <c r="P2517" s="87" t="s">
        <v>54</v>
      </c>
      <c r="AI2517" s="88" t="s">
        <v>55</v>
      </c>
      <c r="AS2517" s="89">
        <f>SUM(AJ2518:AJ2696)</f>
        <v>0</v>
      </c>
      <c r="AT2517" s="89">
        <f>SUM(AK2518:AK2696)</f>
        <v>0</v>
      </c>
      <c r="AU2517" s="89">
        <f>SUM(AL2518:AL2696)</f>
        <v>0</v>
      </c>
    </row>
    <row r="2518" spans="1:76" s="81" customFormat="1" ht="25.5" x14ac:dyDescent="0.25">
      <c r="A2518" s="72" t="s">
        <v>3500</v>
      </c>
      <c r="B2518" s="72" t="s">
        <v>55</v>
      </c>
      <c r="C2518" s="72" t="s">
        <v>3501</v>
      </c>
      <c r="D2518" s="175" t="s">
        <v>3502</v>
      </c>
      <c r="E2518" s="175"/>
      <c r="F2518" s="72" t="s">
        <v>213</v>
      </c>
      <c r="G2518" s="90">
        <v>1840</v>
      </c>
      <c r="H2518" s="91"/>
      <c r="I2518" s="92" t="s">
        <v>63</v>
      </c>
      <c r="J2518" s="90">
        <f t="shared" ref="J2518:J2549" si="542">G2518*AO2518</f>
        <v>0</v>
      </c>
      <c r="K2518" s="90">
        <f t="shared" ref="K2518:K2549" si="543">G2518*AP2518</f>
        <v>0</v>
      </c>
      <c r="L2518" s="90">
        <f t="shared" ref="L2518:L2549" si="544">G2518*H2518</f>
        <v>0</v>
      </c>
      <c r="M2518" s="90">
        <f t="shared" ref="M2518:M2549" si="545">L2518*(1+BW2518/100)</f>
        <v>0</v>
      </c>
      <c r="N2518" s="90">
        <v>0</v>
      </c>
      <c r="O2518" s="90">
        <f t="shared" ref="O2518:O2549" si="546">G2518*N2518</f>
        <v>0</v>
      </c>
      <c r="P2518" s="92" t="s">
        <v>1652</v>
      </c>
      <c r="Z2518" s="93">
        <f t="shared" ref="Z2518:Z2549" si="547">IF(AQ2518="5",BJ2518,0)</f>
        <v>0</v>
      </c>
      <c r="AB2518" s="93">
        <f t="shared" ref="AB2518:AB2549" si="548">IF(AQ2518="1",BH2518,0)</f>
        <v>0</v>
      </c>
      <c r="AC2518" s="93">
        <f t="shared" ref="AC2518:AC2549" si="549">IF(AQ2518="1",BI2518,0)</f>
        <v>0</v>
      </c>
      <c r="AD2518" s="93">
        <f t="shared" ref="AD2518:AD2549" si="550">IF(AQ2518="7",BH2518,0)</f>
        <v>0</v>
      </c>
      <c r="AE2518" s="93">
        <f t="shared" ref="AE2518:AE2549" si="551">IF(AQ2518="7",BI2518,0)</f>
        <v>0</v>
      </c>
      <c r="AF2518" s="93">
        <f t="shared" ref="AF2518:AF2549" si="552">IF(AQ2518="2",BH2518,0)</f>
        <v>0</v>
      </c>
      <c r="AG2518" s="93">
        <f t="shared" ref="AG2518:AG2549" si="553">IF(AQ2518="2",BI2518,0)</f>
        <v>0</v>
      </c>
      <c r="AH2518" s="93">
        <f t="shared" ref="AH2518:AH2549" si="554">IF(AQ2518="0",BJ2518,0)</f>
        <v>0</v>
      </c>
      <c r="AI2518" s="88" t="s">
        <v>55</v>
      </c>
      <c r="AJ2518" s="93">
        <f t="shared" ref="AJ2518:AJ2549" si="555">IF(AN2518=0,L2518,0)</f>
        <v>0</v>
      </c>
      <c r="AK2518" s="93">
        <f t="shared" ref="AK2518:AK2549" si="556">IF(AN2518=12,L2518,0)</f>
        <v>0</v>
      </c>
      <c r="AL2518" s="93">
        <f t="shared" ref="AL2518:AL2549" si="557">IF(AN2518=21,L2518,0)</f>
        <v>0</v>
      </c>
      <c r="AN2518" s="93">
        <v>21</v>
      </c>
      <c r="AO2518" s="93">
        <f t="shared" ref="AO2518:AO2549" si="558">H2518*0</f>
        <v>0</v>
      </c>
      <c r="AP2518" s="93">
        <f t="shared" ref="AP2518:AP2549" si="559">H2518*(1-0)</f>
        <v>0</v>
      </c>
      <c r="AQ2518" s="94" t="s">
        <v>118</v>
      </c>
      <c r="AV2518" s="93">
        <f t="shared" ref="AV2518:AV2549" si="560">AW2518+AX2518</f>
        <v>0</v>
      </c>
      <c r="AW2518" s="93">
        <f t="shared" ref="AW2518:AW2549" si="561">G2518*AO2518</f>
        <v>0</v>
      </c>
      <c r="AX2518" s="93">
        <f t="shared" ref="AX2518:AX2549" si="562">G2518*AP2518</f>
        <v>0</v>
      </c>
      <c r="AY2518" s="94" t="s">
        <v>3503</v>
      </c>
      <c r="AZ2518" s="94" t="s">
        <v>3504</v>
      </c>
      <c r="BA2518" s="88" t="s">
        <v>67</v>
      </c>
      <c r="BC2518" s="93">
        <f t="shared" ref="BC2518:BC2549" si="563">AW2518+AX2518</f>
        <v>0</v>
      </c>
      <c r="BD2518" s="93">
        <f t="shared" ref="BD2518:BD2549" si="564">H2518/(100-BE2518)*100</f>
        <v>0</v>
      </c>
      <c r="BE2518" s="93">
        <v>0</v>
      </c>
      <c r="BF2518" s="93">
        <f t="shared" ref="BF2518:BF2549" si="565">O2518</f>
        <v>0</v>
      </c>
      <c r="BH2518" s="93">
        <f t="shared" ref="BH2518:BH2549" si="566">G2518*AO2518</f>
        <v>0</v>
      </c>
      <c r="BI2518" s="93">
        <f t="shared" ref="BI2518:BI2549" si="567">G2518*AP2518</f>
        <v>0</v>
      </c>
      <c r="BJ2518" s="93">
        <f t="shared" ref="BJ2518:BJ2549" si="568">G2518*H2518</f>
        <v>0</v>
      </c>
      <c r="BK2518" s="93"/>
      <c r="BL2518" s="93"/>
      <c r="BW2518" s="93" t="str">
        <f t="shared" ref="BW2518:BW2549" si="569">I2518</f>
        <v>21</v>
      </c>
      <c r="BX2518" s="2" t="s">
        <v>3502</v>
      </c>
    </row>
    <row r="2519" spans="1:76" s="81" customFormat="1" ht="25.5" x14ac:dyDescent="0.25">
      <c r="A2519" s="72" t="s">
        <v>3505</v>
      </c>
      <c r="B2519" s="72" t="s">
        <v>55</v>
      </c>
      <c r="C2519" s="72" t="s">
        <v>3506</v>
      </c>
      <c r="D2519" s="175" t="s">
        <v>3507</v>
      </c>
      <c r="E2519" s="175"/>
      <c r="F2519" s="72" t="s">
        <v>213</v>
      </c>
      <c r="G2519" s="90">
        <v>500</v>
      </c>
      <c r="H2519" s="91"/>
      <c r="I2519" s="92" t="s">
        <v>63</v>
      </c>
      <c r="J2519" s="90">
        <f t="shared" si="542"/>
        <v>0</v>
      </c>
      <c r="K2519" s="90">
        <f t="shared" si="543"/>
        <v>0</v>
      </c>
      <c r="L2519" s="90">
        <f t="shared" si="544"/>
        <v>0</v>
      </c>
      <c r="M2519" s="90">
        <f t="shared" si="545"/>
        <v>0</v>
      </c>
      <c r="N2519" s="90">
        <v>0</v>
      </c>
      <c r="O2519" s="90">
        <f t="shared" si="546"/>
        <v>0</v>
      </c>
      <c r="P2519" s="92" t="s">
        <v>1652</v>
      </c>
      <c r="Z2519" s="93">
        <f t="shared" si="547"/>
        <v>0</v>
      </c>
      <c r="AB2519" s="93">
        <f t="shared" si="548"/>
        <v>0</v>
      </c>
      <c r="AC2519" s="93">
        <f t="shared" si="549"/>
        <v>0</v>
      </c>
      <c r="AD2519" s="93">
        <f t="shared" si="550"/>
        <v>0</v>
      </c>
      <c r="AE2519" s="93">
        <f t="shared" si="551"/>
        <v>0</v>
      </c>
      <c r="AF2519" s="93">
        <f t="shared" si="552"/>
        <v>0</v>
      </c>
      <c r="AG2519" s="93">
        <f t="shared" si="553"/>
        <v>0</v>
      </c>
      <c r="AH2519" s="93">
        <f t="shared" si="554"/>
        <v>0</v>
      </c>
      <c r="AI2519" s="88" t="s">
        <v>55</v>
      </c>
      <c r="AJ2519" s="93">
        <f t="shared" si="555"/>
        <v>0</v>
      </c>
      <c r="AK2519" s="93">
        <f t="shared" si="556"/>
        <v>0</v>
      </c>
      <c r="AL2519" s="93">
        <f t="shared" si="557"/>
        <v>0</v>
      </c>
      <c r="AN2519" s="93">
        <v>21</v>
      </c>
      <c r="AO2519" s="93">
        <f t="shared" si="558"/>
        <v>0</v>
      </c>
      <c r="AP2519" s="93">
        <f t="shared" si="559"/>
        <v>0</v>
      </c>
      <c r="AQ2519" s="94" t="s">
        <v>118</v>
      </c>
      <c r="AV2519" s="93">
        <f t="shared" si="560"/>
        <v>0</v>
      </c>
      <c r="AW2519" s="93">
        <f t="shared" si="561"/>
        <v>0</v>
      </c>
      <c r="AX2519" s="93">
        <f t="shared" si="562"/>
        <v>0</v>
      </c>
      <c r="AY2519" s="94" t="s">
        <v>3503</v>
      </c>
      <c r="AZ2519" s="94" t="s">
        <v>3504</v>
      </c>
      <c r="BA2519" s="88" t="s">
        <v>67</v>
      </c>
      <c r="BC2519" s="93">
        <f t="shared" si="563"/>
        <v>0</v>
      </c>
      <c r="BD2519" s="93">
        <f t="shared" si="564"/>
        <v>0</v>
      </c>
      <c r="BE2519" s="93">
        <v>0</v>
      </c>
      <c r="BF2519" s="93">
        <f t="shared" si="565"/>
        <v>0</v>
      </c>
      <c r="BH2519" s="93">
        <f t="shared" si="566"/>
        <v>0</v>
      </c>
      <c r="BI2519" s="93">
        <f t="shared" si="567"/>
        <v>0</v>
      </c>
      <c r="BJ2519" s="93">
        <f t="shared" si="568"/>
        <v>0</v>
      </c>
      <c r="BK2519" s="93"/>
      <c r="BL2519" s="93"/>
      <c r="BW2519" s="93" t="str">
        <f t="shared" si="569"/>
        <v>21</v>
      </c>
      <c r="BX2519" s="2" t="s">
        <v>3507</v>
      </c>
    </row>
    <row r="2520" spans="1:76" s="81" customFormat="1" ht="25.5" x14ac:dyDescent="0.25">
      <c r="A2520" s="72" t="s">
        <v>3508</v>
      </c>
      <c r="B2520" s="72" t="s">
        <v>55</v>
      </c>
      <c r="C2520" s="72" t="s">
        <v>3509</v>
      </c>
      <c r="D2520" s="175" t="s">
        <v>3510</v>
      </c>
      <c r="E2520" s="175"/>
      <c r="F2520" s="72" t="s">
        <v>213</v>
      </c>
      <c r="G2520" s="90">
        <v>800</v>
      </c>
      <c r="H2520" s="91"/>
      <c r="I2520" s="92" t="s">
        <v>63</v>
      </c>
      <c r="J2520" s="90">
        <f t="shared" si="542"/>
        <v>0</v>
      </c>
      <c r="K2520" s="90">
        <f t="shared" si="543"/>
        <v>0</v>
      </c>
      <c r="L2520" s="90">
        <f t="shared" si="544"/>
        <v>0</v>
      </c>
      <c r="M2520" s="90">
        <f t="shared" si="545"/>
        <v>0</v>
      </c>
      <c r="N2520" s="90">
        <v>0</v>
      </c>
      <c r="O2520" s="90">
        <f t="shared" si="546"/>
        <v>0</v>
      </c>
      <c r="P2520" s="92" t="s">
        <v>1652</v>
      </c>
      <c r="Z2520" s="93">
        <f t="shared" si="547"/>
        <v>0</v>
      </c>
      <c r="AB2520" s="93">
        <f t="shared" si="548"/>
        <v>0</v>
      </c>
      <c r="AC2520" s="93">
        <f t="shared" si="549"/>
        <v>0</v>
      </c>
      <c r="AD2520" s="93">
        <f t="shared" si="550"/>
        <v>0</v>
      </c>
      <c r="AE2520" s="93">
        <f t="shared" si="551"/>
        <v>0</v>
      </c>
      <c r="AF2520" s="93">
        <f t="shared" si="552"/>
        <v>0</v>
      </c>
      <c r="AG2520" s="93">
        <f t="shared" si="553"/>
        <v>0</v>
      </c>
      <c r="AH2520" s="93">
        <f t="shared" si="554"/>
        <v>0</v>
      </c>
      <c r="AI2520" s="88" t="s">
        <v>55</v>
      </c>
      <c r="AJ2520" s="93">
        <f t="shared" si="555"/>
        <v>0</v>
      </c>
      <c r="AK2520" s="93">
        <f t="shared" si="556"/>
        <v>0</v>
      </c>
      <c r="AL2520" s="93">
        <f t="shared" si="557"/>
        <v>0</v>
      </c>
      <c r="AN2520" s="93">
        <v>21</v>
      </c>
      <c r="AO2520" s="93">
        <f t="shared" si="558"/>
        <v>0</v>
      </c>
      <c r="AP2520" s="93">
        <f t="shared" si="559"/>
        <v>0</v>
      </c>
      <c r="AQ2520" s="94" t="s">
        <v>118</v>
      </c>
      <c r="AV2520" s="93">
        <f t="shared" si="560"/>
        <v>0</v>
      </c>
      <c r="AW2520" s="93">
        <f t="shared" si="561"/>
        <v>0</v>
      </c>
      <c r="AX2520" s="93">
        <f t="shared" si="562"/>
        <v>0</v>
      </c>
      <c r="AY2520" s="94" t="s">
        <v>3503</v>
      </c>
      <c r="AZ2520" s="94" t="s">
        <v>3504</v>
      </c>
      <c r="BA2520" s="88" t="s">
        <v>67</v>
      </c>
      <c r="BC2520" s="93">
        <f t="shared" si="563"/>
        <v>0</v>
      </c>
      <c r="BD2520" s="93">
        <f t="shared" si="564"/>
        <v>0</v>
      </c>
      <c r="BE2520" s="93">
        <v>0</v>
      </c>
      <c r="BF2520" s="93">
        <f t="shared" si="565"/>
        <v>0</v>
      </c>
      <c r="BH2520" s="93">
        <f t="shared" si="566"/>
        <v>0</v>
      </c>
      <c r="BI2520" s="93">
        <f t="shared" si="567"/>
        <v>0</v>
      </c>
      <c r="BJ2520" s="93">
        <f t="shared" si="568"/>
        <v>0</v>
      </c>
      <c r="BK2520" s="93"/>
      <c r="BL2520" s="93"/>
      <c r="BW2520" s="93" t="str">
        <f t="shared" si="569"/>
        <v>21</v>
      </c>
      <c r="BX2520" s="2" t="s">
        <v>3510</v>
      </c>
    </row>
    <row r="2521" spans="1:76" s="81" customFormat="1" ht="25.5" x14ac:dyDescent="0.25">
      <c r="A2521" s="72" t="s">
        <v>3511</v>
      </c>
      <c r="B2521" s="72" t="s">
        <v>55</v>
      </c>
      <c r="C2521" s="72" t="s">
        <v>3512</v>
      </c>
      <c r="D2521" s="175" t="s">
        <v>3513</v>
      </c>
      <c r="E2521" s="175"/>
      <c r="F2521" s="72" t="s">
        <v>213</v>
      </c>
      <c r="G2521" s="90">
        <v>90</v>
      </c>
      <c r="H2521" s="91"/>
      <c r="I2521" s="92" t="s">
        <v>63</v>
      </c>
      <c r="J2521" s="90">
        <f t="shared" si="542"/>
        <v>0</v>
      </c>
      <c r="K2521" s="90">
        <f t="shared" si="543"/>
        <v>0</v>
      </c>
      <c r="L2521" s="90">
        <f t="shared" si="544"/>
        <v>0</v>
      </c>
      <c r="M2521" s="90">
        <f t="shared" si="545"/>
        <v>0</v>
      </c>
      <c r="N2521" s="90">
        <v>0</v>
      </c>
      <c r="O2521" s="90">
        <f t="shared" si="546"/>
        <v>0</v>
      </c>
      <c r="P2521" s="92" t="s">
        <v>1652</v>
      </c>
      <c r="Z2521" s="93">
        <f t="shared" si="547"/>
        <v>0</v>
      </c>
      <c r="AB2521" s="93">
        <f t="shared" si="548"/>
        <v>0</v>
      </c>
      <c r="AC2521" s="93">
        <f t="shared" si="549"/>
        <v>0</v>
      </c>
      <c r="AD2521" s="93">
        <f t="shared" si="550"/>
        <v>0</v>
      </c>
      <c r="AE2521" s="93">
        <f t="shared" si="551"/>
        <v>0</v>
      </c>
      <c r="AF2521" s="93">
        <f t="shared" si="552"/>
        <v>0</v>
      </c>
      <c r="AG2521" s="93">
        <f t="shared" si="553"/>
        <v>0</v>
      </c>
      <c r="AH2521" s="93">
        <f t="shared" si="554"/>
        <v>0</v>
      </c>
      <c r="AI2521" s="88" t="s">
        <v>55</v>
      </c>
      <c r="AJ2521" s="93">
        <f t="shared" si="555"/>
        <v>0</v>
      </c>
      <c r="AK2521" s="93">
        <f t="shared" si="556"/>
        <v>0</v>
      </c>
      <c r="AL2521" s="93">
        <f t="shared" si="557"/>
        <v>0</v>
      </c>
      <c r="AN2521" s="93">
        <v>21</v>
      </c>
      <c r="AO2521" s="93">
        <f t="shared" si="558"/>
        <v>0</v>
      </c>
      <c r="AP2521" s="93">
        <f t="shared" si="559"/>
        <v>0</v>
      </c>
      <c r="AQ2521" s="94" t="s">
        <v>118</v>
      </c>
      <c r="AV2521" s="93">
        <f t="shared" si="560"/>
        <v>0</v>
      </c>
      <c r="AW2521" s="93">
        <f t="shared" si="561"/>
        <v>0</v>
      </c>
      <c r="AX2521" s="93">
        <f t="shared" si="562"/>
        <v>0</v>
      </c>
      <c r="AY2521" s="94" t="s">
        <v>3503</v>
      </c>
      <c r="AZ2521" s="94" t="s">
        <v>3504</v>
      </c>
      <c r="BA2521" s="88" t="s">
        <v>67</v>
      </c>
      <c r="BC2521" s="93">
        <f t="shared" si="563"/>
        <v>0</v>
      </c>
      <c r="BD2521" s="93">
        <f t="shared" si="564"/>
        <v>0</v>
      </c>
      <c r="BE2521" s="93">
        <v>0</v>
      </c>
      <c r="BF2521" s="93">
        <f t="shared" si="565"/>
        <v>0</v>
      </c>
      <c r="BH2521" s="93">
        <f t="shared" si="566"/>
        <v>0</v>
      </c>
      <c r="BI2521" s="93">
        <f t="shared" si="567"/>
        <v>0</v>
      </c>
      <c r="BJ2521" s="93">
        <f t="shared" si="568"/>
        <v>0</v>
      </c>
      <c r="BK2521" s="93"/>
      <c r="BL2521" s="93"/>
      <c r="BW2521" s="93" t="str">
        <f t="shared" si="569"/>
        <v>21</v>
      </c>
      <c r="BX2521" s="2" t="s">
        <v>3513</v>
      </c>
    </row>
    <row r="2522" spans="1:76" s="81" customFormat="1" ht="25.5" x14ac:dyDescent="0.25">
      <c r="A2522" s="72" t="s">
        <v>3514</v>
      </c>
      <c r="B2522" s="72" t="s">
        <v>55</v>
      </c>
      <c r="C2522" s="72" t="s">
        <v>3515</v>
      </c>
      <c r="D2522" s="175" t="s">
        <v>3516</v>
      </c>
      <c r="E2522" s="175"/>
      <c r="F2522" s="72" t="s">
        <v>213</v>
      </c>
      <c r="G2522" s="90">
        <v>60</v>
      </c>
      <c r="H2522" s="91"/>
      <c r="I2522" s="92" t="s">
        <v>63</v>
      </c>
      <c r="J2522" s="90">
        <f t="shared" si="542"/>
        <v>0</v>
      </c>
      <c r="K2522" s="90">
        <f t="shared" si="543"/>
        <v>0</v>
      </c>
      <c r="L2522" s="90">
        <f t="shared" si="544"/>
        <v>0</v>
      </c>
      <c r="M2522" s="90">
        <f t="shared" si="545"/>
        <v>0</v>
      </c>
      <c r="N2522" s="90">
        <v>0</v>
      </c>
      <c r="O2522" s="90">
        <f t="shared" si="546"/>
        <v>0</v>
      </c>
      <c r="P2522" s="92" t="s">
        <v>1652</v>
      </c>
      <c r="Z2522" s="93">
        <f t="shared" si="547"/>
        <v>0</v>
      </c>
      <c r="AB2522" s="93">
        <f t="shared" si="548"/>
        <v>0</v>
      </c>
      <c r="AC2522" s="93">
        <f t="shared" si="549"/>
        <v>0</v>
      </c>
      <c r="AD2522" s="93">
        <f t="shared" si="550"/>
        <v>0</v>
      </c>
      <c r="AE2522" s="93">
        <f t="shared" si="551"/>
        <v>0</v>
      </c>
      <c r="AF2522" s="93">
        <f t="shared" si="552"/>
        <v>0</v>
      </c>
      <c r="AG2522" s="93">
        <f t="shared" si="553"/>
        <v>0</v>
      </c>
      <c r="AH2522" s="93">
        <f t="shared" si="554"/>
        <v>0</v>
      </c>
      <c r="AI2522" s="88" t="s">
        <v>55</v>
      </c>
      <c r="AJ2522" s="93">
        <f t="shared" si="555"/>
        <v>0</v>
      </c>
      <c r="AK2522" s="93">
        <f t="shared" si="556"/>
        <v>0</v>
      </c>
      <c r="AL2522" s="93">
        <f t="shared" si="557"/>
        <v>0</v>
      </c>
      <c r="AN2522" s="93">
        <v>21</v>
      </c>
      <c r="AO2522" s="93">
        <f t="shared" si="558"/>
        <v>0</v>
      </c>
      <c r="AP2522" s="93">
        <f t="shared" si="559"/>
        <v>0</v>
      </c>
      <c r="AQ2522" s="94" t="s">
        <v>118</v>
      </c>
      <c r="AV2522" s="93">
        <f t="shared" si="560"/>
        <v>0</v>
      </c>
      <c r="AW2522" s="93">
        <f t="shared" si="561"/>
        <v>0</v>
      </c>
      <c r="AX2522" s="93">
        <f t="shared" si="562"/>
        <v>0</v>
      </c>
      <c r="AY2522" s="94" t="s">
        <v>3503</v>
      </c>
      <c r="AZ2522" s="94" t="s">
        <v>3504</v>
      </c>
      <c r="BA2522" s="88" t="s">
        <v>67</v>
      </c>
      <c r="BC2522" s="93">
        <f t="shared" si="563"/>
        <v>0</v>
      </c>
      <c r="BD2522" s="93">
        <f t="shared" si="564"/>
        <v>0</v>
      </c>
      <c r="BE2522" s="93">
        <v>0</v>
      </c>
      <c r="BF2522" s="93">
        <f t="shared" si="565"/>
        <v>0</v>
      </c>
      <c r="BH2522" s="93">
        <f t="shared" si="566"/>
        <v>0</v>
      </c>
      <c r="BI2522" s="93">
        <f t="shared" si="567"/>
        <v>0</v>
      </c>
      <c r="BJ2522" s="93">
        <f t="shared" si="568"/>
        <v>0</v>
      </c>
      <c r="BK2522" s="93"/>
      <c r="BL2522" s="93"/>
      <c r="BW2522" s="93" t="str">
        <f t="shared" si="569"/>
        <v>21</v>
      </c>
      <c r="BX2522" s="2" t="s">
        <v>3516</v>
      </c>
    </row>
    <row r="2523" spans="1:76" s="81" customFormat="1" ht="25.5" x14ac:dyDescent="0.25">
      <c r="A2523" s="72" t="s">
        <v>3517</v>
      </c>
      <c r="B2523" s="72" t="s">
        <v>55</v>
      </c>
      <c r="C2523" s="72" t="s">
        <v>3518</v>
      </c>
      <c r="D2523" s="175" t="s">
        <v>3519</v>
      </c>
      <c r="E2523" s="175"/>
      <c r="F2523" s="72" t="s">
        <v>213</v>
      </c>
      <c r="G2523" s="90">
        <v>22</v>
      </c>
      <c r="H2523" s="91"/>
      <c r="I2523" s="92" t="s">
        <v>63</v>
      </c>
      <c r="J2523" s="90">
        <f t="shared" si="542"/>
        <v>0</v>
      </c>
      <c r="K2523" s="90">
        <f t="shared" si="543"/>
        <v>0</v>
      </c>
      <c r="L2523" s="90">
        <f t="shared" si="544"/>
        <v>0</v>
      </c>
      <c r="M2523" s="90">
        <f t="shared" si="545"/>
        <v>0</v>
      </c>
      <c r="N2523" s="90">
        <v>0</v>
      </c>
      <c r="O2523" s="90">
        <f t="shared" si="546"/>
        <v>0</v>
      </c>
      <c r="P2523" s="92" t="s">
        <v>1652</v>
      </c>
      <c r="Z2523" s="93">
        <f t="shared" si="547"/>
        <v>0</v>
      </c>
      <c r="AB2523" s="93">
        <f t="shared" si="548"/>
        <v>0</v>
      </c>
      <c r="AC2523" s="93">
        <f t="shared" si="549"/>
        <v>0</v>
      </c>
      <c r="AD2523" s="93">
        <f t="shared" si="550"/>
        <v>0</v>
      </c>
      <c r="AE2523" s="93">
        <f t="shared" si="551"/>
        <v>0</v>
      </c>
      <c r="AF2523" s="93">
        <f t="shared" si="552"/>
        <v>0</v>
      </c>
      <c r="AG2523" s="93">
        <f t="shared" si="553"/>
        <v>0</v>
      </c>
      <c r="AH2523" s="93">
        <f t="shared" si="554"/>
        <v>0</v>
      </c>
      <c r="AI2523" s="88" t="s">
        <v>55</v>
      </c>
      <c r="AJ2523" s="93">
        <f t="shared" si="555"/>
        <v>0</v>
      </c>
      <c r="AK2523" s="93">
        <f t="shared" si="556"/>
        <v>0</v>
      </c>
      <c r="AL2523" s="93">
        <f t="shared" si="557"/>
        <v>0</v>
      </c>
      <c r="AN2523" s="93">
        <v>21</v>
      </c>
      <c r="AO2523" s="93">
        <f t="shared" si="558"/>
        <v>0</v>
      </c>
      <c r="AP2523" s="93">
        <f t="shared" si="559"/>
        <v>0</v>
      </c>
      <c r="AQ2523" s="94" t="s">
        <v>118</v>
      </c>
      <c r="AV2523" s="93">
        <f t="shared" si="560"/>
        <v>0</v>
      </c>
      <c r="AW2523" s="93">
        <f t="shared" si="561"/>
        <v>0</v>
      </c>
      <c r="AX2523" s="93">
        <f t="shared" si="562"/>
        <v>0</v>
      </c>
      <c r="AY2523" s="94" t="s">
        <v>3503</v>
      </c>
      <c r="AZ2523" s="94" t="s">
        <v>3504</v>
      </c>
      <c r="BA2523" s="88" t="s">
        <v>67</v>
      </c>
      <c r="BC2523" s="93">
        <f t="shared" si="563"/>
        <v>0</v>
      </c>
      <c r="BD2523" s="93">
        <f t="shared" si="564"/>
        <v>0</v>
      </c>
      <c r="BE2523" s="93">
        <v>0</v>
      </c>
      <c r="BF2523" s="93">
        <f t="shared" si="565"/>
        <v>0</v>
      </c>
      <c r="BH2523" s="93">
        <f t="shared" si="566"/>
        <v>0</v>
      </c>
      <c r="BI2523" s="93">
        <f t="shared" si="567"/>
        <v>0</v>
      </c>
      <c r="BJ2523" s="93">
        <f t="shared" si="568"/>
        <v>0</v>
      </c>
      <c r="BK2523" s="93"/>
      <c r="BL2523" s="93"/>
      <c r="BW2523" s="93" t="str">
        <f t="shared" si="569"/>
        <v>21</v>
      </c>
      <c r="BX2523" s="2" t="s">
        <v>3519</v>
      </c>
    </row>
    <row r="2524" spans="1:76" s="81" customFormat="1" ht="25.5" x14ac:dyDescent="0.25">
      <c r="A2524" s="72" t="s">
        <v>3520</v>
      </c>
      <c r="B2524" s="72" t="s">
        <v>55</v>
      </c>
      <c r="C2524" s="72" t="s">
        <v>3521</v>
      </c>
      <c r="D2524" s="175" t="s">
        <v>3522</v>
      </c>
      <c r="E2524" s="175"/>
      <c r="F2524" s="72" t="s">
        <v>3523</v>
      </c>
      <c r="G2524" s="90">
        <v>28</v>
      </c>
      <c r="H2524" s="91"/>
      <c r="I2524" s="92" t="s">
        <v>63</v>
      </c>
      <c r="J2524" s="90">
        <f t="shared" si="542"/>
        <v>0</v>
      </c>
      <c r="K2524" s="90">
        <f t="shared" si="543"/>
        <v>0</v>
      </c>
      <c r="L2524" s="90">
        <f t="shared" si="544"/>
        <v>0</v>
      </c>
      <c r="M2524" s="90">
        <f t="shared" si="545"/>
        <v>0</v>
      </c>
      <c r="N2524" s="90">
        <v>0</v>
      </c>
      <c r="O2524" s="90">
        <f t="shared" si="546"/>
        <v>0</v>
      </c>
      <c r="P2524" s="92" t="s">
        <v>1652</v>
      </c>
      <c r="Z2524" s="93">
        <f t="shared" si="547"/>
        <v>0</v>
      </c>
      <c r="AB2524" s="93">
        <f t="shared" si="548"/>
        <v>0</v>
      </c>
      <c r="AC2524" s="93">
        <f t="shared" si="549"/>
        <v>0</v>
      </c>
      <c r="AD2524" s="93">
        <f t="shared" si="550"/>
        <v>0</v>
      </c>
      <c r="AE2524" s="93">
        <f t="shared" si="551"/>
        <v>0</v>
      </c>
      <c r="AF2524" s="93">
        <f t="shared" si="552"/>
        <v>0</v>
      </c>
      <c r="AG2524" s="93">
        <f t="shared" si="553"/>
        <v>0</v>
      </c>
      <c r="AH2524" s="93">
        <f t="shared" si="554"/>
        <v>0</v>
      </c>
      <c r="AI2524" s="88" t="s">
        <v>55</v>
      </c>
      <c r="AJ2524" s="93">
        <f t="shared" si="555"/>
        <v>0</v>
      </c>
      <c r="AK2524" s="93">
        <f t="shared" si="556"/>
        <v>0</v>
      </c>
      <c r="AL2524" s="93">
        <f t="shared" si="557"/>
        <v>0</v>
      </c>
      <c r="AN2524" s="93">
        <v>21</v>
      </c>
      <c r="AO2524" s="93">
        <f t="shared" si="558"/>
        <v>0</v>
      </c>
      <c r="AP2524" s="93">
        <f t="shared" si="559"/>
        <v>0</v>
      </c>
      <c r="AQ2524" s="94" t="s">
        <v>118</v>
      </c>
      <c r="AV2524" s="93">
        <f t="shared" si="560"/>
        <v>0</v>
      </c>
      <c r="AW2524" s="93">
        <f t="shared" si="561"/>
        <v>0</v>
      </c>
      <c r="AX2524" s="93">
        <f t="shared" si="562"/>
        <v>0</v>
      </c>
      <c r="AY2524" s="94" t="s">
        <v>3503</v>
      </c>
      <c r="AZ2524" s="94" t="s">
        <v>3504</v>
      </c>
      <c r="BA2524" s="88" t="s">
        <v>67</v>
      </c>
      <c r="BC2524" s="93">
        <f t="shared" si="563"/>
        <v>0</v>
      </c>
      <c r="BD2524" s="93">
        <f t="shared" si="564"/>
        <v>0</v>
      </c>
      <c r="BE2524" s="93">
        <v>0</v>
      </c>
      <c r="BF2524" s="93">
        <f t="shared" si="565"/>
        <v>0</v>
      </c>
      <c r="BH2524" s="93">
        <f t="shared" si="566"/>
        <v>0</v>
      </c>
      <c r="BI2524" s="93">
        <f t="shared" si="567"/>
        <v>0</v>
      </c>
      <c r="BJ2524" s="93">
        <f t="shared" si="568"/>
        <v>0</v>
      </c>
      <c r="BK2524" s="93"/>
      <c r="BL2524" s="93"/>
      <c r="BW2524" s="93" t="str">
        <f t="shared" si="569"/>
        <v>21</v>
      </c>
      <c r="BX2524" s="2" t="s">
        <v>3522</v>
      </c>
    </row>
    <row r="2525" spans="1:76" s="81" customFormat="1" ht="25.5" x14ac:dyDescent="0.25">
      <c r="A2525" s="72" t="s">
        <v>3524</v>
      </c>
      <c r="B2525" s="72" t="s">
        <v>55</v>
      </c>
      <c r="C2525" s="72" t="s">
        <v>3525</v>
      </c>
      <c r="D2525" s="175" t="s">
        <v>3526</v>
      </c>
      <c r="E2525" s="175"/>
      <c r="F2525" s="72" t="s">
        <v>3523</v>
      </c>
      <c r="G2525" s="90">
        <v>800</v>
      </c>
      <c r="H2525" s="91"/>
      <c r="I2525" s="92" t="s">
        <v>63</v>
      </c>
      <c r="J2525" s="90">
        <f t="shared" si="542"/>
        <v>0</v>
      </c>
      <c r="K2525" s="90">
        <f t="shared" si="543"/>
        <v>0</v>
      </c>
      <c r="L2525" s="90">
        <f t="shared" si="544"/>
        <v>0</v>
      </c>
      <c r="M2525" s="90">
        <f t="shared" si="545"/>
        <v>0</v>
      </c>
      <c r="N2525" s="90">
        <v>0</v>
      </c>
      <c r="O2525" s="90">
        <f t="shared" si="546"/>
        <v>0</v>
      </c>
      <c r="P2525" s="92" t="s">
        <v>1652</v>
      </c>
      <c r="Z2525" s="93">
        <f t="shared" si="547"/>
        <v>0</v>
      </c>
      <c r="AB2525" s="93">
        <f t="shared" si="548"/>
        <v>0</v>
      </c>
      <c r="AC2525" s="93">
        <f t="shared" si="549"/>
        <v>0</v>
      </c>
      <c r="AD2525" s="93">
        <f t="shared" si="550"/>
        <v>0</v>
      </c>
      <c r="AE2525" s="93">
        <f t="shared" si="551"/>
        <v>0</v>
      </c>
      <c r="AF2525" s="93">
        <f t="shared" si="552"/>
        <v>0</v>
      </c>
      <c r="AG2525" s="93">
        <f t="shared" si="553"/>
        <v>0</v>
      </c>
      <c r="AH2525" s="93">
        <f t="shared" si="554"/>
        <v>0</v>
      </c>
      <c r="AI2525" s="88" t="s">
        <v>55</v>
      </c>
      <c r="AJ2525" s="93">
        <f t="shared" si="555"/>
        <v>0</v>
      </c>
      <c r="AK2525" s="93">
        <f t="shared" si="556"/>
        <v>0</v>
      </c>
      <c r="AL2525" s="93">
        <f t="shared" si="557"/>
        <v>0</v>
      </c>
      <c r="AN2525" s="93">
        <v>21</v>
      </c>
      <c r="AO2525" s="93">
        <f t="shared" si="558"/>
        <v>0</v>
      </c>
      <c r="AP2525" s="93">
        <f t="shared" si="559"/>
        <v>0</v>
      </c>
      <c r="AQ2525" s="94" t="s">
        <v>118</v>
      </c>
      <c r="AV2525" s="93">
        <f t="shared" si="560"/>
        <v>0</v>
      </c>
      <c r="AW2525" s="93">
        <f t="shared" si="561"/>
        <v>0</v>
      </c>
      <c r="AX2525" s="93">
        <f t="shared" si="562"/>
        <v>0</v>
      </c>
      <c r="AY2525" s="94" t="s">
        <v>3503</v>
      </c>
      <c r="AZ2525" s="94" t="s">
        <v>3504</v>
      </c>
      <c r="BA2525" s="88" t="s">
        <v>67</v>
      </c>
      <c r="BC2525" s="93">
        <f t="shared" si="563"/>
        <v>0</v>
      </c>
      <c r="BD2525" s="93">
        <f t="shared" si="564"/>
        <v>0</v>
      </c>
      <c r="BE2525" s="93">
        <v>0</v>
      </c>
      <c r="BF2525" s="93">
        <f t="shared" si="565"/>
        <v>0</v>
      </c>
      <c r="BH2525" s="93">
        <f t="shared" si="566"/>
        <v>0</v>
      </c>
      <c r="BI2525" s="93">
        <f t="shared" si="567"/>
        <v>0</v>
      </c>
      <c r="BJ2525" s="93">
        <f t="shared" si="568"/>
        <v>0</v>
      </c>
      <c r="BK2525" s="93"/>
      <c r="BL2525" s="93"/>
      <c r="BW2525" s="93" t="str">
        <f t="shared" si="569"/>
        <v>21</v>
      </c>
      <c r="BX2525" s="2" t="s">
        <v>3526</v>
      </c>
    </row>
    <row r="2526" spans="1:76" s="81" customFormat="1" ht="25.5" x14ac:dyDescent="0.25">
      <c r="A2526" s="72" t="s">
        <v>3527</v>
      </c>
      <c r="B2526" s="72" t="s">
        <v>55</v>
      </c>
      <c r="C2526" s="72" t="s">
        <v>3528</v>
      </c>
      <c r="D2526" s="175" t="s">
        <v>3529</v>
      </c>
      <c r="E2526" s="175"/>
      <c r="F2526" s="72" t="s">
        <v>3523</v>
      </c>
      <c r="G2526" s="90">
        <v>416</v>
      </c>
      <c r="H2526" s="91"/>
      <c r="I2526" s="92" t="s">
        <v>63</v>
      </c>
      <c r="J2526" s="90">
        <f t="shared" si="542"/>
        <v>0</v>
      </c>
      <c r="K2526" s="90">
        <f t="shared" si="543"/>
        <v>0</v>
      </c>
      <c r="L2526" s="90">
        <f t="shared" si="544"/>
        <v>0</v>
      </c>
      <c r="M2526" s="90">
        <f t="shared" si="545"/>
        <v>0</v>
      </c>
      <c r="N2526" s="90">
        <v>0</v>
      </c>
      <c r="O2526" s="90">
        <f t="shared" si="546"/>
        <v>0</v>
      </c>
      <c r="P2526" s="92" t="s">
        <v>1652</v>
      </c>
      <c r="Z2526" s="93">
        <f t="shared" si="547"/>
        <v>0</v>
      </c>
      <c r="AB2526" s="93">
        <f t="shared" si="548"/>
        <v>0</v>
      </c>
      <c r="AC2526" s="93">
        <f t="shared" si="549"/>
        <v>0</v>
      </c>
      <c r="AD2526" s="93">
        <f t="shared" si="550"/>
        <v>0</v>
      </c>
      <c r="AE2526" s="93">
        <f t="shared" si="551"/>
        <v>0</v>
      </c>
      <c r="AF2526" s="93">
        <f t="shared" si="552"/>
        <v>0</v>
      </c>
      <c r="AG2526" s="93">
        <f t="shared" si="553"/>
        <v>0</v>
      </c>
      <c r="AH2526" s="93">
        <f t="shared" si="554"/>
        <v>0</v>
      </c>
      <c r="AI2526" s="88" t="s">
        <v>55</v>
      </c>
      <c r="AJ2526" s="93">
        <f t="shared" si="555"/>
        <v>0</v>
      </c>
      <c r="AK2526" s="93">
        <f t="shared" si="556"/>
        <v>0</v>
      </c>
      <c r="AL2526" s="93">
        <f t="shared" si="557"/>
        <v>0</v>
      </c>
      <c r="AN2526" s="93">
        <v>21</v>
      </c>
      <c r="AO2526" s="93">
        <f t="shared" si="558"/>
        <v>0</v>
      </c>
      <c r="AP2526" s="93">
        <f t="shared" si="559"/>
        <v>0</v>
      </c>
      <c r="AQ2526" s="94" t="s">
        <v>118</v>
      </c>
      <c r="AV2526" s="93">
        <f t="shared" si="560"/>
        <v>0</v>
      </c>
      <c r="AW2526" s="93">
        <f t="shared" si="561"/>
        <v>0</v>
      </c>
      <c r="AX2526" s="93">
        <f t="shared" si="562"/>
        <v>0</v>
      </c>
      <c r="AY2526" s="94" t="s">
        <v>3503</v>
      </c>
      <c r="AZ2526" s="94" t="s">
        <v>3504</v>
      </c>
      <c r="BA2526" s="88" t="s">
        <v>67</v>
      </c>
      <c r="BC2526" s="93">
        <f t="shared" si="563"/>
        <v>0</v>
      </c>
      <c r="BD2526" s="93">
        <f t="shared" si="564"/>
        <v>0</v>
      </c>
      <c r="BE2526" s="93">
        <v>0</v>
      </c>
      <c r="BF2526" s="93">
        <f t="shared" si="565"/>
        <v>0</v>
      </c>
      <c r="BH2526" s="93">
        <f t="shared" si="566"/>
        <v>0</v>
      </c>
      <c r="BI2526" s="93">
        <f t="shared" si="567"/>
        <v>0</v>
      </c>
      <c r="BJ2526" s="93">
        <f t="shared" si="568"/>
        <v>0</v>
      </c>
      <c r="BK2526" s="93"/>
      <c r="BL2526" s="93"/>
      <c r="BW2526" s="93" t="str">
        <f t="shared" si="569"/>
        <v>21</v>
      </c>
      <c r="BX2526" s="2" t="s">
        <v>3529</v>
      </c>
    </row>
    <row r="2527" spans="1:76" s="81" customFormat="1" ht="25.5" x14ac:dyDescent="0.25">
      <c r="A2527" s="72" t="s">
        <v>3530</v>
      </c>
      <c r="B2527" s="72" t="s">
        <v>55</v>
      </c>
      <c r="C2527" s="72" t="s">
        <v>3531</v>
      </c>
      <c r="D2527" s="175" t="s">
        <v>3532</v>
      </c>
      <c r="E2527" s="175"/>
      <c r="F2527" s="72" t="s">
        <v>3523</v>
      </c>
      <c r="G2527" s="90">
        <v>36</v>
      </c>
      <c r="H2527" s="91"/>
      <c r="I2527" s="92" t="s">
        <v>63</v>
      </c>
      <c r="J2527" s="90">
        <f t="shared" si="542"/>
        <v>0</v>
      </c>
      <c r="K2527" s="90">
        <f t="shared" si="543"/>
        <v>0</v>
      </c>
      <c r="L2527" s="90">
        <f t="shared" si="544"/>
        <v>0</v>
      </c>
      <c r="M2527" s="90">
        <f t="shared" si="545"/>
        <v>0</v>
      </c>
      <c r="N2527" s="90">
        <v>0</v>
      </c>
      <c r="O2527" s="90">
        <f t="shared" si="546"/>
        <v>0</v>
      </c>
      <c r="P2527" s="92" t="s">
        <v>1652</v>
      </c>
      <c r="Z2527" s="93">
        <f t="shared" si="547"/>
        <v>0</v>
      </c>
      <c r="AB2527" s="93">
        <f t="shared" si="548"/>
        <v>0</v>
      </c>
      <c r="AC2527" s="93">
        <f t="shared" si="549"/>
        <v>0</v>
      </c>
      <c r="AD2527" s="93">
        <f t="shared" si="550"/>
        <v>0</v>
      </c>
      <c r="AE2527" s="93">
        <f t="shared" si="551"/>
        <v>0</v>
      </c>
      <c r="AF2527" s="93">
        <f t="shared" si="552"/>
        <v>0</v>
      </c>
      <c r="AG2527" s="93">
        <f t="shared" si="553"/>
        <v>0</v>
      </c>
      <c r="AH2527" s="93">
        <f t="shared" si="554"/>
        <v>0</v>
      </c>
      <c r="AI2527" s="88" t="s">
        <v>55</v>
      </c>
      <c r="AJ2527" s="93">
        <f t="shared" si="555"/>
        <v>0</v>
      </c>
      <c r="AK2527" s="93">
        <f t="shared" si="556"/>
        <v>0</v>
      </c>
      <c r="AL2527" s="93">
        <f t="shared" si="557"/>
        <v>0</v>
      </c>
      <c r="AN2527" s="93">
        <v>21</v>
      </c>
      <c r="AO2527" s="93">
        <f t="shared" si="558"/>
        <v>0</v>
      </c>
      <c r="AP2527" s="93">
        <f t="shared" si="559"/>
        <v>0</v>
      </c>
      <c r="AQ2527" s="94" t="s">
        <v>118</v>
      </c>
      <c r="AV2527" s="93">
        <f t="shared" si="560"/>
        <v>0</v>
      </c>
      <c r="AW2527" s="93">
        <f t="shared" si="561"/>
        <v>0</v>
      </c>
      <c r="AX2527" s="93">
        <f t="shared" si="562"/>
        <v>0</v>
      </c>
      <c r="AY2527" s="94" t="s">
        <v>3503</v>
      </c>
      <c r="AZ2527" s="94" t="s">
        <v>3504</v>
      </c>
      <c r="BA2527" s="88" t="s">
        <v>67</v>
      </c>
      <c r="BC2527" s="93">
        <f t="shared" si="563"/>
        <v>0</v>
      </c>
      <c r="BD2527" s="93">
        <f t="shared" si="564"/>
        <v>0</v>
      </c>
      <c r="BE2527" s="93">
        <v>0</v>
      </c>
      <c r="BF2527" s="93">
        <f t="shared" si="565"/>
        <v>0</v>
      </c>
      <c r="BH2527" s="93">
        <f t="shared" si="566"/>
        <v>0</v>
      </c>
      <c r="BI2527" s="93">
        <f t="shared" si="567"/>
        <v>0</v>
      </c>
      <c r="BJ2527" s="93">
        <f t="shared" si="568"/>
        <v>0</v>
      </c>
      <c r="BK2527" s="93"/>
      <c r="BL2527" s="93"/>
      <c r="BW2527" s="93" t="str">
        <f t="shared" si="569"/>
        <v>21</v>
      </c>
      <c r="BX2527" s="2" t="s">
        <v>3532</v>
      </c>
    </row>
    <row r="2528" spans="1:76" s="81" customFormat="1" ht="25.5" x14ac:dyDescent="0.25">
      <c r="A2528" s="72" t="s">
        <v>3533</v>
      </c>
      <c r="B2528" s="72" t="s">
        <v>55</v>
      </c>
      <c r="C2528" s="72" t="s">
        <v>3534</v>
      </c>
      <c r="D2528" s="175" t="s">
        <v>3535</v>
      </c>
      <c r="E2528" s="175"/>
      <c r="F2528" s="72" t="s">
        <v>3523</v>
      </c>
      <c r="G2528" s="90">
        <v>156</v>
      </c>
      <c r="H2528" s="91"/>
      <c r="I2528" s="92" t="s">
        <v>63</v>
      </c>
      <c r="J2528" s="90">
        <f t="shared" si="542"/>
        <v>0</v>
      </c>
      <c r="K2528" s="90">
        <f t="shared" si="543"/>
        <v>0</v>
      </c>
      <c r="L2528" s="90">
        <f t="shared" si="544"/>
        <v>0</v>
      </c>
      <c r="M2528" s="90">
        <f t="shared" si="545"/>
        <v>0</v>
      </c>
      <c r="N2528" s="90">
        <v>0</v>
      </c>
      <c r="O2528" s="90">
        <f t="shared" si="546"/>
        <v>0</v>
      </c>
      <c r="P2528" s="92" t="s">
        <v>1652</v>
      </c>
      <c r="Z2528" s="93">
        <f t="shared" si="547"/>
        <v>0</v>
      </c>
      <c r="AB2528" s="93">
        <f t="shared" si="548"/>
        <v>0</v>
      </c>
      <c r="AC2528" s="93">
        <f t="shared" si="549"/>
        <v>0</v>
      </c>
      <c r="AD2528" s="93">
        <f t="shared" si="550"/>
        <v>0</v>
      </c>
      <c r="AE2528" s="93">
        <f t="shared" si="551"/>
        <v>0</v>
      </c>
      <c r="AF2528" s="93">
        <f t="shared" si="552"/>
        <v>0</v>
      </c>
      <c r="AG2528" s="93">
        <f t="shared" si="553"/>
        <v>0</v>
      </c>
      <c r="AH2528" s="93">
        <f t="shared" si="554"/>
        <v>0</v>
      </c>
      <c r="AI2528" s="88" t="s">
        <v>55</v>
      </c>
      <c r="AJ2528" s="93">
        <f t="shared" si="555"/>
        <v>0</v>
      </c>
      <c r="AK2528" s="93">
        <f t="shared" si="556"/>
        <v>0</v>
      </c>
      <c r="AL2528" s="93">
        <f t="shared" si="557"/>
        <v>0</v>
      </c>
      <c r="AN2528" s="93">
        <v>21</v>
      </c>
      <c r="AO2528" s="93">
        <f t="shared" si="558"/>
        <v>0</v>
      </c>
      <c r="AP2528" s="93">
        <f t="shared" si="559"/>
        <v>0</v>
      </c>
      <c r="AQ2528" s="94" t="s">
        <v>118</v>
      </c>
      <c r="AV2528" s="93">
        <f t="shared" si="560"/>
        <v>0</v>
      </c>
      <c r="AW2528" s="93">
        <f t="shared" si="561"/>
        <v>0</v>
      </c>
      <c r="AX2528" s="93">
        <f t="shared" si="562"/>
        <v>0</v>
      </c>
      <c r="AY2528" s="94" t="s">
        <v>3503</v>
      </c>
      <c r="AZ2528" s="94" t="s">
        <v>3504</v>
      </c>
      <c r="BA2528" s="88" t="s">
        <v>67</v>
      </c>
      <c r="BC2528" s="93">
        <f t="shared" si="563"/>
        <v>0</v>
      </c>
      <c r="BD2528" s="93">
        <f t="shared" si="564"/>
        <v>0</v>
      </c>
      <c r="BE2528" s="93">
        <v>0</v>
      </c>
      <c r="BF2528" s="93">
        <f t="shared" si="565"/>
        <v>0</v>
      </c>
      <c r="BH2528" s="93">
        <f t="shared" si="566"/>
        <v>0</v>
      </c>
      <c r="BI2528" s="93">
        <f t="shared" si="567"/>
        <v>0</v>
      </c>
      <c r="BJ2528" s="93">
        <f t="shared" si="568"/>
        <v>0</v>
      </c>
      <c r="BK2528" s="93"/>
      <c r="BL2528" s="93"/>
      <c r="BW2528" s="93" t="str">
        <f t="shared" si="569"/>
        <v>21</v>
      </c>
      <c r="BX2528" s="2" t="s">
        <v>3535</v>
      </c>
    </row>
    <row r="2529" spans="1:76" s="81" customFormat="1" ht="25.5" x14ac:dyDescent="0.25">
      <c r="A2529" s="72" t="s">
        <v>3536</v>
      </c>
      <c r="B2529" s="72" t="s">
        <v>55</v>
      </c>
      <c r="C2529" s="72" t="s">
        <v>3537</v>
      </c>
      <c r="D2529" s="175" t="s">
        <v>3538</v>
      </c>
      <c r="E2529" s="175"/>
      <c r="F2529" s="72" t="s">
        <v>3523</v>
      </c>
      <c r="G2529" s="90">
        <v>28</v>
      </c>
      <c r="H2529" s="91"/>
      <c r="I2529" s="92" t="s">
        <v>63</v>
      </c>
      <c r="J2529" s="90">
        <f t="shared" si="542"/>
        <v>0</v>
      </c>
      <c r="K2529" s="90">
        <f t="shared" si="543"/>
        <v>0</v>
      </c>
      <c r="L2529" s="90">
        <f t="shared" si="544"/>
        <v>0</v>
      </c>
      <c r="M2529" s="90">
        <f t="shared" si="545"/>
        <v>0</v>
      </c>
      <c r="N2529" s="90">
        <v>0</v>
      </c>
      <c r="O2529" s="90">
        <f t="shared" si="546"/>
        <v>0</v>
      </c>
      <c r="P2529" s="92" t="s">
        <v>1652</v>
      </c>
      <c r="Z2529" s="93">
        <f t="shared" si="547"/>
        <v>0</v>
      </c>
      <c r="AB2529" s="93">
        <f t="shared" si="548"/>
        <v>0</v>
      </c>
      <c r="AC2529" s="93">
        <f t="shared" si="549"/>
        <v>0</v>
      </c>
      <c r="AD2529" s="93">
        <f t="shared" si="550"/>
        <v>0</v>
      </c>
      <c r="AE2529" s="93">
        <f t="shared" si="551"/>
        <v>0</v>
      </c>
      <c r="AF2529" s="93">
        <f t="shared" si="552"/>
        <v>0</v>
      </c>
      <c r="AG2529" s="93">
        <f t="shared" si="553"/>
        <v>0</v>
      </c>
      <c r="AH2529" s="93">
        <f t="shared" si="554"/>
        <v>0</v>
      </c>
      <c r="AI2529" s="88" t="s">
        <v>55</v>
      </c>
      <c r="AJ2529" s="93">
        <f t="shared" si="555"/>
        <v>0</v>
      </c>
      <c r="AK2529" s="93">
        <f t="shared" si="556"/>
        <v>0</v>
      </c>
      <c r="AL2529" s="93">
        <f t="shared" si="557"/>
        <v>0</v>
      </c>
      <c r="AN2529" s="93">
        <v>21</v>
      </c>
      <c r="AO2529" s="93">
        <f t="shared" si="558"/>
        <v>0</v>
      </c>
      <c r="AP2529" s="93">
        <f t="shared" si="559"/>
        <v>0</v>
      </c>
      <c r="AQ2529" s="94" t="s">
        <v>118</v>
      </c>
      <c r="AV2529" s="93">
        <f t="shared" si="560"/>
        <v>0</v>
      </c>
      <c r="AW2529" s="93">
        <f t="shared" si="561"/>
        <v>0</v>
      </c>
      <c r="AX2529" s="93">
        <f t="shared" si="562"/>
        <v>0</v>
      </c>
      <c r="AY2529" s="94" t="s">
        <v>3503</v>
      </c>
      <c r="AZ2529" s="94" t="s">
        <v>3504</v>
      </c>
      <c r="BA2529" s="88" t="s">
        <v>67</v>
      </c>
      <c r="BC2529" s="93">
        <f t="shared" si="563"/>
        <v>0</v>
      </c>
      <c r="BD2529" s="93">
        <f t="shared" si="564"/>
        <v>0</v>
      </c>
      <c r="BE2529" s="93">
        <v>0</v>
      </c>
      <c r="BF2529" s="93">
        <f t="shared" si="565"/>
        <v>0</v>
      </c>
      <c r="BH2529" s="93">
        <f t="shared" si="566"/>
        <v>0</v>
      </c>
      <c r="BI2529" s="93">
        <f t="shared" si="567"/>
        <v>0</v>
      </c>
      <c r="BJ2529" s="93">
        <f t="shared" si="568"/>
        <v>0</v>
      </c>
      <c r="BK2529" s="93"/>
      <c r="BL2529" s="93"/>
      <c r="BW2529" s="93" t="str">
        <f t="shared" si="569"/>
        <v>21</v>
      </c>
      <c r="BX2529" s="2" t="s">
        <v>3538</v>
      </c>
    </row>
    <row r="2530" spans="1:76" s="81" customFormat="1" ht="25.5" x14ac:dyDescent="0.25">
      <c r="A2530" s="72" t="s">
        <v>3539</v>
      </c>
      <c r="B2530" s="72" t="s">
        <v>55</v>
      </c>
      <c r="C2530" s="72" t="s">
        <v>3540</v>
      </c>
      <c r="D2530" s="175" t="s">
        <v>3541</v>
      </c>
      <c r="E2530" s="175"/>
      <c r="F2530" s="72" t="s">
        <v>3523</v>
      </c>
      <c r="G2530" s="90">
        <v>12</v>
      </c>
      <c r="H2530" s="91"/>
      <c r="I2530" s="92" t="s">
        <v>63</v>
      </c>
      <c r="J2530" s="90">
        <f t="shared" si="542"/>
        <v>0</v>
      </c>
      <c r="K2530" s="90">
        <f t="shared" si="543"/>
        <v>0</v>
      </c>
      <c r="L2530" s="90">
        <f t="shared" si="544"/>
        <v>0</v>
      </c>
      <c r="M2530" s="90">
        <f t="shared" si="545"/>
        <v>0</v>
      </c>
      <c r="N2530" s="90">
        <v>0</v>
      </c>
      <c r="O2530" s="90">
        <f t="shared" si="546"/>
        <v>0</v>
      </c>
      <c r="P2530" s="92" t="s">
        <v>1652</v>
      </c>
      <c r="Z2530" s="93">
        <f t="shared" si="547"/>
        <v>0</v>
      </c>
      <c r="AB2530" s="93">
        <f t="shared" si="548"/>
        <v>0</v>
      </c>
      <c r="AC2530" s="93">
        <f t="shared" si="549"/>
        <v>0</v>
      </c>
      <c r="AD2530" s="93">
        <f t="shared" si="550"/>
        <v>0</v>
      </c>
      <c r="AE2530" s="93">
        <f t="shared" si="551"/>
        <v>0</v>
      </c>
      <c r="AF2530" s="93">
        <f t="shared" si="552"/>
        <v>0</v>
      </c>
      <c r="AG2530" s="93">
        <f t="shared" si="553"/>
        <v>0</v>
      </c>
      <c r="AH2530" s="93">
        <f t="shared" si="554"/>
        <v>0</v>
      </c>
      <c r="AI2530" s="88" t="s">
        <v>55</v>
      </c>
      <c r="AJ2530" s="93">
        <f t="shared" si="555"/>
        <v>0</v>
      </c>
      <c r="AK2530" s="93">
        <f t="shared" si="556"/>
        <v>0</v>
      </c>
      <c r="AL2530" s="93">
        <f t="shared" si="557"/>
        <v>0</v>
      </c>
      <c r="AN2530" s="93">
        <v>21</v>
      </c>
      <c r="AO2530" s="93">
        <f t="shared" si="558"/>
        <v>0</v>
      </c>
      <c r="AP2530" s="93">
        <f t="shared" si="559"/>
        <v>0</v>
      </c>
      <c r="AQ2530" s="94" t="s">
        <v>118</v>
      </c>
      <c r="AV2530" s="93">
        <f t="shared" si="560"/>
        <v>0</v>
      </c>
      <c r="AW2530" s="93">
        <f t="shared" si="561"/>
        <v>0</v>
      </c>
      <c r="AX2530" s="93">
        <f t="shared" si="562"/>
        <v>0</v>
      </c>
      <c r="AY2530" s="94" t="s">
        <v>3503</v>
      </c>
      <c r="AZ2530" s="94" t="s">
        <v>3504</v>
      </c>
      <c r="BA2530" s="88" t="s">
        <v>67</v>
      </c>
      <c r="BC2530" s="93">
        <f t="shared" si="563"/>
        <v>0</v>
      </c>
      <c r="BD2530" s="93">
        <f t="shared" si="564"/>
        <v>0</v>
      </c>
      <c r="BE2530" s="93">
        <v>0</v>
      </c>
      <c r="BF2530" s="93">
        <f t="shared" si="565"/>
        <v>0</v>
      </c>
      <c r="BH2530" s="93">
        <f t="shared" si="566"/>
        <v>0</v>
      </c>
      <c r="BI2530" s="93">
        <f t="shared" si="567"/>
        <v>0</v>
      </c>
      <c r="BJ2530" s="93">
        <f t="shared" si="568"/>
        <v>0</v>
      </c>
      <c r="BK2530" s="93"/>
      <c r="BL2530" s="93"/>
      <c r="BW2530" s="93" t="str">
        <f t="shared" si="569"/>
        <v>21</v>
      </c>
      <c r="BX2530" s="2" t="s">
        <v>3541</v>
      </c>
    </row>
    <row r="2531" spans="1:76" s="81" customFormat="1" ht="25.5" x14ac:dyDescent="0.25">
      <c r="A2531" s="72" t="s">
        <v>3542</v>
      </c>
      <c r="B2531" s="72" t="s">
        <v>55</v>
      </c>
      <c r="C2531" s="72" t="s">
        <v>3543</v>
      </c>
      <c r="D2531" s="175" t="s">
        <v>3544</v>
      </c>
      <c r="E2531" s="175"/>
      <c r="F2531" s="72" t="s">
        <v>213</v>
      </c>
      <c r="G2531" s="90">
        <v>15</v>
      </c>
      <c r="H2531" s="91"/>
      <c r="I2531" s="92" t="s">
        <v>63</v>
      </c>
      <c r="J2531" s="90">
        <f t="shared" si="542"/>
        <v>0</v>
      </c>
      <c r="K2531" s="90">
        <f t="shared" si="543"/>
        <v>0</v>
      </c>
      <c r="L2531" s="90">
        <f t="shared" si="544"/>
        <v>0</v>
      </c>
      <c r="M2531" s="90">
        <f t="shared" si="545"/>
        <v>0</v>
      </c>
      <c r="N2531" s="90">
        <v>0</v>
      </c>
      <c r="O2531" s="90">
        <f t="shared" si="546"/>
        <v>0</v>
      </c>
      <c r="P2531" s="92" t="s">
        <v>1652</v>
      </c>
      <c r="Z2531" s="93">
        <f t="shared" si="547"/>
        <v>0</v>
      </c>
      <c r="AB2531" s="93">
        <f t="shared" si="548"/>
        <v>0</v>
      </c>
      <c r="AC2531" s="93">
        <f t="shared" si="549"/>
        <v>0</v>
      </c>
      <c r="AD2531" s="93">
        <f t="shared" si="550"/>
        <v>0</v>
      </c>
      <c r="AE2531" s="93">
        <f t="shared" si="551"/>
        <v>0</v>
      </c>
      <c r="AF2531" s="93">
        <f t="shared" si="552"/>
        <v>0</v>
      </c>
      <c r="AG2531" s="93">
        <f t="shared" si="553"/>
        <v>0</v>
      </c>
      <c r="AH2531" s="93">
        <f t="shared" si="554"/>
        <v>0</v>
      </c>
      <c r="AI2531" s="88" t="s">
        <v>55</v>
      </c>
      <c r="AJ2531" s="93">
        <f t="shared" si="555"/>
        <v>0</v>
      </c>
      <c r="AK2531" s="93">
        <f t="shared" si="556"/>
        <v>0</v>
      </c>
      <c r="AL2531" s="93">
        <f t="shared" si="557"/>
        <v>0</v>
      </c>
      <c r="AN2531" s="93">
        <v>21</v>
      </c>
      <c r="AO2531" s="93">
        <f t="shared" si="558"/>
        <v>0</v>
      </c>
      <c r="AP2531" s="93">
        <f t="shared" si="559"/>
        <v>0</v>
      </c>
      <c r="AQ2531" s="94" t="s">
        <v>118</v>
      </c>
      <c r="AV2531" s="93">
        <f t="shared" si="560"/>
        <v>0</v>
      </c>
      <c r="AW2531" s="93">
        <f t="shared" si="561"/>
        <v>0</v>
      </c>
      <c r="AX2531" s="93">
        <f t="shared" si="562"/>
        <v>0</v>
      </c>
      <c r="AY2531" s="94" t="s">
        <v>3503</v>
      </c>
      <c r="AZ2531" s="94" t="s">
        <v>3504</v>
      </c>
      <c r="BA2531" s="88" t="s">
        <v>67</v>
      </c>
      <c r="BC2531" s="93">
        <f t="shared" si="563"/>
        <v>0</v>
      </c>
      <c r="BD2531" s="93">
        <f t="shared" si="564"/>
        <v>0</v>
      </c>
      <c r="BE2531" s="93">
        <v>0</v>
      </c>
      <c r="BF2531" s="93">
        <f t="shared" si="565"/>
        <v>0</v>
      </c>
      <c r="BH2531" s="93">
        <f t="shared" si="566"/>
        <v>0</v>
      </c>
      <c r="BI2531" s="93">
        <f t="shared" si="567"/>
        <v>0</v>
      </c>
      <c r="BJ2531" s="93">
        <f t="shared" si="568"/>
        <v>0</v>
      </c>
      <c r="BK2531" s="93"/>
      <c r="BL2531" s="93"/>
      <c r="BW2531" s="93" t="str">
        <f t="shared" si="569"/>
        <v>21</v>
      </c>
      <c r="BX2531" s="2" t="s">
        <v>3544</v>
      </c>
    </row>
    <row r="2532" spans="1:76" s="81" customFormat="1" ht="25.5" x14ac:dyDescent="0.25">
      <c r="A2532" s="72" t="s">
        <v>3545</v>
      </c>
      <c r="B2532" s="72" t="s">
        <v>55</v>
      </c>
      <c r="C2532" s="72" t="s">
        <v>3546</v>
      </c>
      <c r="D2532" s="175" t="s">
        <v>3547</v>
      </c>
      <c r="E2532" s="175"/>
      <c r="F2532" s="72" t="s">
        <v>213</v>
      </c>
      <c r="G2532" s="90">
        <v>13</v>
      </c>
      <c r="H2532" s="91"/>
      <c r="I2532" s="92" t="s">
        <v>63</v>
      </c>
      <c r="J2532" s="90">
        <f t="shared" si="542"/>
        <v>0</v>
      </c>
      <c r="K2532" s="90">
        <f t="shared" si="543"/>
        <v>0</v>
      </c>
      <c r="L2532" s="90">
        <f t="shared" si="544"/>
        <v>0</v>
      </c>
      <c r="M2532" s="90">
        <f t="shared" si="545"/>
        <v>0</v>
      </c>
      <c r="N2532" s="90">
        <v>0</v>
      </c>
      <c r="O2532" s="90">
        <f t="shared" si="546"/>
        <v>0</v>
      </c>
      <c r="P2532" s="92" t="s">
        <v>1652</v>
      </c>
      <c r="Z2532" s="93">
        <f t="shared" si="547"/>
        <v>0</v>
      </c>
      <c r="AB2532" s="93">
        <f t="shared" si="548"/>
        <v>0</v>
      </c>
      <c r="AC2532" s="93">
        <f t="shared" si="549"/>
        <v>0</v>
      </c>
      <c r="AD2532" s="93">
        <f t="shared" si="550"/>
        <v>0</v>
      </c>
      <c r="AE2532" s="93">
        <f t="shared" si="551"/>
        <v>0</v>
      </c>
      <c r="AF2532" s="93">
        <f t="shared" si="552"/>
        <v>0</v>
      </c>
      <c r="AG2532" s="93">
        <f t="shared" si="553"/>
        <v>0</v>
      </c>
      <c r="AH2532" s="93">
        <f t="shared" si="554"/>
        <v>0</v>
      </c>
      <c r="AI2532" s="88" t="s">
        <v>55</v>
      </c>
      <c r="AJ2532" s="93">
        <f t="shared" si="555"/>
        <v>0</v>
      </c>
      <c r="AK2532" s="93">
        <f t="shared" si="556"/>
        <v>0</v>
      </c>
      <c r="AL2532" s="93">
        <f t="shared" si="557"/>
        <v>0</v>
      </c>
      <c r="AN2532" s="93">
        <v>21</v>
      </c>
      <c r="AO2532" s="93">
        <f t="shared" si="558"/>
        <v>0</v>
      </c>
      <c r="AP2532" s="93">
        <f t="shared" si="559"/>
        <v>0</v>
      </c>
      <c r="AQ2532" s="94" t="s">
        <v>118</v>
      </c>
      <c r="AV2532" s="93">
        <f t="shared" si="560"/>
        <v>0</v>
      </c>
      <c r="AW2532" s="93">
        <f t="shared" si="561"/>
        <v>0</v>
      </c>
      <c r="AX2532" s="93">
        <f t="shared" si="562"/>
        <v>0</v>
      </c>
      <c r="AY2532" s="94" t="s">
        <v>3503</v>
      </c>
      <c r="AZ2532" s="94" t="s">
        <v>3504</v>
      </c>
      <c r="BA2532" s="88" t="s">
        <v>67</v>
      </c>
      <c r="BC2532" s="93">
        <f t="shared" si="563"/>
        <v>0</v>
      </c>
      <c r="BD2532" s="93">
        <f t="shared" si="564"/>
        <v>0</v>
      </c>
      <c r="BE2532" s="93">
        <v>0</v>
      </c>
      <c r="BF2532" s="93">
        <f t="shared" si="565"/>
        <v>0</v>
      </c>
      <c r="BH2532" s="93">
        <f t="shared" si="566"/>
        <v>0</v>
      </c>
      <c r="BI2532" s="93">
        <f t="shared" si="567"/>
        <v>0</v>
      </c>
      <c r="BJ2532" s="93">
        <f t="shared" si="568"/>
        <v>0</v>
      </c>
      <c r="BK2532" s="93"/>
      <c r="BL2532" s="93"/>
      <c r="BW2532" s="93" t="str">
        <f t="shared" si="569"/>
        <v>21</v>
      </c>
      <c r="BX2532" s="2" t="s">
        <v>3547</v>
      </c>
    </row>
    <row r="2533" spans="1:76" s="81" customFormat="1" ht="25.5" x14ac:dyDescent="0.25">
      <c r="A2533" s="72" t="s">
        <v>3548</v>
      </c>
      <c r="B2533" s="72" t="s">
        <v>55</v>
      </c>
      <c r="C2533" s="72" t="s">
        <v>3549</v>
      </c>
      <c r="D2533" s="175" t="s">
        <v>3550</v>
      </c>
      <c r="E2533" s="175"/>
      <c r="F2533" s="72" t="s">
        <v>213</v>
      </c>
      <c r="G2533" s="90">
        <v>98</v>
      </c>
      <c r="H2533" s="91"/>
      <c r="I2533" s="92" t="s">
        <v>63</v>
      </c>
      <c r="J2533" s="90">
        <f t="shared" si="542"/>
        <v>0</v>
      </c>
      <c r="K2533" s="90">
        <f t="shared" si="543"/>
        <v>0</v>
      </c>
      <c r="L2533" s="90">
        <f t="shared" si="544"/>
        <v>0</v>
      </c>
      <c r="M2533" s="90">
        <f t="shared" si="545"/>
        <v>0</v>
      </c>
      <c r="N2533" s="90">
        <v>0</v>
      </c>
      <c r="O2533" s="90">
        <f t="shared" si="546"/>
        <v>0</v>
      </c>
      <c r="P2533" s="92" t="s">
        <v>1652</v>
      </c>
      <c r="Z2533" s="93">
        <f t="shared" si="547"/>
        <v>0</v>
      </c>
      <c r="AB2533" s="93">
        <f t="shared" si="548"/>
        <v>0</v>
      </c>
      <c r="AC2533" s="93">
        <f t="shared" si="549"/>
        <v>0</v>
      </c>
      <c r="AD2533" s="93">
        <f t="shared" si="550"/>
        <v>0</v>
      </c>
      <c r="AE2533" s="93">
        <f t="shared" si="551"/>
        <v>0</v>
      </c>
      <c r="AF2533" s="93">
        <f t="shared" si="552"/>
        <v>0</v>
      </c>
      <c r="AG2533" s="93">
        <f t="shared" si="553"/>
        <v>0</v>
      </c>
      <c r="AH2533" s="93">
        <f t="shared" si="554"/>
        <v>0</v>
      </c>
      <c r="AI2533" s="88" t="s">
        <v>55</v>
      </c>
      <c r="AJ2533" s="93">
        <f t="shared" si="555"/>
        <v>0</v>
      </c>
      <c r="AK2533" s="93">
        <f t="shared" si="556"/>
        <v>0</v>
      </c>
      <c r="AL2533" s="93">
        <f t="shared" si="557"/>
        <v>0</v>
      </c>
      <c r="AN2533" s="93">
        <v>21</v>
      </c>
      <c r="AO2533" s="93">
        <f t="shared" si="558"/>
        <v>0</v>
      </c>
      <c r="AP2533" s="93">
        <f t="shared" si="559"/>
        <v>0</v>
      </c>
      <c r="AQ2533" s="94" t="s">
        <v>118</v>
      </c>
      <c r="AV2533" s="93">
        <f t="shared" si="560"/>
        <v>0</v>
      </c>
      <c r="AW2533" s="93">
        <f t="shared" si="561"/>
        <v>0</v>
      </c>
      <c r="AX2533" s="93">
        <f t="shared" si="562"/>
        <v>0</v>
      </c>
      <c r="AY2533" s="94" t="s">
        <v>3503</v>
      </c>
      <c r="AZ2533" s="94" t="s">
        <v>3504</v>
      </c>
      <c r="BA2533" s="88" t="s">
        <v>67</v>
      </c>
      <c r="BC2533" s="93">
        <f t="shared" si="563"/>
        <v>0</v>
      </c>
      <c r="BD2533" s="93">
        <f t="shared" si="564"/>
        <v>0</v>
      </c>
      <c r="BE2533" s="93">
        <v>0</v>
      </c>
      <c r="BF2533" s="93">
        <f t="shared" si="565"/>
        <v>0</v>
      </c>
      <c r="BH2533" s="93">
        <f t="shared" si="566"/>
        <v>0</v>
      </c>
      <c r="BI2533" s="93">
        <f t="shared" si="567"/>
        <v>0</v>
      </c>
      <c r="BJ2533" s="93">
        <f t="shared" si="568"/>
        <v>0</v>
      </c>
      <c r="BK2533" s="93"/>
      <c r="BL2533" s="93"/>
      <c r="BW2533" s="93" t="str">
        <f t="shared" si="569"/>
        <v>21</v>
      </c>
      <c r="BX2533" s="2" t="s">
        <v>3550</v>
      </c>
    </row>
    <row r="2534" spans="1:76" s="81" customFormat="1" ht="25.5" x14ac:dyDescent="0.25">
      <c r="A2534" s="72" t="s">
        <v>3551</v>
      </c>
      <c r="B2534" s="72" t="s">
        <v>55</v>
      </c>
      <c r="C2534" s="72" t="s">
        <v>3552</v>
      </c>
      <c r="D2534" s="175" t="s">
        <v>3553</v>
      </c>
      <c r="E2534" s="175"/>
      <c r="F2534" s="72" t="s">
        <v>213</v>
      </c>
      <c r="G2534" s="90">
        <v>210</v>
      </c>
      <c r="H2534" s="91"/>
      <c r="I2534" s="92" t="s">
        <v>63</v>
      </c>
      <c r="J2534" s="90">
        <f t="shared" si="542"/>
        <v>0</v>
      </c>
      <c r="K2534" s="90">
        <f t="shared" si="543"/>
        <v>0</v>
      </c>
      <c r="L2534" s="90">
        <f t="shared" si="544"/>
        <v>0</v>
      </c>
      <c r="M2534" s="90">
        <f t="shared" si="545"/>
        <v>0</v>
      </c>
      <c r="N2534" s="90">
        <v>0</v>
      </c>
      <c r="O2534" s="90">
        <f t="shared" si="546"/>
        <v>0</v>
      </c>
      <c r="P2534" s="92" t="s">
        <v>1652</v>
      </c>
      <c r="Z2534" s="93">
        <f t="shared" si="547"/>
        <v>0</v>
      </c>
      <c r="AB2534" s="93">
        <f t="shared" si="548"/>
        <v>0</v>
      </c>
      <c r="AC2534" s="93">
        <f t="shared" si="549"/>
        <v>0</v>
      </c>
      <c r="AD2534" s="93">
        <f t="shared" si="550"/>
        <v>0</v>
      </c>
      <c r="AE2534" s="93">
        <f t="shared" si="551"/>
        <v>0</v>
      </c>
      <c r="AF2534" s="93">
        <f t="shared" si="552"/>
        <v>0</v>
      </c>
      <c r="AG2534" s="93">
        <f t="shared" si="553"/>
        <v>0</v>
      </c>
      <c r="AH2534" s="93">
        <f t="shared" si="554"/>
        <v>0</v>
      </c>
      <c r="AI2534" s="88" t="s">
        <v>55</v>
      </c>
      <c r="AJ2534" s="93">
        <f t="shared" si="555"/>
        <v>0</v>
      </c>
      <c r="AK2534" s="93">
        <f t="shared" si="556"/>
        <v>0</v>
      </c>
      <c r="AL2534" s="93">
        <f t="shared" si="557"/>
        <v>0</v>
      </c>
      <c r="AN2534" s="93">
        <v>21</v>
      </c>
      <c r="AO2534" s="93">
        <f t="shared" si="558"/>
        <v>0</v>
      </c>
      <c r="AP2534" s="93">
        <f t="shared" si="559"/>
        <v>0</v>
      </c>
      <c r="AQ2534" s="94" t="s">
        <v>118</v>
      </c>
      <c r="AV2534" s="93">
        <f t="shared" si="560"/>
        <v>0</v>
      </c>
      <c r="AW2534" s="93">
        <f t="shared" si="561"/>
        <v>0</v>
      </c>
      <c r="AX2534" s="93">
        <f t="shared" si="562"/>
        <v>0</v>
      </c>
      <c r="AY2534" s="94" t="s">
        <v>3503</v>
      </c>
      <c r="AZ2534" s="94" t="s">
        <v>3504</v>
      </c>
      <c r="BA2534" s="88" t="s">
        <v>67</v>
      </c>
      <c r="BC2534" s="93">
        <f t="shared" si="563"/>
        <v>0</v>
      </c>
      <c r="BD2534" s="93">
        <f t="shared" si="564"/>
        <v>0</v>
      </c>
      <c r="BE2534" s="93">
        <v>0</v>
      </c>
      <c r="BF2534" s="93">
        <f t="shared" si="565"/>
        <v>0</v>
      </c>
      <c r="BH2534" s="93">
        <f t="shared" si="566"/>
        <v>0</v>
      </c>
      <c r="BI2534" s="93">
        <f t="shared" si="567"/>
        <v>0</v>
      </c>
      <c r="BJ2534" s="93">
        <f t="shared" si="568"/>
        <v>0</v>
      </c>
      <c r="BK2534" s="93"/>
      <c r="BL2534" s="93"/>
      <c r="BW2534" s="93" t="str">
        <f t="shared" si="569"/>
        <v>21</v>
      </c>
      <c r="BX2534" s="2" t="s">
        <v>3553</v>
      </c>
    </row>
    <row r="2535" spans="1:76" s="81" customFormat="1" ht="25.5" x14ac:dyDescent="0.25">
      <c r="A2535" s="72" t="s">
        <v>2246</v>
      </c>
      <c r="B2535" s="72" t="s">
        <v>55</v>
      </c>
      <c r="C2535" s="72" t="s">
        <v>3554</v>
      </c>
      <c r="D2535" s="175" t="s">
        <v>3555</v>
      </c>
      <c r="E2535" s="175"/>
      <c r="F2535" s="72" t="s">
        <v>213</v>
      </c>
      <c r="G2535" s="90">
        <v>2237</v>
      </c>
      <c r="H2535" s="91"/>
      <c r="I2535" s="92" t="s">
        <v>63</v>
      </c>
      <c r="J2535" s="90">
        <f t="shared" si="542"/>
        <v>0</v>
      </c>
      <c r="K2535" s="90">
        <f t="shared" si="543"/>
        <v>0</v>
      </c>
      <c r="L2535" s="90">
        <f t="shared" si="544"/>
        <v>0</v>
      </c>
      <c r="M2535" s="90">
        <f t="shared" si="545"/>
        <v>0</v>
      </c>
      <c r="N2535" s="90">
        <v>0</v>
      </c>
      <c r="O2535" s="90">
        <f t="shared" si="546"/>
        <v>0</v>
      </c>
      <c r="P2535" s="92" t="s">
        <v>1652</v>
      </c>
      <c r="Z2535" s="93">
        <f t="shared" si="547"/>
        <v>0</v>
      </c>
      <c r="AB2535" s="93">
        <f t="shared" si="548"/>
        <v>0</v>
      </c>
      <c r="AC2535" s="93">
        <f t="shared" si="549"/>
        <v>0</v>
      </c>
      <c r="AD2535" s="93">
        <f t="shared" si="550"/>
        <v>0</v>
      </c>
      <c r="AE2535" s="93">
        <f t="shared" si="551"/>
        <v>0</v>
      </c>
      <c r="AF2535" s="93">
        <f t="shared" si="552"/>
        <v>0</v>
      </c>
      <c r="AG2535" s="93">
        <f t="shared" si="553"/>
        <v>0</v>
      </c>
      <c r="AH2535" s="93">
        <f t="shared" si="554"/>
        <v>0</v>
      </c>
      <c r="AI2535" s="88" t="s">
        <v>55</v>
      </c>
      <c r="AJ2535" s="93">
        <f t="shared" si="555"/>
        <v>0</v>
      </c>
      <c r="AK2535" s="93">
        <f t="shared" si="556"/>
        <v>0</v>
      </c>
      <c r="AL2535" s="93">
        <f t="shared" si="557"/>
        <v>0</v>
      </c>
      <c r="AN2535" s="93">
        <v>21</v>
      </c>
      <c r="AO2535" s="93">
        <f t="shared" si="558"/>
        <v>0</v>
      </c>
      <c r="AP2535" s="93">
        <f t="shared" si="559"/>
        <v>0</v>
      </c>
      <c r="AQ2535" s="94" t="s">
        <v>118</v>
      </c>
      <c r="AV2535" s="93">
        <f t="shared" si="560"/>
        <v>0</v>
      </c>
      <c r="AW2535" s="93">
        <f t="shared" si="561"/>
        <v>0</v>
      </c>
      <c r="AX2535" s="93">
        <f t="shared" si="562"/>
        <v>0</v>
      </c>
      <c r="AY2535" s="94" t="s">
        <v>3503</v>
      </c>
      <c r="AZ2535" s="94" t="s">
        <v>3504</v>
      </c>
      <c r="BA2535" s="88" t="s">
        <v>67</v>
      </c>
      <c r="BC2535" s="93">
        <f t="shared" si="563"/>
        <v>0</v>
      </c>
      <c r="BD2535" s="93">
        <f t="shared" si="564"/>
        <v>0</v>
      </c>
      <c r="BE2535" s="93">
        <v>0</v>
      </c>
      <c r="BF2535" s="93">
        <f t="shared" si="565"/>
        <v>0</v>
      </c>
      <c r="BH2535" s="93">
        <f t="shared" si="566"/>
        <v>0</v>
      </c>
      <c r="BI2535" s="93">
        <f t="shared" si="567"/>
        <v>0</v>
      </c>
      <c r="BJ2535" s="93">
        <f t="shared" si="568"/>
        <v>0</v>
      </c>
      <c r="BK2535" s="93"/>
      <c r="BL2535" s="93"/>
      <c r="BW2535" s="93" t="str">
        <f t="shared" si="569"/>
        <v>21</v>
      </c>
      <c r="BX2535" s="2" t="s">
        <v>3555</v>
      </c>
    </row>
    <row r="2536" spans="1:76" s="81" customFormat="1" ht="25.5" x14ac:dyDescent="0.25">
      <c r="A2536" s="72" t="s">
        <v>3556</v>
      </c>
      <c r="B2536" s="72" t="s">
        <v>55</v>
      </c>
      <c r="C2536" s="72" t="s">
        <v>3557</v>
      </c>
      <c r="D2536" s="175" t="s">
        <v>3558</v>
      </c>
      <c r="E2536" s="175"/>
      <c r="F2536" s="72" t="s">
        <v>213</v>
      </c>
      <c r="G2536" s="90">
        <v>1575</v>
      </c>
      <c r="H2536" s="91"/>
      <c r="I2536" s="92" t="s">
        <v>63</v>
      </c>
      <c r="J2536" s="90">
        <f t="shared" si="542"/>
        <v>0</v>
      </c>
      <c r="K2536" s="90">
        <f t="shared" si="543"/>
        <v>0</v>
      </c>
      <c r="L2536" s="90">
        <f t="shared" si="544"/>
        <v>0</v>
      </c>
      <c r="M2536" s="90">
        <f t="shared" si="545"/>
        <v>0</v>
      </c>
      <c r="N2536" s="90">
        <v>0</v>
      </c>
      <c r="O2536" s="90">
        <f t="shared" si="546"/>
        <v>0</v>
      </c>
      <c r="P2536" s="92" t="s">
        <v>1652</v>
      </c>
      <c r="Z2536" s="93">
        <f t="shared" si="547"/>
        <v>0</v>
      </c>
      <c r="AB2536" s="93">
        <f t="shared" si="548"/>
        <v>0</v>
      </c>
      <c r="AC2536" s="93">
        <f t="shared" si="549"/>
        <v>0</v>
      </c>
      <c r="AD2536" s="93">
        <f t="shared" si="550"/>
        <v>0</v>
      </c>
      <c r="AE2536" s="93">
        <f t="shared" si="551"/>
        <v>0</v>
      </c>
      <c r="AF2536" s="93">
        <f t="shared" si="552"/>
        <v>0</v>
      </c>
      <c r="AG2536" s="93">
        <f t="shared" si="553"/>
        <v>0</v>
      </c>
      <c r="AH2536" s="93">
        <f t="shared" si="554"/>
        <v>0</v>
      </c>
      <c r="AI2536" s="88" t="s">
        <v>55</v>
      </c>
      <c r="AJ2536" s="93">
        <f t="shared" si="555"/>
        <v>0</v>
      </c>
      <c r="AK2536" s="93">
        <f t="shared" si="556"/>
        <v>0</v>
      </c>
      <c r="AL2536" s="93">
        <f t="shared" si="557"/>
        <v>0</v>
      </c>
      <c r="AN2536" s="93">
        <v>21</v>
      </c>
      <c r="AO2536" s="93">
        <f t="shared" si="558"/>
        <v>0</v>
      </c>
      <c r="AP2536" s="93">
        <f t="shared" si="559"/>
        <v>0</v>
      </c>
      <c r="AQ2536" s="94" t="s">
        <v>118</v>
      </c>
      <c r="AV2536" s="93">
        <f t="shared" si="560"/>
        <v>0</v>
      </c>
      <c r="AW2536" s="93">
        <f t="shared" si="561"/>
        <v>0</v>
      </c>
      <c r="AX2536" s="93">
        <f t="shared" si="562"/>
        <v>0</v>
      </c>
      <c r="AY2536" s="94" t="s">
        <v>3503</v>
      </c>
      <c r="AZ2536" s="94" t="s">
        <v>3504</v>
      </c>
      <c r="BA2536" s="88" t="s">
        <v>67</v>
      </c>
      <c r="BC2536" s="93">
        <f t="shared" si="563"/>
        <v>0</v>
      </c>
      <c r="BD2536" s="93">
        <f t="shared" si="564"/>
        <v>0</v>
      </c>
      <c r="BE2536" s="93">
        <v>0</v>
      </c>
      <c r="BF2536" s="93">
        <f t="shared" si="565"/>
        <v>0</v>
      </c>
      <c r="BH2536" s="93">
        <f t="shared" si="566"/>
        <v>0</v>
      </c>
      <c r="BI2536" s="93">
        <f t="shared" si="567"/>
        <v>0</v>
      </c>
      <c r="BJ2536" s="93">
        <f t="shared" si="568"/>
        <v>0</v>
      </c>
      <c r="BK2536" s="93"/>
      <c r="BL2536" s="93"/>
      <c r="BW2536" s="93" t="str">
        <f t="shared" si="569"/>
        <v>21</v>
      </c>
      <c r="BX2536" s="2" t="s">
        <v>3558</v>
      </c>
    </row>
    <row r="2537" spans="1:76" s="81" customFormat="1" ht="25.5" x14ac:dyDescent="0.25">
      <c r="A2537" s="72" t="s">
        <v>2257</v>
      </c>
      <c r="B2537" s="72" t="s">
        <v>55</v>
      </c>
      <c r="C2537" s="72" t="s">
        <v>3559</v>
      </c>
      <c r="D2537" s="175" t="s">
        <v>3560</v>
      </c>
      <c r="E2537" s="175"/>
      <c r="F2537" s="72" t="s">
        <v>213</v>
      </c>
      <c r="G2537" s="90">
        <v>416</v>
      </c>
      <c r="H2537" s="91"/>
      <c r="I2537" s="92" t="s">
        <v>63</v>
      </c>
      <c r="J2537" s="90">
        <f t="shared" si="542"/>
        <v>0</v>
      </c>
      <c r="K2537" s="90">
        <f t="shared" si="543"/>
        <v>0</v>
      </c>
      <c r="L2537" s="90">
        <f t="shared" si="544"/>
        <v>0</v>
      </c>
      <c r="M2537" s="90">
        <f t="shared" si="545"/>
        <v>0</v>
      </c>
      <c r="N2537" s="90">
        <v>0</v>
      </c>
      <c r="O2537" s="90">
        <f t="shared" si="546"/>
        <v>0</v>
      </c>
      <c r="P2537" s="92" t="s">
        <v>1652</v>
      </c>
      <c r="Z2537" s="93">
        <f t="shared" si="547"/>
        <v>0</v>
      </c>
      <c r="AB2537" s="93">
        <f t="shared" si="548"/>
        <v>0</v>
      </c>
      <c r="AC2537" s="93">
        <f t="shared" si="549"/>
        <v>0</v>
      </c>
      <c r="AD2537" s="93">
        <f t="shared" si="550"/>
        <v>0</v>
      </c>
      <c r="AE2537" s="93">
        <f t="shared" si="551"/>
        <v>0</v>
      </c>
      <c r="AF2537" s="93">
        <f t="shared" si="552"/>
        <v>0</v>
      </c>
      <c r="AG2537" s="93">
        <f t="shared" si="553"/>
        <v>0</v>
      </c>
      <c r="AH2537" s="93">
        <f t="shared" si="554"/>
        <v>0</v>
      </c>
      <c r="AI2537" s="88" t="s">
        <v>55</v>
      </c>
      <c r="AJ2537" s="93">
        <f t="shared" si="555"/>
        <v>0</v>
      </c>
      <c r="AK2537" s="93">
        <f t="shared" si="556"/>
        <v>0</v>
      </c>
      <c r="AL2537" s="93">
        <f t="shared" si="557"/>
        <v>0</v>
      </c>
      <c r="AN2537" s="93">
        <v>21</v>
      </c>
      <c r="AO2537" s="93">
        <f t="shared" si="558"/>
        <v>0</v>
      </c>
      <c r="AP2537" s="93">
        <f t="shared" si="559"/>
        <v>0</v>
      </c>
      <c r="AQ2537" s="94" t="s">
        <v>118</v>
      </c>
      <c r="AV2537" s="93">
        <f t="shared" si="560"/>
        <v>0</v>
      </c>
      <c r="AW2537" s="93">
        <f t="shared" si="561"/>
        <v>0</v>
      </c>
      <c r="AX2537" s="93">
        <f t="shared" si="562"/>
        <v>0</v>
      </c>
      <c r="AY2537" s="94" t="s">
        <v>3503</v>
      </c>
      <c r="AZ2537" s="94" t="s">
        <v>3504</v>
      </c>
      <c r="BA2537" s="88" t="s">
        <v>67</v>
      </c>
      <c r="BC2537" s="93">
        <f t="shared" si="563"/>
        <v>0</v>
      </c>
      <c r="BD2537" s="93">
        <f t="shared" si="564"/>
        <v>0</v>
      </c>
      <c r="BE2537" s="93">
        <v>0</v>
      </c>
      <c r="BF2537" s="93">
        <f t="shared" si="565"/>
        <v>0</v>
      </c>
      <c r="BH2537" s="93">
        <f t="shared" si="566"/>
        <v>0</v>
      </c>
      <c r="BI2537" s="93">
        <f t="shared" si="567"/>
        <v>0</v>
      </c>
      <c r="BJ2537" s="93">
        <f t="shared" si="568"/>
        <v>0</v>
      </c>
      <c r="BK2537" s="93"/>
      <c r="BL2537" s="93"/>
      <c r="BW2537" s="93" t="str">
        <f t="shared" si="569"/>
        <v>21</v>
      </c>
      <c r="BX2537" s="2" t="s">
        <v>3560</v>
      </c>
    </row>
    <row r="2538" spans="1:76" s="81" customFormat="1" ht="25.5" x14ac:dyDescent="0.25">
      <c r="A2538" s="72" t="s">
        <v>3561</v>
      </c>
      <c r="B2538" s="72" t="s">
        <v>55</v>
      </c>
      <c r="C2538" s="72" t="s">
        <v>3562</v>
      </c>
      <c r="D2538" s="175" t="s">
        <v>3563</v>
      </c>
      <c r="E2538" s="175"/>
      <c r="F2538" s="72" t="s">
        <v>213</v>
      </c>
      <c r="G2538" s="90">
        <v>492</v>
      </c>
      <c r="H2538" s="91"/>
      <c r="I2538" s="92" t="s">
        <v>63</v>
      </c>
      <c r="J2538" s="90">
        <f t="shared" si="542"/>
        <v>0</v>
      </c>
      <c r="K2538" s="90">
        <f t="shared" si="543"/>
        <v>0</v>
      </c>
      <c r="L2538" s="90">
        <f t="shared" si="544"/>
        <v>0</v>
      </c>
      <c r="M2538" s="90">
        <f t="shared" si="545"/>
        <v>0</v>
      </c>
      <c r="N2538" s="90">
        <v>0</v>
      </c>
      <c r="O2538" s="90">
        <f t="shared" si="546"/>
        <v>0</v>
      </c>
      <c r="P2538" s="92" t="s">
        <v>1652</v>
      </c>
      <c r="Z2538" s="93">
        <f t="shared" si="547"/>
        <v>0</v>
      </c>
      <c r="AB2538" s="93">
        <f t="shared" si="548"/>
        <v>0</v>
      </c>
      <c r="AC2538" s="93">
        <f t="shared" si="549"/>
        <v>0</v>
      </c>
      <c r="AD2538" s="93">
        <f t="shared" si="550"/>
        <v>0</v>
      </c>
      <c r="AE2538" s="93">
        <f t="shared" si="551"/>
        <v>0</v>
      </c>
      <c r="AF2538" s="93">
        <f t="shared" si="552"/>
        <v>0</v>
      </c>
      <c r="AG2538" s="93">
        <f t="shared" si="553"/>
        <v>0</v>
      </c>
      <c r="AH2538" s="93">
        <f t="shared" si="554"/>
        <v>0</v>
      </c>
      <c r="AI2538" s="88" t="s">
        <v>55</v>
      </c>
      <c r="AJ2538" s="93">
        <f t="shared" si="555"/>
        <v>0</v>
      </c>
      <c r="AK2538" s="93">
        <f t="shared" si="556"/>
        <v>0</v>
      </c>
      <c r="AL2538" s="93">
        <f t="shared" si="557"/>
        <v>0</v>
      </c>
      <c r="AN2538" s="93">
        <v>21</v>
      </c>
      <c r="AO2538" s="93">
        <f t="shared" si="558"/>
        <v>0</v>
      </c>
      <c r="AP2538" s="93">
        <f t="shared" si="559"/>
        <v>0</v>
      </c>
      <c r="AQ2538" s="94" t="s">
        <v>118</v>
      </c>
      <c r="AV2538" s="93">
        <f t="shared" si="560"/>
        <v>0</v>
      </c>
      <c r="AW2538" s="93">
        <f t="shared" si="561"/>
        <v>0</v>
      </c>
      <c r="AX2538" s="93">
        <f t="shared" si="562"/>
        <v>0</v>
      </c>
      <c r="AY2538" s="94" t="s">
        <v>3503</v>
      </c>
      <c r="AZ2538" s="94" t="s">
        <v>3504</v>
      </c>
      <c r="BA2538" s="88" t="s">
        <v>67</v>
      </c>
      <c r="BC2538" s="93">
        <f t="shared" si="563"/>
        <v>0</v>
      </c>
      <c r="BD2538" s="93">
        <f t="shared" si="564"/>
        <v>0</v>
      </c>
      <c r="BE2538" s="93">
        <v>0</v>
      </c>
      <c r="BF2538" s="93">
        <f t="shared" si="565"/>
        <v>0</v>
      </c>
      <c r="BH2538" s="93">
        <f t="shared" si="566"/>
        <v>0</v>
      </c>
      <c r="BI2538" s="93">
        <f t="shared" si="567"/>
        <v>0</v>
      </c>
      <c r="BJ2538" s="93">
        <f t="shared" si="568"/>
        <v>0</v>
      </c>
      <c r="BK2538" s="93"/>
      <c r="BL2538" s="93"/>
      <c r="BW2538" s="93" t="str">
        <f t="shared" si="569"/>
        <v>21</v>
      </c>
      <c r="BX2538" s="2" t="s">
        <v>3563</v>
      </c>
    </row>
    <row r="2539" spans="1:76" s="81" customFormat="1" ht="25.5" x14ac:dyDescent="0.25">
      <c r="A2539" s="72" t="s">
        <v>2323</v>
      </c>
      <c r="B2539" s="72" t="s">
        <v>55</v>
      </c>
      <c r="C2539" s="72" t="s">
        <v>3564</v>
      </c>
      <c r="D2539" s="175" t="s">
        <v>3565</v>
      </c>
      <c r="E2539" s="175"/>
      <c r="F2539" s="72" t="s">
        <v>213</v>
      </c>
      <c r="G2539" s="90">
        <v>280</v>
      </c>
      <c r="H2539" s="91"/>
      <c r="I2539" s="92" t="s">
        <v>63</v>
      </c>
      <c r="J2539" s="90">
        <f t="shared" si="542"/>
        <v>0</v>
      </c>
      <c r="K2539" s="90">
        <f t="shared" si="543"/>
        <v>0</v>
      </c>
      <c r="L2539" s="90">
        <f t="shared" si="544"/>
        <v>0</v>
      </c>
      <c r="M2539" s="90">
        <f t="shared" si="545"/>
        <v>0</v>
      </c>
      <c r="N2539" s="90">
        <v>0</v>
      </c>
      <c r="O2539" s="90">
        <f t="shared" si="546"/>
        <v>0</v>
      </c>
      <c r="P2539" s="92" t="s">
        <v>1652</v>
      </c>
      <c r="Z2539" s="93">
        <f t="shared" si="547"/>
        <v>0</v>
      </c>
      <c r="AB2539" s="93">
        <f t="shared" si="548"/>
        <v>0</v>
      </c>
      <c r="AC2539" s="93">
        <f t="shared" si="549"/>
        <v>0</v>
      </c>
      <c r="AD2539" s="93">
        <f t="shared" si="550"/>
        <v>0</v>
      </c>
      <c r="AE2539" s="93">
        <f t="shared" si="551"/>
        <v>0</v>
      </c>
      <c r="AF2539" s="93">
        <f t="shared" si="552"/>
        <v>0</v>
      </c>
      <c r="AG2539" s="93">
        <f t="shared" si="553"/>
        <v>0</v>
      </c>
      <c r="AH2539" s="93">
        <f t="shared" si="554"/>
        <v>0</v>
      </c>
      <c r="AI2539" s="88" t="s">
        <v>55</v>
      </c>
      <c r="AJ2539" s="93">
        <f t="shared" si="555"/>
        <v>0</v>
      </c>
      <c r="AK2539" s="93">
        <f t="shared" si="556"/>
        <v>0</v>
      </c>
      <c r="AL2539" s="93">
        <f t="shared" si="557"/>
        <v>0</v>
      </c>
      <c r="AN2539" s="93">
        <v>21</v>
      </c>
      <c r="AO2539" s="93">
        <f t="shared" si="558"/>
        <v>0</v>
      </c>
      <c r="AP2539" s="93">
        <f t="shared" si="559"/>
        <v>0</v>
      </c>
      <c r="AQ2539" s="94" t="s">
        <v>118</v>
      </c>
      <c r="AV2539" s="93">
        <f t="shared" si="560"/>
        <v>0</v>
      </c>
      <c r="AW2539" s="93">
        <f t="shared" si="561"/>
        <v>0</v>
      </c>
      <c r="AX2539" s="93">
        <f t="shared" si="562"/>
        <v>0</v>
      </c>
      <c r="AY2539" s="94" t="s">
        <v>3503</v>
      </c>
      <c r="AZ2539" s="94" t="s">
        <v>3504</v>
      </c>
      <c r="BA2539" s="88" t="s">
        <v>67</v>
      </c>
      <c r="BC2539" s="93">
        <f t="shared" si="563"/>
        <v>0</v>
      </c>
      <c r="BD2539" s="93">
        <f t="shared" si="564"/>
        <v>0</v>
      </c>
      <c r="BE2539" s="93">
        <v>0</v>
      </c>
      <c r="BF2539" s="93">
        <f t="shared" si="565"/>
        <v>0</v>
      </c>
      <c r="BH2539" s="93">
        <f t="shared" si="566"/>
        <v>0</v>
      </c>
      <c r="BI2539" s="93">
        <f t="shared" si="567"/>
        <v>0</v>
      </c>
      <c r="BJ2539" s="93">
        <f t="shared" si="568"/>
        <v>0</v>
      </c>
      <c r="BK2539" s="93"/>
      <c r="BL2539" s="93"/>
      <c r="BW2539" s="93" t="str">
        <f t="shared" si="569"/>
        <v>21</v>
      </c>
      <c r="BX2539" s="2" t="s">
        <v>3565</v>
      </c>
    </row>
    <row r="2540" spans="1:76" s="81" customFormat="1" ht="25.5" x14ac:dyDescent="0.25">
      <c r="A2540" s="72" t="s">
        <v>2510</v>
      </c>
      <c r="B2540" s="72" t="s">
        <v>55</v>
      </c>
      <c r="C2540" s="72" t="s">
        <v>3566</v>
      </c>
      <c r="D2540" s="175" t="s">
        <v>3567</v>
      </c>
      <c r="E2540" s="175"/>
      <c r="F2540" s="72" t="s">
        <v>213</v>
      </c>
      <c r="G2540" s="90">
        <v>78</v>
      </c>
      <c r="H2540" s="91"/>
      <c r="I2540" s="92" t="s">
        <v>63</v>
      </c>
      <c r="J2540" s="90">
        <f t="shared" si="542"/>
        <v>0</v>
      </c>
      <c r="K2540" s="90">
        <f t="shared" si="543"/>
        <v>0</v>
      </c>
      <c r="L2540" s="90">
        <f t="shared" si="544"/>
        <v>0</v>
      </c>
      <c r="M2540" s="90">
        <f t="shared" si="545"/>
        <v>0</v>
      </c>
      <c r="N2540" s="90">
        <v>0</v>
      </c>
      <c r="O2540" s="90">
        <f t="shared" si="546"/>
        <v>0</v>
      </c>
      <c r="P2540" s="92" t="s">
        <v>1652</v>
      </c>
      <c r="Z2540" s="93">
        <f t="shared" si="547"/>
        <v>0</v>
      </c>
      <c r="AB2540" s="93">
        <f t="shared" si="548"/>
        <v>0</v>
      </c>
      <c r="AC2540" s="93">
        <f t="shared" si="549"/>
        <v>0</v>
      </c>
      <c r="AD2540" s="93">
        <f t="shared" si="550"/>
        <v>0</v>
      </c>
      <c r="AE2540" s="93">
        <f t="shared" si="551"/>
        <v>0</v>
      </c>
      <c r="AF2540" s="93">
        <f t="shared" si="552"/>
        <v>0</v>
      </c>
      <c r="AG2540" s="93">
        <f t="shared" si="553"/>
        <v>0</v>
      </c>
      <c r="AH2540" s="93">
        <f t="shared" si="554"/>
        <v>0</v>
      </c>
      <c r="AI2540" s="88" t="s">
        <v>55</v>
      </c>
      <c r="AJ2540" s="93">
        <f t="shared" si="555"/>
        <v>0</v>
      </c>
      <c r="AK2540" s="93">
        <f t="shared" si="556"/>
        <v>0</v>
      </c>
      <c r="AL2540" s="93">
        <f t="shared" si="557"/>
        <v>0</v>
      </c>
      <c r="AN2540" s="93">
        <v>21</v>
      </c>
      <c r="AO2540" s="93">
        <f t="shared" si="558"/>
        <v>0</v>
      </c>
      <c r="AP2540" s="93">
        <f t="shared" si="559"/>
        <v>0</v>
      </c>
      <c r="AQ2540" s="94" t="s">
        <v>118</v>
      </c>
      <c r="AV2540" s="93">
        <f t="shared" si="560"/>
        <v>0</v>
      </c>
      <c r="AW2540" s="93">
        <f t="shared" si="561"/>
        <v>0</v>
      </c>
      <c r="AX2540" s="93">
        <f t="shared" si="562"/>
        <v>0</v>
      </c>
      <c r="AY2540" s="94" t="s">
        <v>3503</v>
      </c>
      <c r="AZ2540" s="94" t="s">
        <v>3504</v>
      </c>
      <c r="BA2540" s="88" t="s">
        <v>67</v>
      </c>
      <c r="BC2540" s="93">
        <f t="shared" si="563"/>
        <v>0</v>
      </c>
      <c r="BD2540" s="93">
        <f t="shared" si="564"/>
        <v>0</v>
      </c>
      <c r="BE2540" s="93">
        <v>0</v>
      </c>
      <c r="BF2540" s="93">
        <f t="shared" si="565"/>
        <v>0</v>
      </c>
      <c r="BH2540" s="93">
        <f t="shared" si="566"/>
        <v>0</v>
      </c>
      <c r="BI2540" s="93">
        <f t="shared" si="567"/>
        <v>0</v>
      </c>
      <c r="BJ2540" s="93">
        <f t="shared" si="568"/>
        <v>0</v>
      </c>
      <c r="BK2540" s="93"/>
      <c r="BL2540" s="93"/>
      <c r="BW2540" s="93" t="str">
        <f t="shared" si="569"/>
        <v>21</v>
      </c>
      <c r="BX2540" s="2" t="s">
        <v>3567</v>
      </c>
    </row>
    <row r="2541" spans="1:76" s="81" customFormat="1" ht="25.5" x14ac:dyDescent="0.25">
      <c r="A2541" s="72" t="s">
        <v>3568</v>
      </c>
      <c r="B2541" s="72" t="s">
        <v>55</v>
      </c>
      <c r="C2541" s="72" t="s">
        <v>3569</v>
      </c>
      <c r="D2541" s="175" t="s">
        <v>3570</v>
      </c>
      <c r="E2541" s="175"/>
      <c r="F2541" s="72" t="s">
        <v>213</v>
      </c>
      <c r="G2541" s="90">
        <v>211</v>
      </c>
      <c r="H2541" s="91"/>
      <c r="I2541" s="92" t="s">
        <v>63</v>
      </c>
      <c r="J2541" s="90">
        <f t="shared" si="542"/>
        <v>0</v>
      </c>
      <c r="K2541" s="90">
        <f t="shared" si="543"/>
        <v>0</v>
      </c>
      <c r="L2541" s="90">
        <f t="shared" si="544"/>
        <v>0</v>
      </c>
      <c r="M2541" s="90">
        <f t="shared" si="545"/>
        <v>0</v>
      </c>
      <c r="N2541" s="90">
        <v>0</v>
      </c>
      <c r="O2541" s="90">
        <f t="shared" si="546"/>
        <v>0</v>
      </c>
      <c r="P2541" s="92" t="s">
        <v>1652</v>
      </c>
      <c r="Z2541" s="93">
        <f t="shared" si="547"/>
        <v>0</v>
      </c>
      <c r="AB2541" s="93">
        <f t="shared" si="548"/>
        <v>0</v>
      </c>
      <c r="AC2541" s="93">
        <f t="shared" si="549"/>
        <v>0</v>
      </c>
      <c r="AD2541" s="93">
        <f t="shared" si="550"/>
        <v>0</v>
      </c>
      <c r="AE2541" s="93">
        <f t="shared" si="551"/>
        <v>0</v>
      </c>
      <c r="AF2541" s="93">
        <f t="shared" si="552"/>
        <v>0</v>
      </c>
      <c r="AG2541" s="93">
        <f t="shared" si="553"/>
        <v>0</v>
      </c>
      <c r="AH2541" s="93">
        <f t="shared" si="554"/>
        <v>0</v>
      </c>
      <c r="AI2541" s="88" t="s">
        <v>55</v>
      </c>
      <c r="AJ2541" s="93">
        <f t="shared" si="555"/>
        <v>0</v>
      </c>
      <c r="AK2541" s="93">
        <f t="shared" si="556"/>
        <v>0</v>
      </c>
      <c r="AL2541" s="93">
        <f t="shared" si="557"/>
        <v>0</v>
      </c>
      <c r="AN2541" s="93">
        <v>21</v>
      </c>
      <c r="AO2541" s="93">
        <f t="shared" si="558"/>
        <v>0</v>
      </c>
      <c r="AP2541" s="93">
        <f t="shared" si="559"/>
        <v>0</v>
      </c>
      <c r="AQ2541" s="94" t="s">
        <v>118</v>
      </c>
      <c r="AV2541" s="93">
        <f t="shared" si="560"/>
        <v>0</v>
      </c>
      <c r="AW2541" s="93">
        <f t="shared" si="561"/>
        <v>0</v>
      </c>
      <c r="AX2541" s="93">
        <f t="shared" si="562"/>
        <v>0</v>
      </c>
      <c r="AY2541" s="94" t="s">
        <v>3503</v>
      </c>
      <c r="AZ2541" s="94" t="s">
        <v>3504</v>
      </c>
      <c r="BA2541" s="88" t="s">
        <v>67</v>
      </c>
      <c r="BC2541" s="93">
        <f t="shared" si="563"/>
        <v>0</v>
      </c>
      <c r="BD2541" s="93">
        <f t="shared" si="564"/>
        <v>0</v>
      </c>
      <c r="BE2541" s="93">
        <v>0</v>
      </c>
      <c r="BF2541" s="93">
        <f t="shared" si="565"/>
        <v>0</v>
      </c>
      <c r="BH2541" s="93">
        <f t="shared" si="566"/>
        <v>0</v>
      </c>
      <c r="BI2541" s="93">
        <f t="shared" si="567"/>
        <v>0</v>
      </c>
      <c r="BJ2541" s="93">
        <f t="shared" si="568"/>
        <v>0</v>
      </c>
      <c r="BK2541" s="93"/>
      <c r="BL2541" s="93"/>
      <c r="BW2541" s="93" t="str">
        <f t="shared" si="569"/>
        <v>21</v>
      </c>
      <c r="BX2541" s="2" t="s">
        <v>3570</v>
      </c>
    </row>
    <row r="2542" spans="1:76" s="81" customFormat="1" ht="25.5" x14ac:dyDescent="0.25">
      <c r="A2542" s="72" t="s">
        <v>3571</v>
      </c>
      <c r="B2542" s="72" t="s">
        <v>55</v>
      </c>
      <c r="C2542" s="72" t="s">
        <v>3572</v>
      </c>
      <c r="D2542" s="175" t="s">
        <v>3573</v>
      </c>
      <c r="E2542" s="175"/>
      <c r="F2542" s="72" t="s">
        <v>213</v>
      </c>
      <c r="G2542" s="90">
        <v>187</v>
      </c>
      <c r="H2542" s="91"/>
      <c r="I2542" s="92" t="s">
        <v>63</v>
      </c>
      <c r="J2542" s="90">
        <f t="shared" si="542"/>
        <v>0</v>
      </c>
      <c r="K2542" s="90">
        <f t="shared" si="543"/>
        <v>0</v>
      </c>
      <c r="L2542" s="90">
        <f t="shared" si="544"/>
        <v>0</v>
      </c>
      <c r="M2542" s="90">
        <f t="shared" si="545"/>
        <v>0</v>
      </c>
      <c r="N2542" s="90">
        <v>0</v>
      </c>
      <c r="O2542" s="90">
        <f t="shared" si="546"/>
        <v>0</v>
      </c>
      <c r="P2542" s="92" t="s">
        <v>1652</v>
      </c>
      <c r="Z2542" s="93">
        <f t="shared" si="547"/>
        <v>0</v>
      </c>
      <c r="AB2542" s="93">
        <f t="shared" si="548"/>
        <v>0</v>
      </c>
      <c r="AC2542" s="93">
        <f t="shared" si="549"/>
        <v>0</v>
      </c>
      <c r="AD2542" s="93">
        <f t="shared" si="550"/>
        <v>0</v>
      </c>
      <c r="AE2542" s="93">
        <f t="shared" si="551"/>
        <v>0</v>
      </c>
      <c r="AF2542" s="93">
        <f t="shared" si="552"/>
        <v>0</v>
      </c>
      <c r="AG2542" s="93">
        <f t="shared" si="553"/>
        <v>0</v>
      </c>
      <c r="AH2542" s="93">
        <f t="shared" si="554"/>
        <v>0</v>
      </c>
      <c r="AI2542" s="88" t="s">
        <v>55</v>
      </c>
      <c r="AJ2542" s="93">
        <f t="shared" si="555"/>
        <v>0</v>
      </c>
      <c r="AK2542" s="93">
        <f t="shared" si="556"/>
        <v>0</v>
      </c>
      <c r="AL2542" s="93">
        <f t="shared" si="557"/>
        <v>0</v>
      </c>
      <c r="AN2542" s="93">
        <v>21</v>
      </c>
      <c r="AO2542" s="93">
        <f t="shared" si="558"/>
        <v>0</v>
      </c>
      <c r="AP2542" s="93">
        <f t="shared" si="559"/>
        <v>0</v>
      </c>
      <c r="AQ2542" s="94" t="s">
        <v>118</v>
      </c>
      <c r="AV2542" s="93">
        <f t="shared" si="560"/>
        <v>0</v>
      </c>
      <c r="AW2542" s="93">
        <f t="shared" si="561"/>
        <v>0</v>
      </c>
      <c r="AX2542" s="93">
        <f t="shared" si="562"/>
        <v>0</v>
      </c>
      <c r="AY2542" s="94" t="s">
        <v>3503</v>
      </c>
      <c r="AZ2542" s="94" t="s">
        <v>3504</v>
      </c>
      <c r="BA2542" s="88" t="s">
        <v>67</v>
      </c>
      <c r="BC2542" s="93">
        <f t="shared" si="563"/>
        <v>0</v>
      </c>
      <c r="BD2542" s="93">
        <f t="shared" si="564"/>
        <v>0</v>
      </c>
      <c r="BE2542" s="93">
        <v>0</v>
      </c>
      <c r="BF2542" s="93">
        <f t="shared" si="565"/>
        <v>0</v>
      </c>
      <c r="BH2542" s="93">
        <f t="shared" si="566"/>
        <v>0</v>
      </c>
      <c r="BI2542" s="93">
        <f t="shared" si="567"/>
        <v>0</v>
      </c>
      <c r="BJ2542" s="93">
        <f t="shared" si="568"/>
        <v>0</v>
      </c>
      <c r="BK2542" s="93"/>
      <c r="BL2542" s="93"/>
      <c r="BW2542" s="93" t="str">
        <f t="shared" si="569"/>
        <v>21</v>
      </c>
      <c r="BX2542" s="2" t="s">
        <v>3573</v>
      </c>
    </row>
    <row r="2543" spans="1:76" s="81" customFormat="1" ht="25.5" x14ac:dyDescent="0.25">
      <c r="A2543" s="72" t="s">
        <v>3574</v>
      </c>
      <c r="B2543" s="72" t="s">
        <v>55</v>
      </c>
      <c r="C2543" s="72" t="s">
        <v>3575</v>
      </c>
      <c r="D2543" s="175" t="s">
        <v>3576</v>
      </c>
      <c r="E2543" s="175"/>
      <c r="F2543" s="72" t="s">
        <v>213</v>
      </c>
      <c r="G2543" s="90">
        <v>128</v>
      </c>
      <c r="H2543" s="91"/>
      <c r="I2543" s="92" t="s">
        <v>63</v>
      </c>
      <c r="J2543" s="90">
        <f t="shared" si="542"/>
        <v>0</v>
      </c>
      <c r="K2543" s="90">
        <f t="shared" si="543"/>
        <v>0</v>
      </c>
      <c r="L2543" s="90">
        <f t="shared" si="544"/>
        <v>0</v>
      </c>
      <c r="M2543" s="90">
        <f t="shared" si="545"/>
        <v>0</v>
      </c>
      <c r="N2543" s="90">
        <v>0</v>
      </c>
      <c r="O2543" s="90">
        <f t="shared" si="546"/>
        <v>0</v>
      </c>
      <c r="P2543" s="92" t="s">
        <v>1652</v>
      </c>
      <c r="Z2543" s="93">
        <f t="shared" si="547"/>
        <v>0</v>
      </c>
      <c r="AB2543" s="93">
        <f t="shared" si="548"/>
        <v>0</v>
      </c>
      <c r="AC2543" s="93">
        <f t="shared" si="549"/>
        <v>0</v>
      </c>
      <c r="AD2543" s="93">
        <f t="shared" si="550"/>
        <v>0</v>
      </c>
      <c r="AE2543" s="93">
        <f t="shared" si="551"/>
        <v>0</v>
      </c>
      <c r="AF2543" s="93">
        <f t="shared" si="552"/>
        <v>0</v>
      </c>
      <c r="AG2543" s="93">
        <f t="shared" si="553"/>
        <v>0</v>
      </c>
      <c r="AH2543" s="93">
        <f t="shared" si="554"/>
        <v>0</v>
      </c>
      <c r="AI2543" s="88" t="s">
        <v>55</v>
      </c>
      <c r="AJ2543" s="93">
        <f t="shared" si="555"/>
        <v>0</v>
      </c>
      <c r="AK2543" s="93">
        <f t="shared" si="556"/>
        <v>0</v>
      </c>
      <c r="AL2543" s="93">
        <f t="shared" si="557"/>
        <v>0</v>
      </c>
      <c r="AN2543" s="93">
        <v>21</v>
      </c>
      <c r="AO2543" s="93">
        <f t="shared" si="558"/>
        <v>0</v>
      </c>
      <c r="AP2543" s="93">
        <f t="shared" si="559"/>
        <v>0</v>
      </c>
      <c r="AQ2543" s="94" t="s">
        <v>118</v>
      </c>
      <c r="AV2543" s="93">
        <f t="shared" si="560"/>
        <v>0</v>
      </c>
      <c r="AW2543" s="93">
        <f t="shared" si="561"/>
        <v>0</v>
      </c>
      <c r="AX2543" s="93">
        <f t="shared" si="562"/>
        <v>0</v>
      </c>
      <c r="AY2543" s="94" t="s">
        <v>3503</v>
      </c>
      <c r="AZ2543" s="94" t="s">
        <v>3504</v>
      </c>
      <c r="BA2543" s="88" t="s">
        <v>67</v>
      </c>
      <c r="BC2543" s="93">
        <f t="shared" si="563"/>
        <v>0</v>
      </c>
      <c r="BD2543" s="93">
        <f t="shared" si="564"/>
        <v>0</v>
      </c>
      <c r="BE2543" s="93">
        <v>0</v>
      </c>
      <c r="BF2543" s="93">
        <f t="shared" si="565"/>
        <v>0</v>
      </c>
      <c r="BH2543" s="93">
        <f t="shared" si="566"/>
        <v>0</v>
      </c>
      <c r="BI2543" s="93">
        <f t="shared" si="567"/>
        <v>0</v>
      </c>
      <c r="BJ2543" s="93">
        <f t="shared" si="568"/>
        <v>0</v>
      </c>
      <c r="BK2543" s="93"/>
      <c r="BL2543" s="93"/>
      <c r="BW2543" s="93" t="str">
        <f t="shared" si="569"/>
        <v>21</v>
      </c>
      <c r="BX2543" s="2" t="s">
        <v>3576</v>
      </c>
    </row>
    <row r="2544" spans="1:76" s="81" customFormat="1" ht="25.5" x14ac:dyDescent="0.25">
      <c r="A2544" s="72" t="s">
        <v>2704</v>
      </c>
      <c r="B2544" s="72" t="s">
        <v>55</v>
      </c>
      <c r="C2544" s="72" t="s">
        <v>3577</v>
      </c>
      <c r="D2544" s="175" t="s">
        <v>3578</v>
      </c>
      <c r="E2544" s="175"/>
      <c r="F2544" s="72" t="s">
        <v>213</v>
      </c>
      <c r="G2544" s="90">
        <v>5</v>
      </c>
      <c r="H2544" s="91"/>
      <c r="I2544" s="92" t="s">
        <v>63</v>
      </c>
      <c r="J2544" s="90">
        <f t="shared" si="542"/>
        <v>0</v>
      </c>
      <c r="K2544" s="90">
        <f t="shared" si="543"/>
        <v>0</v>
      </c>
      <c r="L2544" s="90">
        <f t="shared" si="544"/>
        <v>0</v>
      </c>
      <c r="M2544" s="90">
        <f t="shared" si="545"/>
        <v>0</v>
      </c>
      <c r="N2544" s="90">
        <v>0</v>
      </c>
      <c r="O2544" s="90">
        <f t="shared" si="546"/>
        <v>0</v>
      </c>
      <c r="P2544" s="92" t="s">
        <v>1652</v>
      </c>
      <c r="Z2544" s="93">
        <f t="shared" si="547"/>
        <v>0</v>
      </c>
      <c r="AB2544" s="93">
        <f t="shared" si="548"/>
        <v>0</v>
      </c>
      <c r="AC2544" s="93">
        <f t="shared" si="549"/>
        <v>0</v>
      </c>
      <c r="AD2544" s="93">
        <f t="shared" si="550"/>
        <v>0</v>
      </c>
      <c r="AE2544" s="93">
        <f t="shared" si="551"/>
        <v>0</v>
      </c>
      <c r="AF2544" s="93">
        <f t="shared" si="552"/>
        <v>0</v>
      </c>
      <c r="AG2544" s="93">
        <f t="shared" si="553"/>
        <v>0</v>
      </c>
      <c r="AH2544" s="93">
        <f t="shared" si="554"/>
        <v>0</v>
      </c>
      <c r="AI2544" s="88" t="s">
        <v>55</v>
      </c>
      <c r="AJ2544" s="93">
        <f t="shared" si="555"/>
        <v>0</v>
      </c>
      <c r="AK2544" s="93">
        <f t="shared" si="556"/>
        <v>0</v>
      </c>
      <c r="AL2544" s="93">
        <f t="shared" si="557"/>
        <v>0</v>
      </c>
      <c r="AN2544" s="93">
        <v>21</v>
      </c>
      <c r="AO2544" s="93">
        <f t="shared" si="558"/>
        <v>0</v>
      </c>
      <c r="AP2544" s="93">
        <f t="shared" si="559"/>
        <v>0</v>
      </c>
      <c r="AQ2544" s="94" t="s">
        <v>118</v>
      </c>
      <c r="AV2544" s="93">
        <f t="shared" si="560"/>
        <v>0</v>
      </c>
      <c r="AW2544" s="93">
        <f t="shared" si="561"/>
        <v>0</v>
      </c>
      <c r="AX2544" s="93">
        <f t="shared" si="562"/>
        <v>0</v>
      </c>
      <c r="AY2544" s="94" t="s">
        <v>3503</v>
      </c>
      <c r="AZ2544" s="94" t="s">
        <v>3504</v>
      </c>
      <c r="BA2544" s="88" t="s">
        <v>67</v>
      </c>
      <c r="BC2544" s="93">
        <f t="shared" si="563"/>
        <v>0</v>
      </c>
      <c r="BD2544" s="93">
        <f t="shared" si="564"/>
        <v>0</v>
      </c>
      <c r="BE2544" s="93">
        <v>0</v>
      </c>
      <c r="BF2544" s="93">
        <f t="shared" si="565"/>
        <v>0</v>
      </c>
      <c r="BH2544" s="93">
        <f t="shared" si="566"/>
        <v>0</v>
      </c>
      <c r="BI2544" s="93">
        <f t="shared" si="567"/>
        <v>0</v>
      </c>
      <c r="BJ2544" s="93">
        <f t="shared" si="568"/>
        <v>0</v>
      </c>
      <c r="BK2544" s="93"/>
      <c r="BL2544" s="93"/>
      <c r="BW2544" s="93" t="str">
        <f t="shared" si="569"/>
        <v>21</v>
      </c>
      <c r="BX2544" s="2" t="s">
        <v>3578</v>
      </c>
    </row>
    <row r="2545" spans="1:76" s="81" customFormat="1" ht="25.5" x14ac:dyDescent="0.25">
      <c r="A2545" s="72" t="s">
        <v>3579</v>
      </c>
      <c r="B2545" s="72" t="s">
        <v>55</v>
      </c>
      <c r="C2545" s="72" t="s">
        <v>3580</v>
      </c>
      <c r="D2545" s="175" t="s">
        <v>3581</v>
      </c>
      <c r="E2545" s="175"/>
      <c r="F2545" s="72" t="s">
        <v>213</v>
      </c>
      <c r="G2545" s="90">
        <v>72</v>
      </c>
      <c r="H2545" s="91"/>
      <c r="I2545" s="92" t="s">
        <v>63</v>
      </c>
      <c r="J2545" s="90">
        <f t="shared" si="542"/>
        <v>0</v>
      </c>
      <c r="K2545" s="90">
        <f t="shared" si="543"/>
        <v>0</v>
      </c>
      <c r="L2545" s="90">
        <f t="shared" si="544"/>
        <v>0</v>
      </c>
      <c r="M2545" s="90">
        <f t="shared" si="545"/>
        <v>0</v>
      </c>
      <c r="N2545" s="90">
        <v>0</v>
      </c>
      <c r="O2545" s="90">
        <f t="shared" si="546"/>
        <v>0</v>
      </c>
      <c r="P2545" s="92" t="s">
        <v>1652</v>
      </c>
      <c r="Z2545" s="93">
        <f t="shared" si="547"/>
        <v>0</v>
      </c>
      <c r="AB2545" s="93">
        <f t="shared" si="548"/>
        <v>0</v>
      </c>
      <c r="AC2545" s="93">
        <f t="shared" si="549"/>
        <v>0</v>
      </c>
      <c r="AD2545" s="93">
        <f t="shared" si="550"/>
        <v>0</v>
      </c>
      <c r="AE2545" s="93">
        <f t="shared" si="551"/>
        <v>0</v>
      </c>
      <c r="AF2545" s="93">
        <f t="shared" si="552"/>
        <v>0</v>
      </c>
      <c r="AG2545" s="93">
        <f t="shared" si="553"/>
        <v>0</v>
      </c>
      <c r="AH2545" s="93">
        <f t="shared" si="554"/>
        <v>0</v>
      </c>
      <c r="AI2545" s="88" t="s">
        <v>55</v>
      </c>
      <c r="AJ2545" s="93">
        <f t="shared" si="555"/>
        <v>0</v>
      </c>
      <c r="AK2545" s="93">
        <f t="shared" si="556"/>
        <v>0</v>
      </c>
      <c r="AL2545" s="93">
        <f t="shared" si="557"/>
        <v>0</v>
      </c>
      <c r="AN2545" s="93">
        <v>21</v>
      </c>
      <c r="AO2545" s="93">
        <f t="shared" si="558"/>
        <v>0</v>
      </c>
      <c r="AP2545" s="93">
        <f t="shared" si="559"/>
        <v>0</v>
      </c>
      <c r="AQ2545" s="94" t="s">
        <v>118</v>
      </c>
      <c r="AV2545" s="93">
        <f t="shared" si="560"/>
        <v>0</v>
      </c>
      <c r="AW2545" s="93">
        <f t="shared" si="561"/>
        <v>0</v>
      </c>
      <c r="AX2545" s="93">
        <f t="shared" si="562"/>
        <v>0</v>
      </c>
      <c r="AY2545" s="94" t="s">
        <v>3503</v>
      </c>
      <c r="AZ2545" s="94" t="s">
        <v>3504</v>
      </c>
      <c r="BA2545" s="88" t="s">
        <v>67</v>
      </c>
      <c r="BC2545" s="93">
        <f t="shared" si="563"/>
        <v>0</v>
      </c>
      <c r="BD2545" s="93">
        <f t="shared" si="564"/>
        <v>0</v>
      </c>
      <c r="BE2545" s="93">
        <v>0</v>
      </c>
      <c r="BF2545" s="93">
        <f t="shared" si="565"/>
        <v>0</v>
      </c>
      <c r="BH2545" s="93">
        <f t="shared" si="566"/>
        <v>0</v>
      </c>
      <c r="BI2545" s="93">
        <f t="shared" si="567"/>
        <v>0</v>
      </c>
      <c r="BJ2545" s="93">
        <f t="shared" si="568"/>
        <v>0</v>
      </c>
      <c r="BK2545" s="93"/>
      <c r="BL2545" s="93"/>
      <c r="BW2545" s="93" t="str">
        <f t="shared" si="569"/>
        <v>21</v>
      </c>
      <c r="BX2545" s="2" t="s">
        <v>3581</v>
      </c>
    </row>
    <row r="2546" spans="1:76" s="81" customFormat="1" ht="25.5" x14ac:dyDescent="0.25">
      <c r="A2546" s="72" t="s">
        <v>3582</v>
      </c>
      <c r="B2546" s="72" t="s">
        <v>55</v>
      </c>
      <c r="C2546" s="72" t="s">
        <v>3583</v>
      </c>
      <c r="D2546" s="175" t="s">
        <v>3584</v>
      </c>
      <c r="E2546" s="175"/>
      <c r="F2546" s="72" t="s">
        <v>213</v>
      </c>
      <c r="G2546" s="90">
        <v>480</v>
      </c>
      <c r="H2546" s="91"/>
      <c r="I2546" s="92" t="s">
        <v>63</v>
      </c>
      <c r="J2546" s="90">
        <f t="shared" si="542"/>
        <v>0</v>
      </c>
      <c r="K2546" s="90">
        <f t="shared" si="543"/>
        <v>0</v>
      </c>
      <c r="L2546" s="90">
        <f t="shared" si="544"/>
        <v>0</v>
      </c>
      <c r="M2546" s="90">
        <f t="shared" si="545"/>
        <v>0</v>
      </c>
      <c r="N2546" s="90">
        <v>0</v>
      </c>
      <c r="O2546" s="90">
        <f t="shared" si="546"/>
        <v>0</v>
      </c>
      <c r="P2546" s="92" t="s">
        <v>1652</v>
      </c>
      <c r="Z2546" s="93">
        <f t="shared" si="547"/>
        <v>0</v>
      </c>
      <c r="AB2546" s="93">
        <f t="shared" si="548"/>
        <v>0</v>
      </c>
      <c r="AC2546" s="93">
        <f t="shared" si="549"/>
        <v>0</v>
      </c>
      <c r="AD2546" s="93">
        <f t="shared" si="550"/>
        <v>0</v>
      </c>
      <c r="AE2546" s="93">
        <f t="shared" si="551"/>
        <v>0</v>
      </c>
      <c r="AF2546" s="93">
        <f t="shared" si="552"/>
        <v>0</v>
      </c>
      <c r="AG2546" s="93">
        <f t="shared" si="553"/>
        <v>0</v>
      </c>
      <c r="AH2546" s="93">
        <f t="shared" si="554"/>
        <v>0</v>
      </c>
      <c r="AI2546" s="88" t="s">
        <v>55</v>
      </c>
      <c r="AJ2546" s="93">
        <f t="shared" si="555"/>
        <v>0</v>
      </c>
      <c r="AK2546" s="93">
        <f t="shared" si="556"/>
        <v>0</v>
      </c>
      <c r="AL2546" s="93">
        <f t="shared" si="557"/>
        <v>0</v>
      </c>
      <c r="AN2546" s="93">
        <v>21</v>
      </c>
      <c r="AO2546" s="93">
        <f t="shared" si="558"/>
        <v>0</v>
      </c>
      <c r="AP2546" s="93">
        <f t="shared" si="559"/>
        <v>0</v>
      </c>
      <c r="AQ2546" s="94" t="s">
        <v>118</v>
      </c>
      <c r="AV2546" s="93">
        <f t="shared" si="560"/>
        <v>0</v>
      </c>
      <c r="AW2546" s="93">
        <f t="shared" si="561"/>
        <v>0</v>
      </c>
      <c r="AX2546" s="93">
        <f t="shared" si="562"/>
        <v>0</v>
      </c>
      <c r="AY2546" s="94" t="s">
        <v>3503</v>
      </c>
      <c r="AZ2546" s="94" t="s">
        <v>3504</v>
      </c>
      <c r="BA2546" s="88" t="s">
        <v>67</v>
      </c>
      <c r="BC2546" s="93">
        <f t="shared" si="563"/>
        <v>0</v>
      </c>
      <c r="BD2546" s="93">
        <f t="shared" si="564"/>
        <v>0</v>
      </c>
      <c r="BE2546" s="93">
        <v>0</v>
      </c>
      <c r="BF2546" s="93">
        <f t="shared" si="565"/>
        <v>0</v>
      </c>
      <c r="BH2546" s="93">
        <f t="shared" si="566"/>
        <v>0</v>
      </c>
      <c r="BI2546" s="93">
        <f t="shared" si="567"/>
        <v>0</v>
      </c>
      <c r="BJ2546" s="93">
        <f t="shared" si="568"/>
        <v>0</v>
      </c>
      <c r="BK2546" s="93"/>
      <c r="BL2546" s="93"/>
      <c r="BW2546" s="93" t="str">
        <f t="shared" si="569"/>
        <v>21</v>
      </c>
      <c r="BX2546" s="2" t="s">
        <v>3584</v>
      </c>
    </row>
    <row r="2547" spans="1:76" s="81" customFormat="1" ht="25.5" x14ac:dyDescent="0.25">
      <c r="A2547" s="72" t="s">
        <v>3585</v>
      </c>
      <c r="B2547" s="72" t="s">
        <v>55</v>
      </c>
      <c r="C2547" s="72" t="s">
        <v>3586</v>
      </c>
      <c r="D2547" s="175" t="s">
        <v>3587</v>
      </c>
      <c r="E2547" s="175"/>
      <c r="F2547" s="72" t="s">
        <v>213</v>
      </c>
      <c r="G2547" s="90">
        <v>215</v>
      </c>
      <c r="H2547" s="91"/>
      <c r="I2547" s="92" t="s">
        <v>63</v>
      </c>
      <c r="J2547" s="90">
        <f t="shared" si="542"/>
        <v>0</v>
      </c>
      <c r="K2547" s="90">
        <f t="shared" si="543"/>
        <v>0</v>
      </c>
      <c r="L2547" s="90">
        <f t="shared" si="544"/>
        <v>0</v>
      </c>
      <c r="M2547" s="90">
        <f t="shared" si="545"/>
        <v>0</v>
      </c>
      <c r="N2547" s="90">
        <v>0</v>
      </c>
      <c r="O2547" s="90">
        <f t="shared" si="546"/>
        <v>0</v>
      </c>
      <c r="P2547" s="92" t="s">
        <v>1652</v>
      </c>
      <c r="Z2547" s="93">
        <f t="shared" si="547"/>
        <v>0</v>
      </c>
      <c r="AB2547" s="93">
        <f t="shared" si="548"/>
        <v>0</v>
      </c>
      <c r="AC2547" s="93">
        <f t="shared" si="549"/>
        <v>0</v>
      </c>
      <c r="AD2547" s="93">
        <f t="shared" si="550"/>
        <v>0</v>
      </c>
      <c r="AE2547" s="93">
        <f t="shared" si="551"/>
        <v>0</v>
      </c>
      <c r="AF2547" s="93">
        <f t="shared" si="552"/>
        <v>0</v>
      </c>
      <c r="AG2547" s="93">
        <f t="shared" si="553"/>
        <v>0</v>
      </c>
      <c r="AH2547" s="93">
        <f t="shared" si="554"/>
        <v>0</v>
      </c>
      <c r="AI2547" s="88" t="s">
        <v>55</v>
      </c>
      <c r="AJ2547" s="93">
        <f t="shared" si="555"/>
        <v>0</v>
      </c>
      <c r="AK2547" s="93">
        <f t="shared" si="556"/>
        <v>0</v>
      </c>
      <c r="AL2547" s="93">
        <f t="shared" si="557"/>
        <v>0</v>
      </c>
      <c r="AN2547" s="93">
        <v>21</v>
      </c>
      <c r="AO2547" s="93">
        <f t="shared" si="558"/>
        <v>0</v>
      </c>
      <c r="AP2547" s="93">
        <f t="shared" si="559"/>
        <v>0</v>
      </c>
      <c r="AQ2547" s="94" t="s">
        <v>118</v>
      </c>
      <c r="AV2547" s="93">
        <f t="shared" si="560"/>
        <v>0</v>
      </c>
      <c r="AW2547" s="93">
        <f t="shared" si="561"/>
        <v>0</v>
      </c>
      <c r="AX2547" s="93">
        <f t="shared" si="562"/>
        <v>0</v>
      </c>
      <c r="AY2547" s="94" t="s">
        <v>3503</v>
      </c>
      <c r="AZ2547" s="94" t="s">
        <v>3504</v>
      </c>
      <c r="BA2547" s="88" t="s">
        <v>67</v>
      </c>
      <c r="BC2547" s="93">
        <f t="shared" si="563"/>
        <v>0</v>
      </c>
      <c r="BD2547" s="93">
        <f t="shared" si="564"/>
        <v>0</v>
      </c>
      <c r="BE2547" s="93">
        <v>0</v>
      </c>
      <c r="BF2547" s="93">
        <f t="shared" si="565"/>
        <v>0</v>
      </c>
      <c r="BH2547" s="93">
        <f t="shared" si="566"/>
        <v>0</v>
      </c>
      <c r="BI2547" s="93">
        <f t="shared" si="567"/>
        <v>0</v>
      </c>
      <c r="BJ2547" s="93">
        <f t="shared" si="568"/>
        <v>0</v>
      </c>
      <c r="BK2547" s="93"/>
      <c r="BL2547" s="93"/>
      <c r="BW2547" s="93" t="str">
        <f t="shared" si="569"/>
        <v>21</v>
      </c>
      <c r="BX2547" s="2" t="s">
        <v>3587</v>
      </c>
    </row>
    <row r="2548" spans="1:76" s="81" customFormat="1" ht="25.5" x14ac:dyDescent="0.25">
      <c r="A2548" s="72" t="s">
        <v>3588</v>
      </c>
      <c r="B2548" s="72" t="s">
        <v>55</v>
      </c>
      <c r="C2548" s="72" t="s">
        <v>3589</v>
      </c>
      <c r="D2548" s="175" t="s">
        <v>3590</v>
      </c>
      <c r="E2548" s="175"/>
      <c r="F2548" s="72" t="s">
        <v>213</v>
      </c>
      <c r="G2548" s="90">
        <v>81</v>
      </c>
      <c r="H2548" s="91"/>
      <c r="I2548" s="92" t="s">
        <v>63</v>
      </c>
      <c r="J2548" s="90">
        <f t="shared" si="542"/>
        <v>0</v>
      </c>
      <c r="K2548" s="90">
        <f t="shared" si="543"/>
        <v>0</v>
      </c>
      <c r="L2548" s="90">
        <f t="shared" si="544"/>
        <v>0</v>
      </c>
      <c r="M2548" s="90">
        <f t="shared" si="545"/>
        <v>0</v>
      </c>
      <c r="N2548" s="90">
        <v>0</v>
      </c>
      <c r="O2548" s="90">
        <f t="shared" si="546"/>
        <v>0</v>
      </c>
      <c r="P2548" s="92" t="s">
        <v>1652</v>
      </c>
      <c r="Z2548" s="93">
        <f t="shared" si="547"/>
        <v>0</v>
      </c>
      <c r="AB2548" s="93">
        <f t="shared" si="548"/>
        <v>0</v>
      </c>
      <c r="AC2548" s="93">
        <f t="shared" si="549"/>
        <v>0</v>
      </c>
      <c r="AD2548" s="93">
        <f t="shared" si="550"/>
        <v>0</v>
      </c>
      <c r="AE2548" s="93">
        <f t="shared" si="551"/>
        <v>0</v>
      </c>
      <c r="AF2548" s="93">
        <f t="shared" si="552"/>
        <v>0</v>
      </c>
      <c r="AG2548" s="93">
        <f t="shared" si="553"/>
        <v>0</v>
      </c>
      <c r="AH2548" s="93">
        <f t="shared" si="554"/>
        <v>0</v>
      </c>
      <c r="AI2548" s="88" t="s">
        <v>55</v>
      </c>
      <c r="AJ2548" s="93">
        <f t="shared" si="555"/>
        <v>0</v>
      </c>
      <c r="AK2548" s="93">
        <f t="shared" si="556"/>
        <v>0</v>
      </c>
      <c r="AL2548" s="93">
        <f t="shared" si="557"/>
        <v>0</v>
      </c>
      <c r="AN2548" s="93">
        <v>21</v>
      </c>
      <c r="AO2548" s="93">
        <f t="shared" si="558"/>
        <v>0</v>
      </c>
      <c r="AP2548" s="93">
        <f t="shared" si="559"/>
        <v>0</v>
      </c>
      <c r="AQ2548" s="94" t="s">
        <v>118</v>
      </c>
      <c r="AV2548" s="93">
        <f t="shared" si="560"/>
        <v>0</v>
      </c>
      <c r="AW2548" s="93">
        <f t="shared" si="561"/>
        <v>0</v>
      </c>
      <c r="AX2548" s="93">
        <f t="shared" si="562"/>
        <v>0</v>
      </c>
      <c r="AY2548" s="94" t="s">
        <v>3503</v>
      </c>
      <c r="AZ2548" s="94" t="s">
        <v>3504</v>
      </c>
      <c r="BA2548" s="88" t="s">
        <v>67</v>
      </c>
      <c r="BC2548" s="93">
        <f t="shared" si="563"/>
        <v>0</v>
      </c>
      <c r="BD2548" s="93">
        <f t="shared" si="564"/>
        <v>0</v>
      </c>
      <c r="BE2548" s="93">
        <v>0</v>
      </c>
      <c r="BF2548" s="93">
        <f t="shared" si="565"/>
        <v>0</v>
      </c>
      <c r="BH2548" s="93">
        <f t="shared" si="566"/>
        <v>0</v>
      </c>
      <c r="BI2548" s="93">
        <f t="shared" si="567"/>
        <v>0</v>
      </c>
      <c r="BJ2548" s="93">
        <f t="shared" si="568"/>
        <v>0</v>
      </c>
      <c r="BK2548" s="93"/>
      <c r="BL2548" s="93"/>
      <c r="BW2548" s="93" t="str">
        <f t="shared" si="569"/>
        <v>21</v>
      </c>
      <c r="BX2548" s="2" t="s">
        <v>3590</v>
      </c>
    </row>
    <row r="2549" spans="1:76" s="81" customFormat="1" ht="25.5" x14ac:dyDescent="0.25">
      <c r="A2549" s="72" t="s">
        <v>2741</v>
      </c>
      <c r="B2549" s="72" t="s">
        <v>55</v>
      </c>
      <c r="C2549" s="72" t="s">
        <v>3591</v>
      </c>
      <c r="D2549" s="175" t="s">
        <v>3592</v>
      </c>
      <c r="E2549" s="175"/>
      <c r="F2549" s="72" t="s">
        <v>213</v>
      </c>
      <c r="G2549" s="90">
        <v>425</v>
      </c>
      <c r="H2549" s="91"/>
      <c r="I2549" s="92" t="s">
        <v>63</v>
      </c>
      <c r="J2549" s="90">
        <f t="shared" si="542"/>
        <v>0</v>
      </c>
      <c r="K2549" s="90">
        <f t="shared" si="543"/>
        <v>0</v>
      </c>
      <c r="L2549" s="90">
        <f t="shared" si="544"/>
        <v>0</v>
      </c>
      <c r="M2549" s="90">
        <f t="shared" si="545"/>
        <v>0</v>
      </c>
      <c r="N2549" s="90">
        <v>0</v>
      </c>
      <c r="O2549" s="90">
        <f t="shared" si="546"/>
        <v>0</v>
      </c>
      <c r="P2549" s="92" t="s">
        <v>1652</v>
      </c>
      <c r="Z2549" s="93">
        <f t="shared" si="547"/>
        <v>0</v>
      </c>
      <c r="AB2549" s="93">
        <f t="shared" si="548"/>
        <v>0</v>
      </c>
      <c r="AC2549" s="93">
        <f t="shared" si="549"/>
        <v>0</v>
      </c>
      <c r="AD2549" s="93">
        <f t="shared" si="550"/>
        <v>0</v>
      </c>
      <c r="AE2549" s="93">
        <f t="shared" si="551"/>
        <v>0</v>
      </c>
      <c r="AF2549" s="93">
        <f t="shared" si="552"/>
        <v>0</v>
      </c>
      <c r="AG2549" s="93">
        <f t="shared" si="553"/>
        <v>0</v>
      </c>
      <c r="AH2549" s="93">
        <f t="shared" si="554"/>
        <v>0</v>
      </c>
      <c r="AI2549" s="88" t="s">
        <v>55</v>
      </c>
      <c r="AJ2549" s="93">
        <f t="shared" si="555"/>
        <v>0</v>
      </c>
      <c r="AK2549" s="93">
        <f t="shared" si="556"/>
        <v>0</v>
      </c>
      <c r="AL2549" s="93">
        <f t="shared" si="557"/>
        <v>0</v>
      </c>
      <c r="AN2549" s="93">
        <v>21</v>
      </c>
      <c r="AO2549" s="93">
        <f t="shared" si="558"/>
        <v>0</v>
      </c>
      <c r="AP2549" s="93">
        <f t="shared" si="559"/>
        <v>0</v>
      </c>
      <c r="AQ2549" s="94" t="s">
        <v>118</v>
      </c>
      <c r="AV2549" s="93">
        <f t="shared" si="560"/>
        <v>0</v>
      </c>
      <c r="AW2549" s="93">
        <f t="shared" si="561"/>
        <v>0</v>
      </c>
      <c r="AX2549" s="93">
        <f t="shared" si="562"/>
        <v>0</v>
      </c>
      <c r="AY2549" s="94" t="s">
        <v>3503</v>
      </c>
      <c r="AZ2549" s="94" t="s">
        <v>3504</v>
      </c>
      <c r="BA2549" s="88" t="s">
        <v>67</v>
      </c>
      <c r="BC2549" s="93">
        <f t="shared" si="563"/>
        <v>0</v>
      </c>
      <c r="BD2549" s="93">
        <f t="shared" si="564"/>
        <v>0</v>
      </c>
      <c r="BE2549" s="93">
        <v>0</v>
      </c>
      <c r="BF2549" s="93">
        <f t="shared" si="565"/>
        <v>0</v>
      </c>
      <c r="BH2549" s="93">
        <f t="shared" si="566"/>
        <v>0</v>
      </c>
      <c r="BI2549" s="93">
        <f t="shared" si="567"/>
        <v>0</v>
      </c>
      <c r="BJ2549" s="93">
        <f t="shared" si="568"/>
        <v>0</v>
      </c>
      <c r="BK2549" s="93"/>
      <c r="BL2549" s="93"/>
      <c r="BW2549" s="93" t="str">
        <f t="shared" si="569"/>
        <v>21</v>
      </c>
      <c r="BX2549" s="2" t="s">
        <v>3592</v>
      </c>
    </row>
    <row r="2550" spans="1:76" s="81" customFormat="1" ht="25.5" x14ac:dyDescent="0.25">
      <c r="A2550" s="72" t="s">
        <v>3593</v>
      </c>
      <c r="B2550" s="72" t="s">
        <v>55</v>
      </c>
      <c r="C2550" s="72" t="s">
        <v>3594</v>
      </c>
      <c r="D2550" s="175" t="s">
        <v>3595</v>
      </c>
      <c r="E2550" s="175"/>
      <c r="F2550" s="72" t="s">
        <v>213</v>
      </c>
      <c r="G2550" s="90">
        <v>3450</v>
      </c>
      <c r="H2550" s="91"/>
      <c r="I2550" s="92" t="s">
        <v>63</v>
      </c>
      <c r="J2550" s="90">
        <f t="shared" ref="J2550:J2581" si="570">G2550*AO2550</f>
        <v>0</v>
      </c>
      <c r="K2550" s="90">
        <f t="shared" ref="K2550:K2581" si="571">G2550*AP2550</f>
        <v>0</v>
      </c>
      <c r="L2550" s="90">
        <f t="shared" ref="L2550:L2581" si="572">G2550*H2550</f>
        <v>0</v>
      </c>
      <c r="M2550" s="90">
        <f t="shared" ref="M2550:M2581" si="573">L2550*(1+BW2550/100)</f>
        <v>0</v>
      </c>
      <c r="N2550" s="90">
        <v>0</v>
      </c>
      <c r="O2550" s="90">
        <f t="shared" ref="O2550:O2581" si="574">G2550*N2550</f>
        <v>0</v>
      </c>
      <c r="P2550" s="92" t="s">
        <v>1652</v>
      </c>
      <c r="Z2550" s="93">
        <f t="shared" ref="Z2550:Z2581" si="575">IF(AQ2550="5",BJ2550,0)</f>
        <v>0</v>
      </c>
      <c r="AB2550" s="93">
        <f t="shared" ref="AB2550:AB2581" si="576">IF(AQ2550="1",BH2550,0)</f>
        <v>0</v>
      </c>
      <c r="AC2550" s="93">
        <f t="shared" ref="AC2550:AC2581" si="577">IF(AQ2550="1",BI2550,0)</f>
        <v>0</v>
      </c>
      <c r="AD2550" s="93">
        <f t="shared" ref="AD2550:AD2581" si="578">IF(AQ2550="7",BH2550,0)</f>
        <v>0</v>
      </c>
      <c r="AE2550" s="93">
        <f t="shared" ref="AE2550:AE2581" si="579">IF(AQ2550="7",BI2550,0)</f>
        <v>0</v>
      </c>
      <c r="AF2550" s="93">
        <f t="shared" ref="AF2550:AF2581" si="580">IF(AQ2550="2",BH2550,0)</f>
        <v>0</v>
      </c>
      <c r="AG2550" s="93">
        <f t="shared" ref="AG2550:AG2581" si="581">IF(AQ2550="2",BI2550,0)</f>
        <v>0</v>
      </c>
      <c r="AH2550" s="93">
        <f t="shared" ref="AH2550:AH2581" si="582">IF(AQ2550="0",BJ2550,0)</f>
        <v>0</v>
      </c>
      <c r="AI2550" s="88" t="s">
        <v>55</v>
      </c>
      <c r="AJ2550" s="93">
        <f t="shared" ref="AJ2550:AJ2581" si="583">IF(AN2550=0,L2550,0)</f>
        <v>0</v>
      </c>
      <c r="AK2550" s="93">
        <f t="shared" ref="AK2550:AK2581" si="584">IF(AN2550=12,L2550,0)</f>
        <v>0</v>
      </c>
      <c r="AL2550" s="93">
        <f t="shared" ref="AL2550:AL2581" si="585">IF(AN2550=21,L2550,0)</f>
        <v>0</v>
      </c>
      <c r="AN2550" s="93">
        <v>21</v>
      </c>
      <c r="AO2550" s="93">
        <f t="shared" ref="AO2550:AO2581" si="586">H2550*0</f>
        <v>0</v>
      </c>
      <c r="AP2550" s="93">
        <f t="shared" ref="AP2550:AP2581" si="587">H2550*(1-0)</f>
        <v>0</v>
      </c>
      <c r="AQ2550" s="94" t="s">
        <v>118</v>
      </c>
      <c r="AV2550" s="93">
        <f t="shared" ref="AV2550:AV2581" si="588">AW2550+AX2550</f>
        <v>0</v>
      </c>
      <c r="AW2550" s="93">
        <f t="shared" ref="AW2550:AW2581" si="589">G2550*AO2550</f>
        <v>0</v>
      </c>
      <c r="AX2550" s="93">
        <f t="shared" ref="AX2550:AX2581" si="590">G2550*AP2550</f>
        <v>0</v>
      </c>
      <c r="AY2550" s="94" t="s">
        <v>3503</v>
      </c>
      <c r="AZ2550" s="94" t="s">
        <v>3504</v>
      </c>
      <c r="BA2550" s="88" t="s">
        <v>67</v>
      </c>
      <c r="BC2550" s="93">
        <f t="shared" ref="BC2550:BC2581" si="591">AW2550+AX2550</f>
        <v>0</v>
      </c>
      <c r="BD2550" s="93">
        <f t="shared" ref="BD2550:BD2581" si="592">H2550/(100-BE2550)*100</f>
        <v>0</v>
      </c>
      <c r="BE2550" s="93">
        <v>0</v>
      </c>
      <c r="BF2550" s="93">
        <f t="shared" ref="BF2550:BF2581" si="593">O2550</f>
        <v>0</v>
      </c>
      <c r="BH2550" s="93">
        <f t="shared" ref="BH2550:BH2581" si="594">G2550*AO2550</f>
        <v>0</v>
      </c>
      <c r="BI2550" s="93">
        <f t="shared" ref="BI2550:BI2581" si="595">G2550*AP2550</f>
        <v>0</v>
      </c>
      <c r="BJ2550" s="93">
        <f t="shared" ref="BJ2550:BJ2581" si="596">G2550*H2550</f>
        <v>0</v>
      </c>
      <c r="BK2550" s="93"/>
      <c r="BL2550" s="93"/>
      <c r="BW2550" s="93" t="str">
        <f t="shared" ref="BW2550:BW2581" si="597">I2550</f>
        <v>21</v>
      </c>
      <c r="BX2550" s="2" t="s">
        <v>3595</v>
      </c>
    </row>
    <row r="2551" spans="1:76" s="81" customFormat="1" ht="25.5" x14ac:dyDescent="0.25">
      <c r="A2551" s="72" t="s">
        <v>3596</v>
      </c>
      <c r="B2551" s="72" t="s">
        <v>55</v>
      </c>
      <c r="C2551" s="72" t="s">
        <v>3597</v>
      </c>
      <c r="D2551" s="175" t="s">
        <v>3598</v>
      </c>
      <c r="E2551" s="175"/>
      <c r="F2551" s="72" t="s">
        <v>213</v>
      </c>
      <c r="G2551" s="90">
        <v>88</v>
      </c>
      <c r="H2551" s="91"/>
      <c r="I2551" s="92" t="s">
        <v>63</v>
      </c>
      <c r="J2551" s="90">
        <f t="shared" si="570"/>
        <v>0</v>
      </c>
      <c r="K2551" s="90">
        <f t="shared" si="571"/>
        <v>0</v>
      </c>
      <c r="L2551" s="90">
        <f t="shared" si="572"/>
        <v>0</v>
      </c>
      <c r="M2551" s="90">
        <f t="shared" si="573"/>
        <v>0</v>
      </c>
      <c r="N2551" s="90">
        <v>0</v>
      </c>
      <c r="O2551" s="90">
        <f t="shared" si="574"/>
        <v>0</v>
      </c>
      <c r="P2551" s="92" t="s">
        <v>1652</v>
      </c>
      <c r="Z2551" s="93">
        <f t="shared" si="575"/>
        <v>0</v>
      </c>
      <c r="AB2551" s="93">
        <f t="shared" si="576"/>
        <v>0</v>
      </c>
      <c r="AC2551" s="93">
        <f t="shared" si="577"/>
        <v>0</v>
      </c>
      <c r="AD2551" s="93">
        <f t="shared" si="578"/>
        <v>0</v>
      </c>
      <c r="AE2551" s="93">
        <f t="shared" si="579"/>
        <v>0</v>
      </c>
      <c r="AF2551" s="93">
        <f t="shared" si="580"/>
        <v>0</v>
      </c>
      <c r="AG2551" s="93">
        <f t="shared" si="581"/>
        <v>0</v>
      </c>
      <c r="AH2551" s="93">
        <f t="shared" si="582"/>
        <v>0</v>
      </c>
      <c r="AI2551" s="88" t="s">
        <v>55</v>
      </c>
      <c r="AJ2551" s="93">
        <f t="shared" si="583"/>
        <v>0</v>
      </c>
      <c r="AK2551" s="93">
        <f t="shared" si="584"/>
        <v>0</v>
      </c>
      <c r="AL2551" s="93">
        <f t="shared" si="585"/>
        <v>0</v>
      </c>
      <c r="AN2551" s="93">
        <v>21</v>
      </c>
      <c r="AO2551" s="93">
        <f t="shared" si="586"/>
        <v>0</v>
      </c>
      <c r="AP2551" s="93">
        <f t="shared" si="587"/>
        <v>0</v>
      </c>
      <c r="AQ2551" s="94" t="s">
        <v>118</v>
      </c>
      <c r="AV2551" s="93">
        <f t="shared" si="588"/>
        <v>0</v>
      </c>
      <c r="AW2551" s="93">
        <f t="shared" si="589"/>
        <v>0</v>
      </c>
      <c r="AX2551" s="93">
        <f t="shared" si="590"/>
        <v>0</v>
      </c>
      <c r="AY2551" s="94" t="s">
        <v>3503</v>
      </c>
      <c r="AZ2551" s="94" t="s">
        <v>3504</v>
      </c>
      <c r="BA2551" s="88" t="s">
        <v>67</v>
      </c>
      <c r="BC2551" s="93">
        <f t="shared" si="591"/>
        <v>0</v>
      </c>
      <c r="BD2551" s="93">
        <f t="shared" si="592"/>
        <v>0</v>
      </c>
      <c r="BE2551" s="93">
        <v>0</v>
      </c>
      <c r="BF2551" s="93">
        <f t="shared" si="593"/>
        <v>0</v>
      </c>
      <c r="BH2551" s="93">
        <f t="shared" si="594"/>
        <v>0</v>
      </c>
      <c r="BI2551" s="93">
        <f t="shared" si="595"/>
        <v>0</v>
      </c>
      <c r="BJ2551" s="93">
        <f t="shared" si="596"/>
        <v>0</v>
      </c>
      <c r="BK2551" s="93"/>
      <c r="BL2551" s="93"/>
      <c r="BW2551" s="93" t="str">
        <f t="shared" si="597"/>
        <v>21</v>
      </c>
      <c r="BX2551" s="2" t="s">
        <v>3598</v>
      </c>
    </row>
    <row r="2552" spans="1:76" s="81" customFormat="1" ht="25.5" x14ac:dyDescent="0.25">
      <c r="A2552" s="72" t="s">
        <v>3599</v>
      </c>
      <c r="B2552" s="72" t="s">
        <v>55</v>
      </c>
      <c r="C2552" s="72" t="s">
        <v>3600</v>
      </c>
      <c r="D2552" s="175" t="s">
        <v>3601</v>
      </c>
      <c r="E2552" s="175"/>
      <c r="F2552" s="72" t="s">
        <v>213</v>
      </c>
      <c r="G2552" s="90">
        <v>72</v>
      </c>
      <c r="H2552" s="91"/>
      <c r="I2552" s="92" t="s">
        <v>63</v>
      </c>
      <c r="J2552" s="90">
        <f t="shared" si="570"/>
        <v>0</v>
      </c>
      <c r="K2552" s="90">
        <f t="shared" si="571"/>
        <v>0</v>
      </c>
      <c r="L2552" s="90">
        <f t="shared" si="572"/>
        <v>0</v>
      </c>
      <c r="M2552" s="90">
        <f t="shared" si="573"/>
        <v>0</v>
      </c>
      <c r="N2552" s="90">
        <v>0</v>
      </c>
      <c r="O2552" s="90">
        <f t="shared" si="574"/>
        <v>0</v>
      </c>
      <c r="P2552" s="92" t="s">
        <v>1652</v>
      </c>
      <c r="Z2552" s="93">
        <f t="shared" si="575"/>
        <v>0</v>
      </c>
      <c r="AB2552" s="93">
        <f t="shared" si="576"/>
        <v>0</v>
      </c>
      <c r="AC2552" s="93">
        <f t="shared" si="577"/>
        <v>0</v>
      </c>
      <c r="AD2552" s="93">
        <f t="shared" si="578"/>
        <v>0</v>
      </c>
      <c r="AE2552" s="93">
        <f t="shared" si="579"/>
        <v>0</v>
      </c>
      <c r="AF2552" s="93">
        <f t="shared" si="580"/>
        <v>0</v>
      </c>
      <c r="AG2552" s="93">
        <f t="shared" si="581"/>
        <v>0</v>
      </c>
      <c r="AH2552" s="93">
        <f t="shared" si="582"/>
        <v>0</v>
      </c>
      <c r="AI2552" s="88" t="s">
        <v>55</v>
      </c>
      <c r="AJ2552" s="93">
        <f t="shared" si="583"/>
        <v>0</v>
      </c>
      <c r="AK2552" s="93">
        <f t="shared" si="584"/>
        <v>0</v>
      </c>
      <c r="AL2552" s="93">
        <f t="shared" si="585"/>
        <v>0</v>
      </c>
      <c r="AN2552" s="93">
        <v>21</v>
      </c>
      <c r="AO2552" s="93">
        <f t="shared" si="586"/>
        <v>0</v>
      </c>
      <c r="AP2552" s="93">
        <f t="shared" si="587"/>
        <v>0</v>
      </c>
      <c r="AQ2552" s="94" t="s">
        <v>118</v>
      </c>
      <c r="AV2552" s="93">
        <f t="shared" si="588"/>
        <v>0</v>
      </c>
      <c r="AW2552" s="93">
        <f t="shared" si="589"/>
        <v>0</v>
      </c>
      <c r="AX2552" s="93">
        <f t="shared" si="590"/>
        <v>0</v>
      </c>
      <c r="AY2552" s="94" t="s">
        <v>3503</v>
      </c>
      <c r="AZ2552" s="94" t="s">
        <v>3504</v>
      </c>
      <c r="BA2552" s="88" t="s">
        <v>67</v>
      </c>
      <c r="BC2552" s="93">
        <f t="shared" si="591"/>
        <v>0</v>
      </c>
      <c r="BD2552" s="93">
        <f t="shared" si="592"/>
        <v>0</v>
      </c>
      <c r="BE2552" s="93">
        <v>0</v>
      </c>
      <c r="BF2552" s="93">
        <f t="shared" si="593"/>
        <v>0</v>
      </c>
      <c r="BH2552" s="93">
        <f t="shared" si="594"/>
        <v>0</v>
      </c>
      <c r="BI2552" s="93">
        <f t="shared" si="595"/>
        <v>0</v>
      </c>
      <c r="BJ2552" s="93">
        <f t="shared" si="596"/>
        <v>0</v>
      </c>
      <c r="BK2552" s="93"/>
      <c r="BL2552" s="93"/>
      <c r="BW2552" s="93" t="str">
        <f t="shared" si="597"/>
        <v>21</v>
      </c>
      <c r="BX2552" s="2" t="s">
        <v>3601</v>
      </c>
    </row>
    <row r="2553" spans="1:76" s="81" customFormat="1" ht="25.5" x14ac:dyDescent="0.25">
      <c r="A2553" s="72" t="s">
        <v>3602</v>
      </c>
      <c r="B2553" s="72" t="s">
        <v>55</v>
      </c>
      <c r="C2553" s="72" t="s">
        <v>3603</v>
      </c>
      <c r="D2553" s="175" t="s">
        <v>3604</v>
      </c>
      <c r="E2553" s="175"/>
      <c r="F2553" s="72" t="s">
        <v>3605</v>
      </c>
      <c r="G2553" s="90">
        <v>24</v>
      </c>
      <c r="H2553" s="91"/>
      <c r="I2553" s="92" t="s">
        <v>63</v>
      </c>
      <c r="J2553" s="90">
        <f t="shared" si="570"/>
        <v>0</v>
      </c>
      <c r="K2553" s="90">
        <f t="shared" si="571"/>
        <v>0</v>
      </c>
      <c r="L2553" s="90">
        <f t="shared" si="572"/>
        <v>0</v>
      </c>
      <c r="M2553" s="90">
        <f t="shared" si="573"/>
        <v>0</v>
      </c>
      <c r="N2553" s="90">
        <v>0</v>
      </c>
      <c r="O2553" s="90">
        <f t="shared" si="574"/>
        <v>0</v>
      </c>
      <c r="P2553" s="92" t="s">
        <v>1652</v>
      </c>
      <c r="Z2553" s="93">
        <f t="shared" si="575"/>
        <v>0</v>
      </c>
      <c r="AB2553" s="93">
        <f t="shared" si="576"/>
        <v>0</v>
      </c>
      <c r="AC2553" s="93">
        <f t="shared" si="577"/>
        <v>0</v>
      </c>
      <c r="AD2553" s="93">
        <f t="shared" si="578"/>
        <v>0</v>
      </c>
      <c r="AE2553" s="93">
        <f t="shared" si="579"/>
        <v>0</v>
      </c>
      <c r="AF2553" s="93">
        <f t="shared" si="580"/>
        <v>0</v>
      </c>
      <c r="AG2553" s="93">
        <f t="shared" si="581"/>
        <v>0</v>
      </c>
      <c r="AH2553" s="93">
        <f t="shared" si="582"/>
        <v>0</v>
      </c>
      <c r="AI2553" s="88" t="s">
        <v>55</v>
      </c>
      <c r="AJ2553" s="93">
        <f t="shared" si="583"/>
        <v>0</v>
      </c>
      <c r="AK2553" s="93">
        <f t="shared" si="584"/>
        <v>0</v>
      </c>
      <c r="AL2553" s="93">
        <f t="shared" si="585"/>
        <v>0</v>
      </c>
      <c r="AN2553" s="93">
        <v>21</v>
      </c>
      <c r="AO2553" s="93">
        <f t="shared" si="586"/>
        <v>0</v>
      </c>
      <c r="AP2553" s="93">
        <f t="shared" si="587"/>
        <v>0</v>
      </c>
      <c r="AQ2553" s="94" t="s">
        <v>118</v>
      </c>
      <c r="AV2553" s="93">
        <f t="shared" si="588"/>
        <v>0</v>
      </c>
      <c r="AW2553" s="93">
        <f t="shared" si="589"/>
        <v>0</v>
      </c>
      <c r="AX2553" s="93">
        <f t="shared" si="590"/>
        <v>0</v>
      </c>
      <c r="AY2553" s="94" t="s">
        <v>3503</v>
      </c>
      <c r="AZ2553" s="94" t="s">
        <v>3504</v>
      </c>
      <c r="BA2553" s="88" t="s">
        <v>67</v>
      </c>
      <c r="BC2553" s="93">
        <f t="shared" si="591"/>
        <v>0</v>
      </c>
      <c r="BD2553" s="93">
        <f t="shared" si="592"/>
        <v>0</v>
      </c>
      <c r="BE2553" s="93">
        <v>0</v>
      </c>
      <c r="BF2553" s="93">
        <f t="shared" si="593"/>
        <v>0</v>
      </c>
      <c r="BH2553" s="93">
        <f t="shared" si="594"/>
        <v>0</v>
      </c>
      <c r="BI2553" s="93">
        <f t="shared" si="595"/>
        <v>0</v>
      </c>
      <c r="BJ2553" s="93">
        <f t="shared" si="596"/>
        <v>0</v>
      </c>
      <c r="BK2553" s="93"/>
      <c r="BL2553" s="93"/>
      <c r="BW2553" s="93" t="str">
        <f t="shared" si="597"/>
        <v>21</v>
      </c>
      <c r="BX2553" s="2" t="s">
        <v>3604</v>
      </c>
    </row>
    <row r="2554" spans="1:76" s="81" customFormat="1" ht="25.5" x14ac:dyDescent="0.25">
      <c r="A2554" s="72" t="s">
        <v>2811</v>
      </c>
      <c r="B2554" s="72" t="s">
        <v>55</v>
      </c>
      <c r="C2554" s="72" t="s">
        <v>3606</v>
      </c>
      <c r="D2554" s="175" t="s">
        <v>3607</v>
      </c>
      <c r="E2554" s="175"/>
      <c r="F2554" s="72" t="s">
        <v>3523</v>
      </c>
      <c r="G2554" s="90">
        <v>31</v>
      </c>
      <c r="H2554" s="91"/>
      <c r="I2554" s="92" t="s">
        <v>63</v>
      </c>
      <c r="J2554" s="90">
        <f t="shared" si="570"/>
        <v>0</v>
      </c>
      <c r="K2554" s="90">
        <f t="shared" si="571"/>
        <v>0</v>
      </c>
      <c r="L2554" s="90">
        <f t="shared" si="572"/>
        <v>0</v>
      </c>
      <c r="M2554" s="90">
        <f t="shared" si="573"/>
        <v>0</v>
      </c>
      <c r="N2554" s="90">
        <v>0</v>
      </c>
      <c r="O2554" s="90">
        <f t="shared" si="574"/>
        <v>0</v>
      </c>
      <c r="P2554" s="92" t="s">
        <v>1652</v>
      </c>
      <c r="Z2554" s="93">
        <f t="shared" si="575"/>
        <v>0</v>
      </c>
      <c r="AB2554" s="93">
        <f t="shared" si="576"/>
        <v>0</v>
      </c>
      <c r="AC2554" s="93">
        <f t="shared" si="577"/>
        <v>0</v>
      </c>
      <c r="AD2554" s="93">
        <f t="shared" si="578"/>
        <v>0</v>
      </c>
      <c r="AE2554" s="93">
        <f t="shared" si="579"/>
        <v>0</v>
      </c>
      <c r="AF2554" s="93">
        <f t="shared" si="580"/>
        <v>0</v>
      </c>
      <c r="AG2554" s="93">
        <f t="shared" si="581"/>
        <v>0</v>
      </c>
      <c r="AH2554" s="93">
        <f t="shared" si="582"/>
        <v>0</v>
      </c>
      <c r="AI2554" s="88" t="s">
        <v>55</v>
      </c>
      <c r="AJ2554" s="93">
        <f t="shared" si="583"/>
        <v>0</v>
      </c>
      <c r="AK2554" s="93">
        <f t="shared" si="584"/>
        <v>0</v>
      </c>
      <c r="AL2554" s="93">
        <f t="shared" si="585"/>
        <v>0</v>
      </c>
      <c r="AN2554" s="93">
        <v>21</v>
      </c>
      <c r="AO2554" s="93">
        <f t="shared" si="586"/>
        <v>0</v>
      </c>
      <c r="AP2554" s="93">
        <f t="shared" si="587"/>
        <v>0</v>
      </c>
      <c r="AQ2554" s="94" t="s">
        <v>118</v>
      </c>
      <c r="AV2554" s="93">
        <f t="shared" si="588"/>
        <v>0</v>
      </c>
      <c r="AW2554" s="93">
        <f t="shared" si="589"/>
        <v>0</v>
      </c>
      <c r="AX2554" s="93">
        <f t="shared" si="590"/>
        <v>0</v>
      </c>
      <c r="AY2554" s="94" t="s">
        <v>3503</v>
      </c>
      <c r="AZ2554" s="94" t="s">
        <v>3504</v>
      </c>
      <c r="BA2554" s="88" t="s">
        <v>67</v>
      </c>
      <c r="BC2554" s="93">
        <f t="shared" si="591"/>
        <v>0</v>
      </c>
      <c r="BD2554" s="93">
        <f t="shared" si="592"/>
        <v>0</v>
      </c>
      <c r="BE2554" s="93">
        <v>0</v>
      </c>
      <c r="BF2554" s="93">
        <f t="shared" si="593"/>
        <v>0</v>
      </c>
      <c r="BH2554" s="93">
        <f t="shared" si="594"/>
        <v>0</v>
      </c>
      <c r="BI2554" s="93">
        <f t="shared" si="595"/>
        <v>0</v>
      </c>
      <c r="BJ2554" s="93">
        <f t="shared" si="596"/>
        <v>0</v>
      </c>
      <c r="BK2554" s="93"/>
      <c r="BL2554" s="93"/>
      <c r="BW2554" s="93" t="str">
        <f t="shared" si="597"/>
        <v>21</v>
      </c>
      <c r="BX2554" s="2" t="s">
        <v>3607</v>
      </c>
    </row>
    <row r="2555" spans="1:76" s="81" customFormat="1" ht="25.5" x14ac:dyDescent="0.25">
      <c r="A2555" s="72" t="s">
        <v>3608</v>
      </c>
      <c r="B2555" s="72" t="s">
        <v>55</v>
      </c>
      <c r="C2555" s="72" t="s">
        <v>3609</v>
      </c>
      <c r="D2555" s="175" t="s">
        <v>3610</v>
      </c>
      <c r="E2555" s="175"/>
      <c r="F2555" s="72" t="s">
        <v>3523</v>
      </c>
      <c r="G2555" s="90">
        <v>17</v>
      </c>
      <c r="H2555" s="91"/>
      <c r="I2555" s="92" t="s">
        <v>63</v>
      </c>
      <c r="J2555" s="90">
        <f t="shared" si="570"/>
        <v>0</v>
      </c>
      <c r="K2555" s="90">
        <f t="shared" si="571"/>
        <v>0</v>
      </c>
      <c r="L2555" s="90">
        <f t="shared" si="572"/>
        <v>0</v>
      </c>
      <c r="M2555" s="90">
        <f t="shared" si="573"/>
        <v>0</v>
      </c>
      <c r="N2555" s="90">
        <v>0</v>
      </c>
      <c r="O2555" s="90">
        <f t="shared" si="574"/>
        <v>0</v>
      </c>
      <c r="P2555" s="92" t="s">
        <v>1652</v>
      </c>
      <c r="Z2555" s="93">
        <f t="shared" si="575"/>
        <v>0</v>
      </c>
      <c r="AB2555" s="93">
        <f t="shared" si="576"/>
        <v>0</v>
      </c>
      <c r="AC2555" s="93">
        <f t="shared" si="577"/>
        <v>0</v>
      </c>
      <c r="AD2555" s="93">
        <f t="shared" si="578"/>
        <v>0</v>
      </c>
      <c r="AE2555" s="93">
        <f t="shared" si="579"/>
        <v>0</v>
      </c>
      <c r="AF2555" s="93">
        <f t="shared" si="580"/>
        <v>0</v>
      </c>
      <c r="AG2555" s="93">
        <f t="shared" si="581"/>
        <v>0</v>
      </c>
      <c r="AH2555" s="93">
        <f t="shared" si="582"/>
        <v>0</v>
      </c>
      <c r="AI2555" s="88" t="s">
        <v>55</v>
      </c>
      <c r="AJ2555" s="93">
        <f t="shared" si="583"/>
        <v>0</v>
      </c>
      <c r="AK2555" s="93">
        <f t="shared" si="584"/>
        <v>0</v>
      </c>
      <c r="AL2555" s="93">
        <f t="shared" si="585"/>
        <v>0</v>
      </c>
      <c r="AN2555" s="93">
        <v>21</v>
      </c>
      <c r="AO2555" s="93">
        <f t="shared" si="586"/>
        <v>0</v>
      </c>
      <c r="AP2555" s="93">
        <f t="shared" si="587"/>
        <v>0</v>
      </c>
      <c r="AQ2555" s="94" t="s">
        <v>118</v>
      </c>
      <c r="AV2555" s="93">
        <f t="shared" si="588"/>
        <v>0</v>
      </c>
      <c r="AW2555" s="93">
        <f t="shared" si="589"/>
        <v>0</v>
      </c>
      <c r="AX2555" s="93">
        <f t="shared" si="590"/>
        <v>0</v>
      </c>
      <c r="AY2555" s="94" t="s">
        <v>3503</v>
      </c>
      <c r="AZ2555" s="94" t="s">
        <v>3504</v>
      </c>
      <c r="BA2555" s="88" t="s">
        <v>67</v>
      </c>
      <c r="BC2555" s="93">
        <f t="shared" si="591"/>
        <v>0</v>
      </c>
      <c r="BD2555" s="93">
        <f t="shared" si="592"/>
        <v>0</v>
      </c>
      <c r="BE2555" s="93">
        <v>0</v>
      </c>
      <c r="BF2555" s="93">
        <f t="shared" si="593"/>
        <v>0</v>
      </c>
      <c r="BH2555" s="93">
        <f t="shared" si="594"/>
        <v>0</v>
      </c>
      <c r="BI2555" s="93">
        <f t="shared" si="595"/>
        <v>0</v>
      </c>
      <c r="BJ2555" s="93">
        <f t="shared" si="596"/>
        <v>0</v>
      </c>
      <c r="BK2555" s="93"/>
      <c r="BL2555" s="93"/>
      <c r="BW2555" s="93" t="str">
        <f t="shared" si="597"/>
        <v>21</v>
      </c>
      <c r="BX2555" s="2" t="s">
        <v>3610</v>
      </c>
    </row>
    <row r="2556" spans="1:76" s="81" customFormat="1" ht="25.5" x14ac:dyDescent="0.25">
      <c r="A2556" s="72" t="s">
        <v>3611</v>
      </c>
      <c r="B2556" s="72" t="s">
        <v>55</v>
      </c>
      <c r="C2556" s="72" t="s">
        <v>3612</v>
      </c>
      <c r="D2556" s="175" t="s">
        <v>3613</v>
      </c>
      <c r="E2556" s="175"/>
      <c r="F2556" s="72" t="s">
        <v>3523</v>
      </c>
      <c r="G2556" s="90">
        <v>6</v>
      </c>
      <c r="H2556" s="91"/>
      <c r="I2556" s="92" t="s">
        <v>63</v>
      </c>
      <c r="J2556" s="90">
        <f t="shared" si="570"/>
        <v>0</v>
      </c>
      <c r="K2556" s="90">
        <f t="shared" si="571"/>
        <v>0</v>
      </c>
      <c r="L2556" s="90">
        <f t="shared" si="572"/>
        <v>0</v>
      </c>
      <c r="M2556" s="90">
        <f t="shared" si="573"/>
        <v>0</v>
      </c>
      <c r="N2556" s="90">
        <v>0</v>
      </c>
      <c r="O2556" s="90">
        <f t="shared" si="574"/>
        <v>0</v>
      </c>
      <c r="P2556" s="92" t="s">
        <v>1652</v>
      </c>
      <c r="Z2556" s="93">
        <f t="shared" si="575"/>
        <v>0</v>
      </c>
      <c r="AB2556" s="93">
        <f t="shared" si="576"/>
        <v>0</v>
      </c>
      <c r="AC2556" s="93">
        <f t="shared" si="577"/>
        <v>0</v>
      </c>
      <c r="AD2556" s="93">
        <f t="shared" si="578"/>
        <v>0</v>
      </c>
      <c r="AE2556" s="93">
        <f t="shared" si="579"/>
        <v>0</v>
      </c>
      <c r="AF2556" s="93">
        <f t="shared" si="580"/>
        <v>0</v>
      </c>
      <c r="AG2556" s="93">
        <f t="shared" si="581"/>
        <v>0</v>
      </c>
      <c r="AH2556" s="93">
        <f t="shared" si="582"/>
        <v>0</v>
      </c>
      <c r="AI2556" s="88" t="s">
        <v>55</v>
      </c>
      <c r="AJ2556" s="93">
        <f t="shared" si="583"/>
        <v>0</v>
      </c>
      <c r="AK2556" s="93">
        <f t="shared" si="584"/>
        <v>0</v>
      </c>
      <c r="AL2556" s="93">
        <f t="shared" si="585"/>
        <v>0</v>
      </c>
      <c r="AN2556" s="93">
        <v>21</v>
      </c>
      <c r="AO2556" s="93">
        <f t="shared" si="586"/>
        <v>0</v>
      </c>
      <c r="AP2556" s="93">
        <f t="shared" si="587"/>
        <v>0</v>
      </c>
      <c r="AQ2556" s="94" t="s">
        <v>118</v>
      </c>
      <c r="AV2556" s="93">
        <f t="shared" si="588"/>
        <v>0</v>
      </c>
      <c r="AW2556" s="93">
        <f t="shared" si="589"/>
        <v>0</v>
      </c>
      <c r="AX2556" s="93">
        <f t="shared" si="590"/>
        <v>0</v>
      </c>
      <c r="AY2556" s="94" t="s">
        <v>3503</v>
      </c>
      <c r="AZ2556" s="94" t="s">
        <v>3504</v>
      </c>
      <c r="BA2556" s="88" t="s">
        <v>67</v>
      </c>
      <c r="BC2556" s="93">
        <f t="shared" si="591"/>
        <v>0</v>
      </c>
      <c r="BD2556" s="93">
        <f t="shared" si="592"/>
        <v>0</v>
      </c>
      <c r="BE2556" s="93">
        <v>0</v>
      </c>
      <c r="BF2556" s="93">
        <f t="shared" si="593"/>
        <v>0</v>
      </c>
      <c r="BH2556" s="93">
        <f t="shared" si="594"/>
        <v>0</v>
      </c>
      <c r="BI2556" s="93">
        <f t="shared" si="595"/>
        <v>0</v>
      </c>
      <c r="BJ2556" s="93">
        <f t="shared" si="596"/>
        <v>0</v>
      </c>
      <c r="BK2556" s="93"/>
      <c r="BL2556" s="93"/>
      <c r="BW2556" s="93" t="str">
        <f t="shared" si="597"/>
        <v>21</v>
      </c>
      <c r="BX2556" s="2" t="s">
        <v>3613</v>
      </c>
    </row>
    <row r="2557" spans="1:76" s="81" customFormat="1" ht="25.5" x14ac:dyDescent="0.25">
      <c r="A2557" s="72" t="s">
        <v>2859</v>
      </c>
      <c r="B2557" s="72" t="s">
        <v>55</v>
      </c>
      <c r="C2557" s="72" t="s">
        <v>3614</v>
      </c>
      <c r="D2557" s="175" t="s">
        <v>3615</v>
      </c>
      <c r="E2557" s="175"/>
      <c r="F2557" s="72" t="s">
        <v>3523</v>
      </c>
      <c r="G2557" s="90">
        <v>18</v>
      </c>
      <c r="H2557" s="91"/>
      <c r="I2557" s="92" t="s">
        <v>63</v>
      </c>
      <c r="J2557" s="90">
        <f t="shared" si="570"/>
        <v>0</v>
      </c>
      <c r="K2557" s="90">
        <f t="shared" si="571"/>
        <v>0</v>
      </c>
      <c r="L2557" s="90">
        <f t="shared" si="572"/>
        <v>0</v>
      </c>
      <c r="M2557" s="90">
        <f t="shared" si="573"/>
        <v>0</v>
      </c>
      <c r="N2557" s="90">
        <v>0</v>
      </c>
      <c r="O2557" s="90">
        <f t="shared" si="574"/>
        <v>0</v>
      </c>
      <c r="P2557" s="92" t="s">
        <v>1652</v>
      </c>
      <c r="Z2557" s="93">
        <f t="shared" si="575"/>
        <v>0</v>
      </c>
      <c r="AB2557" s="93">
        <f t="shared" si="576"/>
        <v>0</v>
      </c>
      <c r="AC2557" s="93">
        <f t="shared" si="577"/>
        <v>0</v>
      </c>
      <c r="AD2557" s="93">
        <f t="shared" si="578"/>
        <v>0</v>
      </c>
      <c r="AE2557" s="93">
        <f t="shared" si="579"/>
        <v>0</v>
      </c>
      <c r="AF2557" s="93">
        <f t="shared" si="580"/>
        <v>0</v>
      </c>
      <c r="AG2557" s="93">
        <f t="shared" si="581"/>
        <v>0</v>
      </c>
      <c r="AH2557" s="93">
        <f t="shared" si="582"/>
        <v>0</v>
      </c>
      <c r="AI2557" s="88" t="s">
        <v>55</v>
      </c>
      <c r="AJ2557" s="93">
        <f t="shared" si="583"/>
        <v>0</v>
      </c>
      <c r="AK2557" s="93">
        <f t="shared" si="584"/>
        <v>0</v>
      </c>
      <c r="AL2557" s="93">
        <f t="shared" si="585"/>
        <v>0</v>
      </c>
      <c r="AN2557" s="93">
        <v>21</v>
      </c>
      <c r="AO2557" s="93">
        <f t="shared" si="586"/>
        <v>0</v>
      </c>
      <c r="AP2557" s="93">
        <f t="shared" si="587"/>
        <v>0</v>
      </c>
      <c r="AQ2557" s="94" t="s">
        <v>118</v>
      </c>
      <c r="AV2557" s="93">
        <f t="shared" si="588"/>
        <v>0</v>
      </c>
      <c r="AW2557" s="93">
        <f t="shared" si="589"/>
        <v>0</v>
      </c>
      <c r="AX2557" s="93">
        <f t="shared" si="590"/>
        <v>0</v>
      </c>
      <c r="AY2557" s="94" t="s">
        <v>3503</v>
      </c>
      <c r="AZ2557" s="94" t="s">
        <v>3504</v>
      </c>
      <c r="BA2557" s="88" t="s">
        <v>67</v>
      </c>
      <c r="BC2557" s="93">
        <f t="shared" si="591"/>
        <v>0</v>
      </c>
      <c r="BD2557" s="93">
        <f t="shared" si="592"/>
        <v>0</v>
      </c>
      <c r="BE2557" s="93">
        <v>0</v>
      </c>
      <c r="BF2557" s="93">
        <f t="shared" si="593"/>
        <v>0</v>
      </c>
      <c r="BH2557" s="93">
        <f t="shared" si="594"/>
        <v>0</v>
      </c>
      <c r="BI2557" s="93">
        <f t="shared" si="595"/>
        <v>0</v>
      </c>
      <c r="BJ2557" s="93">
        <f t="shared" si="596"/>
        <v>0</v>
      </c>
      <c r="BK2557" s="93"/>
      <c r="BL2557" s="93"/>
      <c r="BW2557" s="93" t="str">
        <f t="shared" si="597"/>
        <v>21</v>
      </c>
      <c r="BX2557" s="2" t="s">
        <v>3615</v>
      </c>
    </row>
    <row r="2558" spans="1:76" s="81" customFormat="1" ht="25.5" x14ac:dyDescent="0.25">
      <c r="A2558" s="72" t="s">
        <v>3616</v>
      </c>
      <c r="B2558" s="72" t="s">
        <v>55</v>
      </c>
      <c r="C2558" s="72" t="s">
        <v>3617</v>
      </c>
      <c r="D2558" s="175" t="s">
        <v>3618</v>
      </c>
      <c r="E2558" s="175"/>
      <c r="F2558" s="72" t="s">
        <v>3523</v>
      </c>
      <c r="G2558" s="90">
        <v>12</v>
      </c>
      <c r="H2558" s="91"/>
      <c r="I2558" s="92" t="s">
        <v>63</v>
      </c>
      <c r="J2558" s="90">
        <f t="shared" si="570"/>
        <v>0</v>
      </c>
      <c r="K2558" s="90">
        <f t="shared" si="571"/>
        <v>0</v>
      </c>
      <c r="L2558" s="90">
        <f t="shared" si="572"/>
        <v>0</v>
      </c>
      <c r="M2558" s="90">
        <f t="shared" si="573"/>
        <v>0</v>
      </c>
      <c r="N2558" s="90">
        <v>0</v>
      </c>
      <c r="O2558" s="90">
        <f t="shared" si="574"/>
        <v>0</v>
      </c>
      <c r="P2558" s="92" t="s">
        <v>1652</v>
      </c>
      <c r="Z2558" s="93">
        <f t="shared" si="575"/>
        <v>0</v>
      </c>
      <c r="AB2558" s="93">
        <f t="shared" si="576"/>
        <v>0</v>
      </c>
      <c r="AC2558" s="93">
        <f t="shared" si="577"/>
        <v>0</v>
      </c>
      <c r="AD2558" s="93">
        <f t="shared" si="578"/>
        <v>0</v>
      </c>
      <c r="AE2558" s="93">
        <f t="shared" si="579"/>
        <v>0</v>
      </c>
      <c r="AF2558" s="93">
        <f t="shared" si="580"/>
        <v>0</v>
      </c>
      <c r="AG2558" s="93">
        <f t="shared" si="581"/>
        <v>0</v>
      </c>
      <c r="AH2558" s="93">
        <f t="shared" si="582"/>
        <v>0</v>
      </c>
      <c r="AI2558" s="88" t="s">
        <v>55</v>
      </c>
      <c r="AJ2558" s="93">
        <f t="shared" si="583"/>
        <v>0</v>
      </c>
      <c r="AK2558" s="93">
        <f t="shared" si="584"/>
        <v>0</v>
      </c>
      <c r="AL2558" s="93">
        <f t="shared" si="585"/>
        <v>0</v>
      </c>
      <c r="AN2558" s="93">
        <v>21</v>
      </c>
      <c r="AO2558" s="93">
        <f t="shared" si="586"/>
        <v>0</v>
      </c>
      <c r="AP2558" s="93">
        <f t="shared" si="587"/>
        <v>0</v>
      </c>
      <c r="AQ2558" s="94" t="s">
        <v>118</v>
      </c>
      <c r="AV2558" s="93">
        <f t="shared" si="588"/>
        <v>0</v>
      </c>
      <c r="AW2558" s="93">
        <f t="shared" si="589"/>
        <v>0</v>
      </c>
      <c r="AX2558" s="93">
        <f t="shared" si="590"/>
        <v>0</v>
      </c>
      <c r="AY2558" s="94" t="s">
        <v>3503</v>
      </c>
      <c r="AZ2558" s="94" t="s">
        <v>3504</v>
      </c>
      <c r="BA2558" s="88" t="s">
        <v>67</v>
      </c>
      <c r="BC2558" s="93">
        <f t="shared" si="591"/>
        <v>0</v>
      </c>
      <c r="BD2558" s="93">
        <f t="shared" si="592"/>
        <v>0</v>
      </c>
      <c r="BE2558" s="93">
        <v>0</v>
      </c>
      <c r="BF2558" s="93">
        <f t="shared" si="593"/>
        <v>0</v>
      </c>
      <c r="BH2558" s="93">
        <f t="shared" si="594"/>
        <v>0</v>
      </c>
      <c r="BI2558" s="93">
        <f t="shared" si="595"/>
        <v>0</v>
      </c>
      <c r="BJ2558" s="93">
        <f t="shared" si="596"/>
        <v>0</v>
      </c>
      <c r="BK2558" s="93"/>
      <c r="BL2558" s="93"/>
      <c r="BW2558" s="93" t="str">
        <f t="shared" si="597"/>
        <v>21</v>
      </c>
      <c r="BX2558" s="2" t="s">
        <v>3618</v>
      </c>
    </row>
    <row r="2559" spans="1:76" s="81" customFormat="1" ht="25.5" x14ac:dyDescent="0.25">
      <c r="A2559" s="72" t="s">
        <v>2893</v>
      </c>
      <c r="B2559" s="72" t="s">
        <v>55</v>
      </c>
      <c r="C2559" s="72" t="s">
        <v>3619</v>
      </c>
      <c r="D2559" s="175" t="s">
        <v>3620</v>
      </c>
      <c r="E2559" s="175"/>
      <c r="F2559" s="72" t="s">
        <v>3523</v>
      </c>
      <c r="G2559" s="90">
        <v>23</v>
      </c>
      <c r="H2559" s="91"/>
      <c r="I2559" s="92" t="s">
        <v>63</v>
      </c>
      <c r="J2559" s="90">
        <f t="shared" si="570"/>
        <v>0</v>
      </c>
      <c r="K2559" s="90">
        <f t="shared" si="571"/>
        <v>0</v>
      </c>
      <c r="L2559" s="90">
        <f t="shared" si="572"/>
        <v>0</v>
      </c>
      <c r="M2559" s="90">
        <f t="shared" si="573"/>
        <v>0</v>
      </c>
      <c r="N2559" s="90">
        <v>0</v>
      </c>
      <c r="O2559" s="90">
        <f t="shared" si="574"/>
        <v>0</v>
      </c>
      <c r="P2559" s="92" t="s">
        <v>1652</v>
      </c>
      <c r="Z2559" s="93">
        <f t="shared" si="575"/>
        <v>0</v>
      </c>
      <c r="AB2559" s="93">
        <f t="shared" si="576"/>
        <v>0</v>
      </c>
      <c r="AC2559" s="93">
        <f t="shared" si="577"/>
        <v>0</v>
      </c>
      <c r="AD2559" s="93">
        <f t="shared" si="578"/>
        <v>0</v>
      </c>
      <c r="AE2559" s="93">
        <f t="shared" si="579"/>
        <v>0</v>
      </c>
      <c r="AF2559" s="93">
        <f t="shared" si="580"/>
        <v>0</v>
      </c>
      <c r="AG2559" s="93">
        <f t="shared" si="581"/>
        <v>0</v>
      </c>
      <c r="AH2559" s="93">
        <f t="shared" si="582"/>
        <v>0</v>
      </c>
      <c r="AI2559" s="88" t="s">
        <v>55</v>
      </c>
      <c r="AJ2559" s="93">
        <f t="shared" si="583"/>
        <v>0</v>
      </c>
      <c r="AK2559" s="93">
        <f t="shared" si="584"/>
        <v>0</v>
      </c>
      <c r="AL2559" s="93">
        <f t="shared" si="585"/>
        <v>0</v>
      </c>
      <c r="AN2559" s="93">
        <v>21</v>
      </c>
      <c r="AO2559" s="93">
        <f t="shared" si="586"/>
        <v>0</v>
      </c>
      <c r="AP2559" s="93">
        <f t="shared" si="587"/>
        <v>0</v>
      </c>
      <c r="AQ2559" s="94" t="s">
        <v>118</v>
      </c>
      <c r="AV2559" s="93">
        <f t="shared" si="588"/>
        <v>0</v>
      </c>
      <c r="AW2559" s="93">
        <f t="shared" si="589"/>
        <v>0</v>
      </c>
      <c r="AX2559" s="93">
        <f t="shared" si="590"/>
        <v>0</v>
      </c>
      <c r="AY2559" s="94" t="s">
        <v>3503</v>
      </c>
      <c r="AZ2559" s="94" t="s">
        <v>3504</v>
      </c>
      <c r="BA2559" s="88" t="s">
        <v>67</v>
      </c>
      <c r="BC2559" s="93">
        <f t="shared" si="591"/>
        <v>0</v>
      </c>
      <c r="BD2559" s="93">
        <f t="shared" si="592"/>
        <v>0</v>
      </c>
      <c r="BE2559" s="93">
        <v>0</v>
      </c>
      <c r="BF2559" s="93">
        <f t="shared" si="593"/>
        <v>0</v>
      </c>
      <c r="BH2559" s="93">
        <f t="shared" si="594"/>
        <v>0</v>
      </c>
      <c r="BI2559" s="93">
        <f t="shared" si="595"/>
        <v>0</v>
      </c>
      <c r="BJ2559" s="93">
        <f t="shared" si="596"/>
        <v>0</v>
      </c>
      <c r="BK2559" s="93"/>
      <c r="BL2559" s="93"/>
      <c r="BW2559" s="93" t="str">
        <f t="shared" si="597"/>
        <v>21</v>
      </c>
      <c r="BX2559" s="2" t="s">
        <v>3620</v>
      </c>
    </row>
    <row r="2560" spans="1:76" s="81" customFormat="1" ht="25.5" x14ac:dyDescent="0.25">
      <c r="A2560" s="72" t="s">
        <v>2905</v>
      </c>
      <c r="B2560" s="72" t="s">
        <v>55</v>
      </c>
      <c r="C2560" s="72" t="s">
        <v>3621</v>
      </c>
      <c r="D2560" s="175" t="s">
        <v>3622</v>
      </c>
      <c r="E2560" s="175"/>
      <c r="F2560" s="72" t="s">
        <v>3523</v>
      </c>
      <c r="G2560" s="90">
        <v>6</v>
      </c>
      <c r="H2560" s="91"/>
      <c r="I2560" s="92" t="s">
        <v>63</v>
      </c>
      <c r="J2560" s="90">
        <f t="shared" si="570"/>
        <v>0</v>
      </c>
      <c r="K2560" s="90">
        <f t="shared" si="571"/>
        <v>0</v>
      </c>
      <c r="L2560" s="90">
        <f t="shared" si="572"/>
        <v>0</v>
      </c>
      <c r="M2560" s="90">
        <f t="shared" si="573"/>
        <v>0</v>
      </c>
      <c r="N2560" s="90">
        <v>0</v>
      </c>
      <c r="O2560" s="90">
        <f t="shared" si="574"/>
        <v>0</v>
      </c>
      <c r="P2560" s="92" t="s">
        <v>1652</v>
      </c>
      <c r="Z2560" s="93">
        <f t="shared" si="575"/>
        <v>0</v>
      </c>
      <c r="AB2560" s="93">
        <f t="shared" si="576"/>
        <v>0</v>
      </c>
      <c r="AC2560" s="93">
        <f t="shared" si="577"/>
        <v>0</v>
      </c>
      <c r="AD2560" s="93">
        <f t="shared" si="578"/>
        <v>0</v>
      </c>
      <c r="AE2560" s="93">
        <f t="shared" si="579"/>
        <v>0</v>
      </c>
      <c r="AF2560" s="93">
        <f t="shared" si="580"/>
        <v>0</v>
      </c>
      <c r="AG2560" s="93">
        <f t="shared" si="581"/>
        <v>0</v>
      </c>
      <c r="AH2560" s="93">
        <f t="shared" si="582"/>
        <v>0</v>
      </c>
      <c r="AI2560" s="88" t="s">
        <v>55</v>
      </c>
      <c r="AJ2560" s="93">
        <f t="shared" si="583"/>
        <v>0</v>
      </c>
      <c r="AK2560" s="93">
        <f t="shared" si="584"/>
        <v>0</v>
      </c>
      <c r="AL2560" s="93">
        <f t="shared" si="585"/>
        <v>0</v>
      </c>
      <c r="AN2560" s="93">
        <v>21</v>
      </c>
      <c r="AO2560" s="93">
        <f t="shared" si="586"/>
        <v>0</v>
      </c>
      <c r="AP2560" s="93">
        <f t="shared" si="587"/>
        <v>0</v>
      </c>
      <c r="AQ2560" s="94" t="s">
        <v>118</v>
      </c>
      <c r="AV2560" s="93">
        <f t="shared" si="588"/>
        <v>0</v>
      </c>
      <c r="AW2560" s="93">
        <f t="shared" si="589"/>
        <v>0</v>
      </c>
      <c r="AX2560" s="93">
        <f t="shared" si="590"/>
        <v>0</v>
      </c>
      <c r="AY2560" s="94" t="s">
        <v>3503</v>
      </c>
      <c r="AZ2560" s="94" t="s">
        <v>3504</v>
      </c>
      <c r="BA2560" s="88" t="s">
        <v>67</v>
      </c>
      <c r="BC2560" s="93">
        <f t="shared" si="591"/>
        <v>0</v>
      </c>
      <c r="BD2560" s="93">
        <f t="shared" si="592"/>
        <v>0</v>
      </c>
      <c r="BE2560" s="93">
        <v>0</v>
      </c>
      <c r="BF2560" s="93">
        <f t="shared" si="593"/>
        <v>0</v>
      </c>
      <c r="BH2560" s="93">
        <f t="shared" si="594"/>
        <v>0</v>
      </c>
      <c r="BI2560" s="93">
        <f t="shared" si="595"/>
        <v>0</v>
      </c>
      <c r="BJ2560" s="93">
        <f t="shared" si="596"/>
        <v>0</v>
      </c>
      <c r="BK2560" s="93"/>
      <c r="BL2560" s="93"/>
      <c r="BW2560" s="93" t="str">
        <f t="shared" si="597"/>
        <v>21</v>
      </c>
      <c r="BX2560" s="2" t="s">
        <v>3622</v>
      </c>
    </row>
    <row r="2561" spans="1:76" s="81" customFormat="1" ht="25.5" x14ac:dyDescent="0.25">
      <c r="A2561" s="72" t="s">
        <v>3623</v>
      </c>
      <c r="B2561" s="72" t="s">
        <v>55</v>
      </c>
      <c r="C2561" s="72" t="s">
        <v>3624</v>
      </c>
      <c r="D2561" s="175" t="s">
        <v>3625</v>
      </c>
      <c r="E2561" s="175"/>
      <c r="F2561" s="72" t="s">
        <v>3523</v>
      </c>
      <c r="G2561" s="90">
        <v>26</v>
      </c>
      <c r="H2561" s="91"/>
      <c r="I2561" s="92" t="s">
        <v>63</v>
      </c>
      <c r="J2561" s="90">
        <f t="shared" si="570"/>
        <v>0</v>
      </c>
      <c r="K2561" s="90">
        <f t="shared" si="571"/>
        <v>0</v>
      </c>
      <c r="L2561" s="90">
        <f t="shared" si="572"/>
        <v>0</v>
      </c>
      <c r="M2561" s="90">
        <f t="shared" si="573"/>
        <v>0</v>
      </c>
      <c r="N2561" s="90">
        <v>0</v>
      </c>
      <c r="O2561" s="90">
        <f t="shared" si="574"/>
        <v>0</v>
      </c>
      <c r="P2561" s="92" t="s">
        <v>1652</v>
      </c>
      <c r="Z2561" s="93">
        <f t="shared" si="575"/>
        <v>0</v>
      </c>
      <c r="AB2561" s="93">
        <f t="shared" si="576"/>
        <v>0</v>
      </c>
      <c r="AC2561" s="93">
        <f t="shared" si="577"/>
        <v>0</v>
      </c>
      <c r="AD2561" s="93">
        <f t="shared" si="578"/>
        <v>0</v>
      </c>
      <c r="AE2561" s="93">
        <f t="shared" si="579"/>
        <v>0</v>
      </c>
      <c r="AF2561" s="93">
        <f t="shared" si="580"/>
        <v>0</v>
      </c>
      <c r="AG2561" s="93">
        <f t="shared" si="581"/>
        <v>0</v>
      </c>
      <c r="AH2561" s="93">
        <f t="shared" si="582"/>
        <v>0</v>
      </c>
      <c r="AI2561" s="88" t="s">
        <v>55</v>
      </c>
      <c r="AJ2561" s="93">
        <f t="shared" si="583"/>
        <v>0</v>
      </c>
      <c r="AK2561" s="93">
        <f t="shared" si="584"/>
        <v>0</v>
      </c>
      <c r="AL2561" s="93">
        <f t="shared" si="585"/>
        <v>0</v>
      </c>
      <c r="AN2561" s="93">
        <v>21</v>
      </c>
      <c r="AO2561" s="93">
        <f t="shared" si="586"/>
        <v>0</v>
      </c>
      <c r="AP2561" s="93">
        <f t="shared" si="587"/>
        <v>0</v>
      </c>
      <c r="AQ2561" s="94" t="s">
        <v>118</v>
      </c>
      <c r="AV2561" s="93">
        <f t="shared" si="588"/>
        <v>0</v>
      </c>
      <c r="AW2561" s="93">
        <f t="shared" si="589"/>
        <v>0</v>
      </c>
      <c r="AX2561" s="93">
        <f t="shared" si="590"/>
        <v>0</v>
      </c>
      <c r="AY2561" s="94" t="s">
        <v>3503</v>
      </c>
      <c r="AZ2561" s="94" t="s">
        <v>3504</v>
      </c>
      <c r="BA2561" s="88" t="s">
        <v>67</v>
      </c>
      <c r="BC2561" s="93">
        <f t="shared" si="591"/>
        <v>0</v>
      </c>
      <c r="BD2561" s="93">
        <f t="shared" si="592"/>
        <v>0</v>
      </c>
      <c r="BE2561" s="93">
        <v>0</v>
      </c>
      <c r="BF2561" s="93">
        <f t="shared" si="593"/>
        <v>0</v>
      </c>
      <c r="BH2561" s="93">
        <f t="shared" si="594"/>
        <v>0</v>
      </c>
      <c r="BI2561" s="93">
        <f t="shared" si="595"/>
        <v>0</v>
      </c>
      <c r="BJ2561" s="93">
        <f t="shared" si="596"/>
        <v>0</v>
      </c>
      <c r="BK2561" s="93"/>
      <c r="BL2561" s="93"/>
      <c r="BW2561" s="93" t="str">
        <f t="shared" si="597"/>
        <v>21</v>
      </c>
      <c r="BX2561" s="2" t="s">
        <v>3625</v>
      </c>
    </row>
    <row r="2562" spans="1:76" s="81" customFormat="1" ht="25.5" x14ac:dyDescent="0.25">
      <c r="A2562" s="72" t="s">
        <v>3626</v>
      </c>
      <c r="B2562" s="72" t="s">
        <v>55</v>
      </c>
      <c r="C2562" s="72" t="s">
        <v>3627</v>
      </c>
      <c r="D2562" s="175" t="s">
        <v>3628</v>
      </c>
      <c r="E2562" s="175"/>
      <c r="F2562" s="72" t="s">
        <v>3523</v>
      </c>
      <c r="G2562" s="90">
        <v>4</v>
      </c>
      <c r="H2562" s="91"/>
      <c r="I2562" s="92" t="s">
        <v>63</v>
      </c>
      <c r="J2562" s="90">
        <f t="shared" si="570"/>
        <v>0</v>
      </c>
      <c r="K2562" s="90">
        <f t="shared" si="571"/>
        <v>0</v>
      </c>
      <c r="L2562" s="90">
        <f t="shared" si="572"/>
        <v>0</v>
      </c>
      <c r="M2562" s="90">
        <f t="shared" si="573"/>
        <v>0</v>
      </c>
      <c r="N2562" s="90">
        <v>0</v>
      </c>
      <c r="O2562" s="90">
        <f t="shared" si="574"/>
        <v>0</v>
      </c>
      <c r="P2562" s="92" t="s">
        <v>1652</v>
      </c>
      <c r="Z2562" s="93">
        <f t="shared" si="575"/>
        <v>0</v>
      </c>
      <c r="AB2562" s="93">
        <f t="shared" si="576"/>
        <v>0</v>
      </c>
      <c r="AC2562" s="93">
        <f t="shared" si="577"/>
        <v>0</v>
      </c>
      <c r="AD2562" s="93">
        <f t="shared" si="578"/>
        <v>0</v>
      </c>
      <c r="AE2562" s="93">
        <f t="shared" si="579"/>
        <v>0</v>
      </c>
      <c r="AF2562" s="93">
        <f t="shared" si="580"/>
        <v>0</v>
      </c>
      <c r="AG2562" s="93">
        <f t="shared" si="581"/>
        <v>0</v>
      </c>
      <c r="AH2562" s="93">
        <f t="shared" si="582"/>
        <v>0</v>
      </c>
      <c r="AI2562" s="88" t="s">
        <v>55</v>
      </c>
      <c r="AJ2562" s="93">
        <f t="shared" si="583"/>
        <v>0</v>
      </c>
      <c r="AK2562" s="93">
        <f t="shared" si="584"/>
        <v>0</v>
      </c>
      <c r="AL2562" s="93">
        <f t="shared" si="585"/>
        <v>0</v>
      </c>
      <c r="AN2562" s="93">
        <v>21</v>
      </c>
      <c r="AO2562" s="93">
        <f t="shared" si="586"/>
        <v>0</v>
      </c>
      <c r="AP2562" s="93">
        <f t="shared" si="587"/>
        <v>0</v>
      </c>
      <c r="AQ2562" s="94" t="s">
        <v>118</v>
      </c>
      <c r="AV2562" s="93">
        <f t="shared" si="588"/>
        <v>0</v>
      </c>
      <c r="AW2562" s="93">
        <f t="shared" si="589"/>
        <v>0</v>
      </c>
      <c r="AX2562" s="93">
        <f t="shared" si="590"/>
        <v>0</v>
      </c>
      <c r="AY2562" s="94" t="s">
        <v>3503</v>
      </c>
      <c r="AZ2562" s="94" t="s">
        <v>3504</v>
      </c>
      <c r="BA2562" s="88" t="s">
        <v>67</v>
      </c>
      <c r="BC2562" s="93">
        <f t="shared" si="591"/>
        <v>0</v>
      </c>
      <c r="BD2562" s="93">
        <f t="shared" si="592"/>
        <v>0</v>
      </c>
      <c r="BE2562" s="93">
        <v>0</v>
      </c>
      <c r="BF2562" s="93">
        <f t="shared" si="593"/>
        <v>0</v>
      </c>
      <c r="BH2562" s="93">
        <f t="shared" si="594"/>
        <v>0</v>
      </c>
      <c r="BI2562" s="93">
        <f t="shared" si="595"/>
        <v>0</v>
      </c>
      <c r="BJ2562" s="93">
        <f t="shared" si="596"/>
        <v>0</v>
      </c>
      <c r="BK2562" s="93"/>
      <c r="BL2562" s="93"/>
      <c r="BW2562" s="93" t="str">
        <f t="shared" si="597"/>
        <v>21</v>
      </c>
      <c r="BX2562" s="2" t="s">
        <v>3628</v>
      </c>
    </row>
    <row r="2563" spans="1:76" s="81" customFormat="1" ht="25.5" x14ac:dyDescent="0.25">
      <c r="A2563" s="72" t="s">
        <v>3629</v>
      </c>
      <c r="B2563" s="72" t="s">
        <v>55</v>
      </c>
      <c r="C2563" s="72" t="s">
        <v>3630</v>
      </c>
      <c r="D2563" s="175" t="s">
        <v>3631</v>
      </c>
      <c r="E2563" s="175"/>
      <c r="F2563" s="72" t="s">
        <v>3523</v>
      </c>
      <c r="G2563" s="90">
        <v>2</v>
      </c>
      <c r="H2563" s="91"/>
      <c r="I2563" s="92" t="s">
        <v>63</v>
      </c>
      <c r="J2563" s="90">
        <f t="shared" si="570"/>
        <v>0</v>
      </c>
      <c r="K2563" s="90">
        <f t="shared" si="571"/>
        <v>0</v>
      </c>
      <c r="L2563" s="90">
        <f t="shared" si="572"/>
        <v>0</v>
      </c>
      <c r="M2563" s="90">
        <f t="shared" si="573"/>
        <v>0</v>
      </c>
      <c r="N2563" s="90">
        <v>0</v>
      </c>
      <c r="O2563" s="90">
        <f t="shared" si="574"/>
        <v>0</v>
      </c>
      <c r="P2563" s="92" t="s">
        <v>1652</v>
      </c>
      <c r="Z2563" s="93">
        <f t="shared" si="575"/>
        <v>0</v>
      </c>
      <c r="AB2563" s="93">
        <f t="shared" si="576"/>
        <v>0</v>
      </c>
      <c r="AC2563" s="93">
        <f t="shared" si="577"/>
        <v>0</v>
      </c>
      <c r="AD2563" s="93">
        <f t="shared" si="578"/>
        <v>0</v>
      </c>
      <c r="AE2563" s="93">
        <f t="shared" si="579"/>
        <v>0</v>
      </c>
      <c r="AF2563" s="93">
        <f t="shared" si="580"/>
        <v>0</v>
      </c>
      <c r="AG2563" s="93">
        <f t="shared" si="581"/>
        <v>0</v>
      </c>
      <c r="AH2563" s="93">
        <f t="shared" si="582"/>
        <v>0</v>
      </c>
      <c r="AI2563" s="88" t="s">
        <v>55</v>
      </c>
      <c r="AJ2563" s="93">
        <f t="shared" si="583"/>
        <v>0</v>
      </c>
      <c r="AK2563" s="93">
        <f t="shared" si="584"/>
        <v>0</v>
      </c>
      <c r="AL2563" s="93">
        <f t="shared" si="585"/>
        <v>0</v>
      </c>
      <c r="AN2563" s="93">
        <v>21</v>
      </c>
      <c r="AO2563" s="93">
        <f t="shared" si="586"/>
        <v>0</v>
      </c>
      <c r="AP2563" s="93">
        <f t="shared" si="587"/>
        <v>0</v>
      </c>
      <c r="AQ2563" s="94" t="s">
        <v>118</v>
      </c>
      <c r="AV2563" s="93">
        <f t="shared" si="588"/>
        <v>0</v>
      </c>
      <c r="AW2563" s="93">
        <f t="shared" si="589"/>
        <v>0</v>
      </c>
      <c r="AX2563" s="93">
        <f t="shared" si="590"/>
        <v>0</v>
      </c>
      <c r="AY2563" s="94" t="s">
        <v>3503</v>
      </c>
      <c r="AZ2563" s="94" t="s">
        <v>3504</v>
      </c>
      <c r="BA2563" s="88" t="s">
        <v>67</v>
      </c>
      <c r="BC2563" s="93">
        <f t="shared" si="591"/>
        <v>0</v>
      </c>
      <c r="BD2563" s="93">
        <f t="shared" si="592"/>
        <v>0</v>
      </c>
      <c r="BE2563" s="93">
        <v>0</v>
      </c>
      <c r="BF2563" s="93">
        <f t="shared" si="593"/>
        <v>0</v>
      </c>
      <c r="BH2563" s="93">
        <f t="shared" si="594"/>
        <v>0</v>
      </c>
      <c r="BI2563" s="93">
        <f t="shared" si="595"/>
        <v>0</v>
      </c>
      <c r="BJ2563" s="93">
        <f t="shared" si="596"/>
        <v>0</v>
      </c>
      <c r="BK2563" s="93"/>
      <c r="BL2563" s="93"/>
      <c r="BW2563" s="93" t="str">
        <f t="shared" si="597"/>
        <v>21</v>
      </c>
      <c r="BX2563" s="2" t="s">
        <v>3631</v>
      </c>
    </row>
    <row r="2564" spans="1:76" s="81" customFormat="1" ht="25.5" x14ac:dyDescent="0.25">
      <c r="A2564" s="72" t="s">
        <v>3632</v>
      </c>
      <c r="B2564" s="72" t="s">
        <v>55</v>
      </c>
      <c r="C2564" s="72" t="s">
        <v>3633</v>
      </c>
      <c r="D2564" s="175" t="s">
        <v>3634</v>
      </c>
      <c r="E2564" s="175"/>
      <c r="F2564" s="72" t="s">
        <v>3523</v>
      </c>
      <c r="G2564" s="90">
        <v>17</v>
      </c>
      <c r="H2564" s="91"/>
      <c r="I2564" s="92" t="s">
        <v>63</v>
      </c>
      <c r="J2564" s="90">
        <f t="shared" si="570"/>
        <v>0</v>
      </c>
      <c r="K2564" s="90">
        <f t="shared" si="571"/>
        <v>0</v>
      </c>
      <c r="L2564" s="90">
        <f t="shared" si="572"/>
        <v>0</v>
      </c>
      <c r="M2564" s="90">
        <f t="shared" si="573"/>
        <v>0</v>
      </c>
      <c r="N2564" s="90">
        <v>0</v>
      </c>
      <c r="O2564" s="90">
        <f t="shared" si="574"/>
        <v>0</v>
      </c>
      <c r="P2564" s="92" t="s">
        <v>1652</v>
      </c>
      <c r="Z2564" s="93">
        <f t="shared" si="575"/>
        <v>0</v>
      </c>
      <c r="AB2564" s="93">
        <f t="shared" si="576"/>
        <v>0</v>
      </c>
      <c r="AC2564" s="93">
        <f t="shared" si="577"/>
        <v>0</v>
      </c>
      <c r="AD2564" s="93">
        <f t="shared" si="578"/>
        <v>0</v>
      </c>
      <c r="AE2564" s="93">
        <f t="shared" si="579"/>
        <v>0</v>
      </c>
      <c r="AF2564" s="93">
        <f t="shared" si="580"/>
        <v>0</v>
      </c>
      <c r="AG2564" s="93">
        <f t="shared" si="581"/>
        <v>0</v>
      </c>
      <c r="AH2564" s="93">
        <f t="shared" si="582"/>
        <v>0</v>
      </c>
      <c r="AI2564" s="88" t="s">
        <v>55</v>
      </c>
      <c r="AJ2564" s="93">
        <f t="shared" si="583"/>
        <v>0</v>
      </c>
      <c r="AK2564" s="93">
        <f t="shared" si="584"/>
        <v>0</v>
      </c>
      <c r="AL2564" s="93">
        <f t="shared" si="585"/>
        <v>0</v>
      </c>
      <c r="AN2564" s="93">
        <v>21</v>
      </c>
      <c r="AO2564" s="93">
        <f t="shared" si="586"/>
        <v>0</v>
      </c>
      <c r="AP2564" s="93">
        <f t="shared" si="587"/>
        <v>0</v>
      </c>
      <c r="AQ2564" s="94" t="s">
        <v>118</v>
      </c>
      <c r="AV2564" s="93">
        <f t="shared" si="588"/>
        <v>0</v>
      </c>
      <c r="AW2564" s="93">
        <f t="shared" si="589"/>
        <v>0</v>
      </c>
      <c r="AX2564" s="93">
        <f t="shared" si="590"/>
        <v>0</v>
      </c>
      <c r="AY2564" s="94" t="s">
        <v>3503</v>
      </c>
      <c r="AZ2564" s="94" t="s">
        <v>3504</v>
      </c>
      <c r="BA2564" s="88" t="s">
        <v>67</v>
      </c>
      <c r="BC2564" s="93">
        <f t="shared" si="591"/>
        <v>0</v>
      </c>
      <c r="BD2564" s="93">
        <f t="shared" si="592"/>
        <v>0</v>
      </c>
      <c r="BE2564" s="93">
        <v>0</v>
      </c>
      <c r="BF2564" s="93">
        <f t="shared" si="593"/>
        <v>0</v>
      </c>
      <c r="BH2564" s="93">
        <f t="shared" si="594"/>
        <v>0</v>
      </c>
      <c r="BI2564" s="93">
        <f t="shared" si="595"/>
        <v>0</v>
      </c>
      <c r="BJ2564" s="93">
        <f t="shared" si="596"/>
        <v>0</v>
      </c>
      <c r="BK2564" s="93"/>
      <c r="BL2564" s="93"/>
      <c r="BW2564" s="93" t="str">
        <f t="shared" si="597"/>
        <v>21</v>
      </c>
      <c r="BX2564" s="2" t="s">
        <v>3634</v>
      </c>
    </row>
    <row r="2565" spans="1:76" s="81" customFormat="1" ht="25.5" x14ac:dyDescent="0.25">
      <c r="A2565" s="72" t="s">
        <v>3635</v>
      </c>
      <c r="B2565" s="72" t="s">
        <v>55</v>
      </c>
      <c r="C2565" s="72" t="s">
        <v>3636</v>
      </c>
      <c r="D2565" s="175" t="s">
        <v>3637</v>
      </c>
      <c r="E2565" s="175"/>
      <c r="F2565" s="72" t="s">
        <v>3523</v>
      </c>
      <c r="G2565" s="90">
        <v>1</v>
      </c>
      <c r="H2565" s="91"/>
      <c r="I2565" s="92" t="s">
        <v>63</v>
      </c>
      <c r="J2565" s="90">
        <f t="shared" si="570"/>
        <v>0</v>
      </c>
      <c r="K2565" s="90">
        <f t="shared" si="571"/>
        <v>0</v>
      </c>
      <c r="L2565" s="90">
        <f t="shared" si="572"/>
        <v>0</v>
      </c>
      <c r="M2565" s="90">
        <f t="shared" si="573"/>
        <v>0</v>
      </c>
      <c r="N2565" s="90">
        <v>0</v>
      </c>
      <c r="O2565" s="90">
        <f t="shared" si="574"/>
        <v>0</v>
      </c>
      <c r="P2565" s="92" t="s">
        <v>1652</v>
      </c>
      <c r="Z2565" s="93">
        <f t="shared" si="575"/>
        <v>0</v>
      </c>
      <c r="AB2565" s="93">
        <f t="shared" si="576"/>
        <v>0</v>
      </c>
      <c r="AC2565" s="93">
        <f t="shared" si="577"/>
        <v>0</v>
      </c>
      <c r="AD2565" s="93">
        <f t="shared" si="578"/>
        <v>0</v>
      </c>
      <c r="AE2565" s="93">
        <f t="shared" si="579"/>
        <v>0</v>
      </c>
      <c r="AF2565" s="93">
        <f t="shared" si="580"/>
        <v>0</v>
      </c>
      <c r="AG2565" s="93">
        <f t="shared" si="581"/>
        <v>0</v>
      </c>
      <c r="AH2565" s="93">
        <f t="shared" si="582"/>
        <v>0</v>
      </c>
      <c r="AI2565" s="88" t="s">
        <v>55</v>
      </c>
      <c r="AJ2565" s="93">
        <f t="shared" si="583"/>
        <v>0</v>
      </c>
      <c r="AK2565" s="93">
        <f t="shared" si="584"/>
        <v>0</v>
      </c>
      <c r="AL2565" s="93">
        <f t="shared" si="585"/>
        <v>0</v>
      </c>
      <c r="AN2565" s="93">
        <v>21</v>
      </c>
      <c r="AO2565" s="93">
        <f t="shared" si="586"/>
        <v>0</v>
      </c>
      <c r="AP2565" s="93">
        <f t="shared" si="587"/>
        <v>0</v>
      </c>
      <c r="AQ2565" s="94" t="s">
        <v>118</v>
      </c>
      <c r="AV2565" s="93">
        <f t="shared" si="588"/>
        <v>0</v>
      </c>
      <c r="AW2565" s="93">
        <f t="shared" si="589"/>
        <v>0</v>
      </c>
      <c r="AX2565" s="93">
        <f t="shared" si="590"/>
        <v>0</v>
      </c>
      <c r="AY2565" s="94" t="s">
        <v>3503</v>
      </c>
      <c r="AZ2565" s="94" t="s">
        <v>3504</v>
      </c>
      <c r="BA2565" s="88" t="s">
        <v>67</v>
      </c>
      <c r="BC2565" s="93">
        <f t="shared" si="591"/>
        <v>0</v>
      </c>
      <c r="BD2565" s="93">
        <f t="shared" si="592"/>
        <v>0</v>
      </c>
      <c r="BE2565" s="93">
        <v>0</v>
      </c>
      <c r="BF2565" s="93">
        <f t="shared" si="593"/>
        <v>0</v>
      </c>
      <c r="BH2565" s="93">
        <f t="shared" si="594"/>
        <v>0</v>
      </c>
      <c r="BI2565" s="93">
        <f t="shared" si="595"/>
        <v>0</v>
      </c>
      <c r="BJ2565" s="93">
        <f t="shared" si="596"/>
        <v>0</v>
      </c>
      <c r="BK2565" s="93"/>
      <c r="BL2565" s="93"/>
      <c r="BW2565" s="93" t="str">
        <f t="shared" si="597"/>
        <v>21</v>
      </c>
      <c r="BX2565" s="2" t="s">
        <v>3637</v>
      </c>
    </row>
    <row r="2566" spans="1:76" s="81" customFormat="1" ht="25.5" x14ac:dyDescent="0.25">
      <c r="A2566" s="72" t="s">
        <v>3638</v>
      </c>
      <c r="B2566" s="72" t="s">
        <v>55</v>
      </c>
      <c r="C2566" s="72" t="s">
        <v>3639</v>
      </c>
      <c r="D2566" s="175" t="s">
        <v>3640</v>
      </c>
      <c r="E2566" s="175"/>
      <c r="F2566" s="72" t="s">
        <v>3523</v>
      </c>
      <c r="G2566" s="90">
        <v>127</v>
      </c>
      <c r="H2566" s="91"/>
      <c r="I2566" s="92" t="s">
        <v>63</v>
      </c>
      <c r="J2566" s="90">
        <f t="shared" si="570"/>
        <v>0</v>
      </c>
      <c r="K2566" s="90">
        <f t="shared" si="571"/>
        <v>0</v>
      </c>
      <c r="L2566" s="90">
        <f t="shared" si="572"/>
        <v>0</v>
      </c>
      <c r="M2566" s="90">
        <f t="shared" si="573"/>
        <v>0</v>
      </c>
      <c r="N2566" s="90">
        <v>0</v>
      </c>
      <c r="O2566" s="90">
        <f t="shared" si="574"/>
        <v>0</v>
      </c>
      <c r="P2566" s="92" t="s">
        <v>1652</v>
      </c>
      <c r="Z2566" s="93">
        <f t="shared" si="575"/>
        <v>0</v>
      </c>
      <c r="AB2566" s="93">
        <f t="shared" si="576"/>
        <v>0</v>
      </c>
      <c r="AC2566" s="93">
        <f t="shared" si="577"/>
        <v>0</v>
      </c>
      <c r="AD2566" s="93">
        <f t="shared" si="578"/>
        <v>0</v>
      </c>
      <c r="AE2566" s="93">
        <f t="shared" si="579"/>
        <v>0</v>
      </c>
      <c r="AF2566" s="93">
        <f t="shared" si="580"/>
        <v>0</v>
      </c>
      <c r="AG2566" s="93">
        <f t="shared" si="581"/>
        <v>0</v>
      </c>
      <c r="AH2566" s="93">
        <f t="shared" si="582"/>
        <v>0</v>
      </c>
      <c r="AI2566" s="88" t="s">
        <v>55</v>
      </c>
      <c r="AJ2566" s="93">
        <f t="shared" si="583"/>
        <v>0</v>
      </c>
      <c r="AK2566" s="93">
        <f t="shared" si="584"/>
        <v>0</v>
      </c>
      <c r="AL2566" s="93">
        <f t="shared" si="585"/>
        <v>0</v>
      </c>
      <c r="AN2566" s="93">
        <v>21</v>
      </c>
      <c r="AO2566" s="93">
        <f t="shared" si="586"/>
        <v>0</v>
      </c>
      <c r="AP2566" s="93">
        <f t="shared" si="587"/>
        <v>0</v>
      </c>
      <c r="AQ2566" s="94" t="s">
        <v>118</v>
      </c>
      <c r="AV2566" s="93">
        <f t="shared" si="588"/>
        <v>0</v>
      </c>
      <c r="AW2566" s="93">
        <f t="shared" si="589"/>
        <v>0</v>
      </c>
      <c r="AX2566" s="93">
        <f t="shared" si="590"/>
        <v>0</v>
      </c>
      <c r="AY2566" s="94" t="s">
        <v>3503</v>
      </c>
      <c r="AZ2566" s="94" t="s">
        <v>3504</v>
      </c>
      <c r="BA2566" s="88" t="s">
        <v>67</v>
      </c>
      <c r="BC2566" s="93">
        <f t="shared" si="591"/>
        <v>0</v>
      </c>
      <c r="BD2566" s="93">
        <f t="shared" si="592"/>
        <v>0</v>
      </c>
      <c r="BE2566" s="93">
        <v>0</v>
      </c>
      <c r="BF2566" s="93">
        <f t="shared" si="593"/>
        <v>0</v>
      </c>
      <c r="BH2566" s="93">
        <f t="shared" si="594"/>
        <v>0</v>
      </c>
      <c r="BI2566" s="93">
        <f t="shared" si="595"/>
        <v>0</v>
      </c>
      <c r="BJ2566" s="93">
        <f t="shared" si="596"/>
        <v>0</v>
      </c>
      <c r="BK2566" s="93"/>
      <c r="BL2566" s="93"/>
      <c r="BW2566" s="93" t="str">
        <f t="shared" si="597"/>
        <v>21</v>
      </c>
      <c r="BX2566" s="2" t="s">
        <v>3640</v>
      </c>
    </row>
    <row r="2567" spans="1:76" s="81" customFormat="1" ht="25.5" x14ac:dyDescent="0.25">
      <c r="A2567" s="72" t="s">
        <v>3641</v>
      </c>
      <c r="B2567" s="72" t="s">
        <v>55</v>
      </c>
      <c r="C2567" s="72" t="s">
        <v>3642</v>
      </c>
      <c r="D2567" s="175" t="s">
        <v>3643</v>
      </c>
      <c r="E2567" s="175"/>
      <c r="F2567" s="72" t="s">
        <v>3523</v>
      </c>
      <c r="G2567" s="90">
        <v>60</v>
      </c>
      <c r="H2567" s="91"/>
      <c r="I2567" s="92" t="s">
        <v>63</v>
      </c>
      <c r="J2567" s="90">
        <f t="shared" si="570"/>
        <v>0</v>
      </c>
      <c r="K2567" s="90">
        <f t="shared" si="571"/>
        <v>0</v>
      </c>
      <c r="L2567" s="90">
        <f t="shared" si="572"/>
        <v>0</v>
      </c>
      <c r="M2567" s="90">
        <f t="shared" si="573"/>
        <v>0</v>
      </c>
      <c r="N2567" s="90">
        <v>0</v>
      </c>
      <c r="O2567" s="90">
        <f t="shared" si="574"/>
        <v>0</v>
      </c>
      <c r="P2567" s="92" t="s">
        <v>1652</v>
      </c>
      <c r="Z2567" s="93">
        <f t="shared" si="575"/>
        <v>0</v>
      </c>
      <c r="AB2567" s="93">
        <f t="shared" si="576"/>
        <v>0</v>
      </c>
      <c r="AC2567" s="93">
        <f t="shared" si="577"/>
        <v>0</v>
      </c>
      <c r="AD2567" s="93">
        <f t="shared" si="578"/>
        <v>0</v>
      </c>
      <c r="AE2567" s="93">
        <f t="shared" si="579"/>
        <v>0</v>
      </c>
      <c r="AF2567" s="93">
        <f t="shared" si="580"/>
        <v>0</v>
      </c>
      <c r="AG2567" s="93">
        <f t="shared" si="581"/>
        <v>0</v>
      </c>
      <c r="AH2567" s="93">
        <f t="shared" si="582"/>
        <v>0</v>
      </c>
      <c r="AI2567" s="88" t="s">
        <v>55</v>
      </c>
      <c r="AJ2567" s="93">
        <f t="shared" si="583"/>
        <v>0</v>
      </c>
      <c r="AK2567" s="93">
        <f t="shared" si="584"/>
        <v>0</v>
      </c>
      <c r="AL2567" s="93">
        <f t="shared" si="585"/>
        <v>0</v>
      </c>
      <c r="AN2567" s="93">
        <v>21</v>
      </c>
      <c r="AO2567" s="93">
        <f t="shared" si="586"/>
        <v>0</v>
      </c>
      <c r="AP2567" s="93">
        <f t="shared" si="587"/>
        <v>0</v>
      </c>
      <c r="AQ2567" s="94" t="s">
        <v>118</v>
      </c>
      <c r="AV2567" s="93">
        <f t="shared" si="588"/>
        <v>0</v>
      </c>
      <c r="AW2567" s="93">
        <f t="shared" si="589"/>
        <v>0</v>
      </c>
      <c r="AX2567" s="93">
        <f t="shared" si="590"/>
        <v>0</v>
      </c>
      <c r="AY2567" s="94" t="s">
        <v>3503</v>
      </c>
      <c r="AZ2567" s="94" t="s">
        <v>3504</v>
      </c>
      <c r="BA2567" s="88" t="s">
        <v>67</v>
      </c>
      <c r="BC2567" s="93">
        <f t="shared" si="591"/>
        <v>0</v>
      </c>
      <c r="BD2567" s="93">
        <f t="shared" si="592"/>
        <v>0</v>
      </c>
      <c r="BE2567" s="93">
        <v>0</v>
      </c>
      <c r="BF2567" s="93">
        <f t="shared" si="593"/>
        <v>0</v>
      </c>
      <c r="BH2567" s="93">
        <f t="shared" si="594"/>
        <v>0</v>
      </c>
      <c r="BI2567" s="93">
        <f t="shared" si="595"/>
        <v>0</v>
      </c>
      <c r="BJ2567" s="93">
        <f t="shared" si="596"/>
        <v>0</v>
      </c>
      <c r="BK2567" s="93"/>
      <c r="BL2567" s="93"/>
      <c r="BW2567" s="93" t="str">
        <f t="shared" si="597"/>
        <v>21</v>
      </c>
      <c r="BX2567" s="2" t="s">
        <v>3643</v>
      </c>
    </row>
    <row r="2568" spans="1:76" s="81" customFormat="1" ht="25.5" x14ac:dyDescent="0.25">
      <c r="A2568" s="72" t="s">
        <v>2917</v>
      </c>
      <c r="B2568" s="72" t="s">
        <v>55</v>
      </c>
      <c r="C2568" s="72" t="s">
        <v>3644</v>
      </c>
      <c r="D2568" s="175" t="s">
        <v>3645</v>
      </c>
      <c r="E2568" s="175"/>
      <c r="F2568" s="72" t="s">
        <v>3523</v>
      </c>
      <c r="G2568" s="90">
        <v>19</v>
      </c>
      <c r="H2568" s="91"/>
      <c r="I2568" s="92" t="s">
        <v>63</v>
      </c>
      <c r="J2568" s="90">
        <f t="shared" si="570"/>
        <v>0</v>
      </c>
      <c r="K2568" s="90">
        <f t="shared" si="571"/>
        <v>0</v>
      </c>
      <c r="L2568" s="90">
        <f t="shared" si="572"/>
        <v>0</v>
      </c>
      <c r="M2568" s="90">
        <f t="shared" si="573"/>
        <v>0</v>
      </c>
      <c r="N2568" s="90">
        <v>0</v>
      </c>
      <c r="O2568" s="90">
        <f t="shared" si="574"/>
        <v>0</v>
      </c>
      <c r="P2568" s="92" t="s">
        <v>1652</v>
      </c>
      <c r="Z2568" s="93">
        <f t="shared" si="575"/>
        <v>0</v>
      </c>
      <c r="AB2568" s="93">
        <f t="shared" si="576"/>
        <v>0</v>
      </c>
      <c r="AC2568" s="93">
        <f t="shared" si="577"/>
        <v>0</v>
      </c>
      <c r="AD2568" s="93">
        <f t="shared" si="578"/>
        <v>0</v>
      </c>
      <c r="AE2568" s="93">
        <f t="shared" si="579"/>
        <v>0</v>
      </c>
      <c r="AF2568" s="93">
        <f t="shared" si="580"/>
        <v>0</v>
      </c>
      <c r="AG2568" s="93">
        <f t="shared" si="581"/>
        <v>0</v>
      </c>
      <c r="AH2568" s="93">
        <f t="shared" si="582"/>
        <v>0</v>
      </c>
      <c r="AI2568" s="88" t="s">
        <v>55</v>
      </c>
      <c r="AJ2568" s="93">
        <f t="shared" si="583"/>
        <v>0</v>
      </c>
      <c r="AK2568" s="93">
        <f t="shared" si="584"/>
        <v>0</v>
      </c>
      <c r="AL2568" s="93">
        <f t="shared" si="585"/>
        <v>0</v>
      </c>
      <c r="AN2568" s="93">
        <v>21</v>
      </c>
      <c r="AO2568" s="93">
        <f t="shared" si="586"/>
        <v>0</v>
      </c>
      <c r="AP2568" s="93">
        <f t="shared" si="587"/>
        <v>0</v>
      </c>
      <c r="AQ2568" s="94" t="s">
        <v>118</v>
      </c>
      <c r="AV2568" s="93">
        <f t="shared" si="588"/>
        <v>0</v>
      </c>
      <c r="AW2568" s="93">
        <f t="shared" si="589"/>
        <v>0</v>
      </c>
      <c r="AX2568" s="93">
        <f t="shared" si="590"/>
        <v>0</v>
      </c>
      <c r="AY2568" s="94" t="s">
        <v>3503</v>
      </c>
      <c r="AZ2568" s="94" t="s">
        <v>3504</v>
      </c>
      <c r="BA2568" s="88" t="s">
        <v>67</v>
      </c>
      <c r="BC2568" s="93">
        <f t="shared" si="591"/>
        <v>0</v>
      </c>
      <c r="BD2568" s="93">
        <f t="shared" si="592"/>
        <v>0</v>
      </c>
      <c r="BE2568" s="93">
        <v>0</v>
      </c>
      <c r="BF2568" s="93">
        <f t="shared" si="593"/>
        <v>0</v>
      </c>
      <c r="BH2568" s="93">
        <f t="shared" si="594"/>
        <v>0</v>
      </c>
      <c r="BI2568" s="93">
        <f t="shared" si="595"/>
        <v>0</v>
      </c>
      <c r="BJ2568" s="93">
        <f t="shared" si="596"/>
        <v>0</v>
      </c>
      <c r="BK2568" s="93"/>
      <c r="BL2568" s="93"/>
      <c r="BW2568" s="93" t="str">
        <f t="shared" si="597"/>
        <v>21</v>
      </c>
      <c r="BX2568" s="2" t="s">
        <v>3645</v>
      </c>
    </row>
    <row r="2569" spans="1:76" s="81" customFormat="1" ht="25.5" x14ac:dyDescent="0.25">
      <c r="A2569" s="72" t="s">
        <v>3646</v>
      </c>
      <c r="B2569" s="72" t="s">
        <v>55</v>
      </c>
      <c r="C2569" s="72" t="s">
        <v>3647</v>
      </c>
      <c r="D2569" s="175" t="s">
        <v>3648</v>
      </c>
      <c r="E2569" s="175"/>
      <c r="F2569" s="72" t="s">
        <v>3523</v>
      </c>
      <c r="G2569" s="90">
        <v>7</v>
      </c>
      <c r="H2569" s="91"/>
      <c r="I2569" s="92" t="s">
        <v>63</v>
      </c>
      <c r="J2569" s="90">
        <f t="shared" si="570"/>
        <v>0</v>
      </c>
      <c r="K2569" s="90">
        <f t="shared" si="571"/>
        <v>0</v>
      </c>
      <c r="L2569" s="90">
        <f t="shared" si="572"/>
        <v>0</v>
      </c>
      <c r="M2569" s="90">
        <f t="shared" si="573"/>
        <v>0</v>
      </c>
      <c r="N2569" s="90">
        <v>0</v>
      </c>
      <c r="O2569" s="90">
        <f t="shared" si="574"/>
        <v>0</v>
      </c>
      <c r="P2569" s="92" t="s">
        <v>1652</v>
      </c>
      <c r="Z2569" s="93">
        <f t="shared" si="575"/>
        <v>0</v>
      </c>
      <c r="AB2569" s="93">
        <f t="shared" si="576"/>
        <v>0</v>
      </c>
      <c r="AC2569" s="93">
        <f t="shared" si="577"/>
        <v>0</v>
      </c>
      <c r="AD2569" s="93">
        <f t="shared" si="578"/>
        <v>0</v>
      </c>
      <c r="AE2569" s="93">
        <f t="shared" si="579"/>
        <v>0</v>
      </c>
      <c r="AF2569" s="93">
        <f t="shared" si="580"/>
        <v>0</v>
      </c>
      <c r="AG2569" s="93">
        <f t="shared" si="581"/>
        <v>0</v>
      </c>
      <c r="AH2569" s="93">
        <f t="shared" si="582"/>
        <v>0</v>
      </c>
      <c r="AI2569" s="88" t="s">
        <v>55</v>
      </c>
      <c r="AJ2569" s="93">
        <f t="shared" si="583"/>
        <v>0</v>
      </c>
      <c r="AK2569" s="93">
        <f t="shared" si="584"/>
        <v>0</v>
      </c>
      <c r="AL2569" s="93">
        <f t="shared" si="585"/>
        <v>0</v>
      </c>
      <c r="AN2569" s="93">
        <v>21</v>
      </c>
      <c r="AO2569" s="93">
        <f t="shared" si="586"/>
        <v>0</v>
      </c>
      <c r="AP2569" s="93">
        <f t="shared" si="587"/>
        <v>0</v>
      </c>
      <c r="AQ2569" s="94" t="s">
        <v>118</v>
      </c>
      <c r="AV2569" s="93">
        <f t="shared" si="588"/>
        <v>0</v>
      </c>
      <c r="AW2569" s="93">
        <f t="shared" si="589"/>
        <v>0</v>
      </c>
      <c r="AX2569" s="93">
        <f t="shared" si="590"/>
        <v>0</v>
      </c>
      <c r="AY2569" s="94" t="s">
        <v>3503</v>
      </c>
      <c r="AZ2569" s="94" t="s">
        <v>3504</v>
      </c>
      <c r="BA2569" s="88" t="s">
        <v>67</v>
      </c>
      <c r="BC2569" s="93">
        <f t="shared" si="591"/>
        <v>0</v>
      </c>
      <c r="BD2569" s="93">
        <f t="shared" si="592"/>
        <v>0</v>
      </c>
      <c r="BE2569" s="93">
        <v>0</v>
      </c>
      <c r="BF2569" s="93">
        <f t="shared" si="593"/>
        <v>0</v>
      </c>
      <c r="BH2569" s="93">
        <f t="shared" si="594"/>
        <v>0</v>
      </c>
      <c r="BI2569" s="93">
        <f t="shared" si="595"/>
        <v>0</v>
      </c>
      <c r="BJ2569" s="93">
        <f t="shared" si="596"/>
        <v>0</v>
      </c>
      <c r="BK2569" s="93"/>
      <c r="BL2569" s="93"/>
      <c r="BW2569" s="93" t="str">
        <f t="shared" si="597"/>
        <v>21</v>
      </c>
      <c r="BX2569" s="2" t="s">
        <v>3648</v>
      </c>
    </row>
    <row r="2570" spans="1:76" s="81" customFormat="1" ht="25.5" x14ac:dyDescent="0.25">
      <c r="A2570" s="72" t="s">
        <v>3649</v>
      </c>
      <c r="B2570" s="72" t="s">
        <v>55</v>
      </c>
      <c r="C2570" s="72" t="s">
        <v>3650</v>
      </c>
      <c r="D2570" s="175" t="s">
        <v>3651</v>
      </c>
      <c r="E2570" s="175"/>
      <c r="F2570" s="72" t="s">
        <v>3523</v>
      </c>
      <c r="G2570" s="90">
        <v>21</v>
      </c>
      <c r="H2570" s="91"/>
      <c r="I2570" s="92" t="s">
        <v>63</v>
      </c>
      <c r="J2570" s="90">
        <f t="shared" si="570"/>
        <v>0</v>
      </c>
      <c r="K2570" s="90">
        <f t="shared" si="571"/>
        <v>0</v>
      </c>
      <c r="L2570" s="90">
        <f t="shared" si="572"/>
        <v>0</v>
      </c>
      <c r="M2570" s="90">
        <f t="shared" si="573"/>
        <v>0</v>
      </c>
      <c r="N2570" s="90">
        <v>0</v>
      </c>
      <c r="O2570" s="90">
        <f t="shared" si="574"/>
        <v>0</v>
      </c>
      <c r="P2570" s="92" t="s">
        <v>1652</v>
      </c>
      <c r="Z2570" s="93">
        <f t="shared" si="575"/>
        <v>0</v>
      </c>
      <c r="AB2570" s="93">
        <f t="shared" si="576"/>
        <v>0</v>
      </c>
      <c r="AC2570" s="93">
        <f t="shared" si="577"/>
        <v>0</v>
      </c>
      <c r="AD2570" s="93">
        <f t="shared" si="578"/>
        <v>0</v>
      </c>
      <c r="AE2570" s="93">
        <f t="shared" si="579"/>
        <v>0</v>
      </c>
      <c r="AF2570" s="93">
        <f t="shared" si="580"/>
        <v>0</v>
      </c>
      <c r="AG2570" s="93">
        <f t="shared" si="581"/>
        <v>0</v>
      </c>
      <c r="AH2570" s="93">
        <f t="shared" si="582"/>
        <v>0</v>
      </c>
      <c r="AI2570" s="88" t="s">
        <v>55</v>
      </c>
      <c r="AJ2570" s="93">
        <f t="shared" si="583"/>
        <v>0</v>
      </c>
      <c r="AK2570" s="93">
        <f t="shared" si="584"/>
        <v>0</v>
      </c>
      <c r="AL2570" s="93">
        <f t="shared" si="585"/>
        <v>0</v>
      </c>
      <c r="AN2570" s="93">
        <v>21</v>
      </c>
      <c r="AO2570" s="93">
        <f t="shared" si="586"/>
        <v>0</v>
      </c>
      <c r="AP2570" s="93">
        <f t="shared" si="587"/>
        <v>0</v>
      </c>
      <c r="AQ2570" s="94" t="s">
        <v>118</v>
      </c>
      <c r="AV2570" s="93">
        <f t="shared" si="588"/>
        <v>0</v>
      </c>
      <c r="AW2570" s="93">
        <f t="shared" si="589"/>
        <v>0</v>
      </c>
      <c r="AX2570" s="93">
        <f t="shared" si="590"/>
        <v>0</v>
      </c>
      <c r="AY2570" s="94" t="s">
        <v>3503</v>
      </c>
      <c r="AZ2570" s="94" t="s">
        <v>3504</v>
      </c>
      <c r="BA2570" s="88" t="s">
        <v>67</v>
      </c>
      <c r="BC2570" s="93">
        <f t="shared" si="591"/>
        <v>0</v>
      </c>
      <c r="BD2570" s="93">
        <f t="shared" si="592"/>
        <v>0</v>
      </c>
      <c r="BE2570" s="93">
        <v>0</v>
      </c>
      <c r="BF2570" s="93">
        <f t="shared" si="593"/>
        <v>0</v>
      </c>
      <c r="BH2570" s="93">
        <f t="shared" si="594"/>
        <v>0</v>
      </c>
      <c r="BI2570" s="93">
        <f t="shared" si="595"/>
        <v>0</v>
      </c>
      <c r="BJ2570" s="93">
        <f t="shared" si="596"/>
        <v>0</v>
      </c>
      <c r="BK2570" s="93"/>
      <c r="BL2570" s="93"/>
      <c r="BW2570" s="93" t="str">
        <f t="shared" si="597"/>
        <v>21</v>
      </c>
      <c r="BX2570" s="2" t="s">
        <v>3651</v>
      </c>
    </row>
    <row r="2571" spans="1:76" s="81" customFormat="1" ht="25.5" x14ac:dyDescent="0.25">
      <c r="A2571" s="72" t="s">
        <v>3652</v>
      </c>
      <c r="B2571" s="72" t="s">
        <v>55</v>
      </c>
      <c r="C2571" s="72" t="s">
        <v>3653</v>
      </c>
      <c r="D2571" s="175" t="s">
        <v>3654</v>
      </c>
      <c r="E2571" s="175"/>
      <c r="F2571" s="72" t="s">
        <v>3523</v>
      </c>
      <c r="G2571" s="90">
        <v>3</v>
      </c>
      <c r="H2571" s="91"/>
      <c r="I2571" s="92" t="s">
        <v>63</v>
      </c>
      <c r="J2571" s="90">
        <f t="shared" si="570"/>
        <v>0</v>
      </c>
      <c r="K2571" s="90">
        <f t="shared" si="571"/>
        <v>0</v>
      </c>
      <c r="L2571" s="90">
        <f t="shared" si="572"/>
        <v>0</v>
      </c>
      <c r="M2571" s="90">
        <f t="shared" si="573"/>
        <v>0</v>
      </c>
      <c r="N2571" s="90">
        <v>0</v>
      </c>
      <c r="O2571" s="90">
        <f t="shared" si="574"/>
        <v>0</v>
      </c>
      <c r="P2571" s="92" t="s">
        <v>1652</v>
      </c>
      <c r="Z2571" s="93">
        <f t="shared" si="575"/>
        <v>0</v>
      </c>
      <c r="AB2571" s="93">
        <f t="shared" si="576"/>
        <v>0</v>
      </c>
      <c r="AC2571" s="93">
        <f t="shared" si="577"/>
        <v>0</v>
      </c>
      <c r="AD2571" s="93">
        <f t="shared" si="578"/>
        <v>0</v>
      </c>
      <c r="AE2571" s="93">
        <f t="shared" si="579"/>
        <v>0</v>
      </c>
      <c r="AF2571" s="93">
        <f t="shared" si="580"/>
        <v>0</v>
      </c>
      <c r="AG2571" s="93">
        <f t="shared" si="581"/>
        <v>0</v>
      </c>
      <c r="AH2571" s="93">
        <f t="shared" si="582"/>
        <v>0</v>
      </c>
      <c r="AI2571" s="88" t="s">
        <v>55</v>
      </c>
      <c r="AJ2571" s="93">
        <f t="shared" si="583"/>
        <v>0</v>
      </c>
      <c r="AK2571" s="93">
        <f t="shared" si="584"/>
        <v>0</v>
      </c>
      <c r="AL2571" s="93">
        <f t="shared" si="585"/>
        <v>0</v>
      </c>
      <c r="AN2571" s="93">
        <v>21</v>
      </c>
      <c r="AO2571" s="93">
        <f t="shared" si="586"/>
        <v>0</v>
      </c>
      <c r="AP2571" s="93">
        <f t="shared" si="587"/>
        <v>0</v>
      </c>
      <c r="AQ2571" s="94" t="s">
        <v>118</v>
      </c>
      <c r="AV2571" s="93">
        <f t="shared" si="588"/>
        <v>0</v>
      </c>
      <c r="AW2571" s="93">
        <f t="shared" si="589"/>
        <v>0</v>
      </c>
      <c r="AX2571" s="93">
        <f t="shared" si="590"/>
        <v>0</v>
      </c>
      <c r="AY2571" s="94" t="s">
        <v>3503</v>
      </c>
      <c r="AZ2571" s="94" t="s">
        <v>3504</v>
      </c>
      <c r="BA2571" s="88" t="s">
        <v>67</v>
      </c>
      <c r="BC2571" s="93">
        <f t="shared" si="591"/>
        <v>0</v>
      </c>
      <c r="BD2571" s="93">
        <f t="shared" si="592"/>
        <v>0</v>
      </c>
      <c r="BE2571" s="93">
        <v>0</v>
      </c>
      <c r="BF2571" s="93">
        <f t="shared" si="593"/>
        <v>0</v>
      </c>
      <c r="BH2571" s="93">
        <f t="shared" si="594"/>
        <v>0</v>
      </c>
      <c r="BI2571" s="93">
        <f t="shared" si="595"/>
        <v>0</v>
      </c>
      <c r="BJ2571" s="93">
        <f t="shared" si="596"/>
        <v>0</v>
      </c>
      <c r="BK2571" s="93"/>
      <c r="BL2571" s="93"/>
      <c r="BW2571" s="93" t="str">
        <f t="shared" si="597"/>
        <v>21</v>
      </c>
      <c r="BX2571" s="2" t="s">
        <v>3654</v>
      </c>
    </row>
    <row r="2572" spans="1:76" s="81" customFormat="1" ht="25.5" x14ac:dyDescent="0.25">
      <c r="A2572" s="72" t="s">
        <v>3655</v>
      </c>
      <c r="B2572" s="72" t="s">
        <v>55</v>
      </c>
      <c r="C2572" s="72" t="s">
        <v>3656</v>
      </c>
      <c r="D2572" s="175" t="s">
        <v>3657</v>
      </c>
      <c r="E2572" s="175"/>
      <c r="F2572" s="72" t="s">
        <v>3523</v>
      </c>
      <c r="G2572" s="90">
        <v>6</v>
      </c>
      <c r="H2572" s="91"/>
      <c r="I2572" s="92" t="s">
        <v>63</v>
      </c>
      <c r="J2572" s="90">
        <f t="shared" si="570"/>
        <v>0</v>
      </c>
      <c r="K2572" s="90">
        <f t="shared" si="571"/>
        <v>0</v>
      </c>
      <c r="L2572" s="90">
        <f t="shared" si="572"/>
        <v>0</v>
      </c>
      <c r="M2572" s="90">
        <f t="shared" si="573"/>
        <v>0</v>
      </c>
      <c r="N2572" s="90">
        <v>0</v>
      </c>
      <c r="O2572" s="90">
        <f t="shared" si="574"/>
        <v>0</v>
      </c>
      <c r="P2572" s="92" t="s">
        <v>1652</v>
      </c>
      <c r="Z2572" s="93">
        <f t="shared" si="575"/>
        <v>0</v>
      </c>
      <c r="AB2572" s="93">
        <f t="shared" si="576"/>
        <v>0</v>
      </c>
      <c r="AC2572" s="93">
        <f t="shared" si="577"/>
        <v>0</v>
      </c>
      <c r="AD2572" s="93">
        <f t="shared" si="578"/>
        <v>0</v>
      </c>
      <c r="AE2572" s="93">
        <f t="shared" si="579"/>
        <v>0</v>
      </c>
      <c r="AF2572" s="93">
        <f t="shared" si="580"/>
        <v>0</v>
      </c>
      <c r="AG2572" s="93">
        <f t="shared" si="581"/>
        <v>0</v>
      </c>
      <c r="AH2572" s="93">
        <f t="shared" si="582"/>
        <v>0</v>
      </c>
      <c r="AI2572" s="88" t="s">
        <v>55</v>
      </c>
      <c r="AJ2572" s="93">
        <f t="shared" si="583"/>
        <v>0</v>
      </c>
      <c r="AK2572" s="93">
        <f t="shared" si="584"/>
        <v>0</v>
      </c>
      <c r="AL2572" s="93">
        <f t="shared" si="585"/>
        <v>0</v>
      </c>
      <c r="AN2572" s="93">
        <v>21</v>
      </c>
      <c r="AO2572" s="93">
        <f t="shared" si="586"/>
        <v>0</v>
      </c>
      <c r="AP2572" s="93">
        <f t="shared" si="587"/>
        <v>0</v>
      </c>
      <c r="AQ2572" s="94" t="s">
        <v>118</v>
      </c>
      <c r="AV2572" s="93">
        <f t="shared" si="588"/>
        <v>0</v>
      </c>
      <c r="AW2572" s="93">
        <f t="shared" si="589"/>
        <v>0</v>
      </c>
      <c r="AX2572" s="93">
        <f t="shared" si="590"/>
        <v>0</v>
      </c>
      <c r="AY2572" s="94" t="s">
        <v>3503</v>
      </c>
      <c r="AZ2572" s="94" t="s">
        <v>3504</v>
      </c>
      <c r="BA2572" s="88" t="s">
        <v>67</v>
      </c>
      <c r="BC2572" s="93">
        <f t="shared" si="591"/>
        <v>0</v>
      </c>
      <c r="BD2572" s="93">
        <f t="shared" si="592"/>
        <v>0</v>
      </c>
      <c r="BE2572" s="93">
        <v>0</v>
      </c>
      <c r="BF2572" s="93">
        <f t="shared" si="593"/>
        <v>0</v>
      </c>
      <c r="BH2572" s="93">
        <f t="shared" si="594"/>
        <v>0</v>
      </c>
      <c r="BI2572" s="93">
        <f t="shared" si="595"/>
        <v>0</v>
      </c>
      <c r="BJ2572" s="93">
        <f t="shared" si="596"/>
        <v>0</v>
      </c>
      <c r="BK2572" s="93"/>
      <c r="BL2572" s="93"/>
      <c r="BW2572" s="93" t="str">
        <f t="shared" si="597"/>
        <v>21</v>
      </c>
      <c r="BX2572" s="2" t="s">
        <v>3657</v>
      </c>
    </row>
    <row r="2573" spans="1:76" s="81" customFormat="1" ht="25.5" x14ac:dyDescent="0.25">
      <c r="A2573" s="72" t="s">
        <v>3658</v>
      </c>
      <c r="B2573" s="72" t="s">
        <v>55</v>
      </c>
      <c r="C2573" s="72" t="s">
        <v>3659</v>
      </c>
      <c r="D2573" s="175" t="s">
        <v>3660</v>
      </c>
      <c r="E2573" s="175"/>
      <c r="F2573" s="72" t="s">
        <v>3523</v>
      </c>
      <c r="G2573" s="90">
        <v>10</v>
      </c>
      <c r="H2573" s="91"/>
      <c r="I2573" s="92" t="s">
        <v>63</v>
      </c>
      <c r="J2573" s="90">
        <f t="shared" si="570"/>
        <v>0</v>
      </c>
      <c r="K2573" s="90">
        <f t="shared" si="571"/>
        <v>0</v>
      </c>
      <c r="L2573" s="90">
        <f t="shared" si="572"/>
        <v>0</v>
      </c>
      <c r="M2573" s="90">
        <f t="shared" si="573"/>
        <v>0</v>
      </c>
      <c r="N2573" s="90">
        <v>0</v>
      </c>
      <c r="O2573" s="90">
        <f t="shared" si="574"/>
        <v>0</v>
      </c>
      <c r="P2573" s="92" t="s">
        <v>1652</v>
      </c>
      <c r="Z2573" s="93">
        <f t="shared" si="575"/>
        <v>0</v>
      </c>
      <c r="AB2573" s="93">
        <f t="shared" si="576"/>
        <v>0</v>
      </c>
      <c r="AC2573" s="93">
        <f t="shared" si="577"/>
        <v>0</v>
      </c>
      <c r="AD2573" s="93">
        <f t="shared" si="578"/>
        <v>0</v>
      </c>
      <c r="AE2573" s="93">
        <f t="shared" si="579"/>
        <v>0</v>
      </c>
      <c r="AF2573" s="93">
        <f t="shared" si="580"/>
        <v>0</v>
      </c>
      <c r="AG2573" s="93">
        <f t="shared" si="581"/>
        <v>0</v>
      </c>
      <c r="AH2573" s="93">
        <f t="shared" si="582"/>
        <v>0</v>
      </c>
      <c r="AI2573" s="88" t="s">
        <v>55</v>
      </c>
      <c r="AJ2573" s="93">
        <f t="shared" si="583"/>
        <v>0</v>
      </c>
      <c r="AK2573" s="93">
        <f t="shared" si="584"/>
        <v>0</v>
      </c>
      <c r="AL2573" s="93">
        <f t="shared" si="585"/>
        <v>0</v>
      </c>
      <c r="AN2573" s="93">
        <v>21</v>
      </c>
      <c r="AO2573" s="93">
        <f t="shared" si="586"/>
        <v>0</v>
      </c>
      <c r="AP2573" s="93">
        <f t="shared" si="587"/>
        <v>0</v>
      </c>
      <c r="AQ2573" s="94" t="s">
        <v>118</v>
      </c>
      <c r="AV2573" s="93">
        <f t="shared" si="588"/>
        <v>0</v>
      </c>
      <c r="AW2573" s="93">
        <f t="shared" si="589"/>
        <v>0</v>
      </c>
      <c r="AX2573" s="93">
        <f t="shared" si="590"/>
        <v>0</v>
      </c>
      <c r="AY2573" s="94" t="s">
        <v>3503</v>
      </c>
      <c r="AZ2573" s="94" t="s">
        <v>3504</v>
      </c>
      <c r="BA2573" s="88" t="s">
        <v>67</v>
      </c>
      <c r="BC2573" s="93">
        <f t="shared" si="591"/>
        <v>0</v>
      </c>
      <c r="BD2573" s="93">
        <f t="shared" si="592"/>
        <v>0</v>
      </c>
      <c r="BE2573" s="93">
        <v>0</v>
      </c>
      <c r="BF2573" s="93">
        <f t="shared" si="593"/>
        <v>0</v>
      </c>
      <c r="BH2573" s="93">
        <f t="shared" si="594"/>
        <v>0</v>
      </c>
      <c r="BI2573" s="93">
        <f t="shared" si="595"/>
        <v>0</v>
      </c>
      <c r="BJ2573" s="93">
        <f t="shared" si="596"/>
        <v>0</v>
      </c>
      <c r="BK2573" s="93"/>
      <c r="BL2573" s="93"/>
      <c r="BW2573" s="93" t="str">
        <f t="shared" si="597"/>
        <v>21</v>
      </c>
      <c r="BX2573" s="2" t="s">
        <v>3660</v>
      </c>
    </row>
    <row r="2574" spans="1:76" s="81" customFormat="1" ht="25.5" x14ac:dyDescent="0.25">
      <c r="A2574" s="72" t="s">
        <v>3661</v>
      </c>
      <c r="B2574" s="72" t="s">
        <v>55</v>
      </c>
      <c r="C2574" s="72" t="s">
        <v>3662</v>
      </c>
      <c r="D2574" s="175" t="s">
        <v>3663</v>
      </c>
      <c r="E2574" s="175"/>
      <c r="F2574" s="72" t="s">
        <v>3523</v>
      </c>
      <c r="G2574" s="90">
        <v>9</v>
      </c>
      <c r="H2574" s="91"/>
      <c r="I2574" s="92" t="s">
        <v>63</v>
      </c>
      <c r="J2574" s="90">
        <f t="shared" si="570"/>
        <v>0</v>
      </c>
      <c r="K2574" s="90">
        <f t="shared" si="571"/>
        <v>0</v>
      </c>
      <c r="L2574" s="90">
        <f t="shared" si="572"/>
        <v>0</v>
      </c>
      <c r="M2574" s="90">
        <f t="shared" si="573"/>
        <v>0</v>
      </c>
      <c r="N2574" s="90">
        <v>0</v>
      </c>
      <c r="O2574" s="90">
        <f t="shared" si="574"/>
        <v>0</v>
      </c>
      <c r="P2574" s="92" t="s">
        <v>1652</v>
      </c>
      <c r="Z2574" s="93">
        <f t="shared" si="575"/>
        <v>0</v>
      </c>
      <c r="AB2574" s="93">
        <f t="shared" si="576"/>
        <v>0</v>
      </c>
      <c r="AC2574" s="93">
        <f t="shared" si="577"/>
        <v>0</v>
      </c>
      <c r="AD2574" s="93">
        <f t="shared" si="578"/>
        <v>0</v>
      </c>
      <c r="AE2574" s="93">
        <f t="shared" si="579"/>
        <v>0</v>
      </c>
      <c r="AF2574" s="93">
        <f t="shared" si="580"/>
        <v>0</v>
      </c>
      <c r="AG2574" s="93">
        <f t="shared" si="581"/>
        <v>0</v>
      </c>
      <c r="AH2574" s="93">
        <f t="shared" si="582"/>
        <v>0</v>
      </c>
      <c r="AI2574" s="88" t="s">
        <v>55</v>
      </c>
      <c r="AJ2574" s="93">
        <f t="shared" si="583"/>
        <v>0</v>
      </c>
      <c r="AK2574" s="93">
        <f t="shared" si="584"/>
        <v>0</v>
      </c>
      <c r="AL2574" s="93">
        <f t="shared" si="585"/>
        <v>0</v>
      </c>
      <c r="AN2574" s="93">
        <v>21</v>
      </c>
      <c r="AO2574" s="93">
        <f t="shared" si="586"/>
        <v>0</v>
      </c>
      <c r="AP2574" s="93">
        <f t="shared" si="587"/>
        <v>0</v>
      </c>
      <c r="AQ2574" s="94" t="s">
        <v>118</v>
      </c>
      <c r="AV2574" s="93">
        <f t="shared" si="588"/>
        <v>0</v>
      </c>
      <c r="AW2574" s="93">
        <f t="shared" si="589"/>
        <v>0</v>
      </c>
      <c r="AX2574" s="93">
        <f t="shared" si="590"/>
        <v>0</v>
      </c>
      <c r="AY2574" s="94" t="s">
        <v>3503</v>
      </c>
      <c r="AZ2574" s="94" t="s">
        <v>3504</v>
      </c>
      <c r="BA2574" s="88" t="s">
        <v>67</v>
      </c>
      <c r="BC2574" s="93">
        <f t="shared" si="591"/>
        <v>0</v>
      </c>
      <c r="BD2574" s="93">
        <f t="shared" si="592"/>
        <v>0</v>
      </c>
      <c r="BE2574" s="93">
        <v>0</v>
      </c>
      <c r="BF2574" s="93">
        <f t="shared" si="593"/>
        <v>0</v>
      </c>
      <c r="BH2574" s="93">
        <f t="shared" si="594"/>
        <v>0</v>
      </c>
      <c r="BI2574" s="93">
        <f t="shared" si="595"/>
        <v>0</v>
      </c>
      <c r="BJ2574" s="93">
        <f t="shared" si="596"/>
        <v>0</v>
      </c>
      <c r="BK2574" s="93"/>
      <c r="BL2574" s="93"/>
      <c r="BW2574" s="93" t="str">
        <f t="shared" si="597"/>
        <v>21</v>
      </c>
      <c r="BX2574" s="2" t="s">
        <v>3663</v>
      </c>
    </row>
    <row r="2575" spans="1:76" s="81" customFormat="1" ht="25.5" x14ac:dyDescent="0.25">
      <c r="A2575" s="72" t="s">
        <v>3664</v>
      </c>
      <c r="B2575" s="72" t="s">
        <v>55</v>
      </c>
      <c r="C2575" s="72" t="s">
        <v>3665</v>
      </c>
      <c r="D2575" s="175" t="s">
        <v>3666</v>
      </c>
      <c r="E2575" s="175"/>
      <c r="F2575" s="72" t="s">
        <v>3523</v>
      </c>
      <c r="G2575" s="90">
        <v>1</v>
      </c>
      <c r="H2575" s="91"/>
      <c r="I2575" s="92" t="s">
        <v>63</v>
      </c>
      <c r="J2575" s="90">
        <f t="shared" si="570"/>
        <v>0</v>
      </c>
      <c r="K2575" s="90">
        <f t="shared" si="571"/>
        <v>0</v>
      </c>
      <c r="L2575" s="90">
        <f t="shared" si="572"/>
        <v>0</v>
      </c>
      <c r="M2575" s="90">
        <f t="shared" si="573"/>
        <v>0</v>
      </c>
      <c r="N2575" s="90">
        <v>0</v>
      </c>
      <c r="O2575" s="90">
        <f t="shared" si="574"/>
        <v>0</v>
      </c>
      <c r="P2575" s="92" t="s">
        <v>1652</v>
      </c>
      <c r="Z2575" s="93">
        <f t="shared" si="575"/>
        <v>0</v>
      </c>
      <c r="AB2575" s="93">
        <f t="shared" si="576"/>
        <v>0</v>
      </c>
      <c r="AC2575" s="93">
        <f t="shared" si="577"/>
        <v>0</v>
      </c>
      <c r="AD2575" s="93">
        <f t="shared" si="578"/>
        <v>0</v>
      </c>
      <c r="AE2575" s="93">
        <f t="shared" si="579"/>
        <v>0</v>
      </c>
      <c r="AF2575" s="93">
        <f t="shared" si="580"/>
        <v>0</v>
      </c>
      <c r="AG2575" s="93">
        <f t="shared" si="581"/>
        <v>0</v>
      </c>
      <c r="AH2575" s="93">
        <f t="shared" si="582"/>
        <v>0</v>
      </c>
      <c r="AI2575" s="88" t="s">
        <v>55</v>
      </c>
      <c r="AJ2575" s="93">
        <f t="shared" si="583"/>
        <v>0</v>
      </c>
      <c r="AK2575" s="93">
        <f t="shared" si="584"/>
        <v>0</v>
      </c>
      <c r="AL2575" s="93">
        <f t="shared" si="585"/>
        <v>0</v>
      </c>
      <c r="AN2575" s="93">
        <v>21</v>
      </c>
      <c r="AO2575" s="93">
        <f t="shared" si="586"/>
        <v>0</v>
      </c>
      <c r="AP2575" s="93">
        <f t="shared" si="587"/>
        <v>0</v>
      </c>
      <c r="AQ2575" s="94" t="s">
        <v>118</v>
      </c>
      <c r="AV2575" s="93">
        <f t="shared" si="588"/>
        <v>0</v>
      </c>
      <c r="AW2575" s="93">
        <f t="shared" si="589"/>
        <v>0</v>
      </c>
      <c r="AX2575" s="93">
        <f t="shared" si="590"/>
        <v>0</v>
      </c>
      <c r="AY2575" s="94" t="s">
        <v>3503</v>
      </c>
      <c r="AZ2575" s="94" t="s">
        <v>3504</v>
      </c>
      <c r="BA2575" s="88" t="s">
        <v>67</v>
      </c>
      <c r="BC2575" s="93">
        <f t="shared" si="591"/>
        <v>0</v>
      </c>
      <c r="BD2575" s="93">
        <f t="shared" si="592"/>
        <v>0</v>
      </c>
      <c r="BE2575" s="93">
        <v>0</v>
      </c>
      <c r="BF2575" s="93">
        <f t="shared" si="593"/>
        <v>0</v>
      </c>
      <c r="BH2575" s="93">
        <f t="shared" si="594"/>
        <v>0</v>
      </c>
      <c r="BI2575" s="93">
        <f t="shared" si="595"/>
        <v>0</v>
      </c>
      <c r="BJ2575" s="93">
        <f t="shared" si="596"/>
        <v>0</v>
      </c>
      <c r="BK2575" s="93"/>
      <c r="BL2575" s="93"/>
      <c r="BW2575" s="93" t="str">
        <f t="shared" si="597"/>
        <v>21</v>
      </c>
      <c r="BX2575" s="2" t="s">
        <v>3666</v>
      </c>
    </row>
    <row r="2576" spans="1:76" s="81" customFormat="1" ht="25.5" x14ac:dyDescent="0.25">
      <c r="A2576" s="72" t="s">
        <v>3667</v>
      </c>
      <c r="B2576" s="72" t="s">
        <v>55</v>
      </c>
      <c r="C2576" s="72" t="s">
        <v>3668</v>
      </c>
      <c r="D2576" s="175" t="s">
        <v>3669</v>
      </c>
      <c r="E2576" s="175"/>
      <c r="F2576" s="72" t="s">
        <v>3523</v>
      </c>
      <c r="G2576" s="90">
        <v>11</v>
      </c>
      <c r="H2576" s="91"/>
      <c r="I2576" s="92" t="s">
        <v>63</v>
      </c>
      <c r="J2576" s="90">
        <f t="shared" si="570"/>
        <v>0</v>
      </c>
      <c r="K2576" s="90">
        <f t="shared" si="571"/>
        <v>0</v>
      </c>
      <c r="L2576" s="90">
        <f t="shared" si="572"/>
        <v>0</v>
      </c>
      <c r="M2576" s="90">
        <f t="shared" si="573"/>
        <v>0</v>
      </c>
      <c r="N2576" s="90">
        <v>0</v>
      </c>
      <c r="O2576" s="90">
        <f t="shared" si="574"/>
        <v>0</v>
      </c>
      <c r="P2576" s="92" t="s">
        <v>1652</v>
      </c>
      <c r="Z2576" s="93">
        <f t="shared" si="575"/>
        <v>0</v>
      </c>
      <c r="AB2576" s="93">
        <f t="shared" si="576"/>
        <v>0</v>
      </c>
      <c r="AC2576" s="93">
        <f t="shared" si="577"/>
        <v>0</v>
      </c>
      <c r="AD2576" s="93">
        <f t="shared" si="578"/>
        <v>0</v>
      </c>
      <c r="AE2576" s="93">
        <f t="shared" si="579"/>
        <v>0</v>
      </c>
      <c r="AF2576" s="93">
        <f t="shared" si="580"/>
        <v>0</v>
      </c>
      <c r="AG2576" s="93">
        <f t="shared" si="581"/>
        <v>0</v>
      </c>
      <c r="AH2576" s="93">
        <f t="shared" si="582"/>
        <v>0</v>
      </c>
      <c r="AI2576" s="88" t="s">
        <v>55</v>
      </c>
      <c r="AJ2576" s="93">
        <f t="shared" si="583"/>
        <v>0</v>
      </c>
      <c r="AK2576" s="93">
        <f t="shared" si="584"/>
        <v>0</v>
      </c>
      <c r="AL2576" s="93">
        <f t="shared" si="585"/>
        <v>0</v>
      </c>
      <c r="AN2576" s="93">
        <v>21</v>
      </c>
      <c r="AO2576" s="93">
        <f t="shared" si="586"/>
        <v>0</v>
      </c>
      <c r="AP2576" s="93">
        <f t="shared" si="587"/>
        <v>0</v>
      </c>
      <c r="AQ2576" s="94" t="s">
        <v>118</v>
      </c>
      <c r="AV2576" s="93">
        <f t="shared" si="588"/>
        <v>0</v>
      </c>
      <c r="AW2576" s="93">
        <f t="shared" si="589"/>
        <v>0</v>
      </c>
      <c r="AX2576" s="93">
        <f t="shared" si="590"/>
        <v>0</v>
      </c>
      <c r="AY2576" s="94" t="s">
        <v>3503</v>
      </c>
      <c r="AZ2576" s="94" t="s">
        <v>3504</v>
      </c>
      <c r="BA2576" s="88" t="s">
        <v>67</v>
      </c>
      <c r="BC2576" s="93">
        <f t="shared" si="591"/>
        <v>0</v>
      </c>
      <c r="BD2576" s="93">
        <f t="shared" si="592"/>
        <v>0</v>
      </c>
      <c r="BE2576" s="93">
        <v>0</v>
      </c>
      <c r="BF2576" s="93">
        <f t="shared" si="593"/>
        <v>0</v>
      </c>
      <c r="BH2576" s="93">
        <f t="shared" si="594"/>
        <v>0</v>
      </c>
      <c r="BI2576" s="93">
        <f t="shared" si="595"/>
        <v>0</v>
      </c>
      <c r="BJ2576" s="93">
        <f t="shared" si="596"/>
        <v>0</v>
      </c>
      <c r="BK2576" s="93"/>
      <c r="BL2576" s="93"/>
      <c r="BW2576" s="93" t="str">
        <f t="shared" si="597"/>
        <v>21</v>
      </c>
      <c r="BX2576" s="2" t="s">
        <v>3669</v>
      </c>
    </row>
    <row r="2577" spans="1:76" s="81" customFormat="1" ht="25.5" x14ac:dyDescent="0.25">
      <c r="A2577" s="72" t="s">
        <v>3670</v>
      </c>
      <c r="B2577" s="72" t="s">
        <v>55</v>
      </c>
      <c r="C2577" s="72" t="s">
        <v>3671</v>
      </c>
      <c r="D2577" s="175" t="s">
        <v>3672</v>
      </c>
      <c r="E2577" s="175"/>
      <c r="F2577" s="72" t="s">
        <v>3523</v>
      </c>
      <c r="G2577" s="90">
        <v>7</v>
      </c>
      <c r="H2577" s="91"/>
      <c r="I2577" s="92" t="s">
        <v>63</v>
      </c>
      <c r="J2577" s="90">
        <f t="shared" si="570"/>
        <v>0</v>
      </c>
      <c r="K2577" s="90">
        <f t="shared" si="571"/>
        <v>0</v>
      </c>
      <c r="L2577" s="90">
        <f t="shared" si="572"/>
        <v>0</v>
      </c>
      <c r="M2577" s="90">
        <f t="shared" si="573"/>
        <v>0</v>
      </c>
      <c r="N2577" s="90">
        <v>0</v>
      </c>
      <c r="O2577" s="90">
        <f t="shared" si="574"/>
        <v>0</v>
      </c>
      <c r="P2577" s="92" t="s">
        <v>1652</v>
      </c>
      <c r="Z2577" s="93">
        <f t="shared" si="575"/>
        <v>0</v>
      </c>
      <c r="AB2577" s="93">
        <f t="shared" si="576"/>
        <v>0</v>
      </c>
      <c r="AC2577" s="93">
        <f t="shared" si="577"/>
        <v>0</v>
      </c>
      <c r="AD2577" s="93">
        <f t="shared" si="578"/>
        <v>0</v>
      </c>
      <c r="AE2577" s="93">
        <f t="shared" si="579"/>
        <v>0</v>
      </c>
      <c r="AF2577" s="93">
        <f t="shared" si="580"/>
        <v>0</v>
      </c>
      <c r="AG2577" s="93">
        <f t="shared" si="581"/>
        <v>0</v>
      </c>
      <c r="AH2577" s="93">
        <f t="shared" si="582"/>
        <v>0</v>
      </c>
      <c r="AI2577" s="88" t="s">
        <v>55</v>
      </c>
      <c r="AJ2577" s="93">
        <f t="shared" si="583"/>
        <v>0</v>
      </c>
      <c r="AK2577" s="93">
        <f t="shared" si="584"/>
        <v>0</v>
      </c>
      <c r="AL2577" s="93">
        <f t="shared" si="585"/>
        <v>0</v>
      </c>
      <c r="AN2577" s="93">
        <v>21</v>
      </c>
      <c r="AO2577" s="93">
        <f t="shared" si="586"/>
        <v>0</v>
      </c>
      <c r="AP2577" s="93">
        <f t="shared" si="587"/>
        <v>0</v>
      </c>
      <c r="AQ2577" s="94" t="s">
        <v>118</v>
      </c>
      <c r="AV2577" s="93">
        <f t="shared" si="588"/>
        <v>0</v>
      </c>
      <c r="AW2577" s="93">
        <f t="shared" si="589"/>
        <v>0</v>
      </c>
      <c r="AX2577" s="93">
        <f t="shared" si="590"/>
        <v>0</v>
      </c>
      <c r="AY2577" s="94" t="s">
        <v>3503</v>
      </c>
      <c r="AZ2577" s="94" t="s">
        <v>3504</v>
      </c>
      <c r="BA2577" s="88" t="s">
        <v>67</v>
      </c>
      <c r="BC2577" s="93">
        <f t="shared" si="591"/>
        <v>0</v>
      </c>
      <c r="BD2577" s="93">
        <f t="shared" si="592"/>
        <v>0</v>
      </c>
      <c r="BE2577" s="93">
        <v>0</v>
      </c>
      <c r="BF2577" s="93">
        <f t="shared" si="593"/>
        <v>0</v>
      </c>
      <c r="BH2577" s="93">
        <f t="shared" si="594"/>
        <v>0</v>
      </c>
      <c r="BI2577" s="93">
        <f t="shared" si="595"/>
        <v>0</v>
      </c>
      <c r="BJ2577" s="93">
        <f t="shared" si="596"/>
        <v>0</v>
      </c>
      <c r="BK2577" s="93"/>
      <c r="BL2577" s="93"/>
      <c r="BW2577" s="93" t="str">
        <f t="shared" si="597"/>
        <v>21</v>
      </c>
      <c r="BX2577" s="2" t="s">
        <v>3672</v>
      </c>
    </row>
    <row r="2578" spans="1:76" s="81" customFormat="1" ht="25.5" x14ac:dyDescent="0.25">
      <c r="A2578" s="72" t="s">
        <v>3673</v>
      </c>
      <c r="B2578" s="72" t="s">
        <v>55</v>
      </c>
      <c r="C2578" s="72" t="s">
        <v>3674</v>
      </c>
      <c r="D2578" s="175" t="s">
        <v>3675</v>
      </c>
      <c r="E2578" s="175"/>
      <c r="F2578" s="72" t="s">
        <v>3523</v>
      </c>
      <c r="G2578" s="90">
        <v>1</v>
      </c>
      <c r="H2578" s="91"/>
      <c r="I2578" s="92" t="s">
        <v>63</v>
      </c>
      <c r="J2578" s="90">
        <f t="shared" si="570"/>
        <v>0</v>
      </c>
      <c r="K2578" s="90">
        <f t="shared" si="571"/>
        <v>0</v>
      </c>
      <c r="L2578" s="90">
        <f t="shared" si="572"/>
        <v>0</v>
      </c>
      <c r="M2578" s="90">
        <f t="shared" si="573"/>
        <v>0</v>
      </c>
      <c r="N2578" s="90">
        <v>0</v>
      </c>
      <c r="O2578" s="90">
        <f t="shared" si="574"/>
        <v>0</v>
      </c>
      <c r="P2578" s="92" t="s">
        <v>1652</v>
      </c>
      <c r="Z2578" s="93">
        <f t="shared" si="575"/>
        <v>0</v>
      </c>
      <c r="AB2578" s="93">
        <f t="shared" si="576"/>
        <v>0</v>
      </c>
      <c r="AC2578" s="93">
        <f t="shared" si="577"/>
        <v>0</v>
      </c>
      <c r="AD2578" s="93">
        <f t="shared" si="578"/>
        <v>0</v>
      </c>
      <c r="AE2578" s="93">
        <f t="shared" si="579"/>
        <v>0</v>
      </c>
      <c r="AF2578" s="93">
        <f t="shared" si="580"/>
        <v>0</v>
      </c>
      <c r="AG2578" s="93">
        <f t="shared" si="581"/>
        <v>0</v>
      </c>
      <c r="AH2578" s="93">
        <f t="shared" si="582"/>
        <v>0</v>
      </c>
      <c r="AI2578" s="88" t="s">
        <v>55</v>
      </c>
      <c r="AJ2578" s="93">
        <f t="shared" si="583"/>
        <v>0</v>
      </c>
      <c r="AK2578" s="93">
        <f t="shared" si="584"/>
        <v>0</v>
      </c>
      <c r="AL2578" s="93">
        <f t="shared" si="585"/>
        <v>0</v>
      </c>
      <c r="AN2578" s="93">
        <v>21</v>
      </c>
      <c r="AO2578" s="93">
        <f t="shared" si="586"/>
        <v>0</v>
      </c>
      <c r="AP2578" s="93">
        <f t="shared" si="587"/>
        <v>0</v>
      </c>
      <c r="AQ2578" s="94" t="s">
        <v>118</v>
      </c>
      <c r="AV2578" s="93">
        <f t="shared" si="588"/>
        <v>0</v>
      </c>
      <c r="AW2578" s="93">
        <f t="shared" si="589"/>
        <v>0</v>
      </c>
      <c r="AX2578" s="93">
        <f t="shared" si="590"/>
        <v>0</v>
      </c>
      <c r="AY2578" s="94" t="s">
        <v>3503</v>
      </c>
      <c r="AZ2578" s="94" t="s">
        <v>3504</v>
      </c>
      <c r="BA2578" s="88" t="s">
        <v>67</v>
      </c>
      <c r="BC2578" s="93">
        <f t="shared" si="591"/>
        <v>0</v>
      </c>
      <c r="BD2578" s="93">
        <f t="shared" si="592"/>
        <v>0</v>
      </c>
      <c r="BE2578" s="93">
        <v>0</v>
      </c>
      <c r="BF2578" s="93">
        <f t="shared" si="593"/>
        <v>0</v>
      </c>
      <c r="BH2578" s="93">
        <f t="shared" si="594"/>
        <v>0</v>
      </c>
      <c r="BI2578" s="93">
        <f t="shared" si="595"/>
        <v>0</v>
      </c>
      <c r="BJ2578" s="93">
        <f t="shared" si="596"/>
        <v>0</v>
      </c>
      <c r="BK2578" s="93"/>
      <c r="BL2578" s="93"/>
      <c r="BW2578" s="93" t="str">
        <f t="shared" si="597"/>
        <v>21</v>
      </c>
      <c r="BX2578" s="2" t="s">
        <v>3675</v>
      </c>
    </row>
    <row r="2579" spans="1:76" s="81" customFormat="1" ht="25.5" x14ac:dyDescent="0.25">
      <c r="A2579" s="72" t="s">
        <v>3676</v>
      </c>
      <c r="B2579" s="72" t="s">
        <v>55</v>
      </c>
      <c r="C2579" s="72" t="s">
        <v>3677</v>
      </c>
      <c r="D2579" s="175" t="s">
        <v>3678</v>
      </c>
      <c r="E2579" s="175"/>
      <c r="F2579" s="72" t="s">
        <v>3523</v>
      </c>
      <c r="G2579" s="90">
        <v>9</v>
      </c>
      <c r="H2579" s="91"/>
      <c r="I2579" s="92" t="s">
        <v>63</v>
      </c>
      <c r="J2579" s="90">
        <f t="shared" si="570"/>
        <v>0</v>
      </c>
      <c r="K2579" s="90">
        <f t="shared" si="571"/>
        <v>0</v>
      </c>
      <c r="L2579" s="90">
        <f t="shared" si="572"/>
        <v>0</v>
      </c>
      <c r="M2579" s="90">
        <f t="shared" si="573"/>
        <v>0</v>
      </c>
      <c r="N2579" s="90">
        <v>0</v>
      </c>
      <c r="O2579" s="90">
        <f t="shared" si="574"/>
        <v>0</v>
      </c>
      <c r="P2579" s="92" t="s">
        <v>1652</v>
      </c>
      <c r="Z2579" s="93">
        <f t="shared" si="575"/>
        <v>0</v>
      </c>
      <c r="AB2579" s="93">
        <f t="shared" si="576"/>
        <v>0</v>
      </c>
      <c r="AC2579" s="93">
        <f t="shared" si="577"/>
        <v>0</v>
      </c>
      <c r="AD2579" s="93">
        <f t="shared" si="578"/>
        <v>0</v>
      </c>
      <c r="AE2579" s="93">
        <f t="shared" si="579"/>
        <v>0</v>
      </c>
      <c r="AF2579" s="93">
        <f t="shared" si="580"/>
        <v>0</v>
      </c>
      <c r="AG2579" s="93">
        <f t="shared" si="581"/>
        <v>0</v>
      </c>
      <c r="AH2579" s="93">
        <f t="shared" si="582"/>
        <v>0</v>
      </c>
      <c r="AI2579" s="88" t="s">
        <v>55</v>
      </c>
      <c r="AJ2579" s="93">
        <f t="shared" si="583"/>
        <v>0</v>
      </c>
      <c r="AK2579" s="93">
        <f t="shared" si="584"/>
        <v>0</v>
      </c>
      <c r="AL2579" s="93">
        <f t="shared" si="585"/>
        <v>0</v>
      </c>
      <c r="AN2579" s="93">
        <v>21</v>
      </c>
      <c r="AO2579" s="93">
        <f t="shared" si="586"/>
        <v>0</v>
      </c>
      <c r="AP2579" s="93">
        <f t="shared" si="587"/>
        <v>0</v>
      </c>
      <c r="AQ2579" s="94" t="s">
        <v>118</v>
      </c>
      <c r="AV2579" s="93">
        <f t="shared" si="588"/>
        <v>0</v>
      </c>
      <c r="AW2579" s="93">
        <f t="shared" si="589"/>
        <v>0</v>
      </c>
      <c r="AX2579" s="93">
        <f t="shared" si="590"/>
        <v>0</v>
      </c>
      <c r="AY2579" s="94" t="s">
        <v>3503</v>
      </c>
      <c r="AZ2579" s="94" t="s">
        <v>3504</v>
      </c>
      <c r="BA2579" s="88" t="s">
        <v>67</v>
      </c>
      <c r="BC2579" s="93">
        <f t="shared" si="591"/>
        <v>0</v>
      </c>
      <c r="BD2579" s="93">
        <f t="shared" si="592"/>
        <v>0</v>
      </c>
      <c r="BE2579" s="93">
        <v>0</v>
      </c>
      <c r="BF2579" s="93">
        <f t="shared" si="593"/>
        <v>0</v>
      </c>
      <c r="BH2579" s="93">
        <f t="shared" si="594"/>
        <v>0</v>
      </c>
      <c r="BI2579" s="93">
        <f t="shared" si="595"/>
        <v>0</v>
      </c>
      <c r="BJ2579" s="93">
        <f t="shared" si="596"/>
        <v>0</v>
      </c>
      <c r="BK2579" s="93"/>
      <c r="BL2579" s="93"/>
      <c r="BW2579" s="93" t="str">
        <f t="shared" si="597"/>
        <v>21</v>
      </c>
      <c r="BX2579" s="2" t="s">
        <v>3678</v>
      </c>
    </row>
    <row r="2580" spans="1:76" s="81" customFormat="1" ht="25.5" x14ac:dyDescent="0.25">
      <c r="A2580" s="72" t="s">
        <v>3679</v>
      </c>
      <c r="B2580" s="72" t="s">
        <v>55</v>
      </c>
      <c r="C2580" s="72" t="s">
        <v>3680</v>
      </c>
      <c r="D2580" s="175" t="s">
        <v>3681</v>
      </c>
      <c r="E2580" s="175"/>
      <c r="F2580" s="72" t="s">
        <v>3523</v>
      </c>
      <c r="G2580" s="90">
        <v>1</v>
      </c>
      <c r="H2580" s="91"/>
      <c r="I2580" s="92" t="s">
        <v>63</v>
      </c>
      <c r="J2580" s="90">
        <f t="shared" si="570"/>
        <v>0</v>
      </c>
      <c r="K2580" s="90">
        <f t="shared" si="571"/>
        <v>0</v>
      </c>
      <c r="L2580" s="90">
        <f t="shared" si="572"/>
        <v>0</v>
      </c>
      <c r="M2580" s="90">
        <f t="shared" si="573"/>
        <v>0</v>
      </c>
      <c r="N2580" s="90">
        <v>0</v>
      </c>
      <c r="O2580" s="90">
        <f t="shared" si="574"/>
        <v>0</v>
      </c>
      <c r="P2580" s="92" t="s">
        <v>1652</v>
      </c>
      <c r="Z2580" s="93">
        <f t="shared" si="575"/>
        <v>0</v>
      </c>
      <c r="AB2580" s="93">
        <f t="shared" si="576"/>
        <v>0</v>
      </c>
      <c r="AC2580" s="93">
        <f t="shared" si="577"/>
        <v>0</v>
      </c>
      <c r="AD2580" s="93">
        <f t="shared" si="578"/>
        <v>0</v>
      </c>
      <c r="AE2580" s="93">
        <f t="shared" si="579"/>
        <v>0</v>
      </c>
      <c r="AF2580" s="93">
        <f t="shared" si="580"/>
        <v>0</v>
      </c>
      <c r="AG2580" s="93">
        <f t="shared" si="581"/>
        <v>0</v>
      </c>
      <c r="AH2580" s="93">
        <f t="shared" si="582"/>
        <v>0</v>
      </c>
      <c r="AI2580" s="88" t="s">
        <v>55</v>
      </c>
      <c r="AJ2580" s="93">
        <f t="shared" si="583"/>
        <v>0</v>
      </c>
      <c r="AK2580" s="93">
        <f t="shared" si="584"/>
        <v>0</v>
      </c>
      <c r="AL2580" s="93">
        <f t="shared" si="585"/>
        <v>0</v>
      </c>
      <c r="AN2580" s="93">
        <v>21</v>
      </c>
      <c r="AO2580" s="93">
        <f t="shared" si="586"/>
        <v>0</v>
      </c>
      <c r="AP2580" s="93">
        <f t="shared" si="587"/>
        <v>0</v>
      </c>
      <c r="AQ2580" s="94" t="s">
        <v>118</v>
      </c>
      <c r="AV2580" s="93">
        <f t="shared" si="588"/>
        <v>0</v>
      </c>
      <c r="AW2580" s="93">
        <f t="shared" si="589"/>
        <v>0</v>
      </c>
      <c r="AX2580" s="93">
        <f t="shared" si="590"/>
        <v>0</v>
      </c>
      <c r="AY2580" s="94" t="s">
        <v>3503</v>
      </c>
      <c r="AZ2580" s="94" t="s">
        <v>3504</v>
      </c>
      <c r="BA2580" s="88" t="s">
        <v>67</v>
      </c>
      <c r="BC2580" s="93">
        <f t="shared" si="591"/>
        <v>0</v>
      </c>
      <c r="BD2580" s="93">
        <f t="shared" si="592"/>
        <v>0</v>
      </c>
      <c r="BE2580" s="93">
        <v>0</v>
      </c>
      <c r="BF2580" s="93">
        <f t="shared" si="593"/>
        <v>0</v>
      </c>
      <c r="BH2580" s="93">
        <f t="shared" si="594"/>
        <v>0</v>
      </c>
      <c r="BI2580" s="93">
        <f t="shared" si="595"/>
        <v>0</v>
      </c>
      <c r="BJ2580" s="93">
        <f t="shared" si="596"/>
        <v>0</v>
      </c>
      <c r="BK2580" s="93"/>
      <c r="BL2580" s="93"/>
      <c r="BW2580" s="93" t="str">
        <f t="shared" si="597"/>
        <v>21</v>
      </c>
      <c r="BX2580" s="2" t="s">
        <v>3681</v>
      </c>
    </row>
    <row r="2581" spans="1:76" s="81" customFormat="1" ht="25.5" x14ac:dyDescent="0.25">
      <c r="A2581" s="72" t="s">
        <v>3682</v>
      </c>
      <c r="B2581" s="72" t="s">
        <v>55</v>
      </c>
      <c r="C2581" s="72" t="s">
        <v>3683</v>
      </c>
      <c r="D2581" s="175" t="s">
        <v>3684</v>
      </c>
      <c r="E2581" s="175"/>
      <c r="F2581" s="72" t="s">
        <v>3523</v>
      </c>
      <c r="G2581" s="90">
        <v>1</v>
      </c>
      <c r="H2581" s="91"/>
      <c r="I2581" s="92" t="s">
        <v>63</v>
      </c>
      <c r="J2581" s="90">
        <f t="shared" si="570"/>
        <v>0</v>
      </c>
      <c r="K2581" s="90">
        <f t="shared" si="571"/>
        <v>0</v>
      </c>
      <c r="L2581" s="90">
        <f t="shared" si="572"/>
        <v>0</v>
      </c>
      <c r="M2581" s="90">
        <f t="shared" si="573"/>
        <v>0</v>
      </c>
      <c r="N2581" s="90">
        <v>0</v>
      </c>
      <c r="O2581" s="90">
        <f t="shared" si="574"/>
        <v>0</v>
      </c>
      <c r="P2581" s="92" t="s">
        <v>1652</v>
      </c>
      <c r="Z2581" s="93">
        <f t="shared" si="575"/>
        <v>0</v>
      </c>
      <c r="AB2581" s="93">
        <f t="shared" si="576"/>
        <v>0</v>
      </c>
      <c r="AC2581" s="93">
        <f t="shared" si="577"/>
        <v>0</v>
      </c>
      <c r="AD2581" s="93">
        <f t="shared" si="578"/>
        <v>0</v>
      </c>
      <c r="AE2581" s="93">
        <f t="shared" si="579"/>
        <v>0</v>
      </c>
      <c r="AF2581" s="93">
        <f t="shared" si="580"/>
        <v>0</v>
      </c>
      <c r="AG2581" s="93">
        <f t="shared" si="581"/>
        <v>0</v>
      </c>
      <c r="AH2581" s="93">
        <f t="shared" si="582"/>
        <v>0</v>
      </c>
      <c r="AI2581" s="88" t="s">
        <v>55</v>
      </c>
      <c r="AJ2581" s="93">
        <f t="shared" si="583"/>
        <v>0</v>
      </c>
      <c r="AK2581" s="93">
        <f t="shared" si="584"/>
        <v>0</v>
      </c>
      <c r="AL2581" s="93">
        <f t="shared" si="585"/>
        <v>0</v>
      </c>
      <c r="AN2581" s="93">
        <v>21</v>
      </c>
      <c r="AO2581" s="93">
        <f t="shared" si="586"/>
        <v>0</v>
      </c>
      <c r="AP2581" s="93">
        <f t="shared" si="587"/>
        <v>0</v>
      </c>
      <c r="AQ2581" s="94" t="s">
        <v>118</v>
      </c>
      <c r="AV2581" s="93">
        <f t="shared" si="588"/>
        <v>0</v>
      </c>
      <c r="AW2581" s="93">
        <f t="shared" si="589"/>
        <v>0</v>
      </c>
      <c r="AX2581" s="93">
        <f t="shared" si="590"/>
        <v>0</v>
      </c>
      <c r="AY2581" s="94" t="s">
        <v>3503</v>
      </c>
      <c r="AZ2581" s="94" t="s">
        <v>3504</v>
      </c>
      <c r="BA2581" s="88" t="s">
        <v>67</v>
      </c>
      <c r="BC2581" s="93">
        <f t="shared" si="591"/>
        <v>0</v>
      </c>
      <c r="BD2581" s="93">
        <f t="shared" si="592"/>
        <v>0</v>
      </c>
      <c r="BE2581" s="93">
        <v>0</v>
      </c>
      <c r="BF2581" s="93">
        <f t="shared" si="593"/>
        <v>0</v>
      </c>
      <c r="BH2581" s="93">
        <f t="shared" si="594"/>
        <v>0</v>
      </c>
      <c r="BI2581" s="93">
        <f t="shared" si="595"/>
        <v>0</v>
      </c>
      <c r="BJ2581" s="93">
        <f t="shared" si="596"/>
        <v>0</v>
      </c>
      <c r="BK2581" s="93"/>
      <c r="BL2581" s="93"/>
      <c r="BW2581" s="93" t="str">
        <f t="shared" si="597"/>
        <v>21</v>
      </c>
      <c r="BX2581" s="2" t="s">
        <v>3684</v>
      </c>
    </row>
    <row r="2582" spans="1:76" s="81" customFormat="1" ht="25.5" x14ac:dyDescent="0.25">
      <c r="A2582" s="72" t="s">
        <v>3685</v>
      </c>
      <c r="B2582" s="72" t="s">
        <v>55</v>
      </c>
      <c r="C2582" s="72" t="s">
        <v>3686</v>
      </c>
      <c r="D2582" s="175" t="s">
        <v>3687</v>
      </c>
      <c r="E2582" s="175"/>
      <c r="F2582" s="72" t="s">
        <v>3523</v>
      </c>
      <c r="G2582" s="90">
        <v>1</v>
      </c>
      <c r="H2582" s="91"/>
      <c r="I2582" s="92" t="s">
        <v>63</v>
      </c>
      <c r="J2582" s="90">
        <f t="shared" ref="J2582:J2613" si="598">G2582*AO2582</f>
        <v>0</v>
      </c>
      <c r="K2582" s="90">
        <f t="shared" ref="K2582:K2613" si="599">G2582*AP2582</f>
        <v>0</v>
      </c>
      <c r="L2582" s="90">
        <f t="shared" ref="L2582:L2613" si="600">G2582*H2582</f>
        <v>0</v>
      </c>
      <c r="M2582" s="90">
        <f t="shared" ref="M2582:M2613" si="601">L2582*(1+BW2582/100)</f>
        <v>0</v>
      </c>
      <c r="N2582" s="90">
        <v>0</v>
      </c>
      <c r="O2582" s="90">
        <f t="shared" ref="O2582:O2613" si="602">G2582*N2582</f>
        <v>0</v>
      </c>
      <c r="P2582" s="92" t="s">
        <v>1652</v>
      </c>
      <c r="Z2582" s="93">
        <f t="shared" ref="Z2582:Z2613" si="603">IF(AQ2582="5",BJ2582,0)</f>
        <v>0</v>
      </c>
      <c r="AB2582" s="93">
        <f t="shared" ref="AB2582:AB2613" si="604">IF(AQ2582="1",BH2582,0)</f>
        <v>0</v>
      </c>
      <c r="AC2582" s="93">
        <f t="shared" ref="AC2582:AC2613" si="605">IF(AQ2582="1",BI2582,0)</f>
        <v>0</v>
      </c>
      <c r="AD2582" s="93">
        <f t="shared" ref="AD2582:AD2613" si="606">IF(AQ2582="7",BH2582,0)</f>
        <v>0</v>
      </c>
      <c r="AE2582" s="93">
        <f t="shared" ref="AE2582:AE2613" si="607">IF(AQ2582="7",BI2582,0)</f>
        <v>0</v>
      </c>
      <c r="AF2582" s="93">
        <f t="shared" ref="AF2582:AF2613" si="608">IF(AQ2582="2",BH2582,0)</f>
        <v>0</v>
      </c>
      <c r="AG2582" s="93">
        <f t="shared" ref="AG2582:AG2613" si="609">IF(AQ2582="2",BI2582,0)</f>
        <v>0</v>
      </c>
      <c r="AH2582" s="93">
        <f t="shared" ref="AH2582:AH2613" si="610">IF(AQ2582="0",BJ2582,0)</f>
        <v>0</v>
      </c>
      <c r="AI2582" s="88" t="s">
        <v>55</v>
      </c>
      <c r="AJ2582" s="93">
        <f t="shared" ref="AJ2582:AJ2613" si="611">IF(AN2582=0,L2582,0)</f>
        <v>0</v>
      </c>
      <c r="AK2582" s="93">
        <f t="shared" ref="AK2582:AK2613" si="612">IF(AN2582=12,L2582,0)</f>
        <v>0</v>
      </c>
      <c r="AL2582" s="93">
        <f t="shared" ref="AL2582:AL2613" si="613">IF(AN2582=21,L2582,0)</f>
        <v>0</v>
      </c>
      <c r="AN2582" s="93">
        <v>21</v>
      </c>
      <c r="AO2582" s="93">
        <f t="shared" ref="AO2582:AO2613" si="614">H2582*0</f>
        <v>0</v>
      </c>
      <c r="AP2582" s="93">
        <f t="shared" ref="AP2582:AP2613" si="615">H2582*(1-0)</f>
        <v>0</v>
      </c>
      <c r="AQ2582" s="94" t="s">
        <v>118</v>
      </c>
      <c r="AV2582" s="93">
        <f t="shared" ref="AV2582:AV2613" si="616">AW2582+AX2582</f>
        <v>0</v>
      </c>
      <c r="AW2582" s="93">
        <f t="shared" ref="AW2582:AW2613" si="617">G2582*AO2582</f>
        <v>0</v>
      </c>
      <c r="AX2582" s="93">
        <f t="shared" ref="AX2582:AX2613" si="618">G2582*AP2582</f>
        <v>0</v>
      </c>
      <c r="AY2582" s="94" t="s">
        <v>3503</v>
      </c>
      <c r="AZ2582" s="94" t="s">
        <v>3504</v>
      </c>
      <c r="BA2582" s="88" t="s">
        <v>67</v>
      </c>
      <c r="BC2582" s="93">
        <f t="shared" ref="BC2582:BC2613" si="619">AW2582+AX2582</f>
        <v>0</v>
      </c>
      <c r="BD2582" s="93">
        <f t="shared" ref="BD2582:BD2613" si="620">H2582/(100-BE2582)*100</f>
        <v>0</v>
      </c>
      <c r="BE2582" s="93">
        <v>0</v>
      </c>
      <c r="BF2582" s="93">
        <f t="shared" ref="BF2582:BF2613" si="621">O2582</f>
        <v>0</v>
      </c>
      <c r="BH2582" s="93">
        <f t="shared" ref="BH2582:BH2613" si="622">G2582*AO2582</f>
        <v>0</v>
      </c>
      <c r="BI2582" s="93">
        <f t="shared" ref="BI2582:BI2613" si="623">G2582*AP2582</f>
        <v>0</v>
      </c>
      <c r="BJ2582" s="93">
        <f t="shared" ref="BJ2582:BJ2613" si="624">G2582*H2582</f>
        <v>0</v>
      </c>
      <c r="BK2582" s="93"/>
      <c r="BL2582" s="93"/>
      <c r="BW2582" s="93" t="str">
        <f t="shared" ref="BW2582:BW2613" si="625">I2582</f>
        <v>21</v>
      </c>
      <c r="BX2582" s="2" t="s">
        <v>3687</v>
      </c>
    </row>
    <row r="2583" spans="1:76" s="81" customFormat="1" ht="25.5" x14ac:dyDescent="0.25">
      <c r="A2583" s="72" t="s">
        <v>3688</v>
      </c>
      <c r="B2583" s="72" t="s">
        <v>55</v>
      </c>
      <c r="C2583" s="72" t="s">
        <v>3689</v>
      </c>
      <c r="D2583" s="175" t="s">
        <v>3690</v>
      </c>
      <c r="E2583" s="175"/>
      <c r="F2583" s="72" t="s">
        <v>3523</v>
      </c>
      <c r="G2583" s="90">
        <v>14</v>
      </c>
      <c r="H2583" s="91"/>
      <c r="I2583" s="92" t="s">
        <v>63</v>
      </c>
      <c r="J2583" s="90">
        <f t="shared" si="598"/>
        <v>0</v>
      </c>
      <c r="K2583" s="90">
        <f t="shared" si="599"/>
        <v>0</v>
      </c>
      <c r="L2583" s="90">
        <f t="shared" si="600"/>
        <v>0</v>
      </c>
      <c r="M2583" s="90">
        <f t="shared" si="601"/>
        <v>0</v>
      </c>
      <c r="N2583" s="90">
        <v>0</v>
      </c>
      <c r="O2583" s="90">
        <f t="shared" si="602"/>
        <v>0</v>
      </c>
      <c r="P2583" s="92" t="s">
        <v>1652</v>
      </c>
      <c r="Z2583" s="93">
        <f t="shared" si="603"/>
        <v>0</v>
      </c>
      <c r="AB2583" s="93">
        <f t="shared" si="604"/>
        <v>0</v>
      </c>
      <c r="AC2583" s="93">
        <f t="shared" si="605"/>
        <v>0</v>
      </c>
      <c r="AD2583" s="93">
        <f t="shared" si="606"/>
        <v>0</v>
      </c>
      <c r="AE2583" s="93">
        <f t="shared" si="607"/>
        <v>0</v>
      </c>
      <c r="AF2583" s="93">
        <f t="shared" si="608"/>
        <v>0</v>
      </c>
      <c r="AG2583" s="93">
        <f t="shared" si="609"/>
        <v>0</v>
      </c>
      <c r="AH2583" s="93">
        <f t="shared" si="610"/>
        <v>0</v>
      </c>
      <c r="AI2583" s="88" t="s">
        <v>55</v>
      </c>
      <c r="AJ2583" s="93">
        <f t="shared" si="611"/>
        <v>0</v>
      </c>
      <c r="AK2583" s="93">
        <f t="shared" si="612"/>
        <v>0</v>
      </c>
      <c r="AL2583" s="93">
        <f t="shared" si="613"/>
        <v>0</v>
      </c>
      <c r="AN2583" s="93">
        <v>21</v>
      </c>
      <c r="AO2583" s="93">
        <f t="shared" si="614"/>
        <v>0</v>
      </c>
      <c r="AP2583" s="93">
        <f t="shared" si="615"/>
        <v>0</v>
      </c>
      <c r="AQ2583" s="94" t="s">
        <v>118</v>
      </c>
      <c r="AV2583" s="93">
        <f t="shared" si="616"/>
        <v>0</v>
      </c>
      <c r="AW2583" s="93">
        <f t="shared" si="617"/>
        <v>0</v>
      </c>
      <c r="AX2583" s="93">
        <f t="shared" si="618"/>
        <v>0</v>
      </c>
      <c r="AY2583" s="94" t="s">
        <v>3503</v>
      </c>
      <c r="AZ2583" s="94" t="s">
        <v>3504</v>
      </c>
      <c r="BA2583" s="88" t="s">
        <v>67</v>
      </c>
      <c r="BC2583" s="93">
        <f t="shared" si="619"/>
        <v>0</v>
      </c>
      <c r="BD2583" s="93">
        <f t="shared" si="620"/>
        <v>0</v>
      </c>
      <c r="BE2583" s="93">
        <v>0</v>
      </c>
      <c r="BF2583" s="93">
        <f t="shared" si="621"/>
        <v>0</v>
      </c>
      <c r="BH2583" s="93">
        <f t="shared" si="622"/>
        <v>0</v>
      </c>
      <c r="BI2583" s="93">
        <f t="shared" si="623"/>
        <v>0</v>
      </c>
      <c r="BJ2583" s="93">
        <f t="shared" si="624"/>
        <v>0</v>
      </c>
      <c r="BK2583" s="93"/>
      <c r="BL2583" s="93"/>
      <c r="BW2583" s="93" t="str">
        <f t="shared" si="625"/>
        <v>21</v>
      </c>
      <c r="BX2583" s="2" t="s">
        <v>3690</v>
      </c>
    </row>
    <row r="2584" spans="1:76" s="81" customFormat="1" ht="25.5" x14ac:dyDescent="0.25">
      <c r="A2584" s="72" t="s">
        <v>3691</v>
      </c>
      <c r="B2584" s="72" t="s">
        <v>55</v>
      </c>
      <c r="C2584" s="72" t="s">
        <v>3692</v>
      </c>
      <c r="D2584" s="175" t="s">
        <v>3693</v>
      </c>
      <c r="E2584" s="175"/>
      <c r="F2584" s="72" t="s">
        <v>3523</v>
      </c>
      <c r="G2584" s="90">
        <v>18</v>
      </c>
      <c r="H2584" s="91"/>
      <c r="I2584" s="92" t="s">
        <v>63</v>
      </c>
      <c r="J2584" s="90">
        <f t="shared" si="598"/>
        <v>0</v>
      </c>
      <c r="K2584" s="90">
        <f t="shared" si="599"/>
        <v>0</v>
      </c>
      <c r="L2584" s="90">
        <f t="shared" si="600"/>
        <v>0</v>
      </c>
      <c r="M2584" s="90">
        <f t="shared" si="601"/>
        <v>0</v>
      </c>
      <c r="N2584" s="90">
        <v>0</v>
      </c>
      <c r="O2584" s="90">
        <f t="shared" si="602"/>
        <v>0</v>
      </c>
      <c r="P2584" s="92" t="s">
        <v>1652</v>
      </c>
      <c r="Z2584" s="93">
        <f t="shared" si="603"/>
        <v>0</v>
      </c>
      <c r="AB2584" s="93">
        <f t="shared" si="604"/>
        <v>0</v>
      </c>
      <c r="AC2584" s="93">
        <f t="shared" si="605"/>
        <v>0</v>
      </c>
      <c r="AD2584" s="93">
        <f t="shared" si="606"/>
        <v>0</v>
      </c>
      <c r="AE2584" s="93">
        <f t="shared" si="607"/>
        <v>0</v>
      </c>
      <c r="AF2584" s="93">
        <f t="shared" si="608"/>
        <v>0</v>
      </c>
      <c r="AG2584" s="93">
        <f t="shared" si="609"/>
        <v>0</v>
      </c>
      <c r="AH2584" s="93">
        <f t="shared" si="610"/>
        <v>0</v>
      </c>
      <c r="AI2584" s="88" t="s">
        <v>55</v>
      </c>
      <c r="AJ2584" s="93">
        <f t="shared" si="611"/>
        <v>0</v>
      </c>
      <c r="AK2584" s="93">
        <f t="shared" si="612"/>
        <v>0</v>
      </c>
      <c r="AL2584" s="93">
        <f t="shared" si="613"/>
        <v>0</v>
      </c>
      <c r="AN2584" s="93">
        <v>21</v>
      </c>
      <c r="AO2584" s="93">
        <f t="shared" si="614"/>
        <v>0</v>
      </c>
      <c r="AP2584" s="93">
        <f t="shared" si="615"/>
        <v>0</v>
      </c>
      <c r="AQ2584" s="94" t="s">
        <v>118</v>
      </c>
      <c r="AV2584" s="93">
        <f t="shared" si="616"/>
        <v>0</v>
      </c>
      <c r="AW2584" s="93">
        <f t="shared" si="617"/>
        <v>0</v>
      </c>
      <c r="AX2584" s="93">
        <f t="shared" si="618"/>
        <v>0</v>
      </c>
      <c r="AY2584" s="94" t="s">
        <v>3503</v>
      </c>
      <c r="AZ2584" s="94" t="s">
        <v>3504</v>
      </c>
      <c r="BA2584" s="88" t="s">
        <v>67</v>
      </c>
      <c r="BC2584" s="93">
        <f t="shared" si="619"/>
        <v>0</v>
      </c>
      <c r="BD2584" s="93">
        <f t="shared" si="620"/>
        <v>0</v>
      </c>
      <c r="BE2584" s="93">
        <v>0</v>
      </c>
      <c r="BF2584" s="93">
        <f t="shared" si="621"/>
        <v>0</v>
      </c>
      <c r="BH2584" s="93">
        <f t="shared" si="622"/>
        <v>0</v>
      </c>
      <c r="BI2584" s="93">
        <f t="shared" si="623"/>
        <v>0</v>
      </c>
      <c r="BJ2584" s="93">
        <f t="shared" si="624"/>
        <v>0</v>
      </c>
      <c r="BK2584" s="93"/>
      <c r="BL2584" s="93"/>
      <c r="BW2584" s="93" t="str">
        <f t="shared" si="625"/>
        <v>21</v>
      </c>
      <c r="BX2584" s="2" t="s">
        <v>3693</v>
      </c>
    </row>
    <row r="2585" spans="1:76" s="81" customFormat="1" ht="25.5" x14ac:dyDescent="0.25">
      <c r="A2585" s="72" t="s">
        <v>3694</v>
      </c>
      <c r="B2585" s="72" t="s">
        <v>55</v>
      </c>
      <c r="C2585" s="72" t="s">
        <v>3695</v>
      </c>
      <c r="D2585" s="175" t="s">
        <v>3696</v>
      </c>
      <c r="E2585" s="175"/>
      <c r="F2585" s="72" t="s">
        <v>3523</v>
      </c>
      <c r="G2585" s="90">
        <v>59</v>
      </c>
      <c r="H2585" s="91"/>
      <c r="I2585" s="92" t="s">
        <v>63</v>
      </c>
      <c r="J2585" s="90">
        <f t="shared" si="598"/>
        <v>0</v>
      </c>
      <c r="K2585" s="90">
        <f t="shared" si="599"/>
        <v>0</v>
      </c>
      <c r="L2585" s="90">
        <f t="shared" si="600"/>
        <v>0</v>
      </c>
      <c r="M2585" s="90">
        <f t="shared" si="601"/>
        <v>0</v>
      </c>
      <c r="N2585" s="90">
        <v>0</v>
      </c>
      <c r="O2585" s="90">
        <f t="shared" si="602"/>
        <v>0</v>
      </c>
      <c r="P2585" s="92" t="s">
        <v>1652</v>
      </c>
      <c r="Z2585" s="93">
        <f t="shared" si="603"/>
        <v>0</v>
      </c>
      <c r="AB2585" s="93">
        <f t="shared" si="604"/>
        <v>0</v>
      </c>
      <c r="AC2585" s="93">
        <f t="shared" si="605"/>
        <v>0</v>
      </c>
      <c r="AD2585" s="93">
        <f t="shared" si="606"/>
        <v>0</v>
      </c>
      <c r="AE2585" s="93">
        <f t="shared" si="607"/>
        <v>0</v>
      </c>
      <c r="AF2585" s="93">
        <f t="shared" si="608"/>
        <v>0</v>
      </c>
      <c r="AG2585" s="93">
        <f t="shared" si="609"/>
        <v>0</v>
      </c>
      <c r="AH2585" s="93">
        <f t="shared" si="610"/>
        <v>0</v>
      </c>
      <c r="AI2585" s="88" t="s">
        <v>55</v>
      </c>
      <c r="AJ2585" s="93">
        <f t="shared" si="611"/>
        <v>0</v>
      </c>
      <c r="AK2585" s="93">
        <f t="shared" si="612"/>
        <v>0</v>
      </c>
      <c r="AL2585" s="93">
        <f t="shared" si="613"/>
        <v>0</v>
      </c>
      <c r="AN2585" s="93">
        <v>21</v>
      </c>
      <c r="AO2585" s="93">
        <f t="shared" si="614"/>
        <v>0</v>
      </c>
      <c r="AP2585" s="93">
        <f t="shared" si="615"/>
        <v>0</v>
      </c>
      <c r="AQ2585" s="94" t="s">
        <v>118</v>
      </c>
      <c r="AV2585" s="93">
        <f t="shared" si="616"/>
        <v>0</v>
      </c>
      <c r="AW2585" s="93">
        <f t="shared" si="617"/>
        <v>0</v>
      </c>
      <c r="AX2585" s="93">
        <f t="shared" si="618"/>
        <v>0</v>
      </c>
      <c r="AY2585" s="94" t="s">
        <v>3503</v>
      </c>
      <c r="AZ2585" s="94" t="s">
        <v>3504</v>
      </c>
      <c r="BA2585" s="88" t="s">
        <v>67</v>
      </c>
      <c r="BC2585" s="93">
        <f t="shared" si="619"/>
        <v>0</v>
      </c>
      <c r="BD2585" s="93">
        <f t="shared" si="620"/>
        <v>0</v>
      </c>
      <c r="BE2585" s="93">
        <v>0</v>
      </c>
      <c r="BF2585" s="93">
        <f t="shared" si="621"/>
        <v>0</v>
      </c>
      <c r="BH2585" s="93">
        <f t="shared" si="622"/>
        <v>0</v>
      </c>
      <c r="BI2585" s="93">
        <f t="shared" si="623"/>
        <v>0</v>
      </c>
      <c r="BJ2585" s="93">
        <f t="shared" si="624"/>
        <v>0</v>
      </c>
      <c r="BK2585" s="93"/>
      <c r="BL2585" s="93"/>
      <c r="BW2585" s="93" t="str">
        <f t="shared" si="625"/>
        <v>21</v>
      </c>
      <c r="BX2585" s="2" t="s">
        <v>3696</v>
      </c>
    </row>
    <row r="2586" spans="1:76" s="81" customFormat="1" ht="25.5" x14ac:dyDescent="0.25">
      <c r="A2586" s="72" t="s">
        <v>3697</v>
      </c>
      <c r="B2586" s="72" t="s">
        <v>55</v>
      </c>
      <c r="C2586" s="72" t="s">
        <v>3698</v>
      </c>
      <c r="D2586" s="175" t="s">
        <v>3699</v>
      </c>
      <c r="E2586" s="175"/>
      <c r="F2586" s="72" t="s">
        <v>3523</v>
      </c>
      <c r="G2586" s="90">
        <v>12</v>
      </c>
      <c r="H2586" s="91"/>
      <c r="I2586" s="92" t="s">
        <v>63</v>
      </c>
      <c r="J2586" s="90">
        <f t="shared" si="598"/>
        <v>0</v>
      </c>
      <c r="K2586" s="90">
        <f t="shared" si="599"/>
        <v>0</v>
      </c>
      <c r="L2586" s="90">
        <f t="shared" si="600"/>
        <v>0</v>
      </c>
      <c r="M2586" s="90">
        <f t="shared" si="601"/>
        <v>0</v>
      </c>
      <c r="N2586" s="90">
        <v>0</v>
      </c>
      <c r="O2586" s="90">
        <f t="shared" si="602"/>
        <v>0</v>
      </c>
      <c r="P2586" s="92" t="s">
        <v>1652</v>
      </c>
      <c r="Z2586" s="93">
        <f t="shared" si="603"/>
        <v>0</v>
      </c>
      <c r="AB2586" s="93">
        <f t="shared" si="604"/>
        <v>0</v>
      </c>
      <c r="AC2586" s="93">
        <f t="shared" si="605"/>
        <v>0</v>
      </c>
      <c r="AD2586" s="93">
        <f t="shared" si="606"/>
        <v>0</v>
      </c>
      <c r="AE2586" s="93">
        <f t="shared" si="607"/>
        <v>0</v>
      </c>
      <c r="AF2586" s="93">
        <f t="shared" si="608"/>
        <v>0</v>
      </c>
      <c r="AG2586" s="93">
        <f t="shared" si="609"/>
        <v>0</v>
      </c>
      <c r="AH2586" s="93">
        <f t="shared" si="610"/>
        <v>0</v>
      </c>
      <c r="AI2586" s="88" t="s">
        <v>55</v>
      </c>
      <c r="AJ2586" s="93">
        <f t="shared" si="611"/>
        <v>0</v>
      </c>
      <c r="AK2586" s="93">
        <f t="shared" si="612"/>
        <v>0</v>
      </c>
      <c r="AL2586" s="93">
        <f t="shared" si="613"/>
        <v>0</v>
      </c>
      <c r="AN2586" s="93">
        <v>21</v>
      </c>
      <c r="AO2586" s="93">
        <f t="shared" si="614"/>
        <v>0</v>
      </c>
      <c r="AP2586" s="93">
        <f t="shared" si="615"/>
        <v>0</v>
      </c>
      <c r="AQ2586" s="94" t="s">
        <v>118</v>
      </c>
      <c r="AV2586" s="93">
        <f t="shared" si="616"/>
        <v>0</v>
      </c>
      <c r="AW2586" s="93">
        <f t="shared" si="617"/>
        <v>0</v>
      </c>
      <c r="AX2586" s="93">
        <f t="shared" si="618"/>
        <v>0</v>
      </c>
      <c r="AY2586" s="94" t="s">
        <v>3503</v>
      </c>
      <c r="AZ2586" s="94" t="s">
        <v>3504</v>
      </c>
      <c r="BA2586" s="88" t="s">
        <v>67</v>
      </c>
      <c r="BC2586" s="93">
        <f t="shared" si="619"/>
        <v>0</v>
      </c>
      <c r="BD2586" s="93">
        <f t="shared" si="620"/>
        <v>0</v>
      </c>
      <c r="BE2586" s="93">
        <v>0</v>
      </c>
      <c r="BF2586" s="93">
        <f t="shared" si="621"/>
        <v>0</v>
      </c>
      <c r="BH2586" s="93">
        <f t="shared" si="622"/>
        <v>0</v>
      </c>
      <c r="BI2586" s="93">
        <f t="shared" si="623"/>
        <v>0</v>
      </c>
      <c r="BJ2586" s="93">
        <f t="shared" si="624"/>
        <v>0</v>
      </c>
      <c r="BK2586" s="93"/>
      <c r="BL2586" s="93"/>
      <c r="BW2586" s="93" t="str">
        <f t="shared" si="625"/>
        <v>21</v>
      </c>
      <c r="BX2586" s="2" t="s">
        <v>3699</v>
      </c>
    </row>
    <row r="2587" spans="1:76" s="81" customFormat="1" ht="25.5" x14ac:dyDescent="0.25">
      <c r="A2587" s="72" t="s">
        <v>3700</v>
      </c>
      <c r="B2587" s="72" t="s">
        <v>55</v>
      </c>
      <c r="C2587" s="72" t="s">
        <v>3701</v>
      </c>
      <c r="D2587" s="175" t="s">
        <v>3702</v>
      </c>
      <c r="E2587" s="175"/>
      <c r="F2587" s="72" t="s">
        <v>3523</v>
      </c>
      <c r="G2587" s="90">
        <v>1</v>
      </c>
      <c r="H2587" s="91"/>
      <c r="I2587" s="92" t="s">
        <v>63</v>
      </c>
      <c r="J2587" s="90">
        <f t="shared" si="598"/>
        <v>0</v>
      </c>
      <c r="K2587" s="90">
        <f t="shared" si="599"/>
        <v>0</v>
      </c>
      <c r="L2587" s="90">
        <f t="shared" si="600"/>
        <v>0</v>
      </c>
      <c r="M2587" s="90">
        <f t="shared" si="601"/>
        <v>0</v>
      </c>
      <c r="N2587" s="90">
        <v>0</v>
      </c>
      <c r="O2587" s="90">
        <f t="shared" si="602"/>
        <v>0</v>
      </c>
      <c r="P2587" s="92" t="s">
        <v>1652</v>
      </c>
      <c r="Z2587" s="93">
        <f t="shared" si="603"/>
        <v>0</v>
      </c>
      <c r="AB2587" s="93">
        <f t="shared" si="604"/>
        <v>0</v>
      </c>
      <c r="AC2587" s="93">
        <f t="shared" si="605"/>
        <v>0</v>
      </c>
      <c r="AD2587" s="93">
        <f t="shared" si="606"/>
        <v>0</v>
      </c>
      <c r="AE2587" s="93">
        <f t="shared" si="607"/>
        <v>0</v>
      </c>
      <c r="AF2587" s="93">
        <f t="shared" si="608"/>
        <v>0</v>
      </c>
      <c r="AG2587" s="93">
        <f t="shared" si="609"/>
        <v>0</v>
      </c>
      <c r="AH2587" s="93">
        <f t="shared" si="610"/>
        <v>0</v>
      </c>
      <c r="AI2587" s="88" t="s">
        <v>55</v>
      </c>
      <c r="AJ2587" s="93">
        <f t="shared" si="611"/>
        <v>0</v>
      </c>
      <c r="AK2587" s="93">
        <f t="shared" si="612"/>
        <v>0</v>
      </c>
      <c r="AL2587" s="93">
        <f t="shared" si="613"/>
        <v>0</v>
      </c>
      <c r="AN2587" s="93">
        <v>21</v>
      </c>
      <c r="AO2587" s="93">
        <f t="shared" si="614"/>
        <v>0</v>
      </c>
      <c r="AP2587" s="93">
        <f t="shared" si="615"/>
        <v>0</v>
      </c>
      <c r="AQ2587" s="94" t="s">
        <v>118</v>
      </c>
      <c r="AV2587" s="93">
        <f t="shared" si="616"/>
        <v>0</v>
      </c>
      <c r="AW2587" s="93">
        <f t="shared" si="617"/>
        <v>0</v>
      </c>
      <c r="AX2587" s="93">
        <f t="shared" si="618"/>
        <v>0</v>
      </c>
      <c r="AY2587" s="94" t="s">
        <v>3503</v>
      </c>
      <c r="AZ2587" s="94" t="s">
        <v>3504</v>
      </c>
      <c r="BA2587" s="88" t="s">
        <v>67</v>
      </c>
      <c r="BC2587" s="93">
        <f t="shared" si="619"/>
        <v>0</v>
      </c>
      <c r="BD2587" s="93">
        <f t="shared" si="620"/>
        <v>0</v>
      </c>
      <c r="BE2587" s="93">
        <v>0</v>
      </c>
      <c r="BF2587" s="93">
        <f t="shared" si="621"/>
        <v>0</v>
      </c>
      <c r="BH2587" s="93">
        <f t="shared" si="622"/>
        <v>0</v>
      </c>
      <c r="BI2587" s="93">
        <f t="shared" si="623"/>
        <v>0</v>
      </c>
      <c r="BJ2587" s="93">
        <f t="shared" si="624"/>
        <v>0</v>
      </c>
      <c r="BK2587" s="93"/>
      <c r="BL2587" s="93"/>
      <c r="BW2587" s="93" t="str">
        <f t="shared" si="625"/>
        <v>21</v>
      </c>
      <c r="BX2587" s="2" t="s">
        <v>3702</v>
      </c>
    </row>
    <row r="2588" spans="1:76" s="81" customFormat="1" ht="25.5" x14ac:dyDescent="0.25">
      <c r="A2588" s="72" t="s">
        <v>3703</v>
      </c>
      <c r="B2588" s="72" t="s">
        <v>55</v>
      </c>
      <c r="C2588" s="72" t="s">
        <v>3704</v>
      </c>
      <c r="D2588" s="175" t="s">
        <v>3705</v>
      </c>
      <c r="E2588" s="175"/>
      <c r="F2588" s="72" t="s">
        <v>3523</v>
      </c>
      <c r="G2588" s="90">
        <v>15</v>
      </c>
      <c r="H2588" s="91"/>
      <c r="I2588" s="92" t="s">
        <v>63</v>
      </c>
      <c r="J2588" s="90">
        <f t="shared" si="598"/>
        <v>0</v>
      </c>
      <c r="K2588" s="90">
        <f t="shared" si="599"/>
        <v>0</v>
      </c>
      <c r="L2588" s="90">
        <f t="shared" si="600"/>
        <v>0</v>
      </c>
      <c r="M2588" s="90">
        <f t="shared" si="601"/>
        <v>0</v>
      </c>
      <c r="N2588" s="90">
        <v>0</v>
      </c>
      <c r="O2588" s="90">
        <f t="shared" si="602"/>
        <v>0</v>
      </c>
      <c r="P2588" s="92" t="s">
        <v>1652</v>
      </c>
      <c r="Z2588" s="93">
        <f t="shared" si="603"/>
        <v>0</v>
      </c>
      <c r="AB2588" s="93">
        <f t="shared" si="604"/>
        <v>0</v>
      </c>
      <c r="AC2588" s="93">
        <f t="shared" si="605"/>
        <v>0</v>
      </c>
      <c r="AD2588" s="93">
        <f t="shared" si="606"/>
        <v>0</v>
      </c>
      <c r="AE2588" s="93">
        <f t="shared" si="607"/>
        <v>0</v>
      </c>
      <c r="AF2588" s="93">
        <f t="shared" si="608"/>
        <v>0</v>
      </c>
      <c r="AG2588" s="93">
        <f t="shared" si="609"/>
        <v>0</v>
      </c>
      <c r="AH2588" s="93">
        <f t="shared" si="610"/>
        <v>0</v>
      </c>
      <c r="AI2588" s="88" t="s">
        <v>55</v>
      </c>
      <c r="AJ2588" s="93">
        <f t="shared" si="611"/>
        <v>0</v>
      </c>
      <c r="AK2588" s="93">
        <f t="shared" si="612"/>
        <v>0</v>
      </c>
      <c r="AL2588" s="93">
        <f t="shared" si="613"/>
        <v>0</v>
      </c>
      <c r="AN2588" s="93">
        <v>21</v>
      </c>
      <c r="AO2588" s="93">
        <f t="shared" si="614"/>
        <v>0</v>
      </c>
      <c r="AP2588" s="93">
        <f t="shared" si="615"/>
        <v>0</v>
      </c>
      <c r="AQ2588" s="94" t="s">
        <v>118</v>
      </c>
      <c r="AV2588" s="93">
        <f t="shared" si="616"/>
        <v>0</v>
      </c>
      <c r="AW2588" s="93">
        <f t="shared" si="617"/>
        <v>0</v>
      </c>
      <c r="AX2588" s="93">
        <f t="shared" si="618"/>
        <v>0</v>
      </c>
      <c r="AY2588" s="94" t="s">
        <v>3503</v>
      </c>
      <c r="AZ2588" s="94" t="s">
        <v>3504</v>
      </c>
      <c r="BA2588" s="88" t="s">
        <v>67</v>
      </c>
      <c r="BC2588" s="93">
        <f t="shared" si="619"/>
        <v>0</v>
      </c>
      <c r="BD2588" s="93">
        <f t="shared" si="620"/>
        <v>0</v>
      </c>
      <c r="BE2588" s="93">
        <v>0</v>
      </c>
      <c r="BF2588" s="93">
        <f t="shared" si="621"/>
        <v>0</v>
      </c>
      <c r="BH2588" s="93">
        <f t="shared" si="622"/>
        <v>0</v>
      </c>
      <c r="BI2588" s="93">
        <f t="shared" si="623"/>
        <v>0</v>
      </c>
      <c r="BJ2588" s="93">
        <f t="shared" si="624"/>
        <v>0</v>
      </c>
      <c r="BK2588" s="93"/>
      <c r="BL2588" s="93"/>
      <c r="BW2588" s="93" t="str">
        <f t="shared" si="625"/>
        <v>21</v>
      </c>
      <c r="BX2588" s="2" t="s">
        <v>3705</v>
      </c>
    </row>
    <row r="2589" spans="1:76" s="81" customFormat="1" ht="25.5" x14ac:dyDescent="0.25">
      <c r="A2589" s="72" t="s">
        <v>3706</v>
      </c>
      <c r="B2589" s="72" t="s">
        <v>55</v>
      </c>
      <c r="C2589" s="72" t="s">
        <v>3707</v>
      </c>
      <c r="D2589" s="175" t="s">
        <v>3708</v>
      </c>
      <c r="E2589" s="175"/>
      <c r="F2589" s="72" t="s">
        <v>3523</v>
      </c>
      <c r="G2589" s="90">
        <v>2</v>
      </c>
      <c r="H2589" s="91"/>
      <c r="I2589" s="92" t="s">
        <v>63</v>
      </c>
      <c r="J2589" s="90">
        <f t="shared" si="598"/>
        <v>0</v>
      </c>
      <c r="K2589" s="90">
        <f t="shared" si="599"/>
        <v>0</v>
      </c>
      <c r="L2589" s="90">
        <f t="shared" si="600"/>
        <v>0</v>
      </c>
      <c r="M2589" s="90">
        <f t="shared" si="601"/>
        <v>0</v>
      </c>
      <c r="N2589" s="90">
        <v>0</v>
      </c>
      <c r="O2589" s="90">
        <f t="shared" si="602"/>
        <v>0</v>
      </c>
      <c r="P2589" s="92" t="s">
        <v>1652</v>
      </c>
      <c r="Z2589" s="93">
        <f t="shared" si="603"/>
        <v>0</v>
      </c>
      <c r="AB2589" s="93">
        <f t="shared" si="604"/>
        <v>0</v>
      </c>
      <c r="AC2589" s="93">
        <f t="shared" si="605"/>
        <v>0</v>
      </c>
      <c r="AD2589" s="93">
        <f t="shared" si="606"/>
        <v>0</v>
      </c>
      <c r="AE2589" s="93">
        <f t="shared" si="607"/>
        <v>0</v>
      </c>
      <c r="AF2589" s="93">
        <f t="shared" si="608"/>
        <v>0</v>
      </c>
      <c r="AG2589" s="93">
        <f t="shared" si="609"/>
        <v>0</v>
      </c>
      <c r="AH2589" s="93">
        <f t="shared" si="610"/>
        <v>0</v>
      </c>
      <c r="AI2589" s="88" t="s">
        <v>55</v>
      </c>
      <c r="AJ2589" s="93">
        <f t="shared" si="611"/>
        <v>0</v>
      </c>
      <c r="AK2589" s="93">
        <f t="shared" si="612"/>
        <v>0</v>
      </c>
      <c r="AL2589" s="93">
        <f t="shared" si="613"/>
        <v>0</v>
      </c>
      <c r="AN2589" s="93">
        <v>21</v>
      </c>
      <c r="AO2589" s="93">
        <f t="shared" si="614"/>
        <v>0</v>
      </c>
      <c r="AP2589" s="93">
        <f t="shared" si="615"/>
        <v>0</v>
      </c>
      <c r="AQ2589" s="94" t="s">
        <v>118</v>
      </c>
      <c r="AV2589" s="93">
        <f t="shared" si="616"/>
        <v>0</v>
      </c>
      <c r="AW2589" s="93">
        <f t="shared" si="617"/>
        <v>0</v>
      </c>
      <c r="AX2589" s="93">
        <f t="shared" si="618"/>
        <v>0</v>
      </c>
      <c r="AY2589" s="94" t="s">
        <v>3503</v>
      </c>
      <c r="AZ2589" s="94" t="s">
        <v>3504</v>
      </c>
      <c r="BA2589" s="88" t="s">
        <v>67</v>
      </c>
      <c r="BC2589" s="93">
        <f t="shared" si="619"/>
        <v>0</v>
      </c>
      <c r="BD2589" s="93">
        <f t="shared" si="620"/>
        <v>0</v>
      </c>
      <c r="BE2589" s="93">
        <v>0</v>
      </c>
      <c r="BF2589" s="93">
        <f t="shared" si="621"/>
        <v>0</v>
      </c>
      <c r="BH2589" s="93">
        <f t="shared" si="622"/>
        <v>0</v>
      </c>
      <c r="BI2589" s="93">
        <f t="shared" si="623"/>
        <v>0</v>
      </c>
      <c r="BJ2589" s="93">
        <f t="shared" si="624"/>
        <v>0</v>
      </c>
      <c r="BK2589" s="93"/>
      <c r="BL2589" s="93"/>
      <c r="BW2589" s="93" t="str">
        <f t="shared" si="625"/>
        <v>21</v>
      </c>
      <c r="BX2589" s="2" t="s">
        <v>3708</v>
      </c>
    </row>
    <row r="2590" spans="1:76" s="81" customFormat="1" ht="25.5" x14ac:dyDescent="0.25">
      <c r="A2590" s="72" t="s">
        <v>3709</v>
      </c>
      <c r="B2590" s="72" t="s">
        <v>55</v>
      </c>
      <c r="C2590" s="72" t="s">
        <v>3710</v>
      </c>
      <c r="D2590" s="175" t="s">
        <v>3711</v>
      </c>
      <c r="E2590" s="175"/>
      <c r="F2590" s="72" t="s">
        <v>3523</v>
      </c>
      <c r="G2590" s="90">
        <v>13</v>
      </c>
      <c r="H2590" s="91"/>
      <c r="I2590" s="92" t="s">
        <v>63</v>
      </c>
      <c r="J2590" s="90">
        <f t="shared" si="598"/>
        <v>0</v>
      </c>
      <c r="K2590" s="90">
        <f t="shared" si="599"/>
        <v>0</v>
      </c>
      <c r="L2590" s="90">
        <f t="shared" si="600"/>
        <v>0</v>
      </c>
      <c r="M2590" s="90">
        <f t="shared" si="601"/>
        <v>0</v>
      </c>
      <c r="N2590" s="90">
        <v>0</v>
      </c>
      <c r="O2590" s="90">
        <f t="shared" si="602"/>
        <v>0</v>
      </c>
      <c r="P2590" s="92" t="s">
        <v>1652</v>
      </c>
      <c r="Z2590" s="93">
        <f t="shared" si="603"/>
        <v>0</v>
      </c>
      <c r="AB2590" s="93">
        <f t="shared" si="604"/>
        <v>0</v>
      </c>
      <c r="AC2590" s="93">
        <f t="shared" si="605"/>
        <v>0</v>
      </c>
      <c r="AD2590" s="93">
        <f t="shared" si="606"/>
        <v>0</v>
      </c>
      <c r="AE2590" s="93">
        <f t="shared" si="607"/>
        <v>0</v>
      </c>
      <c r="AF2590" s="93">
        <f t="shared" si="608"/>
        <v>0</v>
      </c>
      <c r="AG2590" s="93">
        <f t="shared" si="609"/>
        <v>0</v>
      </c>
      <c r="AH2590" s="93">
        <f t="shared" si="610"/>
        <v>0</v>
      </c>
      <c r="AI2590" s="88" t="s">
        <v>55</v>
      </c>
      <c r="AJ2590" s="93">
        <f t="shared" si="611"/>
        <v>0</v>
      </c>
      <c r="AK2590" s="93">
        <f t="shared" si="612"/>
        <v>0</v>
      </c>
      <c r="AL2590" s="93">
        <f t="shared" si="613"/>
        <v>0</v>
      </c>
      <c r="AN2590" s="93">
        <v>21</v>
      </c>
      <c r="AO2590" s="93">
        <f t="shared" si="614"/>
        <v>0</v>
      </c>
      <c r="AP2590" s="93">
        <f t="shared" si="615"/>
        <v>0</v>
      </c>
      <c r="AQ2590" s="94" t="s">
        <v>118</v>
      </c>
      <c r="AV2590" s="93">
        <f t="shared" si="616"/>
        <v>0</v>
      </c>
      <c r="AW2590" s="93">
        <f t="shared" si="617"/>
        <v>0</v>
      </c>
      <c r="AX2590" s="93">
        <f t="shared" si="618"/>
        <v>0</v>
      </c>
      <c r="AY2590" s="94" t="s">
        <v>3503</v>
      </c>
      <c r="AZ2590" s="94" t="s">
        <v>3504</v>
      </c>
      <c r="BA2590" s="88" t="s">
        <v>67</v>
      </c>
      <c r="BC2590" s="93">
        <f t="shared" si="619"/>
        <v>0</v>
      </c>
      <c r="BD2590" s="93">
        <f t="shared" si="620"/>
        <v>0</v>
      </c>
      <c r="BE2590" s="93">
        <v>0</v>
      </c>
      <c r="BF2590" s="93">
        <f t="shared" si="621"/>
        <v>0</v>
      </c>
      <c r="BH2590" s="93">
        <f t="shared" si="622"/>
        <v>0</v>
      </c>
      <c r="BI2590" s="93">
        <f t="shared" si="623"/>
        <v>0</v>
      </c>
      <c r="BJ2590" s="93">
        <f t="shared" si="624"/>
        <v>0</v>
      </c>
      <c r="BK2590" s="93"/>
      <c r="BL2590" s="93"/>
      <c r="BW2590" s="93" t="str">
        <f t="shared" si="625"/>
        <v>21</v>
      </c>
      <c r="BX2590" s="2" t="s">
        <v>3711</v>
      </c>
    </row>
    <row r="2591" spans="1:76" s="81" customFormat="1" ht="25.5" x14ac:dyDescent="0.25">
      <c r="A2591" s="72" t="s">
        <v>3712</v>
      </c>
      <c r="B2591" s="72" t="s">
        <v>55</v>
      </c>
      <c r="C2591" s="72" t="s">
        <v>3713</v>
      </c>
      <c r="D2591" s="175" t="s">
        <v>3714</v>
      </c>
      <c r="E2591" s="175"/>
      <c r="F2591" s="72" t="s">
        <v>3523</v>
      </c>
      <c r="G2591" s="90">
        <v>6</v>
      </c>
      <c r="H2591" s="91"/>
      <c r="I2591" s="92" t="s">
        <v>63</v>
      </c>
      <c r="J2591" s="90">
        <f t="shared" si="598"/>
        <v>0</v>
      </c>
      <c r="K2591" s="90">
        <f t="shared" si="599"/>
        <v>0</v>
      </c>
      <c r="L2591" s="90">
        <f t="shared" si="600"/>
        <v>0</v>
      </c>
      <c r="M2591" s="90">
        <f t="shared" si="601"/>
        <v>0</v>
      </c>
      <c r="N2591" s="90">
        <v>0</v>
      </c>
      <c r="O2591" s="90">
        <f t="shared" si="602"/>
        <v>0</v>
      </c>
      <c r="P2591" s="92" t="s">
        <v>1652</v>
      </c>
      <c r="Z2591" s="93">
        <f t="shared" si="603"/>
        <v>0</v>
      </c>
      <c r="AB2591" s="93">
        <f t="shared" si="604"/>
        <v>0</v>
      </c>
      <c r="AC2591" s="93">
        <f t="shared" si="605"/>
        <v>0</v>
      </c>
      <c r="AD2591" s="93">
        <f t="shared" si="606"/>
        <v>0</v>
      </c>
      <c r="AE2591" s="93">
        <f t="shared" si="607"/>
        <v>0</v>
      </c>
      <c r="AF2591" s="93">
        <f t="shared" si="608"/>
        <v>0</v>
      </c>
      <c r="AG2591" s="93">
        <f t="shared" si="609"/>
        <v>0</v>
      </c>
      <c r="AH2591" s="93">
        <f t="shared" si="610"/>
        <v>0</v>
      </c>
      <c r="AI2591" s="88" t="s">
        <v>55</v>
      </c>
      <c r="AJ2591" s="93">
        <f t="shared" si="611"/>
        <v>0</v>
      </c>
      <c r="AK2591" s="93">
        <f t="shared" si="612"/>
        <v>0</v>
      </c>
      <c r="AL2591" s="93">
        <f t="shared" si="613"/>
        <v>0</v>
      </c>
      <c r="AN2591" s="93">
        <v>21</v>
      </c>
      <c r="AO2591" s="93">
        <f t="shared" si="614"/>
        <v>0</v>
      </c>
      <c r="AP2591" s="93">
        <f t="shared" si="615"/>
        <v>0</v>
      </c>
      <c r="AQ2591" s="94" t="s">
        <v>118</v>
      </c>
      <c r="AV2591" s="93">
        <f t="shared" si="616"/>
        <v>0</v>
      </c>
      <c r="AW2591" s="93">
        <f t="shared" si="617"/>
        <v>0</v>
      </c>
      <c r="AX2591" s="93">
        <f t="shared" si="618"/>
        <v>0</v>
      </c>
      <c r="AY2591" s="94" t="s">
        <v>3503</v>
      </c>
      <c r="AZ2591" s="94" t="s">
        <v>3504</v>
      </c>
      <c r="BA2591" s="88" t="s">
        <v>67</v>
      </c>
      <c r="BC2591" s="93">
        <f t="shared" si="619"/>
        <v>0</v>
      </c>
      <c r="BD2591" s="93">
        <f t="shared" si="620"/>
        <v>0</v>
      </c>
      <c r="BE2591" s="93">
        <v>0</v>
      </c>
      <c r="BF2591" s="93">
        <f t="shared" si="621"/>
        <v>0</v>
      </c>
      <c r="BH2591" s="93">
        <f t="shared" si="622"/>
        <v>0</v>
      </c>
      <c r="BI2591" s="93">
        <f t="shared" si="623"/>
        <v>0</v>
      </c>
      <c r="BJ2591" s="93">
        <f t="shared" si="624"/>
        <v>0</v>
      </c>
      <c r="BK2591" s="93"/>
      <c r="BL2591" s="93"/>
      <c r="BW2591" s="93" t="str">
        <f t="shared" si="625"/>
        <v>21</v>
      </c>
      <c r="BX2591" s="2" t="s">
        <v>3714</v>
      </c>
    </row>
    <row r="2592" spans="1:76" s="81" customFormat="1" ht="25.5" x14ac:dyDescent="0.25">
      <c r="A2592" s="72" t="s">
        <v>3715</v>
      </c>
      <c r="B2592" s="72" t="s">
        <v>55</v>
      </c>
      <c r="C2592" s="72" t="s">
        <v>3716</v>
      </c>
      <c r="D2592" s="175" t="s">
        <v>3717</v>
      </c>
      <c r="E2592" s="175"/>
      <c r="F2592" s="72" t="s">
        <v>3523</v>
      </c>
      <c r="G2592" s="90">
        <v>33</v>
      </c>
      <c r="H2592" s="91"/>
      <c r="I2592" s="92" t="s">
        <v>63</v>
      </c>
      <c r="J2592" s="90">
        <f t="shared" si="598"/>
        <v>0</v>
      </c>
      <c r="K2592" s="90">
        <f t="shared" si="599"/>
        <v>0</v>
      </c>
      <c r="L2592" s="90">
        <f t="shared" si="600"/>
        <v>0</v>
      </c>
      <c r="M2592" s="90">
        <f t="shared" si="601"/>
        <v>0</v>
      </c>
      <c r="N2592" s="90">
        <v>0</v>
      </c>
      <c r="O2592" s="90">
        <f t="shared" si="602"/>
        <v>0</v>
      </c>
      <c r="P2592" s="92" t="s">
        <v>1652</v>
      </c>
      <c r="Z2592" s="93">
        <f t="shared" si="603"/>
        <v>0</v>
      </c>
      <c r="AB2592" s="93">
        <f t="shared" si="604"/>
        <v>0</v>
      </c>
      <c r="AC2592" s="93">
        <f t="shared" si="605"/>
        <v>0</v>
      </c>
      <c r="AD2592" s="93">
        <f t="shared" si="606"/>
        <v>0</v>
      </c>
      <c r="AE2592" s="93">
        <f t="shared" si="607"/>
        <v>0</v>
      </c>
      <c r="AF2592" s="93">
        <f t="shared" si="608"/>
        <v>0</v>
      </c>
      <c r="AG2592" s="93">
        <f t="shared" si="609"/>
        <v>0</v>
      </c>
      <c r="AH2592" s="93">
        <f t="shared" si="610"/>
        <v>0</v>
      </c>
      <c r="AI2592" s="88" t="s">
        <v>55</v>
      </c>
      <c r="AJ2592" s="93">
        <f t="shared" si="611"/>
        <v>0</v>
      </c>
      <c r="AK2592" s="93">
        <f t="shared" si="612"/>
        <v>0</v>
      </c>
      <c r="AL2592" s="93">
        <f t="shared" si="613"/>
        <v>0</v>
      </c>
      <c r="AN2592" s="93">
        <v>21</v>
      </c>
      <c r="AO2592" s="93">
        <f t="shared" si="614"/>
        <v>0</v>
      </c>
      <c r="AP2592" s="93">
        <f t="shared" si="615"/>
        <v>0</v>
      </c>
      <c r="AQ2592" s="94" t="s">
        <v>118</v>
      </c>
      <c r="AV2592" s="93">
        <f t="shared" si="616"/>
        <v>0</v>
      </c>
      <c r="AW2592" s="93">
        <f t="shared" si="617"/>
        <v>0</v>
      </c>
      <c r="AX2592" s="93">
        <f t="shared" si="618"/>
        <v>0</v>
      </c>
      <c r="AY2592" s="94" t="s">
        <v>3503</v>
      </c>
      <c r="AZ2592" s="94" t="s">
        <v>3504</v>
      </c>
      <c r="BA2592" s="88" t="s">
        <v>67</v>
      </c>
      <c r="BC2592" s="93">
        <f t="shared" si="619"/>
        <v>0</v>
      </c>
      <c r="BD2592" s="93">
        <f t="shared" si="620"/>
        <v>0</v>
      </c>
      <c r="BE2592" s="93">
        <v>0</v>
      </c>
      <c r="BF2592" s="93">
        <f t="shared" si="621"/>
        <v>0</v>
      </c>
      <c r="BH2592" s="93">
        <f t="shared" si="622"/>
        <v>0</v>
      </c>
      <c r="BI2592" s="93">
        <f t="shared" si="623"/>
        <v>0</v>
      </c>
      <c r="BJ2592" s="93">
        <f t="shared" si="624"/>
        <v>0</v>
      </c>
      <c r="BK2592" s="93"/>
      <c r="BL2592" s="93"/>
      <c r="BW2592" s="93" t="str">
        <f t="shared" si="625"/>
        <v>21</v>
      </c>
      <c r="BX2592" s="2" t="s">
        <v>3717</v>
      </c>
    </row>
    <row r="2593" spans="1:76" s="81" customFormat="1" ht="25.5" x14ac:dyDescent="0.25">
      <c r="A2593" s="72" t="s">
        <v>3718</v>
      </c>
      <c r="B2593" s="72" t="s">
        <v>55</v>
      </c>
      <c r="C2593" s="72" t="s">
        <v>3719</v>
      </c>
      <c r="D2593" s="175" t="s">
        <v>3720</v>
      </c>
      <c r="E2593" s="175"/>
      <c r="F2593" s="72" t="s">
        <v>3523</v>
      </c>
      <c r="G2593" s="90">
        <v>3</v>
      </c>
      <c r="H2593" s="91"/>
      <c r="I2593" s="92" t="s">
        <v>63</v>
      </c>
      <c r="J2593" s="90">
        <f t="shared" si="598"/>
        <v>0</v>
      </c>
      <c r="K2593" s="90">
        <f t="shared" si="599"/>
        <v>0</v>
      </c>
      <c r="L2593" s="90">
        <f t="shared" si="600"/>
        <v>0</v>
      </c>
      <c r="M2593" s="90">
        <f t="shared" si="601"/>
        <v>0</v>
      </c>
      <c r="N2593" s="90">
        <v>0</v>
      </c>
      <c r="O2593" s="90">
        <f t="shared" si="602"/>
        <v>0</v>
      </c>
      <c r="P2593" s="92" t="s">
        <v>1652</v>
      </c>
      <c r="Z2593" s="93">
        <f t="shared" si="603"/>
        <v>0</v>
      </c>
      <c r="AB2593" s="93">
        <f t="shared" si="604"/>
        <v>0</v>
      </c>
      <c r="AC2593" s="93">
        <f t="shared" si="605"/>
        <v>0</v>
      </c>
      <c r="AD2593" s="93">
        <f t="shared" si="606"/>
        <v>0</v>
      </c>
      <c r="AE2593" s="93">
        <f t="shared" si="607"/>
        <v>0</v>
      </c>
      <c r="AF2593" s="93">
        <f t="shared" si="608"/>
        <v>0</v>
      </c>
      <c r="AG2593" s="93">
        <f t="shared" si="609"/>
        <v>0</v>
      </c>
      <c r="AH2593" s="93">
        <f t="shared" si="610"/>
        <v>0</v>
      </c>
      <c r="AI2593" s="88" t="s">
        <v>55</v>
      </c>
      <c r="AJ2593" s="93">
        <f t="shared" si="611"/>
        <v>0</v>
      </c>
      <c r="AK2593" s="93">
        <f t="shared" si="612"/>
        <v>0</v>
      </c>
      <c r="AL2593" s="93">
        <f t="shared" si="613"/>
        <v>0</v>
      </c>
      <c r="AN2593" s="93">
        <v>21</v>
      </c>
      <c r="AO2593" s="93">
        <f t="shared" si="614"/>
        <v>0</v>
      </c>
      <c r="AP2593" s="93">
        <f t="shared" si="615"/>
        <v>0</v>
      </c>
      <c r="AQ2593" s="94" t="s">
        <v>118</v>
      </c>
      <c r="AV2593" s="93">
        <f t="shared" si="616"/>
        <v>0</v>
      </c>
      <c r="AW2593" s="93">
        <f t="shared" si="617"/>
        <v>0</v>
      </c>
      <c r="AX2593" s="93">
        <f t="shared" si="618"/>
        <v>0</v>
      </c>
      <c r="AY2593" s="94" t="s">
        <v>3503</v>
      </c>
      <c r="AZ2593" s="94" t="s">
        <v>3504</v>
      </c>
      <c r="BA2593" s="88" t="s">
        <v>67</v>
      </c>
      <c r="BC2593" s="93">
        <f t="shared" si="619"/>
        <v>0</v>
      </c>
      <c r="BD2593" s="93">
        <f t="shared" si="620"/>
        <v>0</v>
      </c>
      <c r="BE2593" s="93">
        <v>0</v>
      </c>
      <c r="BF2593" s="93">
        <f t="shared" si="621"/>
        <v>0</v>
      </c>
      <c r="BH2593" s="93">
        <f t="shared" si="622"/>
        <v>0</v>
      </c>
      <c r="BI2593" s="93">
        <f t="shared" si="623"/>
        <v>0</v>
      </c>
      <c r="BJ2593" s="93">
        <f t="shared" si="624"/>
        <v>0</v>
      </c>
      <c r="BK2593" s="93"/>
      <c r="BL2593" s="93"/>
      <c r="BW2593" s="93" t="str">
        <f t="shared" si="625"/>
        <v>21</v>
      </c>
      <c r="BX2593" s="2" t="s">
        <v>3720</v>
      </c>
    </row>
    <row r="2594" spans="1:76" s="81" customFormat="1" ht="25.5" x14ac:dyDescent="0.25">
      <c r="A2594" s="72" t="s">
        <v>3721</v>
      </c>
      <c r="B2594" s="72" t="s">
        <v>55</v>
      </c>
      <c r="C2594" s="72" t="s">
        <v>3722</v>
      </c>
      <c r="D2594" s="175" t="s">
        <v>3723</v>
      </c>
      <c r="E2594" s="175"/>
      <c r="F2594" s="72" t="s">
        <v>3523</v>
      </c>
      <c r="G2594" s="90">
        <v>10</v>
      </c>
      <c r="H2594" s="91"/>
      <c r="I2594" s="92" t="s">
        <v>63</v>
      </c>
      <c r="J2594" s="90">
        <f t="shared" si="598"/>
        <v>0</v>
      </c>
      <c r="K2594" s="90">
        <f t="shared" si="599"/>
        <v>0</v>
      </c>
      <c r="L2594" s="90">
        <f t="shared" si="600"/>
        <v>0</v>
      </c>
      <c r="M2594" s="90">
        <f t="shared" si="601"/>
        <v>0</v>
      </c>
      <c r="N2594" s="90">
        <v>0</v>
      </c>
      <c r="O2594" s="90">
        <f t="shared" si="602"/>
        <v>0</v>
      </c>
      <c r="P2594" s="92" t="s">
        <v>1652</v>
      </c>
      <c r="Z2594" s="93">
        <f t="shared" si="603"/>
        <v>0</v>
      </c>
      <c r="AB2594" s="93">
        <f t="shared" si="604"/>
        <v>0</v>
      </c>
      <c r="AC2594" s="93">
        <f t="shared" si="605"/>
        <v>0</v>
      </c>
      <c r="AD2594" s="93">
        <f t="shared" si="606"/>
        <v>0</v>
      </c>
      <c r="AE2594" s="93">
        <f t="shared" si="607"/>
        <v>0</v>
      </c>
      <c r="AF2594" s="93">
        <f t="shared" si="608"/>
        <v>0</v>
      </c>
      <c r="AG2594" s="93">
        <f t="shared" si="609"/>
        <v>0</v>
      </c>
      <c r="AH2594" s="93">
        <f t="shared" si="610"/>
        <v>0</v>
      </c>
      <c r="AI2594" s="88" t="s">
        <v>55</v>
      </c>
      <c r="AJ2594" s="93">
        <f t="shared" si="611"/>
        <v>0</v>
      </c>
      <c r="AK2594" s="93">
        <f t="shared" si="612"/>
        <v>0</v>
      </c>
      <c r="AL2594" s="93">
        <f t="shared" si="613"/>
        <v>0</v>
      </c>
      <c r="AN2594" s="93">
        <v>21</v>
      </c>
      <c r="AO2594" s="93">
        <f t="shared" si="614"/>
        <v>0</v>
      </c>
      <c r="AP2594" s="93">
        <f t="shared" si="615"/>
        <v>0</v>
      </c>
      <c r="AQ2594" s="94" t="s">
        <v>118</v>
      </c>
      <c r="AV2594" s="93">
        <f t="shared" si="616"/>
        <v>0</v>
      </c>
      <c r="AW2594" s="93">
        <f t="shared" si="617"/>
        <v>0</v>
      </c>
      <c r="AX2594" s="93">
        <f t="shared" si="618"/>
        <v>0</v>
      </c>
      <c r="AY2594" s="94" t="s">
        <v>3503</v>
      </c>
      <c r="AZ2594" s="94" t="s">
        <v>3504</v>
      </c>
      <c r="BA2594" s="88" t="s">
        <v>67</v>
      </c>
      <c r="BC2594" s="93">
        <f t="shared" si="619"/>
        <v>0</v>
      </c>
      <c r="BD2594" s="93">
        <f t="shared" si="620"/>
        <v>0</v>
      </c>
      <c r="BE2594" s="93">
        <v>0</v>
      </c>
      <c r="BF2594" s="93">
        <f t="shared" si="621"/>
        <v>0</v>
      </c>
      <c r="BH2594" s="93">
        <f t="shared" si="622"/>
        <v>0</v>
      </c>
      <c r="BI2594" s="93">
        <f t="shared" si="623"/>
        <v>0</v>
      </c>
      <c r="BJ2594" s="93">
        <f t="shared" si="624"/>
        <v>0</v>
      </c>
      <c r="BK2594" s="93"/>
      <c r="BL2594" s="93"/>
      <c r="BW2594" s="93" t="str">
        <f t="shared" si="625"/>
        <v>21</v>
      </c>
      <c r="BX2594" s="2" t="s">
        <v>3723</v>
      </c>
    </row>
    <row r="2595" spans="1:76" s="81" customFormat="1" ht="25.5" x14ac:dyDescent="0.25">
      <c r="A2595" s="72" t="s">
        <v>3724</v>
      </c>
      <c r="B2595" s="72" t="s">
        <v>55</v>
      </c>
      <c r="C2595" s="72" t="s">
        <v>3725</v>
      </c>
      <c r="D2595" s="175" t="s">
        <v>3726</v>
      </c>
      <c r="E2595" s="175"/>
      <c r="F2595" s="72" t="s">
        <v>3523</v>
      </c>
      <c r="G2595" s="90">
        <v>13</v>
      </c>
      <c r="H2595" s="91"/>
      <c r="I2595" s="92" t="s">
        <v>63</v>
      </c>
      <c r="J2595" s="90">
        <f t="shared" si="598"/>
        <v>0</v>
      </c>
      <c r="K2595" s="90">
        <f t="shared" si="599"/>
        <v>0</v>
      </c>
      <c r="L2595" s="90">
        <f t="shared" si="600"/>
        <v>0</v>
      </c>
      <c r="M2595" s="90">
        <f t="shared" si="601"/>
        <v>0</v>
      </c>
      <c r="N2595" s="90">
        <v>0</v>
      </c>
      <c r="O2595" s="90">
        <f t="shared" si="602"/>
        <v>0</v>
      </c>
      <c r="P2595" s="92" t="s">
        <v>1652</v>
      </c>
      <c r="Z2595" s="93">
        <f t="shared" si="603"/>
        <v>0</v>
      </c>
      <c r="AB2595" s="93">
        <f t="shared" si="604"/>
        <v>0</v>
      </c>
      <c r="AC2595" s="93">
        <f t="shared" si="605"/>
        <v>0</v>
      </c>
      <c r="AD2595" s="93">
        <f t="shared" si="606"/>
        <v>0</v>
      </c>
      <c r="AE2595" s="93">
        <f t="shared" si="607"/>
        <v>0</v>
      </c>
      <c r="AF2595" s="93">
        <f t="shared" si="608"/>
        <v>0</v>
      </c>
      <c r="AG2595" s="93">
        <f t="shared" si="609"/>
        <v>0</v>
      </c>
      <c r="AH2595" s="93">
        <f t="shared" si="610"/>
        <v>0</v>
      </c>
      <c r="AI2595" s="88" t="s">
        <v>55</v>
      </c>
      <c r="AJ2595" s="93">
        <f t="shared" si="611"/>
        <v>0</v>
      </c>
      <c r="AK2595" s="93">
        <f t="shared" si="612"/>
        <v>0</v>
      </c>
      <c r="AL2595" s="93">
        <f t="shared" si="613"/>
        <v>0</v>
      </c>
      <c r="AN2595" s="93">
        <v>21</v>
      </c>
      <c r="AO2595" s="93">
        <f t="shared" si="614"/>
        <v>0</v>
      </c>
      <c r="AP2595" s="93">
        <f t="shared" si="615"/>
        <v>0</v>
      </c>
      <c r="AQ2595" s="94" t="s">
        <v>118</v>
      </c>
      <c r="AV2595" s="93">
        <f t="shared" si="616"/>
        <v>0</v>
      </c>
      <c r="AW2595" s="93">
        <f t="shared" si="617"/>
        <v>0</v>
      </c>
      <c r="AX2595" s="93">
        <f t="shared" si="618"/>
        <v>0</v>
      </c>
      <c r="AY2595" s="94" t="s">
        <v>3503</v>
      </c>
      <c r="AZ2595" s="94" t="s">
        <v>3504</v>
      </c>
      <c r="BA2595" s="88" t="s">
        <v>67</v>
      </c>
      <c r="BC2595" s="93">
        <f t="shared" si="619"/>
        <v>0</v>
      </c>
      <c r="BD2595" s="93">
        <f t="shared" si="620"/>
        <v>0</v>
      </c>
      <c r="BE2595" s="93">
        <v>0</v>
      </c>
      <c r="BF2595" s="93">
        <f t="shared" si="621"/>
        <v>0</v>
      </c>
      <c r="BH2595" s="93">
        <f t="shared" si="622"/>
        <v>0</v>
      </c>
      <c r="BI2595" s="93">
        <f t="shared" si="623"/>
        <v>0</v>
      </c>
      <c r="BJ2595" s="93">
        <f t="shared" si="624"/>
        <v>0</v>
      </c>
      <c r="BK2595" s="93"/>
      <c r="BL2595" s="93"/>
      <c r="BW2595" s="93" t="str">
        <f t="shared" si="625"/>
        <v>21</v>
      </c>
      <c r="BX2595" s="2" t="s">
        <v>3726</v>
      </c>
    </row>
    <row r="2596" spans="1:76" s="81" customFormat="1" ht="25.5" x14ac:dyDescent="0.25">
      <c r="A2596" s="72" t="s">
        <v>3727</v>
      </c>
      <c r="B2596" s="72" t="s">
        <v>55</v>
      </c>
      <c r="C2596" s="72" t="s">
        <v>3728</v>
      </c>
      <c r="D2596" s="175" t="s">
        <v>3729</v>
      </c>
      <c r="E2596" s="175"/>
      <c r="F2596" s="72" t="s">
        <v>3523</v>
      </c>
      <c r="G2596" s="90">
        <v>6</v>
      </c>
      <c r="H2596" s="91"/>
      <c r="I2596" s="92" t="s">
        <v>63</v>
      </c>
      <c r="J2596" s="90">
        <f t="shared" si="598"/>
        <v>0</v>
      </c>
      <c r="K2596" s="90">
        <f t="shared" si="599"/>
        <v>0</v>
      </c>
      <c r="L2596" s="90">
        <f t="shared" si="600"/>
        <v>0</v>
      </c>
      <c r="M2596" s="90">
        <f t="shared" si="601"/>
        <v>0</v>
      </c>
      <c r="N2596" s="90">
        <v>0</v>
      </c>
      <c r="O2596" s="90">
        <f t="shared" si="602"/>
        <v>0</v>
      </c>
      <c r="P2596" s="92" t="s">
        <v>1652</v>
      </c>
      <c r="Z2596" s="93">
        <f t="shared" si="603"/>
        <v>0</v>
      </c>
      <c r="AB2596" s="93">
        <f t="shared" si="604"/>
        <v>0</v>
      </c>
      <c r="AC2596" s="93">
        <f t="shared" si="605"/>
        <v>0</v>
      </c>
      <c r="AD2596" s="93">
        <f t="shared" si="606"/>
        <v>0</v>
      </c>
      <c r="AE2596" s="93">
        <f t="shared" si="607"/>
        <v>0</v>
      </c>
      <c r="AF2596" s="93">
        <f t="shared" si="608"/>
        <v>0</v>
      </c>
      <c r="AG2596" s="93">
        <f t="shared" si="609"/>
        <v>0</v>
      </c>
      <c r="AH2596" s="93">
        <f t="shared" si="610"/>
        <v>0</v>
      </c>
      <c r="AI2596" s="88" t="s">
        <v>55</v>
      </c>
      <c r="AJ2596" s="93">
        <f t="shared" si="611"/>
        <v>0</v>
      </c>
      <c r="AK2596" s="93">
        <f t="shared" si="612"/>
        <v>0</v>
      </c>
      <c r="AL2596" s="93">
        <f t="shared" si="613"/>
        <v>0</v>
      </c>
      <c r="AN2596" s="93">
        <v>21</v>
      </c>
      <c r="AO2596" s="93">
        <f t="shared" si="614"/>
        <v>0</v>
      </c>
      <c r="AP2596" s="93">
        <f t="shared" si="615"/>
        <v>0</v>
      </c>
      <c r="AQ2596" s="94" t="s">
        <v>118</v>
      </c>
      <c r="AV2596" s="93">
        <f t="shared" si="616"/>
        <v>0</v>
      </c>
      <c r="AW2596" s="93">
        <f t="shared" si="617"/>
        <v>0</v>
      </c>
      <c r="AX2596" s="93">
        <f t="shared" si="618"/>
        <v>0</v>
      </c>
      <c r="AY2596" s="94" t="s">
        <v>3503</v>
      </c>
      <c r="AZ2596" s="94" t="s">
        <v>3504</v>
      </c>
      <c r="BA2596" s="88" t="s">
        <v>67</v>
      </c>
      <c r="BC2596" s="93">
        <f t="shared" si="619"/>
        <v>0</v>
      </c>
      <c r="BD2596" s="93">
        <f t="shared" si="620"/>
        <v>0</v>
      </c>
      <c r="BE2596" s="93">
        <v>0</v>
      </c>
      <c r="BF2596" s="93">
        <f t="shared" si="621"/>
        <v>0</v>
      </c>
      <c r="BH2596" s="93">
        <f t="shared" si="622"/>
        <v>0</v>
      </c>
      <c r="BI2596" s="93">
        <f t="shared" si="623"/>
        <v>0</v>
      </c>
      <c r="BJ2596" s="93">
        <f t="shared" si="624"/>
        <v>0</v>
      </c>
      <c r="BK2596" s="93"/>
      <c r="BL2596" s="93"/>
      <c r="BW2596" s="93" t="str">
        <f t="shared" si="625"/>
        <v>21</v>
      </c>
      <c r="BX2596" s="2" t="s">
        <v>3729</v>
      </c>
    </row>
    <row r="2597" spans="1:76" s="81" customFormat="1" ht="25.5" x14ac:dyDescent="0.25">
      <c r="A2597" s="72" t="s">
        <v>3730</v>
      </c>
      <c r="B2597" s="72" t="s">
        <v>55</v>
      </c>
      <c r="C2597" s="72" t="s">
        <v>3731</v>
      </c>
      <c r="D2597" s="175" t="s">
        <v>3732</v>
      </c>
      <c r="E2597" s="175"/>
      <c r="F2597" s="72" t="s">
        <v>3523</v>
      </c>
      <c r="G2597" s="90">
        <v>6</v>
      </c>
      <c r="H2597" s="91"/>
      <c r="I2597" s="92" t="s">
        <v>63</v>
      </c>
      <c r="J2597" s="90">
        <f t="shared" si="598"/>
        <v>0</v>
      </c>
      <c r="K2597" s="90">
        <f t="shared" si="599"/>
        <v>0</v>
      </c>
      <c r="L2597" s="90">
        <f t="shared" si="600"/>
        <v>0</v>
      </c>
      <c r="M2597" s="90">
        <f t="shared" si="601"/>
        <v>0</v>
      </c>
      <c r="N2597" s="90">
        <v>0</v>
      </c>
      <c r="O2597" s="90">
        <f t="shared" si="602"/>
        <v>0</v>
      </c>
      <c r="P2597" s="92" t="s">
        <v>1652</v>
      </c>
      <c r="Z2597" s="93">
        <f t="shared" si="603"/>
        <v>0</v>
      </c>
      <c r="AB2597" s="93">
        <f t="shared" si="604"/>
        <v>0</v>
      </c>
      <c r="AC2597" s="93">
        <f t="shared" si="605"/>
        <v>0</v>
      </c>
      <c r="AD2597" s="93">
        <f t="shared" si="606"/>
        <v>0</v>
      </c>
      <c r="AE2597" s="93">
        <f t="shared" si="607"/>
        <v>0</v>
      </c>
      <c r="AF2597" s="93">
        <f t="shared" si="608"/>
        <v>0</v>
      </c>
      <c r="AG2597" s="93">
        <f t="shared" si="609"/>
        <v>0</v>
      </c>
      <c r="AH2597" s="93">
        <f t="shared" si="610"/>
        <v>0</v>
      </c>
      <c r="AI2597" s="88" t="s">
        <v>55</v>
      </c>
      <c r="AJ2597" s="93">
        <f t="shared" si="611"/>
        <v>0</v>
      </c>
      <c r="AK2597" s="93">
        <f t="shared" si="612"/>
        <v>0</v>
      </c>
      <c r="AL2597" s="93">
        <f t="shared" si="613"/>
        <v>0</v>
      </c>
      <c r="AN2597" s="93">
        <v>21</v>
      </c>
      <c r="AO2597" s="93">
        <f t="shared" si="614"/>
        <v>0</v>
      </c>
      <c r="AP2597" s="93">
        <f t="shared" si="615"/>
        <v>0</v>
      </c>
      <c r="AQ2597" s="94" t="s">
        <v>118</v>
      </c>
      <c r="AV2597" s="93">
        <f t="shared" si="616"/>
        <v>0</v>
      </c>
      <c r="AW2597" s="93">
        <f t="shared" si="617"/>
        <v>0</v>
      </c>
      <c r="AX2597" s="93">
        <f t="shared" si="618"/>
        <v>0</v>
      </c>
      <c r="AY2597" s="94" t="s">
        <v>3503</v>
      </c>
      <c r="AZ2597" s="94" t="s">
        <v>3504</v>
      </c>
      <c r="BA2597" s="88" t="s">
        <v>67</v>
      </c>
      <c r="BC2597" s="93">
        <f t="shared" si="619"/>
        <v>0</v>
      </c>
      <c r="BD2597" s="93">
        <f t="shared" si="620"/>
        <v>0</v>
      </c>
      <c r="BE2597" s="93">
        <v>0</v>
      </c>
      <c r="BF2597" s="93">
        <f t="shared" si="621"/>
        <v>0</v>
      </c>
      <c r="BH2597" s="93">
        <f t="shared" si="622"/>
        <v>0</v>
      </c>
      <c r="BI2597" s="93">
        <f t="shared" si="623"/>
        <v>0</v>
      </c>
      <c r="BJ2597" s="93">
        <f t="shared" si="624"/>
        <v>0</v>
      </c>
      <c r="BK2597" s="93"/>
      <c r="BL2597" s="93"/>
      <c r="BW2597" s="93" t="str">
        <f t="shared" si="625"/>
        <v>21</v>
      </c>
      <c r="BX2597" s="2" t="s">
        <v>3732</v>
      </c>
    </row>
    <row r="2598" spans="1:76" s="81" customFormat="1" ht="25.5" x14ac:dyDescent="0.25">
      <c r="A2598" s="72" t="s">
        <v>3733</v>
      </c>
      <c r="B2598" s="72" t="s">
        <v>55</v>
      </c>
      <c r="C2598" s="72" t="s">
        <v>3734</v>
      </c>
      <c r="D2598" s="175" t="s">
        <v>3735</v>
      </c>
      <c r="E2598" s="175"/>
      <c r="F2598" s="72" t="s">
        <v>3523</v>
      </c>
      <c r="G2598" s="90">
        <v>12</v>
      </c>
      <c r="H2598" s="91"/>
      <c r="I2598" s="92" t="s">
        <v>63</v>
      </c>
      <c r="J2598" s="90">
        <f t="shared" si="598"/>
        <v>0</v>
      </c>
      <c r="K2598" s="90">
        <f t="shared" si="599"/>
        <v>0</v>
      </c>
      <c r="L2598" s="90">
        <f t="shared" si="600"/>
        <v>0</v>
      </c>
      <c r="M2598" s="90">
        <f t="shared" si="601"/>
        <v>0</v>
      </c>
      <c r="N2598" s="90">
        <v>0</v>
      </c>
      <c r="O2598" s="90">
        <f t="shared" si="602"/>
        <v>0</v>
      </c>
      <c r="P2598" s="92" t="s">
        <v>1652</v>
      </c>
      <c r="Z2598" s="93">
        <f t="shared" si="603"/>
        <v>0</v>
      </c>
      <c r="AB2598" s="93">
        <f t="shared" si="604"/>
        <v>0</v>
      </c>
      <c r="AC2598" s="93">
        <f t="shared" si="605"/>
        <v>0</v>
      </c>
      <c r="AD2598" s="93">
        <f t="shared" si="606"/>
        <v>0</v>
      </c>
      <c r="AE2598" s="93">
        <f t="shared" si="607"/>
        <v>0</v>
      </c>
      <c r="AF2598" s="93">
        <f t="shared" si="608"/>
        <v>0</v>
      </c>
      <c r="AG2598" s="93">
        <f t="shared" si="609"/>
        <v>0</v>
      </c>
      <c r="AH2598" s="93">
        <f t="shared" si="610"/>
        <v>0</v>
      </c>
      <c r="AI2598" s="88" t="s">
        <v>55</v>
      </c>
      <c r="AJ2598" s="93">
        <f t="shared" si="611"/>
        <v>0</v>
      </c>
      <c r="AK2598" s="93">
        <f t="shared" si="612"/>
        <v>0</v>
      </c>
      <c r="AL2598" s="93">
        <f t="shared" si="613"/>
        <v>0</v>
      </c>
      <c r="AN2598" s="93">
        <v>21</v>
      </c>
      <c r="AO2598" s="93">
        <f t="shared" si="614"/>
        <v>0</v>
      </c>
      <c r="AP2598" s="93">
        <f t="shared" si="615"/>
        <v>0</v>
      </c>
      <c r="AQ2598" s="94" t="s">
        <v>118</v>
      </c>
      <c r="AV2598" s="93">
        <f t="shared" si="616"/>
        <v>0</v>
      </c>
      <c r="AW2598" s="93">
        <f t="shared" si="617"/>
        <v>0</v>
      </c>
      <c r="AX2598" s="93">
        <f t="shared" si="618"/>
        <v>0</v>
      </c>
      <c r="AY2598" s="94" t="s">
        <v>3503</v>
      </c>
      <c r="AZ2598" s="94" t="s">
        <v>3504</v>
      </c>
      <c r="BA2598" s="88" t="s">
        <v>67</v>
      </c>
      <c r="BC2598" s="93">
        <f t="shared" si="619"/>
        <v>0</v>
      </c>
      <c r="BD2598" s="93">
        <f t="shared" si="620"/>
        <v>0</v>
      </c>
      <c r="BE2598" s="93">
        <v>0</v>
      </c>
      <c r="BF2598" s="93">
        <f t="shared" si="621"/>
        <v>0</v>
      </c>
      <c r="BH2598" s="93">
        <f t="shared" si="622"/>
        <v>0</v>
      </c>
      <c r="BI2598" s="93">
        <f t="shared" si="623"/>
        <v>0</v>
      </c>
      <c r="BJ2598" s="93">
        <f t="shared" si="624"/>
        <v>0</v>
      </c>
      <c r="BK2598" s="93"/>
      <c r="BL2598" s="93"/>
      <c r="BW2598" s="93" t="str">
        <f t="shared" si="625"/>
        <v>21</v>
      </c>
      <c r="BX2598" s="2" t="s">
        <v>3735</v>
      </c>
    </row>
    <row r="2599" spans="1:76" s="81" customFormat="1" ht="25.5" x14ac:dyDescent="0.25">
      <c r="A2599" s="72" t="s">
        <v>3736</v>
      </c>
      <c r="B2599" s="72" t="s">
        <v>55</v>
      </c>
      <c r="C2599" s="72" t="s">
        <v>3737</v>
      </c>
      <c r="D2599" s="175" t="s">
        <v>3738</v>
      </c>
      <c r="E2599" s="175"/>
      <c r="F2599" s="72" t="s">
        <v>3523</v>
      </c>
      <c r="G2599" s="90">
        <v>1</v>
      </c>
      <c r="H2599" s="91"/>
      <c r="I2599" s="92" t="s">
        <v>63</v>
      </c>
      <c r="J2599" s="90">
        <f t="shared" si="598"/>
        <v>0</v>
      </c>
      <c r="K2599" s="90">
        <f t="shared" si="599"/>
        <v>0</v>
      </c>
      <c r="L2599" s="90">
        <f t="shared" si="600"/>
        <v>0</v>
      </c>
      <c r="M2599" s="90">
        <f t="shared" si="601"/>
        <v>0</v>
      </c>
      <c r="N2599" s="90">
        <v>0</v>
      </c>
      <c r="O2599" s="90">
        <f t="shared" si="602"/>
        <v>0</v>
      </c>
      <c r="P2599" s="92" t="s">
        <v>1652</v>
      </c>
      <c r="Z2599" s="93">
        <f t="shared" si="603"/>
        <v>0</v>
      </c>
      <c r="AB2599" s="93">
        <f t="shared" si="604"/>
        <v>0</v>
      </c>
      <c r="AC2599" s="93">
        <f t="shared" si="605"/>
        <v>0</v>
      </c>
      <c r="AD2599" s="93">
        <f t="shared" si="606"/>
        <v>0</v>
      </c>
      <c r="AE2599" s="93">
        <f t="shared" si="607"/>
        <v>0</v>
      </c>
      <c r="AF2599" s="93">
        <f t="shared" si="608"/>
        <v>0</v>
      </c>
      <c r="AG2599" s="93">
        <f t="shared" si="609"/>
        <v>0</v>
      </c>
      <c r="AH2599" s="93">
        <f t="shared" si="610"/>
        <v>0</v>
      </c>
      <c r="AI2599" s="88" t="s">
        <v>55</v>
      </c>
      <c r="AJ2599" s="93">
        <f t="shared" si="611"/>
        <v>0</v>
      </c>
      <c r="AK2599" s="93">
        <f t="shared" si="612"/>
        <v>0</v>
      </c>
      <c r="AL2599" s="93">
        <f t="shared" si="613"/>
        <v>0</v>
      </c>
      <c r="AN2599" s="93">
        <v>21</v>
      </c>
      <c r="AO2599" s="93">
        <f t="shared" si="614"/>
        <v>0</v>
      </c>
      <c r="AP2599" s="93">
        <f t="shared" si="615"/>
        <v>0</v>
      </c>
      <c r="AQ2599" s="94" t="s">
        <v>118</v>
      </c>
      <c r="AV2599" s="93">
        <f t="shared" si="616"/>
        <v>0</v>
      </c>
      <c r="AW2599" s="93">
        <f t="shared" si="617"/>
        <v>0</v>
      </c>
      <c r="AX2599" s="93">
        <f t="shared" si="618"/>
        <v>0</v>
      </c>
      <c r="AY2599" s="94" t="s">
        <v>3503</v>
      </c>
      <c r="AZ2599" s="94" t="s">
        <v>3504</v>
      </c>
      <c r="BA2599" s="88" t="s">
        <v>67</v>
      </c>
      <c r="BC2599" s="93">
        <f t="shared" si="619"/>
        <v>0</v>
      </c>
      <c r="BD2599" s="93">
        <f t="shared" si="620"/>
        <v>0</v>
      </c>
      <c r="BE2599" s="93">
        <v>0</v>
      </c>
      <c r="BF2599" s="93">
        <f t="shared" si="621"/>
        <v>0</v>
      </c>
      <c r="BH2599" s="93">
        <f t="shared" si="622"/>
        <v>0</v>
      </c>
      <c r="BI2599" s="93">
        <f t="shared" si="623"/>
        <v>0</v>
      </c>
      <c r="BJ2599" s="93">
        <f t="shared" si="624"/>
        <v>0</v>
      </c>
      <c r="BK2599" s="93"/>
      <c r="BL2599" s="93"/>
      <c r="BW2599" s="93" t="str">
        <f t="shared" si="625"/>
        <v>21</v>
      </c>
      <c r="BX2599" s="2" t="s">
        <v>3738</v>
      </c>
    </row>
    <row r="2600" spans="1:76" s="81" customFormat="1" ht="25.5" x14ac:dyDescent="0.25">
      <c r="A2600" s="72" t="s">
        <v>3739</v>
      </c>
      <c r="B2600" s="72" t="s">
        <v>55</v>
      </c>
      <c r="C2600" s="72" t="s">
        <v>3740</v>
      </c>
      <c r="D2600" s="175" t="s">
        <v>3741</v>
      </c>
      <c r="E2600" s="175"/>
      <c r="F2600" s="72" t="s">
        <v>3523</v>
      </c>
      <c r="G2600" s="90">
        <v>1</v>
      </c>
      <c r="H2600" s="91"/>
      <c r="I2600" s="92" t="s">
        <v>63</v>
      </c>
      <c r="J2600" s="90">
        <f t="shared" si="598"/>
        <v>0</v>
      </c>
      <c r="K2600" s="90">
        <f t="shared" si="599"/>
        <v>0</v>
      </c>
      <c r="L2600" s="90">
        <f t="shared" si="600"/>
        <v>0</v>
      </c>
      <c r="M2600" s="90">
        <f t="shared" si="601"/>
        <v>0</v>
      </c>
      <c r="N2600" s="90">
        <v>0</v>
      </c>
      <c r="O2600" s="90">
        <f t="shared" si="602"/>
        <v>0</v>
      </c>
      <c r="P2600" s="92" t="s">
        <v>1652</v>
      </c>
      <c r="Z2600" s="93">
        <f t="shared" si="603"/>
        <v>0</v>
      </c>
      <c r="AB2600" s="93">
        <f t="shared" si="604"/>
        <v>0</v>
      </c>
      <c r="AC2600" s="93">
        <f t="shared" si="605"/>
        <v>0</v>
      </c>
      <c r="AD2600" s="93">
        <f t="shared" si="606"/>
        <v>0</v>
      </c>
      <c r="AE2600" s="93">
        <f t="shared" si="607"/>
        <v>0</v>
      </c>
      <c r="AF2600" s="93">
        <f t="shared" si="608"/>
        <v>0</v>
      </c>
      <c r="AG2600" s="93">
        <f t="shared" si="609"/>
        <v>0</v>
      </c>
      <c r="AH2600" s="93">
        <f t="shared" si="610"/>
        <v>0</v>
      </c>
      <c r="AI2600" s="88" t="s">
        <v>55</v>
      </c>
      <c r="AJ2600" s="93">
        <f t="shared" si="611"/>
        <v>0</v>
      </c>
      <c r="AK2600" s="93">
        <f t="shared" si="612"/>
        <v>0</v>
      </c>
      <c r="AL2600" s="93">
        <f t="shared" si="613"/>
        <v>0</v>
      </c>
      <c r="AN2600" s="93">
        <v>21</v>
      </c>
      <c r="AO2600" s="93">
        <f t="shared" si="614"/>
        <v>0</v>
      </c>
      <c r="AP2600" s="93">
        <f t="shared" si="615"/>
        <v>0</v>
      </c>
      <c r="AQ2600" s="94" t="s">
        <v>118</v>
      </c>
      <c r="AV2600" s="93">
        <f t="shared" si="616"/>
        <v>0</v>
      </c>
      <c r="AW2600" s="93">
        <f t="shared" si="617"/>
        <v>0</v>
      </c>
      <c r="AX2600" s="93">
        <f t="shared" si="618"/>
        <v>0</v>
      </c>
      <c r="AY2600" s="94" t="s">
        <v>3503</v>
      </c>
      <c r="AZ2600" s="94" t="s">
        <v>3504</v>
      </c>
      <c r="BA2600" s="88" t="s">
        <v>67</v>
      </c>
      <c r="BC2600" s="93">
        <f t="shared" si="619"/>
        <v>0</v>
      </c>
      <c r="BD2600" s="93">
        <f t="shared" si="620"/>
        <v>0</v>
      </c>
      <c r="BE2600" s="93">
        <v>0</v>
      </c>
      <c r="BF2600" s="93">
        <f t="shared" si="621"/>
        <v>0</v>
      </c>
      <c r="BH2600" s="93">
        <f t="shared" si="622"/>
        <v>0</v>
      </c>
      <c r="BI2600" s="93">
        <f t="shared" si="623"/>
        <v>0</v>
      </c>
      <c r="BJ2600" s="93">
        <f t="shared" si="624"/>
        <v>0</v>
      </c>
      <c r="BK2600" s="93"/>
      <c r="BL2600" s="93"/>
      <c r="BW2600" s="93" t="str">
        <f t="shared" si="625"/>
        <v>21</v>
      </c>
      <c r="BX2600" s="2" t="s">
        <v>3741</v>
      </c>
    </row>
    <row r="2601" spans="1:76" s="81" customFormat="1" ht="25.5" x14ac:dyDescent="0.25">
      <c r="A2601" s="72" t="s">
        <v>3742</v>
      </c>
      <c r="B2601" s="72" t="s">
        <v>55</v>
      </c>
      <c r="C2601" s="72" t="s">
        <v>3743</v>
      </c>
      <c r="D2601" s="175" t="s">
        <v>3744</v>
      </c>
      <c r="E2601" s="175"/>
      <c r="F2601" s="72" t="s">
        <v>213</v>
      </c>
      <c r="G2601" s="90">
        <v>254</v>
      </c>
      <c r="H2601" s="91"/>
      <c r="I2601" s="92" t="s">
        <v>63</v>
      </c>
      <c r="J2601" s="90">
        <f t="shared" si="598"/>
        <v>0</v>
      </c>
      <c r="K2601" s="90">
        <f t="shared" si="599"/>
        <v>0</v>
      </c>
      <c r="L2601" s="90">
        <f t="shared" si="600"/>
        <v>0</v>
      </c>
      <c r="M2601" s="90">
        <f t="shared" si="601"/>
        <v>0</v>
      </c>
      <c r="N2601" s="90">
        <v>0</v>
      </c>
      <c r="O2601" s="90">
        <f t="shared" si="602"/>
        <v>0</v>
      </c>
      <c r="P2601" s="92" t="s">
        <v>1652</v>
      </c>
      <c r="Z2601" s="93">
        <f t="shared" si="603"/>
        <v>0</v>
      </c>
      <c r="AB2601" s="93">
        <f t="shared" si="604"/>
        <v>0</v>
      </c>
      <c r="AC2601" s="93">
        <f t="shared" si="605"/>
        <v>0</v>
      </c>
      <c r="AD2601" s="93">
        <f t="shared" si="606"/>
        <v>0</v>
      </c>
      <c r="AE2601" s="93">
        <f t="shared" si="607"/>
        <v>0</v>
      </c>
      <c r="AF2601" s="93">
        <f t="shared" si="608"/>
        <v>0</v>
      </c>
      <c r="AG2601" s="93">
        <f t="shared" si="609"/>
        <v>0</v>
      </c>
      <c r="AH2601" s="93">
        <f t="shared" si="610"/>
        <v>0</v>
      </c>
      <c r="AI2601" s="88" t="s">
        <v>55</v>
      </c>
      <c r="AJ2601" s="93">
        <f t="shared" si="611"/>
        <v>0</v>
      </c>
      <c r="AK2601" s="93">
        <f t="shared" si="612"/>
        <v>0</v>
      </c>
      <c r="AL2601" s="93">
        <f t="shared" si="613"/>
        <v>0</v>
      </c>
      <c r="AN2601" s="93">
        <v>21</v>
      </c>
      <c r="AO2601" s="93">
        <f t="shared" si="614"/>
        <v>0</v>
      </c>
      <c r="AP2601" s="93">
        <f t="shared" si="615"/>
        <v>0</v>
      </c>
      <c r="AQ2601" s="94" t="s">
        <v>118</v>
      </c>
      <c r="AV2601" s="93">
        <f t="shared" si="616"/>
        <v>0</v>
      </c>
      <c r="AW2601" s="93">
        <f t="shared" si="617"/>
        <v>0</v>
      </c>
      <c r="AX2601" s="93">
        <f t="shared" si="618"/>
        <v>0</v>
      </c>
      <c r="AY2601" s="94" t="s">
        <v>3503</v>
      </c>
      <c r="AZ2601" s="94" t="s">
        <v>3504</v>
      </c>
      <c r="BA2601" s="88" t="s">
        <v>67</v>
      </c>
      <c r="BC2601" s="93">
        <f t="shared" si="619"/>
        <v>0</v>
      </c>
      <c r="BD2601" s="93">
        <f t="shared" si="620"/>
        <v>0</v>
      </c>
      <c r="BE2601" s="93">
        <v>0</v>
      </c>
      <c r="BF2601" s="93">
        <f t="shared" si="621"/>
        <v>0</v>
      </c>
      <c r="BH2601" s="93">
        <f t="shared" si="622"/>
        <v>0</v>
      </c>
      <c r="BI2601" s="93">
        <f t="shared" si="623"/>
        <v>0</v>
      </c>
      <c r="BJ2601" s="93">
        <f t="shared" si="624"/>
        <v>0</v>
      </c>
      <c r="BK2601" s="93"/>
      <c r="BL2601" s="93"/>
      <c r="BW2601" s="93" t="str">
        <f t="shared" si="625"/>
        <v>21</v>
      </c>
      <c r="BX2601" s="2" t="s">
        <v>3744</v>
      </c>
    </row>
    <row r="2602" spans="1:76" s="81" customFormat="1" ht="25.5" x14ac:dyDescent="0.25">
      <c r="A2602" s="72" t="s">
        <v>3745</v>
      </c>
      <c r="B2602" s="72" t="s">
        <v>55</v>
      </c>
      <c r="C2602" s="72" t="s">
        <v>3746</v>
      </c>
      <c r="D2602" s="175" t="s">
        <v>3747</v>
      </c>
      <c r="E2602" s="175"/>
      <c r="F2602" s="72" t="s">
        <v>213</v>
      </c>
      <c r="G2602" s="90">
        <v>48</v>
      </c>
      <c r="H2602" s="91"/>
      <c r="I2602" s="92" t="s">
        <v>63</v>
      </c>
      <c r="J2602" s="90">
        <f t="shared" si="598"/>
        <v>0</v>
      </c>
      <c r="K2602" s="90">
        <f t="shared" si="599"/>
        <v>0</v>
      </c>
      <c r="L2602" s="90">
        <f t="shared" si="600"/>
        <v>0</v>
      </c>
      <c r="M2602" s="90">
        <f t="shared" si="601"/>
        <v>0</v>
      </c>
      <c r="N2602" s="90">
        <v>0</v>
      </c>
      <c r="O2602" s="90">
        <f t="shared" si="602"/>
        <v>0</v>
      </c>
      <c r="P2602" s="92" t="s">
        <v>1652</v>
      </c>
      <c r="Z2602" s="93">
        <f t="shared" si="603"/>
        <v>0</v>
      </c>
      <c r="AB2602" s="93">
        <f t="shared" si="604"/>
        <v>0</v>
      </c>
      <c r="AC2602" s="93">
        <f t="shared" si="605"/>
        <v>0</v>
      </c>
      <c r="AD2602" s="93">
        <f t="shared" si="606"/>
        <v>0</v>
      </c>
      <c r="AE2602" s="93">
        <f t="shared" si="607"/>
        <v>0</v>
      </c>
      <c r="AF2602" s="93">
        <f t="shared" si="608"/>
        <v>0</v>
      </c>
      <c r="AG2602" s="93">
        <f t="shared" si="609"/>
        <v>0</v>
      </c>
      <c r="AH2602" s="93">
        <f t="shared" si="610"/>
        <v>0</v>
      </c>
      <c r="AI2602" s="88" t="s">
        <v>55</v>
      </c>
      <c r="AJ2602" s="93">
        <f t="shared" si="611"/>
        <v>0</v>
      </c>
      <c r="AK2602" s="93">
        <f t="shared" si="612"/>
        <v>0</v>
      </c>
      <c r="AL2602" s="93">
        <f t="shared" si="613"/>
        <v>0</v>
      </c>
      <c r="AN2602" s="93">
        <v>21</v>
      </c>
      <c r="AO2602" s="93">
        <f t="shared" si="614"/>
        <v>0</v>
      </c>
      <c r="AP2602" s="93">
        <f t="shared" si="615"/>
        <v>0</v>
      </c>
      <c r="AQ2602" s="94" t="s">
        <v>118</v>
      </c>
      <c r="AV2602" s="93">
        <f t="shared" si="616"/>
        <v>0</v>
      </c>
      <c r="AW2602" s="93">
        <f t="shared" si="617"/>
        <v>0</v>
      </c>
      <c r="AX2602" s="93">
        <f t="shared" si="618"/>
        <v>0</v>
      </c>
      <c r="AY2602" s="94" t="s">
        <v>3503</v>
      </c>
      <c r="AZ2602" s="94" t="s">
        <v>3504</v>
      </c>
      <c r="BA2602" s="88" t="s">
        <v>67</v>
      </c>
      <c r="BC2602" s="93">
        <f t="shared" si="619"/>
        <v>0</v>
      </c>
      <c r="BD2602" s="93">
        <f t="shared" si="620"/>
        <v>0</v>
      </c>
      <c r="BE2602" s="93">
        <v>0</v>
      </c>
      <c r="BF2602" s="93">
        <f t="shared" si="621"/>
        <v>0</v>
      </c>
      <c r="BH2602" s="93">
        <f t="shared" si="622"/>
        <v>0</v>
      </c>
      <c r="BI2602" s="93">
        <f t="shared" si="623"/>
        <v>0</v>
      </c>
      <c r="BJ2602" s="93">
        <f t="shared" si="624"/>
        <v>0</v>
      </c>
      <c r="BK2602" s="93"/>
      <c r="BL2602" s="93"/>
      <c r="BW2602" s="93" t="str">
        <f t="shared" si="625"/>
        <v>21</v>
      </c>
      <c r="BX2602" s="2" t="s">
        <v>3747</v>
      </c>
    </row>
    <row r="2603" spans="1:76" s="81" customFormat="1" ht="25.5" x14ac:dyDescent="0.25">
      <c r="A2603" s="72" t="s">
        <v>3748</v>
      </c>
      <c r="B2603" s="72" t="s">
        <v>55</v>
      </c>
      <c r="C2603" s="72" t="s">
        <v>3749</v>
      </c>
      <c r="D2603" s="175" t="s">
        <v>3750</v>
      </c>
      <c r="E2603" s="175"/>
      <c r="F2603" s="72" t="s">
        <v>213</v>
      </c>
      <c r="G2603" s="90">
        <v>317</v>
      </c>
      <c r="H2603" s="91"/>
      <c r="I2603" s="92" t="s">
        <v>63</v>
      </c>
      <c r="J2603" s="90">
        <f t="shared" si="598"/>
        <v>0</v>
      </c>
      <c r="K2603" s="90">
        <f t="shared" si="599"/>
        <v>0</v>
      </c>
      <c r="L2603" s="90">
        <f t="shared" si="600"/>
        <v>0</v>
      </c>
      <c r="M2603" s="90">
        <f t="shared" si="601"/>
        <v>0</v>
      </c>
      <c r="N2603" s="90">
        <v>0</v>
      </c>
      <c r="O2603" s="90">
        <f t="shared" si="602"/>
        <v>0</v>
      </c>
      <c r="P2603" s="92" t="s">
        <v>1652</v>
      </c>
      <c r="Z2603" s="93">
        <f t="shared" si="603"/>
        <v>0</v>
      </c>
      <c r="AB2603" s="93">
        <f t="shared" si="604"/>
        <v>0</v>
      </c>
      <c r="AC2603" s="93">
        <f t="shared" si="605"/>
        <v>0</v>
      </c>
      <c r="AD2603" s="93">
        <f t="shared" si="606"/>
        <v>0</v>
      </c>
      <c r="AE2603" s="93">
        <f t="shared" si="607"/>
        <v>0</v>
      </c>
      <c r="AF2603" s="93">
        <f t="shared" si="608"/>
        <v>0</v>
      </c>
      <c r="AG2603" s="93">
        <f t="shared" si="609"/>
        <v>0</v>
      </c>
      <c r="AH2603" s="93">
        <f t="shared" si="610"/>
        <v>0</v>
      </c>
      <c r="AI2603" s="88" t="s">
        <v>55</v>
      </c>
      <c r="AJ2603" s="93">
        <f t="shared" si="611"/>
        <v>0</v>
      </c>
      <c r="AK2603" s="93">
        <f t="shared" si="612"/>
        <v>0</v>
      </c>
      <c r="AL2603" s="93">
        <f t="shared" si="613"/>
        <v>0</v>
      </c>
      <c r="AN2603" s="93">
        <v>21</v>
      </c>
      <c r="AO2603" s="93">
        <f t="shared" si="614"/>
        <v>0</v>
      </c>
      <c r="AP2603" s="93">
        <f t="shared" si="615"/>
        <v>0</v>
      </c>
      <c r="AQ2603" s="94" t="s">
        <v>118</v>
      </c>
      <c r="AV2603" s="93">
        <f t="shared" si="616"/>
        <v>0</v>
      </c>
      <c r="AW2603" s="93">
        <f t="shared" si="617"/>
        <v>0</v>
      </c>
      <c r="AX2603" s="93">
        <f t="shared" si="618"/>
        <v>0</v>
      </c>
      <c r="AY2603" s="94" t="s">
        <v>3503</v>
      </c>
      <c r="AZ2603" s="94" t="s">
        <v>3504</v>
      </c>
      <c r="BA2603" s="88" t="s">
        <v>67</v>
      </c>
      <c r="BC2603" s="93">
        <f t="shared" si="619"/>
        <v>0</v>
      </c>
      <c r="BD2603" s="93">
        <f t="shared" si="620"/>
        <v>0</v>
      </c>
      <c r="BE2603" s="93">
        <v>0</v>
      </c>
      <c r="BF2603" s="93">
        <f t="shared" si="621"/>
        <v>0</v>
      </c>
      <c r="BH2603" s="93">
        <f t="shared" si="622"/>
        <v>0</v>
      </c>
      <c r="BI2603" s="93">
        <f t="shared" si="623"/>
        <v>0</v>
      </c>
      <c r="BJ2603" s="93">
        <f t="shared" si="624"/>
        <v>0</v>
      </c>
      <c r="BK2603" s="93"/>
      <c r="BL2603" s="93"/>
      <c r="BW2603" s="93" t="str">
        <f t="shared" si="625"/>
        <v>21</v>
      </c>
      <c r="BX2603" s="2" t="s">
        <v>3750</v>
      </c>
    </row>
    <row r="2604" spans="1:76" s="81" customFormat="1" ht="25.5" x14ac:dyDescent="0.25">
      <c r="A2604" s="72" t="s">
        <v>3751</v>
      </c>
      <c r="B2604" s="72" t="s">
        <v>55</v>
      </c>
      <c r="C2604" s="72" t="s">
        <v>3752</v>
      </c>
      <c r="D2604" s="175" t="s">
        <v>3753</v>
      </c>
      <c r="E2604" s="175"/>
      <c r="F2604" s="72" t="s">
        <v>213</v>
      </c>
      <c r="G2604" s="90">
        <v>91</v>
      </c>
      <c r="H2604" s="91"/>
      <c r="I2604" s="92" t="s">
        <v>63</v>
      </c>
      <c r="J2604" s="90">
        <f t="shared" si="598"/>
        <v>0</v>
      </c>
      <c r="K2604" s="90">
        <f t="shared" si="599"/>
        <v>0</v>
      </c>
      <c r="L2604" s="90">
        <f t="shared" si="600"/>
        <v>0</v>
      </c>
      <c r="M2604" s="90">
        <f t="shared" si="601"/>
        <v>0</v>
      </c>
      <c r="N2604" s="90">
        <v>0</v>
      </c>
      <c r="O2604" s="90">
        <f t="shared" si="602"/>
        <v>0</v>
      </c>
      <c r="P2604" s="92" t="s">
        <v>1652</v>
      </c>
      <c r="Z2604" s="93">
        <f t="shared" si="603"/>
        <v>0</v>
      </c>
      <c r="AB2604" s="93">
        <f t="shared" si="604"/>
        <v>0</v>
      </c>
      <c r="AC2604" s="93">
        <f t="shared" si="605"/>
        <v>0</v>
      </c>
      <c r="AD2604" s="93">
        <f t="shared" si="606"/>
        <v>0</v>
      </c>
      <c r="AE2604" s="93">
        <f t="shared" si="607"/>
        <v>0</v>
      </c>
      <c r="AF2604" s="93">
        <f t="shared" si="608"/>
        <v>0</v>
      </c>
      <c r="AG2604" s="93">
        <f t="shared" si="609"/>
        <v>0</v>
      </c>
      <c r="AH2604" s="93">
        <f t="shared" si="610"/>
        <v>0</v>
      </c>
      <c r="AI2604" s="88" t="s">
        <v>55</v>
      </c>
      <c r="AJ2604" s="93">
        <f t="shared" si="611"/>
        <v>0</v>
      </c>
      <c r="AK2604" s="93">
        <f t="shared" si="612"/>
        <v>0</v>
      </c>
      <c r="AL2604" s="93">
        <f t="shared" si="613"/>
        <v>0</v>
      </c>
      <c r="AN2604" s="93">
        <v>21</v>
      </c>
      <c r="AO2604" s="93">
        <f t="shared" si="614"/>
        <v>0</v>
      </c>
      <c r="AP2604" s="93">
        <f t="shared" si="615"/>
        <v>0</v>
      </c>
      <c r="AQ2604" s="94" t="s">
        <v>118</v>
      </c>
      <c r="AV2604" s="93">
        <f t="shared" si="616"/>
        <v>0</v>
      </c>
      <c r="AW2604" s="93">
        <f t="shared" si="617"/>
        <v>0</v>
      </c>
      <c r="AX2604" s="93">
        <f t="shared" si="618"/>
        <v>0</v>
      </c>
      <c r="AY2604" s="94" t="s">
        <v>3503</v>
      </c>
      <c r="AZ2604" s="94" t="s">
        <v>3504</v>
      </c>
      <c r="BA2604" s="88" t="s">
        <v>67</v>
      </c>
      <c r="BC2604" s="93">
        <f t="shared" si="619"/>
        <v>0</v>
      </c>
      <c r="BD2604" s="93">
        <f t="shared" si="620"/>
        <v>0</v>
      </c>
      <c r="BE2604" s="93">
        <v>0</v>
      </c>
      <c r="BF2604" s="93">
        <f t="shared" si="621"/>
        <v>0</v>
      </c>
      <c r="BH2604" s="93">
        <f t="shared" si="622"/>
        <v>0</v>
      </c>
      <c r="BI2604" s="93">
        <f t="shared" si="623"/>
        <v>0</v>
      </c>
      <c r="BJ2604" s="93">
        <f t="shared" si="624"/>
        <v>0</v>
      </c>
      <c r="BK2604" s="93"/>
      <c r="BL2604" s="93"/>
      <c r="BW2604" s="93" t="str">
        <f t="shared" si="625"/>
        <v>21</v>
      </c>
      <c r="BX2604" s="2" t="s">
        <v>3753</v>
      </c>
    </row>
    <row r="2605" spans="1:76" s="81" customFormat="1" ht="25.5" x14ac:dyDescent="0.25">
      <c r="A2605" s="72" t="s">
        <v>3754</v>
      </c>
      <c r="B2605" s="72" t="s">
        <v>55</v>
      </c>
      <c r="C2605" s="72" t="s">
        <v>3755</v>
      </c>
      <c r="D2605" s="175" t="s">
        <v>3756</v>
      </c>
      <c r="E2605" s="175"/>
      <c r="F2605" s="72" t="s">
        <v>3523</v>
      </c>
      <c r="G2605" s="90">
        <v>17</v>
      </c>
      <c r="H2605" s="91"/>
      <c r="I2605" s="92" t="s">
        <v>63</v>
      </c>
      <c r="J2605" s="90">
        <f t="shared" si="598"/>
        <v>0</v>
      </c>
      <c r="K2605" s="90">
        <f t="shared" si="599"/>
        <v>0</v>
      </c>
      <c r="L2605" s="90">
        <f t="shared" si="600"/>
        <v>0</v>
      </c>
      <c r="M2605" s="90">
        <f t="shared" si="601"/>
        <v>0</v>
      </c>
      <c r="N2605" s="90">
        <v>0</v>
      </c>
      <c r="O2605" s="90">
        <f t="shared" si="602"/>
        <v>0</v>
      </c>
      <c r="P2605" s="92" t="s">
        <v>1652</v>
      </c>
      <c r="Z2605" s="93">
        <f t="shared" si="603"/>
        <v>0</v>
      </c>
      <c r="AB2605" s="93">
        <f t="shared" si="604"/>
        <v>0</v>
      </c>
      <c r="AC2605" s="93">
        <f t="shared" si="605"/>
        <v>0</v>
      </c>
      <c r="AD2605" s="93">
        <f t="shared" si="606"/>
        <v>0</v>
      </c>
      <c r="AE2605" s="93">
        <f t="shared" si="607"/>
        <v>0</v>
      </c>
      <c r="AF2605" s="93">
        <f t="shared" si="608"/>
        <v>0</v>
      </c>
      <c r="AG2605" s="93">
        <f t="shared" si="609"/>
        <v>0</v>
      </c>
      <c r="AH2605" s="93">
        <f t="shared" si="610"/>
        <v>0</v>
      </c>
      <c r="AI2605" s="88" t="s">
        <v>55</v>
      </c>
      <c r="AJ2605" s="93">
        <f t="shared" si="611"/>
        <v>0</v>
      </c>
      <c r="AK2605" s="93">
        <f t="shared" si="612"/>
        <v>0</v>
      </c>
      <c r="AL2605" s="93">
        <f t="shared" si="613"/>
        <v>0</v>
      </c>
      <c r="AN2605" s="93">
        <v>21</v>
      </c>
      <c r="AO2605" s="93">
        <f t="shared" si="614"/>
        <v>0</v>
      </c>
      <c r="AP2605" s="93">
        <f t="shared" si="615"/>
        <v>0</v>
      </c>
      <c r="AQ2605" s="94" t="s">
        <v>118</v>
      </c>
      <c r="AV2605" s="93">
        <f t="shared" si="616"/>
        <v>0</v>
      </c>
      <c r="AW2605" s="93">
        <f t="shared" si="617"/>
        <v>0</v>
      </c>
      <c r="AX2605" s="93">
        <f t="shared" si="618"/>
        <v>0</v>
      </c>
      <c r="AY2605" s="94" t="s">
        <v>3503</v>
      </c>
      <c r="AZ2605" s="94" t="s">
        <v>3504</v>
      </c>
      <c r="BA2605" s="88" t="s">
        <v>67</v>
      </c>
      <c r="BC2605" s="93">
        <f t="shared" si="619"/>
        <v>0</v>
      </c>
      <c r="BD2605" s="93">
        <f t="shared" si="620"/>
        <v>0</v>
      </c>
      <c r="BE2605" s="93">
        <v>0</v>
      </c>
      <c r="BF2605" s="93">
        <f t="shared" si="621"/>
        <v>0</v>
      </c>
      <c r="BH2605" s="93">
        <f t="shared" si="622"/>
        <v>0</v>
      </c>
      <c r="BI2605" s="93">
        <f t="shared" si="623"/>
        <v>0</v>
      </c>
      <c r="BJ2605" s="93">
        <f t="shared" si="624"/>
        <v>0</v>
      </c>
      <c r="BK2605" s="93"/>
      <c r="BL2605" s="93"/>
      <c r="BW2605" s="93" t="str">
        <f t="shared" si="625"/>
        <v>21</v>
      </c>
      <c r="BX2605" s="2" t="s">
        <v>3756</v>
      </c>
    </row>
    <row r="2606" spans="1:76" s="81" customFormat="1" ht="25.5" x14ac:dyDescent="0.25">
      <c r="A2606" s="72" t="s">
        <v>3757</v>
      </c>
      <c r="B2606" s="72" t="s">
        <v>55</v>
      </c>
      <c r="C2606" s="72" t="s">
        <v>3758</v>
      </c>
      <c r="D2606" s="175" t="s">
        <v>3759</v>
      </c>
      <c r="E2606" s="175"/>
      <c r="F2606" s="72" t="s">
        <v>3523</v>
      </c>
      <c r="G2606" s="90">
        <v>3</v>
      </c>
      <c r="H2606" s="91"/>
      <c r="I2606" s="92" t="s">
        <v>63</v>
      </c>
      <c r="J2606" s="90">
        <f t="shared" si="598"/>
        <v>0</v>
      </c>
      <c r="K2606" s="90">
        <f t="shared" si="599"/>
        <v>0</v>
      </c>
      <c r="L2606" s="90">
        <f t="shared" si="600"/>
        <v>0</v>
      </c>
      <c r="M2606" s="90">
        <f t="shared" si="601"/>
        <v>0</v>
      </c>
      <c r="N2606" s="90">
        <v>0</v>
      </c>
      <c r="O2606" s="90">
        <f t="shared" si="602"/>
        <v>0</v>
      </c>
      <c r="P2606" s="92" t="s">
        <v>1652</v>
      </c>
      <c r="Z2606" s="93">
        <f t="shared" si="603"/>
        <v>0</v>
      </c>
      <c r="AB2606" s="93">
        <f t="shared" si="604"/>
        <v>0</v>
      </c>
      <c r="AC2606" s="93">
        <f t="shared" si="605"/>
        <v>0</v>
      </c>
      <c r="AD2606" s="93">
        <f t="shared" si="606"/>
        <v>0</v>
      </c>
      <c r="AE2606" s="93">
        <f t="shared" si="607"/>
        <v>0</v>
      </c>
      <c r="AF2606" s="93">
        <f t="shared" si="608"/>
        <v>0</v>
      </c>
      <c r="AG2606" s="93">
        <f t="shared" si="609"/>
        <v>0</v>
      </c>
      <c r="AH2606" s="93">
        <f t="shared" si="610"/>
        <v>0</v>
      </c>
      <c r="AI2606" s="88" t="s">
        <v>55</v>
      </c>
      <c r="AJ2606" s="93">
        <f t="shared" si="611"/>
        <v>0</v>
      </c>
      <c r="AK2606" s="93">
        <f t="shared" si="612"/>
        <v>0</v>
      </c>
      <c r="AL2606" s="93">
        <f t="shared" si="613"/>
        <v>0</v>
      </c>
      <c r="AN2606" s="93">
        <v>21</v>
      </c>
      <c r="AO2606" s="93">
        <f t="shared" si="614"/>
        <v>0</v>
      </c>
      <c r="AP2606" s="93">
        <f t="shared" si="615"/>
        <v>0</v>
      </c>
      <c r="AQ2606" s="94" t="s">
        <v>118</v>
      </c>
      <c r="AV2606" s="93">
        <f t="shared" si="616"/>
        <v>0</v>
      </c>
      <c r="AW2606" s="93">
        <f t="shared" si="617"/>
        <v>0</v>
      </c>
      <c r="AX2606" s="93">
        <f t="shared" si="618"/>
        <v>0</v>
      </c>
      <c r="AY2606" s="94" t="s">
        <v>3503</v>
      </c>
      <c r="AZ2606" s="94" t="s">
        <v>3504</v>
      </c>
      <c r="BA2606" s="88" t="s">
        <v>67</v>
      </c>
      <c r="BC2606" s="93">
        <f t="shared" si="619"/>
        <v>0</v>
      </c>
      <c r="BD2606" s="93">
        <f t="shared" si="620"/>
        <v>0</v>
      </c>
      <c r="BE2606" s="93">
        <v>0</v>
      </c>
      <c r="BF2606" s="93">
        <f t="shared" si="621"/>
        <v>0</v>
      </c>
      <c r="BH2606" s="93">
        <f t="shared" si="622"/>
        <v>0</v>
      </c>
      <c r="BI2606" s="93">
        <f t="shared" si="623"/>
        <v>0</v>
      </c>
      <c r="BJ2606" s="93">
        <f t="shared" si="624"/>
        <v>0</v>
      </c>
      <c r="BK2606" s="93"/>
      <c r="BL2606" s="93"/>
      <c r="BW2606" s="93" t="str">
        <f t="shared" si="625"/>
        <v>21</v>
      </c>
      <c r="BX2606" s="2" t="s">
        <v>3759</v>
      </c>
    </row>
    <row r="2607" spans="1:76" s="81" customFormat="1" ht="25.5" x14ac:dyDescent="0.25">
      <c r="A2607" s="72" t="s">
        <v>3760</v>
      </c>
      <c r="B2607" s="72" t="s">
        <v>55</v>
      </c>
      <c r="C2607" s="72" t="s">
        <v>3761</v>
      </c>
      <c r="D2607" s="175" t="s">
        <v>3762</v>
      </c>
      <c r="E2607" s="175"/>
      <c r="F2607" s="72" t="s">
        <v>3523</v>
      </c>
      <c r="G2607" s="90">
        <v>3</v>
      </c>
      <c r="H2607" s="91"/>
      <c r="I2607" s="92" t="s">
        <v>63</v>
      </c>
      <c r="J2607" s="90">
        <f t="shared" si="598"/>
        <v>0</v>
      </c>
      <c r="K2607" s="90">
        <f t="shared" si="599"/>
        <v>0</v>
      </c>
      <c r="L2607" s="90">
        <f t="shared" si="600"/>
        <v>0</v>
      </c>
      <c r="M2607" s="90">
        <f t="shared" si="601"/>
        <v>0</v>
      </c>
      <c r="N2607" s="90">
        <v>0</v>
      </c>
      <c r="O2607" s="90">
        <f t="shared" si="602"/>
        <v>0</v>
      </c>
      <c r="P2607" s="92" t="s">
        <v>1652</v>
      </c>
      <c r="Z2607" s="93">
        <f t="shared" si="603"/>
        <v>0</v>
      </c>
      <c r="AB2607" s="93">
        <f t="shared" si="604"/>
        <v>0</v>
      </c>
      <c r="AC2607" s="93">
        <f t="shared" si="605"/>
        <v>0</v>
      </c>
      <c r="AD2607" s="93">
        <f t="shared" si="606"/>
        <v>0</v>
      </c>
      <c r="AE2607" s="93">
        <f t="shared" si="607"/>
        <v>0</v>
      </c>
      <c r="AF2607" s="93">
        <f t="shared" si="608"/>
        <v>0</v>
      </c>
      <c r="AG2607" s="93">
        <f t="shared" si="609"/>
        <v>0</v>
      </c>
      <c r="AH2607" s="93">
        <f t="shared" si="610"/>
        <v>0</v>
      </c>
      <c r="AI2607" s="88" t="s">
        <v>55</v>
      </c>
      <c r="AJ2607" s="93">
        <f t="shared" si="611"/>
        <v>0</v>
      </c>
      <c r="AK2607" s="93">
        <f t="shared" si="612"/>
        <v>0</v>
      </c>
      <c r="AL2607" s="93">
        <f t="shared" si="613"/>
        <v>0</v>
      </c>
      <c r="AN2607" s="93">
        <v>21</v>
      </c>
      <c r="AO2607" s="93">
        <f t="shared" si="614"/>
        <v>0</v>
      </c>
      <c r="AP2607" s="93">
        <f t="shared" si="615"/>
        <v>0</v>
      </c>
      <c r="AQ2607" s="94" t="s">
        <v>118</v>
      </c>
      <c r="AV2607" s="93">
        <f t="shared" si="616"/>
        <v>0</v>
      </c>
      <c r="AW2607" s="93">
        <f t="shared" si="617"/>
        <v>0</v>
      </c>
      <c r="AX2607" s="93">
        <f t="shared" si="618"/>
        <v>0</v>
      </c>
      <c r="AY2607" s="94" t="s">
        <v>3503</v>
      </c>
      <c r="AZ2607" s="94" t="s">
        <v>3504</v>
      </c>
      <c r="BA2607" s="88" t="s">
        <v>67</v>
      </c>
      <c r="BC2607" s="93">
        <f t="shared" si="619"/>
        <v>0</v>
      </c>
      <c r="BD2607" s="93">
        <f t="shared" si="620"/>
        <v>0</v>
      </c>
      <c r="BE2607" s="93">
        <v>0</v>
      </c>
      <c r="BF2607" s="93">
        <f t="shared" si="621"/>
        <v>0</v>
      </c>
      <c r="BH2607" s="93">
        <f t="shared" si="622"/>
        <v>0</v>
      </c>
      <c r="BI2607" s="93">
        <f t="shared" si="623"/>
        <v>0</v>
      </c>
      <c r="BJ2607" s="93">
        <f t="shared" si="624"/>
        <v>0</v>
      </c>
      <c r="BK2607" s="93"/>
      <c r="BL2607" s="93"/>
      <c r="BW2607" s="93" t="str">
        <f t="shared" si="625"/>
        <v>21</v>
      </c>
      <c r="BX2607" s="2" t="s">
        <v>3762</v>
      </c>
    </row>
    <row r="2608" spans="1:76" s="81" customFormat="1" ht="25.5" x14ac:dyDescent="0.25">
      <c r="A2608" s="72" t="s">
        <v>3763</v>
      </c>
      <c r="B2608" s="72" t="s">
        <v>55</v>
      </c>
      <c r="C2608" s="72" t="s">
        <v>3764</v>
      </c>
      <c r="D2608" s="175" t="s">
        <v>3765</v>
      </c>
      <c r="E2608" s="175"/>
      <c r="F2608" s="72" t="s">
        <v>3523</v>
      </c>
      <c r="G2608" s="90">
        <v>116</v>
      </c>
      <c r="H2608" s="91"/>
      <c r="I2608" s="92" t="s">
        <v>63</v>
      </c>
      <c r="J2608" s="90">
        <f t="shared" si="598"/>
        <v>0</v>
      </c>
      <c r="K2608" s="90">
        <f t="shared" si="599"/>
        <v>0</v>
      </c>
      <c r="L2608" s="90">
        <f t="shared" si="600"/>
        <v>0</v>
      </c>
      <c r="M2608" s="90">
        <f t="shared" si="601"/>
        <v>0</v>
      </c>
      <c r="N2608" s="90">
        <v>0</v>
      </c>
      <c r="O2608" s="90">
        <f t="shared" si="602"/>
        <v>0</v>
      </c>
      <c r="P2608" s="92" t="s">
        <v>1652</v>
      </c>
      <c r="Z2608" s="93">
        <f t="shared" si="603"/>
        <v>0</v>
      </c>
      <c r="AB2608" s="93">
        <f t="shared" si="604"/>
        <v>0</v>
      </c>
      <c r="AC2608" s="93">
        <f t="shared" si="605"/>
        <v>0</v>
      </c>
      <c r="AD2608" s="93">
        <f t="shared" si="606"/>
        <v>0</v>
      </c>
      <c r="AE2608" s="93">
        <f t="shared" si="607"/>
        <v>0</v>
      </c>
      <c r="AF2608" s="93">
        <f t="shared" si="608"/>
        <v>0</v>
      </c>
      <c r="AG2608" s="93">
        <f t="shared" si="609"/>
        <v>0</v>
      </c>
      <c r="AH2608" s="93">
        <f t="shared" si="610"/>
        <v>0</v>
      </c>
      <c r="AI2608" s="88" t="s">
        <v>55</v>
      </c>
      <c r="AJ2608" s="93">
        <f t="shared" si="611"/>
        <v>0</v>
      </c>
      <c r="AK2608" s="93">
        <f t="shared" si="612"/>
        <v>0</v>
      </c>
      <c r="AL2608" s="93">
        <f t="shared" si="613"/>
        <v>0</v>
      </c>
      <c r="AN2608" s="93">
        <v>21</v>
      </c>
      <c r="AO2608" s="93">
        <f t="shared" si="614"/>
        <v>0</v>
      </c>
      <c r="AP2608" s="93">
        <f t="shared" si="615"/>
        <v>0</v>
      </c>
      <c r="AQ2608" s="94" t="s">
        <v>118</v>
      </c>
      <c r="AV2608" s="93">
        <f t="shared" si="616"/>
        <v>0</v>
      </c>
      <c r="AW2608" s="93">
        <f t="shared" si="617"/>
        <v>0</v>
      </c>
      <c r="AX2608" s="93">
        <f t="shared" si="618"/>
        <v>0</v>
      </c>
      <c r="AY2608" s="94" t="s">
        <v>3503</v>
      </c>
      <c r="AZ2608" s="94" t="s">
        <v>3504</v>
      </c>
      <c r="BA2608" s="88" t="s">
        <v>67</v>
      </c>
      <c r="BC2608" s="93">
        <f t="shared" si="619"/>
        <v>0</v>
      </c>
      <c r="BD2608" s="93">
        <f t="shared" si="620"/>
        <v>0</v>
      </c>
      <c r="BE2608" s="93">
        <v>0</v>
      </c>
      <c r="BF2608" s="93">
        <f t="shared" si="621"/>
        <v>0</v>
      </c>
      <c r="BH2608" s="93">
        <f t="shared" si="622"/>
        <v>0</v>
      </c>
      <c r="BI2608" s="93">
        <f t="shared" si="623"/>
        <v>0</v>
      </c>
      <c r="BJ2608" s="93">
        <f t="shared" si="624"/>
        <v>0</v>
      </c>
      <c r="BK2608" s="93"/>
      <c r="BL2608" s="93"/>
      <c r="BW2608" s="93" t="str">
        <f t="shared" si="625"/>
        <v>21</v>
      </c>
      <c r="BX2608" s="2" t="s">
        <v>3765</v>
      </c>
    </row>
    <row r="2609" spans="1:76" s="81" customFormat="1" ht="25.5" x14ac:dyDescent="0.25">
      <c r="A2609" s="72" t="s">
        <v>3766</v>
      </c>
      <c r="B2609" s="72" t="s">
        <v>55</v>
      </c>
      <c r="C2609" s="72" t="s">
        <v>3767</v>
      </c>
      <c r="D2609" s="175" t="s">
        <v>3768</v>
      </c>
      <c r="E2609" s="175"/>
      <c r="F2609" s="72" t="s">
        <v>3523</v>
      </c>
      <c r="G2609" s="90">
        <v>10</v>
      </c>
      <c r="H2609" s="91"/>
      <c r="I2609" s="92" t="s">
        <v>63</v>
      </c>
      <c r="J2609" s="90">
        <f t="shared" si="598"/>
        <v>0</v>
      </c>
      <c r="K2609" s="90">
        <f t="shared" si="599"/>
        <v>0</v>
      </c>
      <c r="L2609" s="90">
        <f t="shared" si="600"/>
        <v>0</v>
      </c>
      <c r="M2609" s="90">
        <f t="shared" si="601"/>
        <v>0</v>
      </c>
      <c r="N2609" s="90">
        <v>0</v>
      </c>
      <c r="O2609" s="90">
        <f t="shared" si="602"/>
        <v>0</v>
      </c>
      <c r="P2609" s="92" t="s">
        <v>1652</v>
      </c>
      <c r="Z2609" s="93">
        <f t="shared" si="603"/>
        <v>0</v>
      </c>
      <c r="AB2609" s="93">
        <f t="shared" si="604"/>
        <v>0</v>
      </c>
      <c r="AC2609" s="93">
        <f t="shared" si="605"/>
        <v>0</v>
      </c>
      <c r="AD2609" s="93">
        <f t="shared" si="606"/>
        <v>0</v>
      </c>
      <c r="AE2609" s="93">
        <f t="shared" si="607"/>
        <v>0</v>
      </c>
      <c r="AF2609" s="93">
        <f t="shared" si="608"/>
        <v>0</v>
      </c>
      <c r="AG2609" s="93">
        <f t="shared" si="609"/>
        <v>0</v>
      </c>
      <c r="AH2609" s="93">
        <f t="shared" si="610"/>
        <v>0</v>
      </c>
      <c r="AI2609" s="88" t="s">
        <v>55</v>
      </c>
      <c r="AJ2609" s="93">
        <f t="shared" si="611"/>
        <v>0</v>
      </c>
      <c r="AK2609" s="93">
        <f t="shared" si="612"/>
        <v>0</v>
      </c>
      <c r="AL2609" s="93">
        <f t="shared" si="613"/>
        <v>0</v>
      </c>
      <c r="AN2609" s="93">
        <v>21</v>
      </c>
      <c r="AO2609" s="93">
        <f t="shared" si="614"/>
        <v>0</v>
      </c>
      <c r="AP2609" s="93">
        <f t="shared" si="615"/>
        <v>0</v>
      </c>
      <c r="AQ2609" s="94" t="s">
        <v>118</v>
      </c>
      <c r="AV2609" s="93">
        <f t="shared" si="616"/>
        <v>0</v>
      </c>
      <c r="AW2609" s="93">
        <f t="shared" si="617"/>
        <v>0</v>
      </c>
      <c r="AX2609" s="93">
        <f t="shared" si="618"/>
        <v>0</v>
      </c>
      <c r="AY2609" s="94" t="s">
        <v>3503</v>
      </c>
      <c r="AZ2609" s="94" t="s">
        <v>3504</v>
      </c>
      <c r="BA2609" s="88" t="s">
        <v>67</v>
      </c>
      <c r="BC2609" s="93">
        <f t="shared" si="619"/>
        <v>0</v>
      </c>
      <c r="BD2609" s="93">
        <f t="shared" si="620"/>
        <v>0</v>
      </c>
      <c r="BE2609" s="93">
        <v>0</v>
      </c>
      <c r="BF2609" s="93">
        <f t="shared" si="621"/>
        <v>0</v>
      </c>
      <c r="BH2609" s="93">
        <f t="shared" si="622"/>
        <v>0</v>
      </c>
      <c r="BI2609" s="93">
        <f t="shared" si="623"/>
        <v>0</v>
      </c>
      <c r="BJ2609" s="93">
        <f t="shared" si="624"/>
        <v>0</v>
      </c>
      <c r="BK2609" s="93"/>
      <c r="BL2609" s="93"/>
      <c r="BW2609" s="93" t="str">
        <f t="shared" si="625"/>
        <v>21</v>
      </c>
      <c r="BX2609" s="2" t="s">
        <v>3768</v>
      </c>
    </row>
    <row r="2610" spans="1:76" s="81" customFormat="1" ht="25.5" x14ac:dyDescent="0.25">
      <c r="A2610" s="72" t="s">
        <v>3769</v>
      </c>
      <c r="B2610" s="72" t="s">
        <v>55</v>
      </c>
      <c r="C2610" s="72" t="s">
        <v>3770</v>
      </c>
      <c r="D2610" s="175" t="s">
        <v>3771</v>
      </c>
      <c r="E2610" s="175"/>
      <c r="F2610" s="72" t="s">
        <v>3523</v>
      </c>
      <c r="G2610" s="90">
        <v>250</v>
      </c>
      <c r="H2610" s="91"/>
      <c r="I2610" s="92" t="s">
        <v>63</v>
      </c>
      <c r="J2610" s="90">
        <f t="shared" si="598"/>
        <v>0</v>
      </c>
      <c r="K2610" s="90">
        <f t="shared" si="599"/>
        <v>0</v>
      </c>
      <c r="L2610" s="90">
        <f t="shared" si="600"/>
        <v>0</v>
      </c>
      <c r="M2610" s="90">
        <f t="shared" si="601"/>
        <v>0</v>
      </c>
      <c r="N2610" s="90">
        <v>0</v>
      </c>
      <c r="O2610" s="90">
        <f t="shared" si="602"/>
        <v>0</v>
      </c>
      <c r="P2610" s="92" t="s">
        <v>1652</v>
      </c>
      <c r="Z2610" s="93">
        <f t="shared" si="603"/>
        <v>0</v>
      </c>
      <c r="AB2610" s="93">
        <f t="shared" si="604"/>
        <v>0</v>
      </c>
      <c r="AC2610" s="93">
        <f t="shared" si="605"/>
        <v>0</v>
      </c>
      <c r="AD2610" s="93">
        <f t="shared" si="606"/>
        <v>0</v>
      </c>
      <c r="AE2610" s="93">
        <f t="shared" si="607"/>
        <v>0</v>
      </c>
      <c r="AF2610" s="93">
        <f t="shared" si="608"/>
        <v>0</v>
      </c>
      <c r="AG2610" s="93">
        <f t="shared" si="609"/>
        <v>0</v>
      </c>
      <c r="AH2610" s="93">
        <f t="shared" si="610"/>
        <v>0</v>
      </c>
      <c r="AI2610" s="88" t="s">
        <v>55</v>
      </c>
      <c r="AJ2610" s="93">
        <f t="shared" si="611"/>
        <v>0</v>
      </c>
      <c r="AK2610" s="93">
        <f t="shared" si="612"/>
        <v>0</v>
      </c>
      <c r="AL2610" s="93">
        <f t="shared" si="613"/>
        <v>0</v>
      </c>
      <c r="AN2610" s="93">
        <v>21</v>
      </c>
      <c r="AO2610" s="93">
        <f t="shared" si="614"/>
        <v>0</v>
      </c>
      <c r="AP2610" s="93">
        <f t="shared" si="615"/>
        <v>0</v>
      </c>
      <c r="AQ2610" s="94" t="s">
        <v>118</v>
      </c>
      <c r="AV2610" s="93">
        <f t="shared" si="616"/>
        <v>0</v>
      </c>
      <c r="AW2610" s="93">
        <f t="shared" si="617"/>
        <v>0</v>
      </c>
      <c r="AX2610" s="93">
        <f t="shared" si="618"/>
        <v>0</v>
      </c>
      <c r="AY2610" s="94" t="s">
        <v>3503</v>
      </c>
      <c r="AZ2610" s="94" t="s">
        <v>3504</v>
      </c>
      <c r="BA2610" s="88" t="s">
        <v>67</v>
      </c>
      <c r="BC2610" s="93">
        <f t="shared" si="619"/>
        <v>0</v>
      </c>
      <c r="BD2610" s="93">
        <f t="shared" si="620"/>
        <v>0</v>
      </c>
      <c r="BE2610" s="93">
        <v>0</v>
      </c>
      <c r="BF2610" s="93">
        <f t="shared" si="621"/>
        <v>0</v>
      </c>
      <c r="BH2610" s="93">
        <f t="shared" si="622"/>
        <v>0</v>
      </c>
      <c r="BI2610" s="93">
        <f t="shared" si="623"/>
        <v>0</v>
      </c>
      <c r="BJ2610" s="93">
        <f t="shared" si="624"/>
        <v>0</v>
      </c>
      <c r="BK2610" s="93"/>
      <c r="BL2610" s="93"/>
      <c r="BW2610" s="93" t="str">
        <f t="shared" si="625"/>
        <v>21</v>
      </c>
      <c r="BX2610" s="2" t="s">
        <v>3771</v>
      </c>
    </row>
    <row r="2611" spans="1:76" s="81" customFormat="1" ht="25.5" x14ac:dyDescent="0.25">
      <c r="A2611" s="72" t="s">
        <v>3772</v>
      </c>
      <c r="B2611" s="72" t="s">
        <v>55</v>
      </c>
      <c r="C2611" s="72" t="s">
        <v>3773</v>
      </c>
      <c r="D2611" s="175" t="s">
        <v>3774</v>
      </c>
      <c r="E2611" s="175"/>
      <c r="F2611" s="72" t="s">
        <v>3523</v>
      </c>
      <c r="G2611" s="90">
        <v>38</v>
      </c>
      <c r="H2611" s="91"/>
      <c r="I2611" s="92" t="s">
        <v>63</v>
      </c>
      <c r="J2611" s="90">
        <f t="shared" si="598"/>
        <v>0</v>
      </c>
      <c r="K2611" s="90">
        <f t="shared" si="599"/>
        <v>0</v>
      </c>
      <c r="L2611" s="90">
        <f t="shared" si="600"/>
        <v>0</v>
      </c>
      <c r="M2611" s="90">
        <f t="shared" si="601"/>
        <v>0</v>
      </c>
      <c r="N2611" s="90">
        <v>0</v>
      </c>
      <c r="O2611" s="90">
        <f t="shared" si="602"/>
        <v>0</v>
      </c>
      <c r="P2611" s="92" t="s">
        <v>1652</v>
      </c>
      <c r="Z2611" s="93">
        <f t="shared" si="603"/>
        <v>0</v>
      </c>
      <c r="AB2611" s="93">
        <f t="shared" si="604"/>
        <v>0</v>
      </c>
      <c r="AC2611" s="93">
        <f t="shared" si="605"/>
        <v>0</v>
      </c>
      <c r="AD2611" s="93">
        <f t="shared" si="606"/>
        <v>0</v>
      </c>
      <c r="AE2611" s="93">
        <f t="shared" si="607"/>
        <v>0</v>
      </c>
      <c r="AF2611" s="93">
        <f t="shared" si="608"/>
        <v>0</v>
      </c>
      <c r="AG2611" s="93">
        <f t="shared" si="609"/>
        <v>0</v>
      </c>
      <c r="AH2611" s="93">
        <f t="shared" si="610"/>
        <v>0</v>
      </c>
      <c r="AI2611" s="88" t="s">
        <v>55</v>
      </c>
      <c r="AJ2611" s="93">
        <f t="shared" si="611"/>
        <v>0</v>
      </c>
      <c r="AK2611" s="93">
        <f t="shared" si="612"/>
        <v>0</v>
      </c>
      <c r="AL2611" s="93">
        <f t="shared" si="613"/>
        <v>0</v>
      </c>
      <c r="AN2611" s="93">
        <v>21</v>
      </c>
      <c r="AO2611" s="93">
        <f t="shared" si="614"/>
        <v>0</v>
      </c>
      <c r="AP2611" s="93">
        <f t="shared" si="615"/>
        <v>0</v>
      </c>
      <c r="AQ2611" s="94" t="s">
        <v>118</v>
      </c>
      <c r="AV2611" s="93">
        <f t="shared" si="616"/>
        <v>0</v>
      </c>
      <c r="AW2611" s="93">
        <f t="shared" si="617"/>
        <v>0</v>
      </c>
      <c r="AX2611" s="93">
        <f t="shared" si="618"/>
        <v>0</v>
      </c>
      <c r="AY2611" s="94" t="s">
        <v>3503</v>
      </c>
      <c r="AZ2611" s="94" t="s">
        <v>3504</v>
      </c>
      <c r="BA2611" s="88" t="s">
        <v>67</v>
      </c>
      <c r="BC2611" s="93">
        <f t="shared" si="619"/>
        <v>0</v>
      </c>
      <c r="BD2611" s="93">
        <f t="shared" si="620"/>
        <v>0</v>
      </c>
      <c r="BE2611" s="93">
        <v>0</v>
      </c>
      <c r="BF2611" s="93">
        <f t="shared" si="621"/>
        <v>0</v>
      </c>
      <c r="BH2611" s="93">
        <f t="shared" si="622"/>
        <v>0</v>
      </c>
      <c r="BI2611" s="93">
        <f t="shared" si="623"/>
        <v>0</v>
      </c>
      <c r="BJ2611" s="93">
        <f t="shared" si="624"/>
        <v>0</v>
      </c>
      <c r="BK2611" s="93"/>
      <c r="BL2611" s="93"/>
      <c r="BW2611" s="93" t="str">
        <f t="shared" si="625"/>
        <v>21</v>
      </c>
      <c r="BX2611" s="2" t="s">
        <v>3774</v>
      </c>
    </row>
    <row r="2612" spans="1:76" s="81" customFormat="1" ht="25.5" x14ac:dyDescent="0.25">
      <c r="A2612" s="72" t="s">
        <v>3775</v>
      </c>
      <c r="B2612" s="72" t="s">
        <v>55</v>
      </c>
      <c r="C2612" s="72" t="s">
        <v>3776</v>
      </c>
      <c r="D2612" s="175" t="s">
        <v>3777</v>
      </c>
      <c r="E2612" s="175"/>
      <c r="F2612" s="72" t="s">
        <v>3523</v>
      </c>
      <c r="G2612" s="90">
        <v>11</v>
      </c>
      <c r="H2612" s="91"/>
      <c r="I2612" s="92" t="s">
        <v>63</v>
      </c>
      <c r="J2612" s="90">
        <f t="shared" si="598"/>
        <v>0</v>
      </c>
      <c r="K2612" s="90">
        <f t="shared" si="599"/>
        <v>0</v>
      </c>
      <c r="L2612" s="90">
        <f t="shared" si="600"/>
        <v>0</v>
      </c>
      <c r="M2612" s="90">
        <f t="shared" si="601"/>
        <v>0</v>
      </c>
      <c r="N2612" s="90">
        <v>0</v>
      </c>
      <c r="O2612" s="90">
        <f t="shared" si="602"/>
        <v>0</v>
      </c>
      <c r="P2612" s="92" t="s">
        <v>1652</v>
      </c>
      <c r="Z2612" s="93">
        <f t="shared" si="603"/>
        <v>0</v>
      </c>
      <c r="AB2612" s="93">
        <f t="shared" si="604"/>
        <v>0</v>
      </c>
      <c r="AC2612" s="93">
        <f t="shared" si="605"/>
        <v>0</v>
      </c>
      <c r="AD2612" s="93">
        <f t="shared" si="606"/>
        <v>0</v>
      </c>
      <c r="AE2612" s="93">
        <f t="shared" si="607"/>
        <v>0</v>
      </c>
      <c r="AF2612" s="93">
        <f t="shared" si="608"/>
        <v>0</v>
      </c>
      <c r="AG2612" s="93">
        <f t="shared" si="609"/>
        <v>0</v>
      </c>
      <c r="AH2612" s="93">
        <f t="shared" si="610"/>
        <v>0</v>
      </c>
      <c r="AI2612" s="88" t="s">
        <v>55</v>
      </c>
      <c r="AJ2612" s="93">
        <f t="shared" si="611"/>
        <v>0</v>
      </c>
      <c r="AK2612" s="93">
        <f t="shared" si="612"/>
        <v>0</v>
      </c>
      <c r="AL2612" s="93">
        <f t="shared" si="613"/>
        <v>0</v>
      </c>
      <c r="AN2612" s="93">
        <v>21</v>
      </c>
      <c r="AO2612" s="93">
        <f t="shared" si="614"/>
        <v>0</v>
      </c>
      <c r="AP2612" s="93">
        <f t="shared" si="615"/>
        <v>0</v>
      </c>
      <c r="AQ2612" s="94" t="s">
        <v>118</v>
      </c>
      <c r="AV2612" s="93">
        <f t="shared" si="616"/>
        <v>0</v>
      </c>
      <c r="AW2612" s="93">
        <f t="shared" si="617"/>
        <v>0</v>
      </c>
      <c r="AX2612" s="93">
        <f t="shared" si="618"/>
        <v>0</v>
      </c>
      <c r="AY2612" s="94" t="s">
        <v>3503</v>
      </c>
      <c r="AZ2612" s="94" t="s">
        <v>3504</v>
      </c>
      <c r="BA2612" s="88" t="s">
        <v>67</v>
      </c>
      <c r="BC2612" s="93">
        <f t="shared" si="619"/>
        <v>0</v>
      </c>
      <c r="BD2612" s="93">
        <f t="shared" si="620"/>
        <v>0</v>
      </c>
      <c r="BE2612" s="93">
        <v>0</v>
      </c>
      <c r="BF2612" s="93">
        <f t="shared" si="621"/>
        <v>0</v>
      </c>
      <c r="BH2612" s="93">
        <f t="shared" si="622"/>
        <v>0</v>
      </c>
      <c r="BI2612" s="93">
        <f t="shared" si="623"/>
        <v>0</v>
      </c>
      <c r="BJ2612" s="93">
        <f t="shared" si="624"/>
        <v>0</v>
      </c>
      <c r="BK2612" s="93"/>
      <c r="BL2612" s="93"/>
      <c r="BW2612" s="93" t="str">
        <f t="shared" si="625"/>
        <v>21</v>
      </c>
      <c r="BX2612" s="2" t="s">
        <v>3777</v>
      </c>
    </row>
    <row r="2613" spans="1:76" s="81" customFormat="1" ht="25.5" x14ac:dyDescent="0.25">
      <c r="A2613" s="72" t="s">
        <v>3778</v>
      </c>
      <c r="B2613" s="72" t="s">
        <v>55</v>
      </c>
      <c r="C2613" s="72" t="s">
        <v>3779</v>
      </c>
      <c r="D2613" s="175" t="s">
        <v>3780</v>
      </c>
      <c r="E2613" s="175"/>
      <c r="F2613" s="72" t="s">
        <v>3523</v>
      </c>
      <c r="G2613" s="90">
        <v>11</v>
      </c>
      <c r="H2613" s="91"/>
      <c r="I2613" s="92" t="s">
        <v>63</v>
      </c>
      <c r="J2613" s="90">
        <f t="shared" si="598"/>
        <v>0</v>
      </c>
      <c r="K2613" s="90">
        <f t="shared" si="599"/>
        <v>0</v>
      </c>
      <c r="L2613" s="90">
        <f t="shared" si="600"/>
        <v>0</v>
      </c>
      <c r="M2613" s="90">
        <f t="shared" si="601"/>
        <v>0</v>
      </c>
      <c r="N2613" s="90">
        <v>0</v>
      </c>
      <c r="O2613" s="90">
        <f t="shared" si="602"/>
        <v>0</v>
      </c>
      <c r="P2613" s="92" t="s">
        <v>1652</v>
      </c>
      <c r="Z2613" s="93">
        <f t="shared" si="603"/>
        <v>0</v>
      </c>
      <c r="AB2613" s="93">
        <f t="shared" si="604"/>
        <v>0</v>
      </c>
      <c r="AC2613" s="93">
        <f t="shared" si="605"/>
        <v>0</v>
      </c>
      <c r="AD2613" s="93">
        <f t="shared" si="606"/>
        <v>0</v>
      </c>
      <c r="AE2613" s="93">
        <f t="shared" si="607"/>
        <v>0</v>
      </c>
      <c r="AF2613" s="93">
        <f t="shared" si="608"/>
        <v>0</v>
      </c>
      <c r="AG2613" s="93">
        <f t="shared" si="609"/>
        <v>0</v>
      </c>
      <c r="AH2613" s="93">
        <f t="shared" si="610"/>
        <v>0</v>
      </c>
      <c r="AI2613" s="88" t="s">
        <v>55</v>
      </c>
      <c r="AJ2613" s="93">
        <f t="shared" si="611"/>
        <v>0</v>
      </c>
      <c r="AK2613" s="93">
        <f t="shared" si="612"/>
        <v>0</v>
      </c>
      <c r="AL2613" s="93">
        <f t="shared" si="613"/>
        <v>0</v>
      </c>
      <c r="AN2613" s="93">
        <v>21</v>
      </c>
      <c r="AO2613" s="93">
        <f t="shared" si="614"/>
        <v>0</v>
      </c>
      <c r="AP2613" s="93">
        <f t="shared" si="615"/>
        <v>0</v>
      </c>
      <c r="AQ2613" s="94" t="s">
        <v>118</v>
      </c>
      <c r="AV2613" s="93">
        <f t="shared" si="616"/>
        <v>0</v>
      </c>
      <c r="AW2613" s="93">
        <f t="shared" si="617"/>
        <v>0</v>
      </c>
      <c r="AX2613" s="93">
        <f t="shared" si="618"/>
        <v>0</v>
      </c>
      <c r="AY2613" s="94" t="s">
        <v>3503</v>
      </c>
      <c r="AZ2613" s="94" t="s">
        <v>3504</v>
      </c>
      <c r="BA2613" s="88" t="s">
        <v>67</v>
      </c>
      <c r="BC2613" s="93">
        <f t="shared" si="619"/>
        <v>0</v>
      </c>
      <c r="BD2613" s="93">
        <f t="shared" si="620"/>
        <v>0</v>
      </c>
      <c r="BE2613" s="93">
        <v>0</v>
      </c>
      <c r="BF2613" s="93">
        <f t="shared" si="621"/>
        <v>0</v>
      </c>
      <c r="BH2613" s="93">
        <f t="shared" si="622"/>
        <v>0</v>
      </c>
      <c r="BI2613" s="93">
        <f t="shared" si="623"/>
        <v>0</v>
      </c>
      <c r="BJ2613" s="93">
        <f t="shared" si="624"/>
        <v>0</v>
      </c>
      <c r="BK2613" s="93"/>
      <c r="BL2613" s="93"/>
      <c r="BW2613" s="93" t="str">
        <f t="shared" si="625"/>
        <v>21</v>
      </c>
      <c r="BX2613" s="2" t="s">
        <v>3780</v>
      </c>
    </row>
    <row r="2614" spans="1:76" s="81" customFormat="1" ht="25.5" x14ac:dyDescent="0.25">
      <c r="A2614" s="72" t="s">
        <v>3781</v>
      </c>
      <c r="B2614" s="72" t="s">
        <v>55</v>
      </c>
      <c r="C2614" s="72" t="s">
        <v>3782</v>
      </c>
      <c r="D2614" s="175" t="s">
        <v>3783</v>
      </c>
      <c r="E2614" s="175"/>
      <c r="F2614" s="72" t="s">
        <v>3523</v>
      </c>
      <c r="G2614" s="90">
        <v>1</v>
      </c>
      <c r="H2614" s="91"/>
      <c r="I2614" s="92" t="s">
        <v>63</v>
      </c>
      <c r="J2614" s="90">
        <f t="shared" ref="J2614:J2645" si="626">G2614*AO2614</f>
        <v>0</v>
      </c>
      <c r="K2614" s="90">
        <f t="shared" ref="K2614:K2645" si="627">G2614*AP2614</f>
        <v>0</v>
      </c>
      <c r="L2614" s="90">
        <f t="shared" ref="L2614:L2645" si="628">G2614*H2614</f>
        <v>0</v>
      </c>
      <c r="M2614" s="90">
        <f t="shared" ref="M2614:M2645" si="629">L2614*(1+BW2614/100)</f>
        <v>0</v>
      </c>
      <c r="N2614" s="90">
        <v>0</v>
      </c>
      <c r="O2614" s="90">
        <f t="shared" ref="O2614:O2645" si="630">G2614*N2614</f>
        <v>0</v>
      </c>
      <c r="P2614" s="92" t="s">
        <v>1652</v>
      </c>
      <c r="Z2614" s="93">
        <f t="shared" ref="Z2614:Z2645" si="631">IF(AQ2614="5",BJ2614,0)</f>
        <v>0</v>
      </c>
      <c r="AB2614" s="93">
        <f t="shared" ref="AB2614:AB2645" si="632">IF(AQ2614="1",BH2614,0)</f>
        <v>0</v>
      </c>
      <c r="AC2614" s="93">
        <f t="shared" ref="AC2614:AC2645" si="633">IF(AQ2614="1",BI2614,0)</f>
        <v>0</v>
      </c>
      <c r="AD2614" s="93">
        <f t="shared" ref="AD2614:AD2645" si="634">IF(AQ2614="7",BH2614,0)</f>
        <v>0</v>
      </c>
      <c r="AE2614" s="93">
        <f t="shared" ref="AE2614:AE2645" si="635">IF(AQ2614="7",BI2614,0)</f>
        <v>0</v>
      </c>
      <c r="AF2614" s="93">
        <f t="shared" ref="AF2614:AF2645" si="636">IF(AQ2614="2",BH2614,0)</f>
        <v>0</v>
      </c>
      <c r="AG2614" s="93">
        <f t="shared" ref="AG2614:AG2645" si="637">IF(AQ2614="2",BI2614,0)</f>
        <v>0</v>
      </c>
      <c r="AH2614" s="93">
        <f t="shared" ref="AH2614:AH2645" si="638">IF(AQ2614="0",BJ2614,0)</f>
        <v>0</v>
      </c>
      <c r="AI2614" s="88" t="s">
        <v>55</v>
      </c>
      <c r="AJ2614" s="93">
        <f t="shared" ref="AJ2614:AJ2645" si="639">IF(AN2614=0,L2614,0)</f>
        <v>0</v>
      </c>
      <c r="AK2614" s="93">
        <f t="shared" ref="AK2614:AK2645" si="640">IF(AN2614=12,L2614,0)</f>
        <v>0</v>
      </c>
      <c r="AL2614" s="93">
        <f t="shared" ref="AL2614:AL2645" si="641">IF(AN2614=21,L2614,0)</f>
        <v>0</v>
      </c>
      <c r="AN2614" s="93">
        <v>21</v>
      </c>
      <c r="AO2614" s="93">
        <f t="shared" ref="AO2614:AO2645" si="642">H2614*0</f>
        <v>0</v>
      </c>
      <c r="AP2614" s="93">
        <f t="shared" ref="AP2614:AP2645" si="643">H2614*(1-0)</f>
        <v>0</v>
      </c>
      <c r="AQ2614" s="94" t="s">
        <v>118</v>
      </c>
      <c r="AV2614" s="93">
        <f t="shared" ref="AV2614:AV2645" si="644">AW2614+AX2614</f>
        <v>0</v>
      </c>
      <c r="AW2614" s="93">
        <f t="shared" ref="AW2614:AW2645" si="645">G2614*AO2614</f>
        <v>0</v>
      </c>
      <c r="AX2614" s="93">
        <f t="shared" ref="AX2614:AX2645" si="646">G2614*AP2614</f>
        <v>0</v>
      </c>
      <c r="AY2614" s="94" t="s">
        <v>3503</v>
      </c>
      <c r="AZ2614" s="94" t="s">
        <v>3504</v>
      </c>
      <c r="BA2614" s="88" t="s">
        <v>67</v>
      </c>
      <c r="BC2614" s="93">
        <f t="shared" ref="BC2614:BC2645" si="647">AW2614+AX2614</f>
        <v>0</v>
      </c>
      <c r="BD2614" s="93">
        <f t="shared" ref="BD2614:BD2645" si="648">H2614/(100-BE2614)*100</f>
        <v>0</v>
      </c>
      <c r="BE2614" s="93">
        <v>0</v>
      </c>
      <c r="BF2614" s="93">
        <f t="shared" ref="BF2614:BF2645" si="649">O2614</f>
        <v>0</v>
      </c>
      <c r="BH2614" s="93">
        <f t="shared" ref="BH2614:BH2645" si="650">G2614*AO2614</f>
        <v>0</v>
      </c>
      <c r="BI2614" s="93">
        <f t="shared" ref="BI2614:BI2645" si="651">G2614*AP2614</f>
        <v>0</v>
      </c>
      <c r="BJ2614" s="93">
        <f t="shared" ref="BJ2614:BJ2645" si="652">G2614*H2614</f>
        <v>0</v>
      </c>
      <c r="BK2614" s="93"/>
      <c r="BL2614" s="93"/>
      <c r="BW2614" s="93" t="str">
        <f t="shared" ref="BW2614:BW2645" si="653">I2614</f>
        <v>21</v>
      </c>
      <c r="BX2614" s="2" t="s">
        <v>3783</v>
      </c>
    </row>
    <row r="2615" spans="1:76" s="81" customFormat="1" ht="25.5" x14ac:dyDescent="0.25">
      <c r="A2615" s="72" t="s">
        <v>3784</v>
      </c>
      <c r="B2615" s="72" t="s">
        <v>55</v>
      </c>
      <c r="C2615" s="72" t="s">
        <v>3785</v>
      </c>
      <c r="D2615" s="175" t="s">
        <v>3786</v>
      </c>
      <c r="E2615" s="175"/>
      <c r="F2615" s="72" t="s">
        <v>3523</v>
      </c>
      <c r="G2615" s="90">
        <v>1</v>
      </c>
      <c r="H2615" s="91"/>
      <c r="I2615" s="92" t="s">
        <v>63</v>
      </c>
      <c r="J2615" s="90">
        <f t="shared" si="626"/>
        <v>0</v>
      </c>
      <c r="K2615" s="90">
        <f t="shared" si="627"/>
        <v>0</v>
      </c>
      <c r="L2615" s="90">
        <f t="shared" si="628"/>
        <v>0</v>
      </c>
      <c r="M2615" s="90">
        <f t="shared" si="629"/>
        <v>0</v>
      </c>
      <c r="N2615" s="90">
        <v>0</v>
      </c>
      <c r="O2615" s="90">
        <f t="shared" si="630"/>
        <v>0</v>
      </c>
      <c r="P2615" s="92" t="s">
        <v>1652</v>
      </c>
      <c r="Z2615" s="93">
        <f t="shared" si="631"/>
        <v>0</v>
      </c>
      <c r="AB2615" s="93">
        <f t="shared" si="632"/>
        <v>0</v>
      </c>
      <c r="AC2615" s="93">
        <f t="shared" si="633"/>
        <v>0</v>
      </c>
      <c r="AD2615" s="93">
        <f t="shared" si="634"/>
        <v>0</v>
      </c>
      <c r="AE2615" s="93">
        <f t="shared" si="635"/>
        <v>0</v>
      </c>
      <c r="AF2615" s="93">
        <f t="shared" si="636"/>
        <v>0</v>
      </c>
      <c r="AG2615" s="93">
        <f t="shared" si="637"/>
        <v>0</v>
      </c>
      <c r="AH2615" s="93">
        <f t="shared" si="638"/>
        <v>0</v>
      </c>
      <c r="AI2615" s="88" t="s">
        <v>55</v>
      </c>
      <c r="AJ2615" s="93">
        <f t="shared" si="639"/>
        <v>0</v>
      </c>
      <c r="AK2615" s="93">
        <f t="shared" si="640"/>
        <v>0</v>
      </c>
      <c r="AL2615" s="93">
        <f t="shared" si="641"/>
        <v>0</v>
      </c>
      <c r="AN2615" s="93">
        <v>21</v>
      </c>
      <c r="AO2615" s="93">
        <f t="shared" si="642"/>
        <v>0</v>
      </c>
      <c r="AP2615" s="93">
        <f t="shared" si="643"/>
        <v>0</v>
      </c>
      <c r="AQ2615" s="94" t="s">
        <v>118</v>
      </c>
      <c r="AV2615" s="93">
        <f t="shared" si="644"/>
        <v>0</v>
      </c>
      <c r="AW2615" s="93">
        <f t="shared" si="645"/>
        <v>0</v>
      </c>
      <c r="AX2615" s="93">
        <f t="shared" si="646"/>
        <v>0</v>
      </c>
      <c r="AY2615" s="94" t="s">
        <v>3503</v>
      </c>
      <c r="AZ2615" s="94" t="s">
        <v>3504</v>
      </c>
      <c r="BA2615" s="88" t="s">
        <v>67</v>
      </c>
      <c r="BC2615" s="93">
        <f t="shared" si="647"/>
        <v>0</v>
      </c>
      <c r="BD2615" s="93">
        <f t="shared" si="648"/>
        <v>0</v>
      </c>
      <c r="BE2615" s="93">
        <v>0</v>
      </c>
      <c r="BF2615" s="93">
        <f t="shared" si="649"/>
        <v>0</v>
      </c>
      <c r="BH2615" s="93">
        <f t="shared" si="650"/>
        <v>0</v>
      </c>
      <c r="BI2615" s="93">
        <f t="shared" si="651"/>
        <v>0</v>
      </c>
      <c r="BJ2615" s="93">
        <f t="shared" si="652"/>
        <v>0</v>
      </c>
      <c r="BK2615" s="93"/>
      <c r="BL2615" s="93"/>
      <c r="BW2615" s="93" t="str">
        <f t="shared" si="653"/>
        <v>21</v>
      </c>
      <c r="BX2615" s="2" t="s">
        <v>3786</v>
      </c>
    </row>
    <row r="2616" spans="1:76" s="81" customFormat="1" ht="25.5" x14ac:dyDescent="0.25">
      <c r="A2616" s="72" t="s">
        <v>3787</v>
      </c>
      <c r="B2616" s="72" t="s">
        <v>55</v>
      </c>
      <c r="C2616" s="72" t="s">
        <v>3788</v>
      </c>
      <c r="D2616" s="175" t="s">
        <v>3789</v>
      </c>
      <c r="E2616" s="175"/>
      <c r="F2616" s="72" t="s">
        <v>3523</v>
      </c>
      <c r="G2616" s="90">
        <v>1</v>
      </c>
      <c r="H2616" s="91"/>
      <c r="I2616" s="92" t="s">
        <v>63</v>
      </c>
      <c r="J2616" s="90">
        <f t="shared" si="626"/>
        <v>0</v>
      </c>
      <c r="K2616" s="90">
        <f t="shared" si="627"/>
        <v>0</v>
      </c>
      <c r="L2616" s="90">
        <f t="shared" si="628"/>
        <v>0</v>
      </c>
      <c r="M2616" s="90">
        <f t="shared" si="629"/>
        <v>0</v>
      </c>
      <c r="N2616" s="90">
        <v>0</v>
      </c>
      <c r="O2616" s="90">
        <f t="shared" si="630"/>
        <v>0</v>
      </c>
      <c r="P2616" s="92" t="s">
        <v>1652</v>
      </c>
      <c r="Z2616" s="93">
        <f t="shared" si="631"/>
        <v>0</v>
      </c>
      <c r="AB2616" s="93">
        <f t="shared" si="632"/>
        <v>0</v>
      </c>
      <c r="AC2616" s="93">
        <f t="shared" si="633"/>
        <v>0</v>
      </c>
      <c r="AD2616" s="93">
        <f t="shared" si="634"/>
        <v>0</v>
      </c>
      <c r="AE2616" s="93">
        <f t="shared" si="635"/>
        <v>0</v>
      </c>
      <c r="AF2616" s="93">
        <f t="shared" si="636"/>
        <v>0</v>
      </c>
      <c r="AG2616" s="93">
        <f t="shared" si="637"/>
        <v>0</v>
      </c>
      <c r="AH2616" s="93">
        <f t="shared" si="638"/>
        <v>0</v>
      </c>
      <c r="AI2616" s="88" t="s">
        <v>55</v>
      </c>
      <c r="AJ2616" s="93">
        <f t="shared" si="639"/>
        <v>0</v>
      </c>
      <c r="AK2616" s="93">
        <f t="shared" si="640"/>
        <v>0</v>
      </c>
      <c r="AL2616" s="93">
        <f t="shared" si="641"/>
        <v>0</v>
      </c>
      <c r="AN2616" s="93">
        <v>21</v>
      </c>
      <c r="AO2616" s="93">
        <f t="shared" si="642"/>
        <v>0</v>
      </c>
      <c r="AP2616" s="93">
        <f t="shared" si="643"/>
        <v>0</v>
      </c>
      <c r="AQ2616" s="94" t="s">
        <v>118</v>
      </c>
      <c r="AV2616" s="93">
        <f t="shared" si="644"/>
        <v>0</v>
      </c>
      <c r="AW2616" s="93">
        <f t="shared" si="645"/>
        <v>0</v>
      </c>
      <c r="AX2616" s="93">
        <f t="shared" si="646"/>
        <v>0</v>
      </c>
      <c r="AY2616" s="94" t="s">
        <v>3503</v>
      </c>
      <c r="AZ2616" s="94" t="s">
        <v>3504</v>
      </c>
      <c r="BA2616" s="88" t="s">
        <v>67</v>
      </c>
      <c r="BC2616" s="93">
        <f t="shared" si="647"/>
        <v>0</v>
      </c>
      <c r="BD2616" s="93">
        <f t="shared" si="648"/>
        <v>0</v>
      </c>
      <c r="BE2616" s="93">
        <v>0</v>
      </c>
      <c r="BF2616" s="93">
        <f t="shared" si="649"/>
        <v>0</v>
      </c>
      <c r="BH2616" s="93">
        <f t="shared" si="650"/>
        <v>0</v>
      </c>
      <c r="BI2616" s="93">
        <f t="shared" si="651"/>
        <v>0</v>
      </c>
      <c r="BJ2616" s="93">
        <f t="shared" si="652"/>
        <v>0</v>
      </c>
      <c r="BK2616" s="93"/>
      <c r="BL2616" s="93"/>
      <c r="BW2616" s="93" t="str">
        <f t="shared" si="653"/>
        <v>21</v>
      </c>
      <c r="BX2616" s="2" t="s">
        <v>3789</v>
      </c>
    </row>
    <row r="2617" spans="1:76" s="81" customFormat="1" ht="25.5" x14ac:dyDescent="0.25">
      <c r="A2617" s="72" t="s">
        <v>3790</v>
      </c>
      <c r="B2617" s="72" t="s">
        <v>55</v>
      </c>
      <c r="C2617" s="72" t="s">
        <v>3791</v>
      </c>
      <c r="D2617" s="175" t="s">
        <v>3792</v>
      </c>
      <c r="E2617" s="175"/>
      <c r="F2617" s="72" t="s">
        <v>3523</v>
      </c>
      <c r="G2617" s="90">
        <v>2</v>
      </c>
      <c r="H2617" s="91"/>
      <c r="I2617" s="92" t="s">
        <v>63</v>
      </c>
      <c r="J2617" s="90">
        <f t="shared" si="626"/>
        <v>0</v>
      </c>
      <c r="K2617" s="90">
        <f t="shared" si="627"/>
        <v>0</v>
      </c>
      <c r="L2617" s="90">
        <f t="shared" si="628"/>
        <v>0</v>
      </c>
      <c r="M2617" s="90">
        <f t="shared" si="629"/>
        <v>0</v>
      </c>
      <c r="N2617" s="90">
        <v>0</v>
      </c>
      <c r="O2617" s="90">
        <f t="shared" si="630"/>
        <v>0</v>
      </c>
      <c r="P2617" s="92" t="s">
        <v>1652</v>
      </c>
      <c r="Z2617" s="93">
        <f t="shared" si="631"/>
        <v>0</v>
      </c>
      <c r="AB2617" s="93">
        <f t="shared" si="632"/>
        <v>0</v>
      </c>
      <c r="AC2617" s="93">
        <f t="shared" si="633"/>
        <v>0</v>
      </c>
      <c r="AD2617" s="93">
        <f t="shared" si="634"/>
        <v>0</v>
      </c>
      <c r="AE2617" s="93">
        <f t="shared" si="635"/>
        <v>0</v>
      </c>
      <c r="AF2617" s="93">
        <f t="shared" si="636"/>
        <v>0</v>
      </c>
      <c r="AG2617" s="93">
        <f t="shared" si="637"/>
        <v>0</v>
      </c>
      <c r="AH2617" s="93">
        <f t="shared" si="638"/>
        <v>0</v>
      </c>
      <c r="AI2617" s="88" t="s">
        <v>55</v>
      </c>
      <c r="AJ2617" s="93">
        <f t="shared" si="639"/>
        <v>0</v>
      </c>
      <c r="AK2617" s="93">
        <f t="shared" si="640"/>
        <v>0</v>
      </c>
      <c r="AL2617" s="93">
        <f t="shared" si="641"/>
        <v>0</v>
      </c>
      <c r="AN2617" s="93">
        <v>21</v>
      </c>
      <c r="AO2617" s="93">
        <f t="shared" si="642"/>
        <v>0</v>
      </c>
      <c r="AP2617" s="93">
        <f t="shared" si="643"/>
        <v>0</v>
      </c>
      <c r="AQ2617" s="94" t="s">
        <v>118</v>
      </c>
      <c r="AV2617" s="93">
        <f t="shared" si="644"/>
        <v>0</v>
      </c>
      <c r="AW2617" s="93">
        <f t="shared" si="645"/>
        <v>0</v>
      </c>
      <c r="AX2617" s="93">
        <f t="shared" si="646"/>
        <v>0</v>
      </c>
      <c r="AY2617" s="94" t="s">
        <v>3503</v>
      </c>
      <c r="AZ2617" s="94" t="s">
        <v>3504</v>
      </c>
      <c r="BA2617" s="88" t="s">
        <v>67</v>
      </c>
      <c r="BC2617" s="93">
        <f t="shared" si="647"/>
        <v>0</v>
      </c>
      <c r="BD2617" s="93">
        <f t="shared" si="648"/>
        <v>0</v>
      </c>
      <c r="BE2617" s="93">
        <v>0</v>
      </c>
      <c r="BF2617" s="93">
        <f t="shared" si="649"/>
        <v>0</v>
      </c>
      <c r="BH2617" s="93">
        <f t="shared" si="650"/>
        <v>0</v>
      </c>
      <c r="BI2617" s="93">
        <f t="shared" si="651"/>
        <v>0</v>
      </c>
      <c r="BJ2617" s="93">
        <f t="shared" si="652"/>
        <v>0</v>
      </c>
      <c r="BK2617" s="93"/>
      <c r="BL2617" s="93"/>
      <c r="BW2617" s="93" t="str">
        <f t="shared" si="653"/>
        <v>21</v>
      </c>
      <c r="BX2617" s="2" t="s">
        <v>3792</v>
      </c>
    </row>
    <row r="2618" spans="1:76" s="81" customFormat="1" ht="25.5" x14ac:dyDescent="0.25">
      <c r="A2618" s="72" t="s">
        <v>3793</v>
      </c>
      <c r="B2618" s="72" t="s">
        <v>55</v>
      </c>
      <c r="C2618" s="72" t="s">
        <v>3794</v>
      </c>
      <c r="D2618" s="175" t="s">
        <v>3795</v>
      </c>
      <c r="E2618" s="175"/>
      <c r="F2618" s="72" t="s">
        <v>3523</v>
      </c>
      <c r="G2618" s="90">
        <v>1</v>
      </c>
      <c r="H2618" s="91"/>
      <c r="I2618" s="92" t="s">
        <v>63</v>
      </c>
      <c r="J2618" s="90">
        <f t="shared" si="626"/>
        <v>0</v>
      </c>
      <c r="K2618" s="90">
        <f t="shared" si="627"/>
        <v>0</v>
      </c>
      <c r="L2618" s="90">
        <f t="shared" si="628"/>
        <v>0</v>
      </c>
      <c r="M2618" s="90">
        <f t="shared" si="629"/>
        <v>0</v>
      </c>
      <c r="N2618" s="90">
        <v>0</v>
      </c>
      <c r="O2618" s="90">
        <f t="shared" si="630"/>
        <v>0</v>
      </c>
      <c r="P2618" s="92" t="s">
        <v>1652</v>
      </c>
      <c r="Z2618" s="93">
        <f t="shared" si="631"/>
        <v>0</v>
      </c>
      <c r="AB2618" s="93">
        <f t="shared" si="632"/>
        <v>0</v>
      </c>
      <c r="AC2618" s="93">
        <f t="shared" si="633"/>
        <v>0</v>
      </c>
      <c r="AD2618" s="93">
        <f t="shared" si="634"/>
        <v>0</v>
      </c>
      <c r="AE2618" s="93">
        <f t="shared" si="635"/>
        <v>0</v>
      </c>
      <c r="AF2618" s="93">
        <f t="shared" si="636"/>
        <v>0</v>
      </c>
      <c r="AG2618" s="93">
        <f t="shared" si="637"/>
        <v>0</v>
      </c>
      <c r="AH2618" s="93">
        <f t="shared" si="638"/>
        <v>0</v>
      </c>
      <c r="AI2618" s="88" t="s">
        <v>55</v>
      </c>
      <c r="AJ2618" s="93">
        <f t="shared" si="639"/>
        <v>0</v>
      </c>
      <c r="AK2618" s="93">
        <f t="shared" si="640"/>
        <v>0</v>
      </c>
      <c r="AL2618" s="93">
        <f t="shared" si="641"/>
        <v>0</v>
      </c>
      <c r="AN2618" s="93">
        <v>21</v>
      </c>
      <c r="AO2618" s="93">
        <f t="shared" si="642"/>
        <v>0</v>
      </c>
      <c r="AP2618" s="93">
        <f t="shared" si="643"/>
        <v>0</v>
      </c>
      <c r="AQ2618" s="94" t="s">
        <v>118</v>
      </c>
      <c r="AV2618" s="93">
        <f t="shared" si="644"/>
        <v>0</v>
      </c>
      <c r="AW2618" s="93">
        <f t="shared" si="645"/>
        <v>0</v>
      </c>
      <c r="AX2618" s="93">
        <f t="shared" si="646"/>
        <v>0</v>
      </c>
      <c r="AY2618" s="94" t="s">
        <v>3503</v>
      </c>
      <c r="AZ2618" s="94" t="s">
        <v>3504</v>
      </c>
      <c r="BA2618" s="88" t="s">
        <v>67</v>
      </c>
      <c r="BC2618" s="93">
        <f t="shared" si="647"/>
        <v>0</v>
      </c>
      <c r="BD2618" s="93">
        <f t="shared" si="648"/>
        <v>0</v>
      </c>
      <c r="BE2618" s="93">
        <v>0</v>
      </c>
      <c r="BF2618" s="93">
        <f t="shared" si="649"/>
        <v>0</v>
      </c>
      <c r="BH2618" s="93">
        <f t="shared" si="650"/>
        <v>0</v>
      </c>
      <c r="BI2618" s="93">
        <f t="shared" si="651"/>
        <v>0</v>
      </c>
      <c r="BJ2618" s="93">
        <f t="shared" si="652"/>
        <v>0</v>
      </c>
      <c r="BK2618" s="93"/>
      <c r="BL2618" s="93"/>
      <c r="BW2618" s="93" t="str">
        <f t="shared" si="653"/>
        <v>21</v>
      </c>
      <c r="BX2618" s="2" t="s">
        <v>3795</v>
      </c>
    </row>
    <row r="2619" spans="1:76" s="81" customFormat="1" ht="25.5" x14ac:dyDescent="0.25">
      <c r="A2619" s="72" t="s">
        <v>3796</v>
      </c>
      <c r="B2619" s="72" t="s">
        <v>55</v>
      </c>
      <c r="C2619" s="72" t="s">
        <v>3797</v>
      </c>
      <c r="D2619" s="175" t="s">
        <v>3798</v>
      </c>
      <c r="E2619" s="175"/>
      <c r="F2619" s="72" t="s">
        <v>3523</v>
      </c>
      <c r="G2619" s="90">
        <v>1</v>
      </c>
      <c r="H2619" s="91"/>
      <c r="I2619" s="92" t="s">
        <v>63</v>
      </c>
      <c r="J2619" s="90">
        <f t="shared" si="626"/>
        <v>0</v>
      </c>
      <c r="K2619" s="90">
        <f t="shared" si="627"/>
        <v>0</v>
      </c>
      <c r="L2619" s="90">
        <f t="shared" si="628"/>
        <v>0</v>
      </c>
      <c r="M2619" s="90">
        <f t="shared" si="629"/>
        <v>0</v>
      </c>
      <c r="N2619" s="90">
        <v>0</v>
      </c>
      <c r="O2619" s="90">
        <f t="shared" si="630"/>
        <v>0</v>
      </c>
      <c r="P2619" s="92" t="s">
        <v>1652</v>
      </c>
      <c r="Z2619" s="93">
        <f t="shared" si="631"/>
        <v>0</v>
      </c>
      <c r="AB2619" s="93">
        <f t="shared" si="632"/>
        <v>0</v>
      </c>
      <c r="AC2619" s="93">
        <f t="shared" si="633"/>
        <v>0</v>
      </c>
      <c r="AD2619" s="93">
        <f t="shared" si="634"/>
        <v>0</v>
      </c>
      <c r="AE2619" s="93">
        <f t="shared" si="635"/>
        <v>0</v>
      </c>
      <c r="AF2619" s="93">
        <f t="shared" si="636"/>
        <v>0</v>
      </c>
      <c r="AG2619" s="93">
        <f t="shared" si="637"/>
        <v>0</v>
      </c>
      <c r="AH2619" s="93">
        <f t="shared" si="638"/>
        <v>0</v>
      </c>
      <c r="AI2619" s="88" t="s">
        <v>55</v>
      </c>
      <c r="AJ2619" s="93">
        <f t="shared" si="639"/>
        <v>0</v>
      </c>
      <c r="AK2619" s="93">
        <f t="shared" si="640"/>
        <v>0</v>
      </c>
      <c r="AL2619" s="93">
        <f t="shared" si="641"/>
        <v>0</v>
      </c>
      <c r="AN2619" s="93">
        <v>21</v>
      </c>
      <c r="AO2619" s="93">
        <f t="shared" si="642"/>
        <v>0</v>
      </c>
      <c r="AP2619" s="93">
        <f t="shared" si="643"/>
        <v>0</v>
      </c>
      <c r="AQ2619" s="94" t="s">
        <v>118</v>
      </c>
      <c r="AV2619" s="93">
        <f t="shared" si="644"/>
        <v>0</v>
      </c>
      <c r="AW2619" s="93">
        <f t="shared" si="645"/>
        <v>0</v>
      </c>
      <c r="AX2619" s="93">
        <f t="shared" si="646"/>
        <v>0</v>
      </c>
      <c r="AY2619" s="94" t="s">
        <v>3503</v>
      </c>
      <c r="AZ2619" s="94" t="s">
        <v>3504</v>
      </c>
      <c r="BA2619" s="88" t="s">
        <v>67</v>
      </c>
      <c r="BC2619" s="93">
        <f t="shared" si="647"/>
        <v>0</v>
      </c>
      <c r="BD2619" s="93">
        <f t="shared" si="648"/>
        <v>0</v>
      </c>
      <c r="BE2619" s="93">
        <v>0</v>
      </c>
      <c r="BF2619" s="93">
        <f t="shared" si="649"/>
        <v>0</v>
      </c>
      <c r="BH2619" s="93">
        <f t="shared" si="650"/>
        <v>0</v>
      </c>
      <c r="BI2619" s="93">
        <f t="shared" si="651"/>
        <v>0</v>
      </c>
      <c r="BJ2619" s="93">
        <f t="shared" si="652"/>
        <v>0</v>
      </c>
      <c r="BK2619" s="93"/>
      <c r="BL2619" s="93"/>
      <c r="BW2619" s="93" t="str">
        <f t="shared" si="653"/>
        <v>21</v>
      </c>
      <c r="BX2619" s="2" t="s">
        <v>3798</v>
      </c>
    </row>
    <row r="2620" spans="1:76" s="81" customFormat="1" ht="25.5" x14ac:dyDescent="0.25">
      <c r="A2620" s="72" t="s">
        <v>3799</v>
      </c>
      <c r="B2620" s="72" t="s">
        <v>55</v>
      </c>
      <c r="C2620" s="72" t="s">
        <v>3800</v>
      </c>
      <c r="D2620" s="175" t="s">
        <v>3801</v>
      </c>
      <c r="E2620" s="175"/>
      <c r="F2620" s="72" t="s">
        <v>3523</v>
      </c>
      <c r="G2620" s="90">
        <v>3</v>
      </c>
      <c r="H2620" s="91"/>
      <c r="I2620" s="92" t="s">
        <v>63</v>
      </c>
      <c r="J2620" s="90">
        <f t="shared" si="626"/>
        <v>0</v>
      </c>
      <c r="K2620" s="90">
        <f t="shared" si="627"/>
        <v>0</v>
      </c>
      <c r="L2620" s="90">
        <f t="shared" si="628"/>
        <v>0</v>
      </c>
      <c r="M2620" s="90">
        <f t="shared" si="629"/>
        <v>0</v>
      </c>
      <c r="N2620" s="90">
        <v>0</v>
      </c>
      <c r="O2620" s="90">
        <f t="shared" si="630"/>
        <v>0</v>
      </c>
      <c r="P2620" s="92" t="s">
        <v>1652</v>
      </c>
      <c r="Z2620" s="93">
        <f t="shared" si="631"/>
        <v>0</v>
      </c>
      <c r="AB2620" s="93">
        <f t="shared" si="632"/>
        <v>0</v>
      </c>
      <c r="AC2620" s="93">
        <f t="shared" si="633"/>
        <v>0</v>
      </c>
      <c r="AD2620" s="93">
        <f t="shared" si="634"/>
        <v>0</v>
      </c>
      <c r="AE2620" s="93">
        <f t="shared" si="635"/>
        <v>0</v>
      </c>
      <c r="AF2620" s="93">
        <f t="shared" si="636"/>
        <v>0</v>
      </c>
      <c r="AG2620" s="93">
        <f t="shared" si="637"/>
        <v>0</v>
      </c>
      <c r="AH2620" s="93">
        <f t="shared" si="638"/>
        <v>0</v>
      </c>
      <c r="AI2620" s="88" t="s">
        <v>55</v>
      </c>
      <c r="AJ2620" s="93">
        <f t="shared" si="639"/>
        <v>0</v>
      </c>
      <c r="AK2620" s="93">
        <f t="shared" si="640"/>
        <v>0</v>
      </c>
      <c r="AL2620" s="93">
        <f t="shared" si="641"/>
        <v>0</v>
      </c>
      <c r="AN2620" s="93">
        <v>21</v>
      </c>
      <c r="AO2620" s="93">
        <f t="shared" si="642"/>
        <v>0</v>
      </c>
      <c r="AP2620" s="93">
        <f t="shared" si="643"/>
        <v>0</v>
      </c>
      <c r="AQ2620" s="94" t="s">
        <v>118</v>
      </c>
      <c r="AV2620" s="93">
        <f t="shared" si="644"/>
        <v>0</v>
      </c>
      <c r="AW2620" s="93">
        <f t="shared" si="645"/>
        <v>0</v>
      </c>
      <c r="AX2620" s="93">
        <f t="shared" si="646"/>
        <v>0</v>
      </c>
      <c r="AY2620" s="94" t="s">
        <v>3503</v>
      </c>
      <c r="AZ2620" s="94" t="s">
        <v>3504</v>
      </c>
      <c r="BA2620" s="88" t="s">
        <v>67</v>
      </c>
      <c r="BC2620" s="93">
        <f t="shared" si="647"/>
        <v>0</v>
      </c>
      <c r="BD2620" s="93">
        <f t="shared" si="648"/>
        <v>0</v>
      </c>
      <c r="BE2620" s="93">
        <v>0</v>
      </c>
      <c r="BF2620" s="93">
        <f t="shared" si="649"/>
        <v>0</v>
      </c>
      <c r="BH2620" s="93">
        <f t="shared" si="650"/>
        <v>0</v>
      </c>
      <c r="BI2620" s="93">
        <f t="shared" si="651"/>
        <v>0</v>
      </c>
      <c r="BJ2620" s="93">
        <f t="shared" si="652"/>
        <v>0</v>
      </c>
      <c r="BK2620" s="93"/>
      <c r="BL2620" s="93"/>
      <c r="BW2620" s="93" t="str">
        <f t="shared" si="653"/>
        <v>21</v>
      </c>
      <c r="BX2620" s="2" t="s">
        <v>3801</v>
      </c>
    </row>
    <row r="2621" spans="1:76" s="81" customFormat="1" ht="25.5" x14ac:dyDescent="0.25">
      <c r="A2621" s="72" t="s">
        <v>3802</v>
      </c>
      <c r="B2621" s="72" t="s">
        <v>55</v>
      </c>
      <c r="C2621" s="72" t="s">
        <v>3803</v>
      </c>
      <c r="D2621" s="175" t="s">
        <v>3804</v>
      </c>
      <c r="E2621" s="175"/>
      <c r="F2621" s="72" t="s">
        <v>3523</v>
      </c>
      <c r="G2621" s="90">
        <v>20</v>
      </c>
      <c r="H2621" s="91"/>
      <c r="I2621" s="92" t="s">
        <v>63</v>
      </c>
      <c r="J2621" s="90">
        <f t="shared" si="626"/>
        <v>0</v>
      </c>
      <c r="K2621" s="90">
        <f t="shared" si="627"/>
        <v>0</v>
      </c>
      <c r="L2621" s="90">
        <f t="shared" si="628"/>
        <v>0</v>
      </c>
      <c r="M2621" s="90">
        <f t="shared" si="629"/>
        <v>0</v>
      </c>
      <c r="N2621" s="90">
        <v>0</v>
      </c>
      <c r="O2621" s="90">
        <f t="shared" si="630"/>
        <v>0</v>
      </c>
      <c r="P2621" s="92" t="s">
        <v>1652</v>
      </c>
      <c r="Z2621" s="93">
        <f t="shared" si="631"/>
        <v>0</v>
      </c>
      <c r="AB2621" s="93">
        <f t="shared" si="632"/>
        <v>0</v>
      </c>
      <c r="AC2621" s="93">
        <f t="shared" si="633"/>
        <v>0</v>
      </c>
      <c r="AD2621" s="93">
        <f t="shared" si="634"/>
        <v>0</v>
      </c>
      <c r="AE2621" s="93">
        <f t="shared" si="635"/>
        <v>0</v>
      </c>
      <c r="AF2621" s="93">
        <f t="shared" si="636"/>
        <v>0</v>
      </c>
      <c r="AG2621" s="93">
        <f t="shared" si="637"/>
        <v>0</v>
      </c>
      <c r="AH2621" s="93">
        <f t="shared" si="638"/>
        <v>0</v>
      </c>
      <c r="AI2621" s="88" t="s">
        <v>55</v>
      </c>
      <c r="AJ2621" s="93">
        <f t="shared" si="639"/>
        <v>0</v>
      </c>
      <c r="AK2621" s="93">
        <f t="shared" si="640"/>
        <v>0</v>
      </c>
      <c r="AL2621" s="93">
        <f t="shared" si="641"/>
        <v>0</v>
      </c>
      <c r="AN2621" s="93">
        <v>21</v>
      </c>
      <c r="AO2621" s="93">
        <f t="shared" si="642"/>
        <v>0</v>
      </c>
      <c r="AP2621" s="93">
        <f t="shared" si="643"/>
        <v>0</v>
      </c>
      <c r="AQ2621" s="94" t="s">
        <v>118</v>
      </c>
      <c r="AV2621" s="93">
        <f t="shared" si="644"/>
        <v>0</v>
      </c>
      <c r="AW2621" s="93">
        <f t="shared" si="645"/>
        <v>0</v>
      </c>
      <c r="AX2621" s="93">
        <f t="shared" si="646"/>
        <v>0</v>
      </c>
      <c r="AY2621" s="94" t="s">
        <v>3503</v>
      </c>
      <c r="AZ2621" s="94" t="s">
        <v>3504</v>
      </c>
      <c r="BA2621" s="88" t="s">
        <v>67</v>
      </c>
      <c r="BC2621" s="93">
        <f t="shared" si="647"/>
        <v>0</v>
      </c>
      <c r="BD2621" s="93">
        <f t="shared" si="648"/>
        <v>0</v>
      </c>
      <c r="BE2621" s="93">
        <v>0</v>
      </c>
      <c r="BF2621" s="93">
        <f t="shared" si="649"/>
        <v>0</v>
      </c>
      <c r="BH2621" s="93">
        <f t="shared" si="650"/>
        <v>0</v>
      </c>
      <c r="BI2621" s="93">
        <f t="shared" si="651"/>
        <v>0</v>
      </c>
      <c r="BJ2621" s="93">
        <f t="shared" si="652"/>
        <v>0</v>
      </c>
      <c r="BK2621" s="93"/>
      <c r="BL2621" s="93"/>
      <c r="BW2621" s="93" t="str">
        <f t="shared" si="653"/>
        <v>21</v>
      </c>
      <c r="BX2621" s="2" t="s">
        <v>3804</v>
      </c>
    </row>
    <row r="2622" spans="1:76" s="81" customFormat="1" ht="25.5" x14ac:dyDescent="0.25">
      <c r="A2622" s="72" t="s">
        <v>3805</v>
      </c>
      <c r="B2622" s="72" t="s">
        <v>55</v>
      </c>
      <c r="C2622" s="72" t="s">
        <v>3806</v>
      </c>
      <c r="D2622" s="175" t="s">
        <v>3807</v>
      </c>
      <c r="E2622" s="175"/>
      <c r="F2622" s="72" t="s">
        <v>3523</v>
      </c>
      <c r="G2622" s="90">
        <v>12</v>
      </c>
      <c r="H2622" s="91"/>
      <c r="I2622" s="92" t="s">
        <v>63</v>
      </c>
      <c r="J2622" s="90">
        <f t="shared" si="626"/>
        <v>0</v>
      </c>
      <c r="K2622" s="90">
        <f t="shared" si="627"/>
        <v>0</v>
      </c>
      <c r="L2622" s="90">
        <f t="shared" si="628"/>
        <v>0</v>
      </c>
      <c r="M2622" s="90">
        <f t="shared" si="629"/>
        <v>0</v>
      </c>
      <c r="N2622" s="90">
        <v>0</v>
      </c>
      <c r="O2622" s="90">
        <f t="shared" si="630"/>
        <v>0</v>
      </c>
      <c r="P2622" s="92" t="s">
        <v>1652</v>
      </c>
      <c r="Z2622" s="93">
        <f t="shared" si="631"/>
        <v>0</v>
      </c>
      <c r="AB2622" s="93">
        <f t="shared" si="632"/>
        <v>0</v>
      </c>
      <c r="AC2622" s="93">
        <f t="shared" si="633"/>
        <v>0</v>
      </c>
      <c r="AD2622" s="93">
        <f t="shared" si="634"/>
        <v>0</v>
      </c>
      <c r="AE2622" s="93">
        <f t="shared" si="635"/>
        <v>0</v>
      </c>
      <c r="AF2622" s="93">
        <f t="shared" si="636"/>
        <v>0</v>
      </c>
      <c r="AG2622" s="93">
        <f t="shared" si="637"/>
        <v>0</v>
      </c>
      <c r="AH2622" s="93">
        <f t="shared" si="638"/>
        <v>0</v>
      </c>
      <c r="AI2622" s="88" t="s">
        <v>55</v>
      </c>
      <c r="AJ2622" s="93">
        <f t="shared" si="639"/>
        <v>0</v>
      </c>
      <c r="AK2622" s="93">
        <f t="shared" si="640"/>
        <v>0</v>
      </c>
      <c r="AL2622" s="93">
        <f t="shared" si="641"/>
        <v>0</v>
      </c>
      <c r="AN2622" s="93">
        <v>21</v>
      </c>
      <c r="AO2622" s="93">
        <f t="shared" si="642"/>
        <v>0</v>
      </c>
      <c r="AP2622" s="93">
        <f t="shared" si="643"/>
        <v>0</v>
      </c>
      <c r="AQ2622" s="94" t="s">
        <v>118</v>
      </c>
      <c r="AV2622" s="93">
        <f t="shared" si="644"/>
        <v>0</v>
      </c>
      <c r="AW2622" s="93">
        <f t="shared" si="645"/>
        <v>0</v>
      </c>
      <c r="AX2622" s="93">
        <f t="shared" si="646"/>
        <v>0</v>
      </c>
      <c r="AY2622" s="94" t="s">
        <v>3503</v>
      </c>
      <c r="AZ2622" s="94" t="s">
        <v>3504</v>
      </c>
      <c r="BA2622" s="88" t="s">
        <v>67</v>
      </c>
      <c r="BC2622" s="93">
        <f t="shared" si="647"/>
        <v>0</v>
      </c>
      <c r="BD2622" s="93">
        <f t="shared" si="648"/>
        <v>0</v>
      </c>
      <c r="BE2622" s="93">
        <v>0</v>
      </c>
      <c r="BF2622" s="93">
        <f t="shared" si="649"/>
        <v>0</v>
      </c>
      <c r="BH2622" s="93">
        <f t="shared" si="650"/>
        <v>0</v>
      </c>
      <c r="BI2622" s="93">
        <f t="shared" si="651"/>
        <v>0</v>
      </c>
      <c r="BJ2622" s="93">
        <f t="shared" si="652"/>
        <v>0</v>
      </c>
      <c r="BK2622" s="93"/>
      <c r="BL2622" s="93"/>
      <c r="BW2622" s="93" t="str">
        <f t="shared" si="653"/>
        <v>21</v>
      </c>
      <c r="BX2622" s="2" t="s">
        <v>3807</v>
      </c>
    </row>
    <row r="2623" spans="1:76" s="81" customFormat="1" ht="25.5" x14ac:dyDescent="0.25">
      <c r="A2623" s="72" t="s">
        <v>3808</v>
      </c>
      <c r="B2623" s="72" t="s">
        <v>55</v>
      </c>
      <c r="C2623" s="72" t="s">
        <v>3809</v>
      </c>
      <c r="D2623" s="175" t="s">
        <v>3810</v>
      </c>
      <c r="E2623" s="175"/>
      <c r="F2623" s="72" t="s">
        <v>3523</v>
      </c>
      <c r="G2623" s="90">
        <v>1</v>
      </c>
      <c r="H2623" s="91"/>
      <c r="I2623" s="92" t="s">
        <v>63</v>
      </c>
      <c r="J2623" s="90">
        <f t="shared" si="626"/>
        <v>0</v>
      </c>
      <c r="K2623" s="90">
        <f t="shared" si="627"/>
        <v>0</v>
      </c>
      <c r="L2623" s="90">
        <f t="shared" si="628"/>
        <v>0</v>
      </c>
      <c r="M2623" s="90">
        <f t="shared" si="629"/>
        <v>0</v>
      </c>
      <c r="N2623" s="90">
        <v>0</v>
      </c>
      <c r="O2623" s="90">
        <f t="shared" si="630"/>
        <v>0</v>
      </c>
      <c r="P2623" s="92" t="s">
        <v>1652</v>
      </c>
      <c r="Z2623" s="93">
        <f t="shared" si="631"/>
        <v>0</v>
      </c>
      <c r="AB2623" s="93">
        <f t="shared" si="632"/>
        <v>0</v>
      </c>
      <c r="AC2623" s="93">
        <f t="shared" si="633"/>
        <v>0</v>
      </c>
      <c r="AD2623" s="93">
        <f t="shared" si="634"/>
        <v>0</v>
      </c>
      <c r="AE2623" s="93">
        <f t="shared" si="635"/>
        <v>0</v>
      </c>
      <c r="AF2623" s="93">
        <f t="shared" si="636"/>
        <v>0</v>
      </c>
      <c r="AG2623" s="93">
        <f t="shared" si="637"/>
        <v>0</v>
      </c>
      <c r="AH2623" s="93">
        <f t="shared" si="638"/>
        <v>0</v>
      </c>
      <c r="AI2623" s="88" t="s">
        <v>55</v>
      </c>
      <c r="AJ2623" s="93">
        <f t="shared" si="639"/>
        <v>0</v>
      </c>
      <c r="AK2623" s="93">
        <f t="shared" si="640"/>
        <v>0</v>
      </c>
      <c r="AL2623" s="93">
        <f t="shared" si="641"/>
        <v>0</v>
      </c>
      <c r="AN2623" s="93">
        <v>21</v>
      </c>
      <c r="AO2623" s="93">
        <f t="shared" si="642"/>
        <v>0</v>
      </c>
      <c r="AP2623" s="93">
        <f t="shared" si="643"/>
        <v>0</v>
      </c>
      <c r="AQ2623" s="94" t="s">
        <v>118</v>
      </c>
      <c r="AV2623" s="93">
        <f t="shared" si="644"/>
        <v>0</v>
      </c>
      <c r="AW2623" s="93">
        <f t="shared" si="645"/>
        <v>0</v>
      </c>
      <c r="AX2623" s="93">
        <f t="shared" si="646"/>
        <v>0</v>
      </c>
      <c r="AY2623" s="94" t="s">
        <v>3503</v>
      </c>
      <c r="AZ2623" s="94" t="s">
        <v>3504</v>
      </c>
      <c r="BA2623" s="88" t="s">
        <v>67</v>
      </c>
      <c r="BC2623" s="93">
        <f t="shared" si="647"/>
        <v>0</v>
      </c>
      <c r="BD2623" s="93">
        <f t="shared" si="648"/>
        <v>0</v>
      </c>
      <c r="BE2623" s="93">
        <v>0</v>
      </c>
      <c r="BF2623" s="93">
        <f t="shared" si="649"/>
        <v>0</v>
      </c>
      <c r="BH2623" s="93">
        <f t="shared" si="650"/>
        <v>0</v>
      </c>
      <c r="BI2623" s="93">
        <f t="shared" si="651"/>
        <v>0</v>
      </c>
      <c r="BJ2623" s="93">
        <f t="shared" si="652"/>
        <v>0</v>
      </c>
      <c r="BK2623" s="93"/>
      <c r="BL2623" s="93"/>
      <c r="BW2623" s="93" t="str">
        <f t="shared" si="653"/>
        <v>21</v>
      </c>
      <c r="BX2623" s="2" t="s">
        <v>3810</v>
      </c>
    </row>
    <row r="2624" spans="1:76" s="81" customFormat="1" ht="25.5" x14ac:dyDescent="0.25">
      <c r="A2624" s="72" t="s">
        <v>3811</v>
      </c>
      <c r="B2624" s="72" t="s">
        <v>55</v>
      </c>
      <c r="C2624" s="72" t="s">
        <v>3812</v>
      </c>
      <c r="D2624" s="175" t="s">
        <v>3813</v>
      </c>
      <c r="E2624" s="175"/>
      <c r="F2624" s="72" t="s">
        <v>3605</v>
      </c>
      <c r="G2624" s="90">
        <v>42</v>
      </c>
      <c r="H2624" s="91"/>
      <c r="I2624" s="92" t="s">
        <v>63</v>
      </c>
      <c r="J2624" s="90">
        <f t="shared" si="626"/>
        <v>0</v>
      </c>
      <c r="K2624" s="90">
        <f t="shared" si="627"/>
        <v>0</v>
      </c>
      <c r="L2624" s="90">
        <f t="shared" si="628"/>
        <v>0</v>
      </c>
      <c r="M2624" s="90">
        <f t="shared" si="629"/>
        <v>0</v>
      </c>
      <c r="N2624" s="90">
        <v>0</v>
      </c>
      <c r="O2624" s="90">
        <f t="shared" si="630"/>
        <v>0</v>
      </c>
      <c r="P2624" s="92" t="s">
        <v>1652</v>
      </c>
      <c r="Z2624" s="93">
        <f t="shared" si="631"/>
        <v>0</v>
      </c>
      <c r="AB2624" s="93">
        <f t="shared" si="632"/>
        <v>0</v>
      </c>
      <c r="AC2624" s="93">
        <f t="shared" si="633"/>
        <v>0</v>
      </c>
      <c r="AD2624" s="93">
        <f t="shared" si="634"/>
        <v>0</v>
      </c>
      <c r="AE2624" s="93">
        <f t="shared" si="635"/>
        <v>0</v>
      </c>
      <c r="AF2624" s="93">
        <f t="shared" si="636"/>
        <v>0</v>
      </c>
      <c r="AG2624" s="93">
        <f t="shared" si="637"/>
        <v>0</v>
      </c>
      <c r="AH2624" s="93">
        <f t="shared" si="638"/>
        <v>0</v>
      </c>
      <c r="AI2624" s="88" t="s">
        <v>55</v>
      </c>
      <c r="AJ2624" s="93">
        <f t="shared" si="639"/>
        <v>0</v>
      </c>
      <c r="AK2624" s="93">
        <f t="shared" si="640"/>
        <v>0</v>
      </c>
      <c r="AL2624" s="93">
        <f t="shared" si="641"/>
        <v>0</v>
      </c>
      <c r="AN2624" s="93">
        <v>21</v>
      </c>
      <c r="AO2624" s="93">
        <f t="shared" si="642"/>
        <v>0</v>
      </c>
      <c r="AP2624" s="93">
        <f t="shared" si="643"/>
        <v>0</v>
      </c>
      <c r="AQ2624" s="94" t="s">
        <v>118</v>
      </c>
      <c r="AV2624" s="93">
        <f t="shared" si="644"/>
        <v>0</v>
      </c>
      <c r="AW2624" s="93">
        <f t="shared" si="645"/>
        <v>0</v>
      </c>
      <c r="AX2624" s="93">
        <f t="shared" si="646"/>
        <v>0</v>
      </c>
      <c r="AY2624" s="94" t="s">
        <v>3503</v>
      </c>
      <c r="AZ2624" s="94" t="s">
        <v>3504</v>
      </c>
      <c r="BA2624" s="88" t="s">
        <v>67</v>
      </c>
      <c r="BC2624" s="93">
        <f t="shared" si="647"/>
        <v>0</v>
      </c>
      <c r="BD2624" s="93">
        <f t="shared" si="648"/>
        <v>0</v>
      </c>
      <c r="BE2624" s="93">
        <v>0</v>
      </c>
      <c r="BF2624" s="93">
        <f t="shared" si="649"/>
        <v>0</v>
      </c>
      <c r="BH2624" s="93">
        <f t="shared" si="650"/>
        <v>0</v>
      </c>
      <c r="BI2624" s="93">
        <f t="shared" si="651"/>
        <v>0</v>
      </c>
      <c r="BJ2624" s="93">
        <f t="shared" si="652"/>
        <v>0</v>
      </c>
      <c r="BK2624" s="93"/>
      <c r="BL2624" s="93"/>
      <c r="BW2624" s="93" t="str">
        <f t="shared" si="653"/>
        <v>21</v>
      </c>
      <c r="BX2624" s="2" t="s">
        <v>3813</v>
      </c>
    </row>
    <row r="2625" spans="1:76" s="81" customFormat="1" ht="25.5" x14ac:dyDescent="0.25">
      <c r="A2625" s="72" t="s">
        <v>3814</v>
      </c>
      <c r="B2625" s="72" t="s">
        <v>55</v>
      </c>
      <c r="C2625" s="72" t="s">
        <v>3815</v>
      </c>
      <c r="D2625" s="175" t="s">
        <v>3816</v>
      </c>
      <c r="E2625" s="175"/>
      <c r="F2625" s="72" t="s">
        <v>3523</v>
      </c>
      <c r="G2625" s="90">
        <v>1</v>
      </c>
      <c r="H2625" s="91"/>
      <c r="I2625" s="92" t="s">
        <v>63</v>
      </c>
      <c r="J2625" s="90">
        <f t="shared" si="626"/>
        <v>0</v>
      </c>
      <c r="K2625" s="90">
        <f t="shared" si="627"/>
        <v>0</v>
      </c>
      <c r="L2625" s="90">
        <f t="shared" si="628"/>
        <v>0</v>
      </c>
      <c r="M2625" s="90">
        <f t="shared" si="629"/>
        <v>0</v>
      </c>
      <c r="N2625" s="90">
        <v>0</v>
      </c>
      <c r="O2625" s="90">
        <f t="shared" si="630"/>
        <v>0</v>
      </c>
      <c r="P2625" s="92" t="s">
        <v>1652</v>
      </c>
      <c r="Z2625" s="93">
        <f t="shared" si="631"/>
        <v>0</v>
      </c>
      <c r="AB2625" s="93">
        <f t="shared" si="632"/>
        <v>0</v>
      </c>
      <c r="AC2625" s="93">
        <f t="shared" si="633"/>
        <v>0</v>
      </c>
      <c r="AD2625" s="93">
        <f t="shared" si="634"/>
        <v>0</v>
      </c>
      <c r="AE2625" s="93">
        <f t="shared" si="635"/>
        <v>0</v>
      </c>
      <c r="AF2625" s="93">
        <f t="shared" si="636"/>
        <v>0</v>
      </c>
      <c r="AG2625" s="93">
        <f t="shared" si="637"/>
        <v>0</v>
      </c>
      <c r="AH2625" s="93">
        <f t="shared" si="638"/>
        <v>0</v>
      </c>
      <c r="AI2625" s="88" t="s">
        <v>55</v>
      </c>
      <c r="AJ2625" s="93">
        <f t="shared" si="639"/>
        <v>0</v>
      </c>
      <c r="AK2625" s="93">
        <f t="shared" si="640"/>
        <v>0</v>
      </c>
      <c r="AL2625" s="93">
        <f t="shared" si="641"/>
        <v>0</v>
      </c>
      <c r="AN2625" s="93">
        <v>21</v>
      </c>
      <c r="AO2625" s="93">
        <f t="shared" si="642"/>
        <v>0</v>
      </c>
      <c r="AP2625" s="93">
        <f t="shared" si="643"/>
        <v>0</v>
      </c>
      <c r="AQ2625" s="94" t="s">
        <v>118</v>
      </c>
      <c r="AV2625" s="93">
        <f t="shared" si="644"/>
        <v>0</v>
      </c>
      <c r="AW2625" s="93">
        <f t="shared" si="645"/>
        <v>0</v>
      </c>
      <c r="AX2625" s="93">
        <f t="shared" si="646"/>
        <v>0</v>
      </c>
      <c r="AY2625" s="94" t="s">
        <v>3503</v>
      </c>
      <c r="AZ2625" s="94" t="s">
        <v>3504</v>
      </c>
      <c r="BA2625" s="88" t="s">
        <v>67</v>
      </c>
      <c r="BC2625" s="93">
        <f t="shared" si="647"/>
        <v>0</v>
      </c>
      <c r="BD2625" s="93">
        <f t="shared" si="648"/>
        <v>0</v>
      </c>
      <c r="BE2625" s="93">
        <v>0</v>
      </c>
      <c r="BF2625" s="93">
        <f t="shared" si="649"/>
        <v>0</v>
      </c>
      <c r="BH2625" s="93">
        <f t="shared" si="650"/>
        <v>0</v>
      </c>
      <c r="BI2625" s="93">
        <f t="shared" si="651"/>
        <v>0</v>
      </c>
      <c r="BJ2625" s="93">
        <f t="shared" si="652"/>
        <v>0</v>
      </c>
      <c r="BK2625" s="93"/>
      <c r="BL2625" s="93"/>
      <c r="BW2625" s="93" t="str">
        <f t="shared" si="653"/>
        <v>21</v>
      </c>
      <c r="BX2625" s="2" t="s">
        <v>3816</v>
      </c>
    </row>
    <row r="2626" spans="1:76" s="81" customFormat="1" ht="25.5" x14ac:dyDescent="0.25">
      <c r="A2626" s="72" t="s">
        <v>3817</v>
      </c>
      <c r="B2626" s="72" t="s">
        <v>55</v>
      </c>
      <c r="C2626" s="72" t="s">
        <v>3818</v>
      </c>
      <c r="D2626" s="175" t="s">
        <v>3819</v>
      </c>
      <c r="E2626" s="175"/>
      <c r="F2626" s="72" t="s">
        <v>3523</v>
      </c>
      <c r="G2626" s="90">
        <v>4</v>
      </c>
      <c r="H2626" s="91"/>
      <c r="I2626" s="92" t="s">
        <v>63</v>
      </c>
      <c r="J2626" s="90">
        <f t="shared" si="626"/>
        <v>0</v>
      </c>
      <c r="K2626" s="90">
        <f t="shared" si="627"/>
        <v>0</v>
      </c>
      <c r="L2626" s="90">
        <f t="shared" si="628"/>
        <v>0</v>
      </c>
      <c r="M2626" s="90">
        <f t="shared" si="629"/>
        <v>0</v>
      </c>
      <c r="N2626" s="90">
        <v>0</v>
      </c>
      <c r="O2626" s="90">
        <f t="shared" si="630"/>
        <v>0</v>
      </c>
      <c r="P2626" s="92" t="s">
        <v>1652</v>
      </c>
      <c r="Z2626" s="93">
        <f t="shared" si="631"/>
        <v>0</v>
      </c>
      <c r="AB2626" s="93">
        <f t="shared" si="632"/>
        <v>0</v>
      </c>
      <c r="AC2626" s="93">
        <f t="shared" si="633"/>
        <v>0</v>
      </c>
      <c r="AD2626" s="93">
        <f t="shared" si="634"/>
        <v>0</v>
      </c>
      <c r="AE2626" s="93">
        <f t="shared" si="635"/>
        <v>0</v>
      </c>
      <c r="AF2626" s="93">
        <f t="shared" si="636"/>
        <v>0</v>
      </c>
      <c r="AG2626" s="93">
        <f t="shared" si="637"/>
        <v>0</v>
      </c>
      <c r="AH2626" s="93">
        <f t="shared" si="638"/>
        <v>0</v>
      </c>
      <c r="AI2626" s="88" t="s">
        <v>55</v>
      </c>
      <c r="AJ2626" s="93">
        <f t="shared" si="639"/>
        <v>0</v>
      </c>
      <c r="AK2626" s="93">
        <f t="shared" si="640"/>
        <v>0</v>
      </c>
      <c r="AL2626" s="93">
        <f t="shared" si="641"/>
        <v>0</v>
      </c>
      <c r="AN2626" s="93">
        <v>21</v>
      </c>
      <c r="AO2626" s="93">
        <f t="shared" si="642"/>
        <v>0</v>
      </c>
      <c r="AP2626" s="93">
        <f t="shared" si="643"/>
        <v>0</v>
      </c>
      <c r="AQ2626" s="94" t="s">
        <v>118</v>
      </c>
      <c r="AV2626" s="93">
        <f t="shared" si="644"/>
        <v>0</v>
      </c>
      <c r="AW2626" s="93">
        <f t="shared" si="645"/>
        <v>0</v>
      </c>
      <c r="AX2626" s="93">
        <f t="shared" si="646"/>
        <v>0</v>
      </c>
      <c r="AY2626" s="94" t="s">
        <v>3503</v>
      </c>
      <c r="AZ2626" s="94" t="s">
        <v>3504</v>
      </c>
      <c r="BA2626" s="88" t="s">
        <v>67</v>
      </c>
      <c r="BC2626" s="93">
        <f t="shared" si="647"/>
        <v>0</v>
      </c>
      <c r="BD2626" s="93">
        <f t="shared" si="648"/>
        <v>0</v>
      </c>
      <c r="BE2626" s="93">
        <v>0</v>
      </c>
      <c r="BF2626" s="93">
        <f t="shared" si="649"/>
        <v>0</v>
      </c>
      <c r="BH2626" s="93">
        <f t="shared" si="650"/>
        <v>0</v>
      </c>
      <c r="BI2626" s="93">
        <f t="shared" si="651"/>
        <v>0</v>
      </c>
      <c r="BJ2626" s="93">
        <f t="shared" si="652"/>
        <v>0</v>
      </c>
      <c r="BK2626" s="93"/>
      <c r="BL2626" s="93"/>
      <c r="BW2626" s="93" t="str">
        <f t="shared" si="653"/>
        <v>21</v>
      </c>
      <c r="BX2626" s="2" t="s">
        <v>3819</v>
      </c>
    </row>
    <row r="2627" spans="1:76" s="81" customFormat="1" ht="25.5" x14ac:dyDescent="0.25">
      <c r="A2627" s="72" t="s">
        <v>3820</v>
      </c>
      <c r="B2627" s="72" t="s">
        <v>55</v>
      </c>
      <c r="C2627" s="72" t="s">
        <v>3821</v>
      </c>
      <c r="D2627" s="175" t="s">
        <v>3822</v>
      </c>
      <c r="E2627" s="175"/>
      <c r="F2627" s="72" t="s">
        <v>3523</v>
      </c>
      <c r="G2627" s="90">
        <v>1</v>
      </c>
      <c r="H2627" s="91"/>
      <c r="I2627" s="92" t="s">
        <v>63</v>
      </c>
      <c r="J2627" s="90">
        <f t="shared" si="626"/>
        <v>0</v>
      </c>
      <c r="K2627" s="90">
        <f t="shared" si="627"/>
        <v>0</v>
      </c>
      <c r="L2627" s="90">
        <f t="shared" si="628"/>
        <v>0</v>
      </c>
      <c r="M2627" s="90">
        <f t="shared" si="629"/>
        <v>0</v>
      </c>
      <c r="N2627" s="90">
        <v>0</v>
      </c>
      <c r="O2627" s="90">
        <f t="shared" si="630"/>
        <v>0</v>
      </c>
      <c r="P2627" s="92" t="s">
        <v>1652</v>
      </c>
      <c r="Z2627" s="93">
        <f t="shared" si="631"/>
        <v>0</v>
      </c>
      <c r="AB2627" s="93">
        <f t="shared" si="632"/>
        <v>0</v>
      </c>
      <c r="AC2627" s="93">
        <f t="shared" si="633"/>
        <v>0</v>
      </c>
      <c r="AD2627" s="93">
        <f t="shared" si="634"/>
        <v>0</v>
      </c>
      <c r="AE2627" s="93">
        <f t="shared" si="635"/>
        <v>0</v>
      </c>
      <c r="AF2627" s="93">
        <f t="shared" si="636"/>
        <v>0</v>
      </c>
      <c r="AG2627" s="93">
        <f t="shared" si="637"/>
        <v>0</v>
      </c>
      <c r="AH2627" s="93">
        <f t="shared" si="638"/>
        <v>0</v>
      </c>
      <c r="AI2627" s="88" t="s">
        <v>55</v>
      </c>
      <c r="AJ2627" s="93">
        <f t="shared" si="639"/>
        <v>0</v>
      </c>
      <c r="AK2627" s="93">
        <f t="shared" si="640"/>
        <v>0</v>
      </c>
      <c r="AL2627" s="93">
        <f t="shared" si="641"/>
        <v>0</v>
      </c>
      <c r="AN2627" s="93">
        <v>21</v>
      </c>
      <c r="AO2627" s="93">
        <f t="shared" si="642"/>
        <v>0</v>
      </c>
      <c r="AP2627" s="93">
        <f t="shared" si="643"/>
        <v>0</v>
      </c>
      <c r="AQ2627" s="94" t="s">
        <v>118</v>
      </c>
      <c r="AV2627" s="93">
        <f t="shared" si="644"/>
        <v>0</v>
      </c>
      <c r="AW2627" s="93">
        <f t="shared" si="645"/>
        <v>0</v>
      </c>
      <c r="AX2627" s="93">
        <f t="shared" si="646"/>
        <v>0</v>
      </c>
      <c r="AY2627" s="94" t="s">
        <v>3503</v>
      </c>
      <c r="AZ2627" s="94" t="s">
        <v>3504</v>
      </c>
      <c r="BA2627" s="88" t="s">
        <v>67</v>
      </c>
      <c r="BC2627" s="93">
        <f t="shared" si="647"/>
        <v>0</v>
      </c>
      <c r="BD2627" s="93">
        <f t="shared" si="648"/>
        <v>0</v>
      </c>
      <c r="BE2627" s="93">
        <v>0</v>
      </c>
      <c r="BF2627" s="93">
        <f t="shared" si="649"/>
        <v>0</v>
      </c>
      <c r="BH2627" s="93">
        <f t="shared" si="650"/>
        <v>0</v>
      </c>
      <c r="BI2627" s="93">
        <f t="shared" si="651"/>
        <v>0</v>
      </c>
      <c r="BJ2627" s="93">
        <f t="shared" si="652"/>
        <v>0</v>
      </c>
      <c r="BK2627" s="93"/>
      <c r="BL2627" s="93"/>
      <c r="BW2627" s="93" t="str">
        <f t="shared" si="653"/>
        <v>21</v>
      </c>
      <c r="BX2627" s="2" t="s">
        <v>3822</v>
      </c>
    </row>
    <row r="2628" spans="1:76" s="81" customFormat="1" ht="25.5" x14ac:dyDescent="0.25">
      <c r="A2628" s="72" t="s">
        <v>3823</v>
      </c>
      <c r="B2628" s="72" t="s">
        <v>55</v>
      </c>
      <c r="C2628" s="72" t="s">
        <v>3824</v>
      </c>
      <c r="D2628" s="175" t="s">
        <v>3825</v>
      </c>
      <c r="E2628" s="175"/>
      <c r="F2628" s="72" t="s">
        <v>3523</v>
      </c>
      <c r="G2628" s="90">
        <v>1</v>
      </c>
      <c r="H2628" s="91"/>
      <c r="I2628" s="92" t="s">
        <v>63</v>
      </c>
      <c r="J2628" s="90">
        <f t="shared" si="626"/>
        <v>0</v>
      </c>
      <c r="K2628" s="90">
        <f t="shared" si="627"/>
        <v>0</v>
      </c>
      <c r="L2628" s="90">
        <f t="shared" si="628"/>
        <v>0</v>
      </c>
      <c r="M2628" s="90">
        <f t="shared" si="629"/>
        <v>0</v>
      </c>
      <c r="N2628" s="90">
        <v>0</v>
      </c>
      <c r="O2628" s="90">
        <f t="shared" si="630"/>
        <v>0</v>
      </c>
      <c r="P2628" s="92" t="s">
        <v>1652</v>
      </c>
      <c r="Z2628" s="93">
        <f t="shared" si="631"/>
        <v>0</v>
      </c>
      <c r="AB2628" s="93">
        <f t="shared" si="632"/>
        <v>0</v>
      </c>
      <c r="AC2628" s="93">
        <f t="shared" si="633"/>
        <v>0</v>
      </c>
      <c r="AD2628" s="93">
        <f t="shared" si="634"/>
        <v>0</v>
      </c>
      <c r="AE2628" s="93">
        <f t="shared" si="635"/>
        <v>0</v>
      </c>
      <c r="AF2628" s="93">
        <f t="shared" si="636"/>
        <v>0</v>
      </c>
      <c r="AG2628" s="93">
        <f t="shared" si="637"/>
        <v>0</v>
      </c>
      <c r="AH2628" s="93">
        <f t="shared" si="638"/>
        <v>0</v>
      </c>
      <c r="AI2628" s="88" t="s">
        <v>55</v>
      </c>
      <c r="AJ2628" s="93">
        <f t="shared" si="639"/>
        <v>0</v>
      </c>
      <c r="AK2628" s="93">
        <f t="shared" si="640"/>
        <v>0</v>
      </c>
      <c r="AL2628" s="93">
        <f t="shared" si="641"/>
        <v>0</v>
      </c>
      <c r="AN2628" s="93">
        <v>21</v>
      </c>
      <c r="AO2628" s="93">
        <f t="shared" si="642"/>
        <v>0</v>
      </c>
      <c r="AP2628" s="93">
        <f t="shared" si="643"/>
        <v>0</v>
      </c>
      <c r="AQ2628" s="94" t="s">
        <v>118</v>
      </c>
      <c r="AV2628" s="93">
        <f t="shared" si="644"/>
        <v>0</v>
      </c>
      <c r="AW2628" s="93">
        <f t="shared" si="645"/>
        <v>0</v>
      </c>
      <c r="AX2628" s="93">
        <f t="shared" si="646"/>
        <v>0</v>
      </c>
      <c r="AY2628" s="94" t="s">
        <v>3503</v>
      </c>
      <c r="AZ2628" s="94" t="s">
        <v>3504</v>
      </c>
      <c r="BA2628" s="88" t="s">
        <v>67</v>
      </c>
      <c r="BC2628" s="93">
        <f t="shared" si="647"/>
        <v>0</v>
      </c>
      <c r="BD2628" s="93">
        <f t="shared" si="648"/>
        <v>0</v>
      </c>
      <c r="BE2628" s="93">
        <v>0</v>
      </c>
      <c r="BF2628" s="93">
        <f t="shared" si="649"/>
        <v>0</v>
      </c>
      <c r="BH2628" s="93">
        <f t="shared" si="650"/>
        <v>0</v>
      </c>
      <c r="BI2628" s="93">
        <f t="shared" si="651"/>
        <v>0</v>
      </c>
      <c r="BJ2628" s="93">
        <f t="shared" si="652"/>
        <v>0</v>
      </c>
      <c r="BK2628" s="93"/>
      <c r="BL2628" s="93"/>
      <c r="BW2628" s="93" t="str">
        <f t="shared" si="653"/>
        <v>21</v>
      </c>
      <c r="BX2628" s="2" t="s">
        <v>3825</v>
      </c>
    </row>
    <row r="2629" spans="1:76" s="81" customFormat="1" ht="25.5" x14ac:dyDescent="0.25">
      <c r="A2629" s="72" t="s">
        <v>3826</v>
      </c>
      <c r="B2629" s="72" t="s">
        <v>55</v>
      </c>
      <c r="C2629" s="72" t="s">
        <v>3827</v>
      </c>
      <c r="D2629" s="175" t="s">
        <v>3828</v>
      </c>
      <c r="E2629" s="175"/>
      <c r="F2629" s="72" t="s">
        <v>3523</v>
      </c>
      <c r="G2629" s="90">
        <v>1</v>
      </c>
      <c r="H2629" s="91"/>
      <c r="I2629" s="92" t="s">
        <v>63</v>
      </c>
      <c r="J2629" s="90">
        <f t="shared" si="626"/>
        <v>0</v>
      </c>
      <c r="K2629" s="90">
        <f t="shared" si="627"/>
        <v>0</v>
      </c>
      <c r="L2629" s="90">
        <f t="shared" si="628"/>
        <v>0</v>
      </c>
      <c r="M2629" s="90">
        <f t="shared" si="629"/>
        <v>0</v>
      </c>
      <c r="N2629" s="90">
        <v>0</v>
      </c>
      <c r="O2629" s="90">
        <f t="shared" si="630"/>
        <v>0</v>
      </c>
      <c r="P2629" s="92" t="s">
        <v>1652</v>
      </c>
      <c r="Z2629" s="93">
        <f t="shared" si="631"/>
        <v>0</v>
      </c>
      <c r="AB2629" s="93">
        <f t="shared" si="632"/>
        <v>0</v>
      </c>
      <c r="AC2629" s="93">
        <f t="shared" si="633"/>
        <v>0</v>
      </c>
      <c r="AD2629" s="93">
        <f t="shared" si="634"/>
        <v>0</v>
      </c>
      <c r="AE2629" s="93">
        <f t="shared" si="635"/>
        <v>0</v>
      </c>
      <c r="AF2629" s="93">
        <f t="shared" si="636"/>
        <v>0</v>
      </c>
      <c r="AG2629" s="93">
        <f t="shared" si="637"/>
        <v>0</v>
      </c>
      <c r="AH2629" s="93">
        <f t="shared" si="638"/>
        <v>0</v>
      </c>
      <c r="AI2629" s="88" t="s">
        <v>55</v>
      </c>
      <c r="AJ2629" s="93">
        <f t="shared" si="639"/>
        <v>0</v>
      </c>
      <c r="AK2629" s="93">
        <f t="shared" si="640"/>
        <v>0</v>
      </c>
      <c r="AL2629" s="93">
        <f t="shared" si="641"/>
        <v>0</v>
      </c>
      <c r="AN2629" s="93">
        <v>21</v>
      </c>
      <c r="AO2629" s="93">
        <f t="shared" si="642"/>
        <v>0</v>
      </c>
      <c r="AP2629" s="93">
        <f t="shared" si="643"/>
        <v>0</v>
      </c>
      <c r="AQ2629" s="94" t="s">
        <v>118</v>
      </c>
      <c r="AV2629" s="93">
        <f t="shared" si="644"/>
        <v>0</v>
      </c>
      <c r="AW2629" s="93">
        <f t="shared" si="645"/>
        <v>0</v>
      </c>
      <c r="AX2629" s="93">
        <f t="shared" si="646"/>
        <v>0</v>
      </c>
      <c r="AY2629" s="94" t="s">
        <v>3503</v>
      </c>
      <c r="AZ2629" s="94" t="s">
        <v>3504</v>
      </c>
      <c r="BA2629" s="88" t="s">
        <v>67</v>
      </c>
      <c r="BC2629" s="93">
        <f t="shared" si="647"/>
        <v>0</v>
      </c>
      <c r="BD2629" s="93">
        <f t="shared" si="648"/>
        <v>0</v>
      </c>
      <c r="BE2629" s="93">
        <v>0</v>
      </c>
      <c r="BF2629" s="93">
        <f t="shared" si="649"/>
        <v>0</v>
      </c>
      <c r="BH2629" s="93">
        <f t="shared" si="650"/>
        <v>0</v>
      </c>
      <c r="BI2629" s="93">
        <f t="shared" si="651"/>
        <v>0</v>
      </c>
      <c r="BJ2629" s="93">
        <f t="shared" si="652"/>
        <v>0</v>
      </c>
      <c r="BK2629" s="93"/>
      <c r="BL2629" s="93"/>
      <c r="BW2629" s="93" t="str">
        <f t="shared" si="653"/>
        <v>21</v>
      </c>
      <c r="BX2629" s="2" t="s">
        <v>3828</v>
      </c>
    </row>
    <row r="2630" spans="1:76" s="81" customFormat="1" ht="25.5" x14ac:dyDescent="0.25">
      <c r="A2630" s="72" t="s">
        <v>3829</v>
      </c>
      <c r="B2630" s="72" t="s">
        <v>55</v>
      </c>
      <c r="C2630" s="72" t="s">
        <v>3830</v>
      </c>
      <c r="D2630" s="175" t="s">
        <v>3831</v>
      </c>
      <c r="E2630" s="175"/>
      <c r="F2630" s="72" t="s">
        <v>3605</v>
      </c>
      <c r="G2630" s="90">
        <v>12</v>
      </c>
      <c r="H2630" s="91"/>
      <c r="I2630" s="92" t="s">
        <v>63</v>
      </c>
      <c r="J2630" s="90">
        <f t="shared" si="626"/>
        <v>0</v>
      </c>
      <c r="K2630" s="90">
        <f t="shared" si="627"/>
        <v>0</v>
      </c>
      <c r="L2630" s="90">
        <f t="shared" si="628"/>
        <v>0</v>
      </c>
      <c r="M2630" s="90">
        <f t="shared" si="629"/>
        <v>0</v>
      </c>
      <c r="N2630" s="90">
        <v>0</v>
      </c>
      <c r="O2630" s="90">
        <f t="shared" si="630"/>
        <v>0</v>
      </c>
      <c r="P2630" s="92" t="s">
        <v>1652</v>
      </c>
      <c r="Z2630" s="93">
        <f t="shared" si="631"/>
        <v>0</v>
      </c>
      <c r="AB2630" s="93">
        <f t="shared" si="632"/>
        <v>0</v>
      </c>
      <c r="AC2630" s="93">
        <f t="shared" si="633"/>
        <v>0</v>
      </c>
      <c r="AD2630" s="93">
        <f t="shared" si="634"/>
        <v>0</v>
      </c>
      <c r="AE2630" s="93">
        <f t="shared" si="635"/>
        <v>0</v>
      </c>
      <c r="AF2630" s="93">
        <f t="shared" si="636"/>
        <v>0</v>
      </c>
      <c r="AG2630" s="93">
        <f t="shared" si="637"/>
        <v>0</v>
      </c>
      <c r="AH2630" s="93">
        <f t="shared" si="638"/>
        <v>0</v>
      </c>
      <c r="AI2630" s="88" t="s">
        <v>55</v>
      </c>
      <c r="AJ2630" s="93">
        <f t="shared" si="639"/>
        <v>0</v>
      </c>
      <c r="AK2630" s="93">
        <f t="shared" si="640"/>
        <v>0</v>
      </c>
      <c r="AL2630" s="93">
        <f t="shared" si="641"/>
        <v>0</v>
      </c>
      <c r="AN2630" s="93">
        <v>21</v>
      </c>
      <c r="AO2630" s="93">
        <f t="shared" si="642"/>
        <v>0</v>
      </c>
      <c r="AP2630" s="93">
        <f t="shared" si="643"/>
        <v>0</v>
      </c>
      <c r="AQ2630" s="94" t="s">
        <v>118</v>
      </c>
      <c r="AV2630" s="93">
        <f t="shared" si="644"/>
        <v>0</v>
      </c>
      <c r="AW2630" s="93">
        <f t="shared" si="645"/>
        <v>0</v>
      </c>
      <c r="AX2630" s="93">
        <f t="shared" si="646"/>
        <v>0</v>
      </c>
      <c r="AY2630" s="94" t="s">
        <v>3503</v>
      </c>
      <c r="AZ2630" s="94" t="s">
        <v>3504</v>
      </c>
      <c r="BA2630" s="88" t="s">
        <v>67</v>
      </c>
      <c r="BC2630" s="93">
        <f t="shared" si="647"/>
        <v>0</v>
      </c>
      <c r="BD2630" s="93">
        <f t="shared" si="648"/>
        <v>0</v>
      </c>
      <c r="BE2630" s="93">
        <v>0</v>
      </c>
      <c r="BF2630" s="93">
        <f t="shared" si="649"/>
        <v>0</v>
      </c>
      <c r="BH2630" s="93">
        <f t="shared" si="650"/>
        <v>0</v>
      </c>
      <c r="BI2630" s="93">
        <f t="shared" si="651"/>
        <v>0</v>
      </c>
      <c r="BJ2630" s="93">
        <f t="shared" si="652"/>
        <v>0</v>
      </c>
      <c r="BK2630" s="93"/>
      <c r="BL2630" s="93"/>
      <c r="BW2630" s="93" t="str">
        <f t="shared" si="653"/>
        <v>21</v>
      </c>
      <c r="BX2630" s="2" t="s">
        <v>3831</v>
      </c>
    </row>
    <row r="2631" spans="1:76" s="81" customFormat="1" ht="25.5" x14ac:dyDescent="0.25">
      <c r="A2631" s="72" t="s">
        <v>3832</v>
      </c>
      <c r="B2631" s="72" t="s">
        <v>55</v>
      </c>
      <c r="C2631" s="72" t="s">
        <v>3833</v>
      </c>
      <c r="D2631" s="175" t="s">
        <v>3834</v>
      </c>
      <c r="E2631" s="175"/>
      <c r="F2631" s="72" t="s">
        <v>3605</v>
      </c>
      <c r="G2631" s="90">
        <v>8</v>
      </c>
      <c r="H2631" s="91"/>
      <c r="I2631" s="92" t="s">
        <v>63</v>
      </c>
      <c r="J2631" s="90">
        <f t="shared" si="626"/>
        <v>0</v>
      </c>
      <c r="K2631" s="90">
        <f t="shared" si="627"/>
        <v>0</v>
      </c>
      <c r="L2631" s="90">
        <f t="shared" si="628"/>
        <v>0</v>
      </c>
      <c r="M2631" s="90">
        <f t="shared" si="629"/>
        <v>0</v>
      </c>
      <c r="N2631" s="90">
        <v>0</v>
      </c>
      <c r="O2631" s="90">
        <f t="shared" si="630"/>
        <v>0</v>
      </c>
      <c r="P2631" s="92" t="s">
        <v>1652</v>
      </c>
      <c r="Z2631" s="93">
        <f t="shared" si="631"/>
        <v>0</v>
      </c>
      <c r="AB2631" s="93">
        <f t="shared" si="632"/>
        <v>0</v>
      </c>
      <c r="AC2631" s="93">
        <f t="shared" si="633"/>
        <v>0</v>
      </c>
      <c r="AD2631" s="93">
        <f t="shared" si="634"/>
        <v>0</v>
      </c>
      <c r="AE2631" s="93">
        <f t="shared" si="635"/>
        <v>0</v>
      </c>
      <c r="AF2631" s="93">
        <f t="shared" si="636"/>
        <v>0</v>
      </c>
      <c r="AG2631" s="93">
        <f t="shared" si="637"/>
        <v>0</v>
      </c>
      <c r="AH2631" s="93">
        <f t="shared" si="638"/>
        <v>0</v>
      </c>
      <c r="AI2631" s="88" t="s">
        <v>55</v>
      </c>
      <c r="AJ2631" s="93">
        <f t="shared" si="639"/>
        <v>0</v>
      </c>
      <c r="AK2631" s="93">
        <f t="shared" si="640"/>
        <v>0</v>
      </c>
      <c r="AL2631" s="93">
        <f t="shared" si="641"/>
        <v>0</v>
      </c>
      <c r="AN2631" s="93">
        <v>21</v>
      </c>
      <c r="AO2631" s="93">
        <f t="shared" si="642"/>
        <v>0</v>
      </c>
      <c r="AP2631" s="93">
        <f t="shared" si="643"/>
        <v>0</v>
      </c>
      <c r="AQ2631" s="94" t="s">
        <v>118</v>
      </c>
      <c r="AV2631" s="93">
        <f t="shared" si="644"/>
        <v>0</v>
      </c>
      <c r="AW2631" s="93">
        <f t="shared" si="645"/>
        <v>0</v>
      </c>
      <c r="AX2631" s="93">
        <f t="shared" si="646"/>
        <v>0</v>
      </c>
      <c r="AY2631" s="94" t="s">
        <v>3503</v>
      </c>
      <c r="AZ2631" s="94" t="s">
        <v>3504</v>
      </c>
      <c r="BA2631" s="88" t="s">
        <v>67</v>
      </c>
      <c r="BC2631" s="93">
        <f t="shared" si="647"/>
        <v>0</v>
      </c>
      <c r="BD2631" s="93">
        <f t="shared" si="648"/>
        <v>0</v>
      </c>
      <c r="BE2631" s="93">
        <v>0</v>
      </c>
      <c r="BF2631" s="93">
        <f t="shared" si="649"/>
        <v>0</v>
      </c>
      <c r="BH2631" s="93">
        <f t="shared" si="650"/>
        <v>0</v>
      </c>
      <c r="BI2631" s="93">
        <f t="shared" si="651"/>
        <v>0</v>
      </c>
      <c r="BJ2631" s="93">
        <f t="shared" si="652"/>
        <v>0</v>
      </c>
      <c r="BK2631" s="93"/>
      <c r="BL2631" s="93"/>
      <c r="BW2631" s="93" t="str">
        <f t="shared" si="653"/>
        <v>21</v>
      </c>
      <c r="BX2631" s="2" t="s">
        <v>3834</v>
      </c>
    </row>
    <row r="2632" spans="1:76" s="81" customFormat="1" ht="25.5" x14ac:dyDescent="0.25">
      <c r="A2632" s="72" t="s">
        <v>3835</v>
      </c>
      <c r="B2632" s="72" t="s">
        <v>55</v>
      </c>
      <c r="C2632" s="72" t="s">
        <v>3836</v>
      </c>
      <c r="D2632" s="175" t="s">
        <v>3837</v>
      </c>
      <c r="E2632" s="175"/>
      <c r="F2632" s="72" t="s">
        <v>3605</v>
      </c>
      <c r="G2632" s="90">
        <v>18</v>
      </c>
      <c r="H2632" s="91"/>
      <c r="I2632" s="92" t="s">
        <v>63</v>
      </c>
      <c r="J2632" s="90">
        <f t="shared" si="626"/>
        <v>0</v>
      </c>
      <c r="K2632" s="90">
        <f t="shared" si="627"/>
        <v>0</v>
      </c>
      <c r="L2632" s="90">
        <f t="shared" si="628"/>
        <v>0</v>
      </c>
      <c r="M2632" s="90">
        <f t="shared" si="629"/>
        <v>0</v>
      </c>
      <c r="N2632" s="90">
        <v>0</v>
      </c>
      <c r="O2632" s="90">
        <f t="shared" si="630"/>
        <v>0</v>
      </c>
      <c r="P2632" s="92" t="s">
        <v>1652</v>
      </c>
      <c r="Z2632" s="93">
        <f t="shared" si="631"/>
        <v>0</v>
      </c>
      <c r="AB2632" s="93">
        <f t="shared" si="632"/>
        <v>0</v>
      </c>
      <c r="AC2632" s="93">
        <f t="shared" si="633"/>
        <v>0</v>
      </c>
      <c r="AD2632" s="93">
        <f t="shared" si="634"/>
        <v>0</v>
      </c>
      <c r="AE2632" s="93">
        <f t="shared" si="635"/>
        <v>0</v>
      </c>
      <c r="AF2632" s="93">
        <f t="shared" si="636"/>
        <v>0</v>
      </c>
      <c r="AG2632" s="93">
        <f t="shared" si="637"/>
        <v>0</v>
      </c>
      <c r="AH2632" s="93">
        <f t="shared" si="638"/>
        <v>0</v>
      </c>
      <c r="AI2632" s="88" t="s">
        <v>55</v>
      </c>
      <c r="AJ2632" s="93">
        <f t="shared" si="639"/>
        <v>0</v>
      </c>
      <c r="AK2632" s="93">
        <f t="shared" si="640"/>
        <v>0</v>
      </c>
      <c r="AL2632" s="93">
        <f t="shared" si="641"/>
        <v>0</v>
      </c>
      <c r="AN2632" s="93">
        <v>21</v>
      </c>
      <c r="AO2632" s="93">
        <f t="shared" si="642"/>
        <v>0</v>
      </c>
      <c r="AP2632" s="93">
        <f t="shared" si="643"/>
        <v>0</v>
      </c>
      <c r="AQ2632" s="94" t="s">
        <v>118</v>
      </c>
      <c r="AV2632" s="93">
        <f t="shared" si="644"/>
        <v>0</v>
      </c>
      <c r="AW2632" s="93">
        <f t="shared" si="645"/>
        <v>0</v>
      </c>
      <c r="AX2632" s="93">
        <f t="shared" si="646"/>
        <v>0</v>
      </c>
      <c r="AY2632" s="94" t="s">
        <v>3503</v>
      </c>
      <c r="AZ2632" s="94" t="s">
        <v>3504</v>
      </c>
      <c r="BA2632" s="88" t="s">
        <v>67</v>
      </c>
      <c r="BC2632" s="93">
        <f t="shared" si="647"/>
        <v>0</v>
      </c>
      <c r="BD2632" s="93">
        <f t="shared" si="648"/>
        <v>0</v>
      </c>
      <c r="BE2632" s="93">
        <v>0</v>
      </c>
      <c r="BF2632" s="93">
        <f t="shared" si="649"/>
        <v>0</v>
      </c>
      <c r="BH2632" s="93">
        <f t="shared" si="650"/>
        <v>0</v>
      </c>
      <c r="BI2632" s="93">
        <f t="shared" si="651"/>
        <v>0</v>
      </c>
      <c r="BJ2632" s="93">
        <f t="shared" si="652"/>
        <v>0</v>
      </c>
      <c r="BK2632" s="93"/>
      <c r="BL2632" s="93"/>
      <c r="BW2632" s="93" t="str">
        <f t="shared" si="653"/>
        <v>21</v>
      </c>
      <c r="BX2632" s="2" t="s">
        <v>3837</v>
      </c>
    </row>
    <row r="2633" spans="1:76" s="81" customFormat="1" ht="25.5" x14ac:dyDescent="0.25">
      <c r="A2633" s="72" t="s">
        <v>3838</v>
      </c>
      <c r="B2633" s="72" t="s">
        <v>55</v>
      </c>
      <c r="C2633" s="72" t="s">
        <v>3839</v>
      </c>
      <c r="D2633" s="175" t="s">
        <v>3840</v>
      </c>
      <c r="E2633" s="175"/>
      <c r="F2633" s="72" t="s">
        <v>3605</v>
      </c>
      <c r="G2633" s="90">
        <v>24</v>
      </c>
      <c r="H2633" s="91"/>
      <c r="I2633" s="92" t="s">
        <v>63</v>
      </c>
      <c r="J2633" s="90">
        <f t="shared" si="626"/>
        <v>0</v>
      </c>
      <c r="K2633" s="90">
        <f t="shared" si="627"/>
        <v>0</v>
      </c>
      <c r="L2633" s="90">
        <f t="shared" si="628"/>
        <v>0</v>
      </c>
      <c r="M2633" s="90">
        <f t="shared" si="629"/>
        <v>0</v>
      </c>
      <c r="N2633" s="90">
        <v>0</v>
      </c>
      <c r="O2633" s="90">
        <f t="shared" si="630"/>
        <v>0</v>
      </c>
      <c r="P2633" s="92" t="s">
        <v>1652</v>
      </c>
      <c r="Z2633" s="93">
        <f t="shared" si="631"/>
        <v>0</v>
      </c>
      <c r="AB2633" s="93">
        <f t="shared" si="632"/>
        <v>0</v>
      </c>
      <c r="AC2633" s="93">
        <f t="shared" si="633"/>
        <v>0</v>
      </c>
      <c r="AD2633" s="93">
        <f t="shared" si="634"/>
        <v>0</v>
      </c>
      <c r="AE2633" s="93">
        <f t="shared" si="635"/>
        <v>0</v>
      </c>
      <c r="AF2633" s="93">
        <f t="shared" si="636"/>
        <v>0</v>
      </c>
      <c r="AG2633" s="93">
        <f t="shared" si="637"/>
        <v>0</v>
      </c>
      <c r="AH2633" s="93">
        <f t="shared" si="638"/>
        <v>0</v>
      </c>
      <c r="AI2633" s="88" t="s">
        <v>55</v>
      </c>
      <c r="AJ2633" s="93">
        <f t="shared" si="639"/>
        <v>0</v>
      </c>
      <c r="AK2633" s="93">
        <f t="shared" si="640"/>
        <v>0</v>
      </c>
      <c r="AL2633" s="93">
        <f t="shared" si="641"/>
        <v>0</v>
      </c>
      <c r="AN2633" s="93">
        <v>21</v>
      </c>
      <c r="AO2633" s="93">
        <f t="shared" si="642"/>
        <v>0</v>
      </c>
      <c r="AP2633" s="93">
        <f t="shared" si="643"/>
        <v>0</v>
      </c>
      <c r="AQ2633" s="94" t="s">
        <v>118</v>
      </c>
      <c r="AV2633" s="93">
        <f t="shared" si="644"/>
        <v>0</v>
      </c>
      <c r="AW2633" s="93">
        <f t="shared" si="645"/>
        <v>0</v>
      </c>
      <c r="AX2633" s="93">
        <f t="shared" si="646"/>
        <v>0</v>
      </c>
      <c r="AY2633" s="94" t="s">
        <v>3503</v>
      </c>
      <c r="AZ2633" s="94" t="s">
        <v>3504</v>
      </c>
      <c r="BA2633" s="88" t="s">
        <v>67</v>
      </c>
      <c r="BC2633" s="93">
        <f t="shared" si="647"/>
        <v>0</v>
      </c>
      <c r="BD2633" s="93">
        <f t="shared" si="648"/>
        <v>0</v>
      </c>
      <c r="BE2633" s="93">
        <v>0</v>
      </c>
      <c r="BF2633" s="93">
        <f t="shared" si="649"/>
        <v>0</v>
      </c>
      <c r="BH2633" s="93">
        <f t="shared" si="650"/>
        <v>0</v>
      </c>
      <c r="BI2633" s="93">
        <f t="shared" si="651"/>
        <v>0</v>
      </c>
      <c r="BJ2633" s="93">
        <f t="shared" si="652"/>
        <v>0</v>
      </c>
      <c r="BK2633" s="93"/>
      <c r="BL2633" s="93"/>
      <c r="BW2633" s="93" t="str">
        <f t="shared" si="653"/>
        <v>21</v>
      </c>
      <c r="BX2633" s="2" t="s">
        <v>3840</v>
      </c>
    </row>
    <row r="2634" spans="1:76" s="81" customFormat="1" ht="25.5" x14ac:dyDescent="0.25">
      <c r="A2634" s="72" t="s">
        <v>3841</v>
      </c>
      <c r="B2634" s="72" t="s">
        <v>55</v>
      </c>
      <c r="C2634" s="72" t="s">
        <v>3842</v>
      </c>
      <c r="D2634" s="175" t="s">
        <v>3843</v>
      </c>
      <c r="E2634" s="175"/>
      <c r="F2634" s="72" t="s">
        <v>1449</v>
      </c>
      <c r="G2634" s="90">
        <v>3</v>
      </c>
      <c r="H2634" s="91"/>
      <c r="I2634" s="92" t="s">
        <v>63</v>
      </c>
      <c r="J2634" s="90">
        <f t="shared" si="626"/>
        <v>0</v>
      </c>
      <c r="K2634" s="90">
        <f t="shared" si="627"/>
        <v>0</v>
      </c>
      <c r="L2634" s="90">
        <f t="shared" si="628"/>
        <v>0</v>
      </c>
      <c r="M2634" s="90">
        <f t="shared" si="629"/>
        <v>0</v>
      </c>
      <c r="N2634" s="90">
        <v>0</v>
      </c>
      <c r="O2634" s="90">
        <f t="shared" si="630"/>
        <v>0</v>
      </c>
      <c r="P2634" s="92" t="s">
        <v>1652</v>
      </c>
      <c r="Z2634" s="93">
        <f t="shared" si="631"/>
        <v>0</v>
      </c>
      <c r="AB2634" s="93">
        <f t="shared" si="632"/>
        <v>0</v>
      </c>
      <c r="AC2634" s="93">
        <f t="shared" si="633"/>
        <v>0</v>
      </c>
      <c r="AD2634" s="93">
        <f t="shared" si="634"/>
        <v>0</v>
      </c>
      <c r="AE2634" s="93">
        <f t="shared" si="635"/>
        <v>0</v>
      </c>
      <c r="AF2634" s="93">
        <f t="shared" si="636"/>
        <v>0</v>
      </c>
      <c r="AG2634" s="93">
        <f t="shared" si="637"/>
        <v>0</v>
      </c>
      <c r="AH2634" s="93">
        <f t="shared" si="638"/>
        <v>0</v>
      </c>
      <c r="AI2634" s="88" t="s">
        <v>55</v>
      </c>
      <c r="AJ2634" s="93">
        <f t="shared" si="639"/>
        <v>0</v>
      </c>
      <c r="AK2634" s="93">
        <f t="shared" si="640"/>
        <v>0</v>
      </c>
      <c r="AL2634" s="93">
        <f t="shared" si="641"/>
        <v>0</v>
      </c>
      <c r="AN2634" s="93">
        <v>21</v>
      </c>
      <c r="AO2634" s="93">
        <f t="shared" si="642"/>
        <v>0</v>
      </c>
      <c r="AP2634" s="93">
        <f t="shared" si="643"/>
        <v>0</v>
      </c>
      <c r="AQ2634" s="94" t="s">
        <v>118</v>
      </c>
      <c r="AV2634" s="93">
        <f t="shared" si="644"/>
        <v>0</v>
      </c>
      <c r="AW2634" s="93">
        <f t="shared" si="645"/>
        <v>0</v>
      </c>
      <c r="AX2634" s="93">
        <f t="shared" si="646"/>
        <v>0</v>
      </c>
      <c r="AY2634" s="94" t="s">
        <v>3503</v>
      </c>
      <c r="AZ2634" s="94" t="s">
        <v>3504</v>
      </c>
      <c r="BA2634" s="88" t="s">
        <v>67</v>
      </c>
      <c r="BC2634" s="93">
        <f t="shared" si="647"/>
        <v>0</v>
      </c>
      <c r="BD2634" s="93">
        <f t="shared" si="648"/>
        <v>0</v>
      </c>
      <c r="BE2634" s="93">
        <v>0</v>
      </c>
      <c r="BF2634" s="93">
        <f t="shared" si="649"/>
        <v>0</v>
      </c>
      <c r="BH2634" s="93">
        <f t="shared" si="650"/>
        <v>0</v>
      </c>
      <c r="BI2634" s="93">
        <f t="shared" si="651"/>
        <v>0</v>
      </c>
      <c r="BJ2634" s="93">
        <f t="shared" si="652"/>
        <v>0</v>
      </c>
      <c r="BK2634" s="93"/>
      <c r="BL2634" s="93"/>
      <c r="BW2634" s="93" t="str">
        <f t="shared" si="653"/>
        <v>21</v>
      </c>
      <c r="BX2634" s="2" t="s">
        <v>3843</v>
      </c>
    </row>
    <row r="2635" spans="1:76" s="81" customFormat="1" ht="25.5" x14ac:dyDescent="0.25">
      <c r="A2635" s="72" t="s">
        <v>3844</v>
      </c>
      <c r="B2635" s="72" t="s">
        <v>55</v>
      </c>
      <c r="C2635" s="72" t="s">
        <v>3845</v>
      </c>
      <c r="D2635" s="175" t="s">
        <v>3846</v>
      </c>
      <c r="E2635" s="175"/>
      <c r="F2635" s="72" t="s">
        <v>1449</v>
      </c>
      <c r="G2635" s="90">
        <v>4</v>
      </c>
      <c r="H2635" s="91"/>
      <c r="I2635" s="92" t="s">
        <v>63</v>
      </c>
      <c r="J2635" s="90">
        <f t="shared" si="626"/>
        <v>0</v>
      </c>
      <c r="K2635" s="90">
        <f t="shared" si="627"/>
        <v>0</v>
      </c>
      <c r="L2635" s="90">
        <f t="shared" si="628"/>
        <v>0</v>
      </c>
      <c r="M2635" s="90">
        <f t="shared" si="629"/>
        <v>0</v>
      </c>
      <c r="N2635" s="90">
        <v>0</v>
      </c>
      <c r="O2635" s="90">
        <f t="shared" si="630"/>
        <v>0</v>
      </c>
      <c r="P2635" s="92" t="s">
        <v>1652</v>
      </c>
      <c r="Z2635" s="93">
        <f t="shared" si="631"/>
        <v>0</v>
      </c>
      <c r="AB2635" s="93">
        <f t="shared" si="632"/>
        <v>0</v>
      </c>
      <c r="AC2635" s="93">
        <f t="shared" si="633"/>
        <v>0</v>
      </c>
      <c r="AD2635" s="93">
        <f t="shared" si="634"/>
        <v>0</v>
      </c>
      <c r="AE2635" s="93">
        <f t="shared" si="635"/>
        <v>0</v>
      </c>
      <c r="AF2635" s="93">
        <f t="shared" si="636"/>
        <v>0</v>
      </c>
      <c r="AG2635" s="93">
        <f t="shared" si="637"/>
        <v>0</v>
      </c>
      <c r="AH2635" s="93">
        <f t="shared" si="638"/>
        <v>0</v>
      </c>
      <c r="AI2635" s="88" t="s">
        <v>55</v>
      </c>
      <c r="AJ2635" s="93">
        <f t="shared" si="639"/>
        <v>0</v>
      </c>
      <c r="AK2635" s="93">
        <f t="shared" si="640"/>
        <v>0</v>
      </c>
      <c r="AL2635" s="93">
        <f t="shared" si="641"/>
        <v>0</v>
      </c>
      <c r="AN2635" s="93">
        <v>21</v>
      </c>
      <c r="AO2635" s="93">
        <f t="shared" si="642"/>
        <v>0</v>
      </c>
      <c r="AP2635" s="93">
        <f t="shared" si="643"/>
        <v>0</v>
      </c>
      <c r="AQ2635" s="94" t="s">
        <v>118</v>
      </c>
      <c r="AV2635" s="93">
        <f t="shared" si="644"/>
        <v>0</v>
      </c>
      <c r="AW2635" s="93">
        <f t="shared" si="645"/>
        <v>0</v>
      </c>
      <c r="AX2635" s="93">
        <f t="shared" si="646"/>
        <v>0</v>
      </c>
      <c r="AY2635" s="94" t="s">
        <v>3503</v>
      </c>
      <c r="AZ2635" s="94" t="s">
        <v>3504</v>
      </c>
      <c r="BA2635" s="88" t="s">
        <v>67</v>
      </c>
      <c r="BC2635" s="93">
        <f t="shared" si="647"/>
        <v>0</v>
      </c>
      <c r="BD2635" s="93">
        <f t="shared" si="648"/>
        <v>0</v>
      </c>
      <c r="BE2635" s="93">
        <v>0</v>
      </c>
      <c r="BF2635" s="93">
        <f t="shared" si="649"/>
        <v>0</v>
      </c>
      <c r="BH2635" s="93">
        <f t="shared" si="650"/>
        <v>0</v>
      </c>
      <c r="BI2635" s="93">
        <f t="shared" si="651"/>
        <v>0</v>
      </c>
      <c r="BJ2635" s="93">
        <f t="shared" si="652"/>
        <v>0</v>
      </c>
      <c r="BK2635" s="93"/>
      <c r="BL2635" s="93"/>
      <c r="BW2635" s="93" t="str">
        <f t="shared" si="653"/>
        <v>21</v>
      </c>
      <c r="BX2635" s="2" t="s">
        <v>3846</v>
      </c>
    </row>
    <row r="2636" spans="1:76" s="81" customFormat="1" ht="25.5" x14ac:dyDescent="0.25">
      <c r="A2636" s="72" t="s">
        <v>3847</v>
      </c>
      <c r="B2636" s="72" t="s">
        <v>55</v>
      </c>
      <c r="C2636" s="72" t="s">
        <v>3848</v>
      </c>
      <c r="D2636" s="175" t="s">
        <v>3849</v>
      </c>
      <c r="E2636" s="175"/>
      <c r="F2636" s="72" t="s">
        <v>1334</v>
      </c>
      <c r="G2636" s="90">
        <v>1</v>
      </c>
      <c r="H2636" s="91"/>
      <c r="I2636" s="92" t="s">
        <v>63</v>
      </c>
      <c r="J2636" s="90">
        <f t="shared" si="626"/>
        <v>0</v>
      </c>
      <c r="K2636" s="90">
        <f t="shared" si="627"/>
        <v>0</v>
      </c>
      <c r="L2636" s="90">
        <f t="shared" si="628"/>
        <v>0</v>
      </c>
      <c r="M2636" s="90">
        <f t="shared" si="629"/>
        <v>0</v>
      </c>
      <c r="N2636" s="90">
        <v>0</v>
      </c>
      <c r="O2636" s="90">
        <f t="shared" si="630"/>
        <v>0</v>
      </c>
      <c r="P2636" s="92" t="s">
        <v>1652</v>
      </c>
      <c r="Z2636" s="93">
        <f t="shared" si="631"/>
        <v>0</v>
      </c>
      <c r="AB2636" s="93">
        <f t="shared" si="632"/>
        <v>0</v>
      </c>
      <c r="AC2636" s="93">
        <f t="shared" si="633"/>
        <v>0</v>
      </c>
      <c r="AD2636" s="93">
        <f t="shared" si="634"/>
        <v>0</v>
      </c>
      <c r="AE2636" s="93">
        <f t="shared" si="635"/>
        <v>0</v>
      </c>
      <c r="AF2636" s="93">
        <f t="shared" si="636"/>
        <v>0</v>
      </c>
      <c r="AG2636" s="93">
        <f t="shared" si="637"/>
        <v>0</v>
      </c>
      <c r="AH2636" s="93">
        <f t="shared" si="638"/>
        <v>0</v>
      </c>
      <c r="AI2636" s="88" t="s">
        <v>55</v>
      </c>
      <c r="AJ2636" s="93">
        <f t="shared" si="639"/>
        <v>0</v>
      </c>
      <c r="AK2636" s="93">
        <f t="shared" si="640"/>
        <v>0</v>
      </c>
      <c r="AL2636" s="93">
        <f t="shared" si="641"/>
        <v>0</v>
      </c>
      <c r="AN2636" s="93">
        <v>21</v>
      </c>
      <c r="AO2636" s="93">
        <f t="shared" si="642"/>
        <v>0</v>
      </c>
      <c r="AP2636" s="93">
        <f t="shared" si="643"/>
        <v>0</v>
      </c>
      <c r="AQ2636" s="94" t="s">
        <v>118</v>
      </c>
      <c r="AV2636" s="93">
        <f t="shared" si="644"/>
        <v>0</v>
      </c>
      <c r="AW2636" s="93">
        <f t="shared" si="645"/>
        <v>0</v>
      </c>
      <c r="AX2636" s="93">
        <f t="shared" si="646"/>
        <v>0</v>
      </c>
      <c r="AY2636" s="94" t="s">
        <v>3503</v>
      </c>
      <c r="AZ2636" s="94" t="s">
        <v>3504</v>
      </c>
      <c r="BA2636" s="88" t="s">
        <v>67</v>
      </c>
      <c r="BC2636" s="93">
        <f t="shared" si="647"/>
        <v>0</v>
      </c>
      <c r="BD2636" s="93">
        <f t="shared" si="648"/>
        <v>0</v>
      </c>
      <c r="BE2636" s="93">
        <v>0</v>
      </c>
      <c r="BF2636" s="93">
        <f t="shared" si="649"/>
        <v>0</v>
      </c>
      <c r="BH2636" s="93">
        <f t="shared" si="650"/>
        <v>0</v>
      </c>
      <c r="BI2636" s="93">
        <f t="shared" si="651"/>
        <v>0</v>
      </c>
      <c r="BJ2636" s="93">
        <f t="shared" si="652"/>
        <v>0</v>
      </c>
      <c r="BK2636" s="93"/>
      <c r="BL2636" s="93"/>
      <c r="BW2636" s="93" t="str">
        <f t="shared" si="653"/>
        <v>21</v>
      </c>
      <c r="BX2636" s="2" t="s">
        <v>3849</v>
      </c>
    </row>
    <row r="2637" spans="1:76" s="81" customFormat="1" ht="25.5" x14ac:dyDescent="0.25">
      <c r="A2637" s="72" t="s">
        <v>3850</v>
      </c>
      <c r="B2637" s="72" t="s">
        <v>55</v>
      </c>
      <c r="C2637" s="72" t="s">
        <v>3851</v>
      </c>
      <c r="D2637" s="175" t="s">
        <v>3852</v>
      </c>
      <c r="E2637" s="175"/>
      <c r="F2637" s="72" t="s">
        <v>3605</v>
      </c>
      <c r="G2637" s="90">
        <v>12</v>
      </c>
      <c r="H2637" s="91"/>
      <c r="I2637" s="92" t="s">
        <v>63</v>
      </c>
      <c r="J2637" s="90">
        <f t="shared" si="626"/>
        <v>0</v>
      </c>
      <c r="K2637" s="90">
        <f t="shared" si="627"/>
        <v>0</v>
      </c>
      <c r="L2637" s="90">
        <f t="shared" si="628"/>
        <v>0</v>
      </c>
      <c r="M2637" s="90">
        <f t="shared" si="629"/>
        <v>0</v>
      </c>
      <c r="N2637" s="90">
        <v>0</v>
      </c>
      <c r="O2637" s="90">
        <f t="shared" si="630"/>
        <v>0</v>
      </c>
      <c r="P2637" s="92" t="s">
        <v>1652</v>
      </c>
      <c r="Z2637" s="93">
        <f t="shared" si="631"/>
        <v>0</v>
      </c>
      <c r="AB2637" s="93">
        <f t="shared" si="632"/>
        <v>0</v>
      </c>
      <c r="AC2637" s="93">
        <f t="shared" si="633"/>
        <v>0</v>
      </c>
      <c r="AD2637" s="93">
        <f t="shared" si="634"/>
        <v>0</v>
      </c>
      <c r="AE2637" s="93">
        <f t="shared" si="635"/>
        <v>0</v>
      </c>
      <c r="AF2637" s="93">
        <f t="shared" si="636"/>
        <v>0</v>
      </c>
      <c r="AG2637" s="93">
        <f t="shared" si="637"/>
        <v>0</v>
      </c>
      <c r="AH2637" s="93">
        <f t="shared" si="638"/>
        <v>0</v>
      </c>
      <c r="AI2637" s="88" t="s">
        <v>55</v>
      </c>
      <c r="AJ2637" s="93">
        <f t="shared" si="639"/>
        <v>0</v>
      </c>
      <c r="AK2637" s="93">
        <f t="shared" si="640"/>
        <v>0</v>
      </c>
      <c r="AL2637" s="93">
        <f t="shared" si="641"/>
        <v>0</v>
      </c>
      <c r="AN2637" s="93">
        <v>21</v>
      </c>
      <c r="AO2637" s="93">
        <f t="shared" si="642"/>
        <v>0</v>
      </c>
      <c r="AP2637" s="93">
        <f t="shared" si="643"/>
        <v>0</v>
      </c>
      <c r="AQ2637" s="94" t="s">
        <v>118</v>
      </c>
      <c r="AV2637" s="93">
        <f t="shared" si="644"/>
        <v>0</v>
      </c>
      <c r="AW2637" s="93">
        <f t="shared" si="645"/>
        <v>0</v>
      </c>
      <c r="AX2637" s="93">
        <f t="shared" si="646"/>
        <v>0</v>
      </c>
      <c r="AY2637" s="94" t="s">
        <v>3503</v>
      </c>
      <c r="AZ2637" s="94" t="s">
        <v>3504</v>
      </c>
      <c r="BA2637" s="88" t="s">
        <v>67</v>
      </c>
      <c r="BC2637" s="93">
        <f t="shared" si="647"/>
        <v>0</v>
      </c>
      <c r="BD2637" s="93">
        <f t="shared" si="648"/>
        <v>0</v>
      </c>
      <c r="BE2637" s="93">
        <v>0</v>
      </c>
      <c r="BF2637" s="93">
        <f t="shared" si="649"/>
        <v>0</v>
      </c>
      <c r="BH2637" s="93">
        <f t="shared" si="650"/>
        <v>0</v>
      </c>
      <c r="BI2637" s="93">
        <f t="shared" si="651"/>
        <v>0</v>
      </c>
      <c r="BJ2637" s="93">
        <f t="shared" si="652"/>
        <v>0</v>
      </c>
      <c r="BK2637" s="93"/>
      <c r="BL2637" s="93"/>
      <c r="BW2637" s="93" t="str">
        <f t="shared" si="653"/>
        <v>21</v>
      </c>
      <c r="BX2637" s="2" t="s">
        <v>3852</v>
      </c>
    </row>
    <row r="2638" spans="1:76" s="81" customFormat="1" ht="25.5" x14ac:dyDescent="0.25">
      <c r="A2638" s="72" t="s">
        <v>3853</v>
      </c>
      <c r="B2638" s="72" t="s">
        <v>55</v>
      </c>
      <c r="C2638" s="72" t="s">
        <v>3854</v>
      </c>
      <c r="D2638" s="175" t="s">
        <v>3855</v>
      </c>
      <c r="E2638" s="175"/>
      <c r="F2638" s="72" t="s">
        <v>3605</v>
      </c>
      <c r="G2638" s="90">
        <v>4</v>
      </c>
      <c r="H2638" s="91"/>
      <c r="I2638" s="92" t="s">
        <v>63</v>
      </c>
      <c r="J2638" s="90">
        <f t="shared" si="626"/>
        <v>0</v>
      </c>
      <c r="K2638" s="90">
        <f t="shared" si="627"/>
        <v>0</v>
      </c>
      <c r="L2638" s="90">
        <f t="shared" si="628"/>
        <v>0</v>
      </c>
      <c r="M2638" s="90">
        <f t="shared" si="629"/>
        <v>0</v>
      </c>
      <c r="N2638" s="90">
        <v>0</v>
      </c>
      <c r="O2638" s="90">
        <f t="shared" si="630"/>
        <v>0</v>
      </c>
      <c r="P2638" s="92" t="s">
        <v>1652</v>
      </c>
      <c r="Z2638" s="93">
        <f t="shared" si="631"/>
        <v>0</v>
      </c>
      <c r="AB2638" s="93">
        <f t="shared" si="632"/>
        <v>0</v>
      </c>
      <c r="AC2638" s="93">
        <f t="shared" si="633"/>
        <v>0</v>
      </c>
      <c r="AD2638" s="93">
        <f t="shared" si="634"/>
        <v>0</v>
      </c>
      <c r="AE2638" s="93">
        <f t="shared" si="635"/>
        <v>0</v>
      </c>
      <c r="AF2638" s="93">
        <f t="shared" si="636"/>
        <v>0</v>
      </c>
      <c r="AG2638" s="93">
        <f t="shared" si="637"/>
        <v>0</v>
      </c>
      <c r="AH2638" s="93">
        <f t="shared" si="638"/>
        <v>0</v>
      </c>
      <c r="AI2638" s="88" t="s">
        <v>55</v>
      </c>
      <c r="AJ2638" s="93">
        <f t="shared" si="639"/>
        <v>0</v>
      </c>
      <c r="AK2638" s="93">
        <f t="shared" si="640"/>
        <v>0</v>
      </c>
      <c r="AL2638" s="93">
        <f t="shared" si="641"/>
        <v>0</v>
      </c>
      <c r="AN2638" s="93">
        <v>21</v>
      </c>
      <c r="AO2638" s="93">
        <f t="shared" si="642"/>
        <v>0</v>
      </c>
      <c r="AP2638" s="93">
        <f t="shared" si="643"/>
        <v>0</v>
      </c>
      <c r="AQ2638" s="94" t="s">
        <v>118</v>
      </c>
      <c r="AV2638" s="93">
        <f t="shared" si="644"/>
        <v>0</v>
      </c>
      <c r="AW2638" s="93">
        <f t="shared" si="645"/>
        <v>0</v>
      </c>
      <c r="AX2638" s="93">
        <f t="shared" si="646"/>
        <v>0</v>
      </c>
      <c r="AY2638" s="94" t="s">
        <v>3503</v>
      </c>
      <c r="AZ2638" s="94" t="s">
        <v>3504</v>
      </c>
      <c r="BA2638" s="88" t="s">
        <v>67</v>
      </c>
      <c r="BC2638" s="93">
        <f t="shared" si="647"/>
        <v>0</v>
      </c>
      <c r="BD2638" s="93">
        <f t="shared" si="648"/>
        <v>0</v>
      </c>
      <c r="BE2638" s="93">
        <v>0</v>
      </c>
      <c r="BF2638" s="93">
        <f t="shared" si="649"/>
        <v>0</v>
      </c>
      <c r="BH2638" s="93">
        <f t="shared" si="650"/>
        <v>0</v>
      </c>
      <c r="BI2638" s="93">
        <f t="shared" si="651"/>
        <v>0</v>
      </c>
      <c r="BJ2638" s="93">
        <f t="shared" si="652"/>
        <v>0</v>
      </c>
      <c r="BK2638" s="93"/>
      <c r="BL2638" s="93"/>
      <c r="BW2638" s="93" t="str">
        <f t="shared" si="653"/>
        <v>21</v>
      </c>
      <c r="BX2638" s="2" t="s">
        <v>3855</v>
      </c>
    </row>
    <row r="2639" spans="1:76" s="81" customFormat="1" ht="25.5" x14ac:dyDescent="0.25">
      <c r="A2639" s="72" t="s">
        <v>3856</v>
      </c>
      <c r="B2639" s="72" t="s">
        <v>55</v>
      </c>
      <c r="C2639" s="72" t="s">
        <v>3857</v>
      </c>
      <c r="D2639" s="175" t="s">
        <v>3858</v>
      </c>
      <c r="E2639" s="175"/>
      <c r="F2639" s="72" t="s">
        <v>3605</v>
      </c>
      <c r="G2639" s="90">
        <v>16</v>
      </c>
      <c r="H2639" s="91"/>
      <c r="I2639" s="92" t="s">
        <v>63</v>
      </c>
      <c r="J2639" s="90">
        <f t="shared" si="626"/>
        <v>0</v>
      </c>
      <c r="K2639" s="90">
        <f t="shared" si="627"/>
        <v>0</v>
      </c>
      <c r="L2639" s="90">
        <f t="shared" si="628"/>
        <v>0</v>
      </c>
      <c r="M2639" s="90">
        <f t="shared" si="629"/>
        <v>0</v>
      </c>
      <c r="N2639" s="90">
        <v>0</v>
      </c>
      <c r="O2639" s="90">
        <f t="shared" si="630"/>
        <v>0</v>
      </c>
      <c r="P2639" s="92" t="s">
        <v>1652</v>
      </c>
      <c r="Z2639" s="93">
        <f t="shared" si="631"/>
        <v>0</v>
      </c>
      <c r="AB2639" s="93">
        <f t="shared" si="632"/>
        <v>0</v>
      </c>
      <c r="AC2639" s="93">
        <f t="shared" si="633"/>
        <v>0</v>
      </c>
      <c r="AD2639" s="93">
        <f t="shared" si="634"/>
        <v>0</v>
      </c>
      <c r="AE2639" s="93">
        <f t="shared" si="635"/>
        <v>0</v>
      </c>
      <c r="AF2639" s="93">
        <f t="shared" si="636"/>
        <v>0</v>
      </c>
      <c r="AG2639" s="93">
        <f t="shared" si="637"/>
        <v>0</v>
      </c>
      <c r="AH2639" s="93">
        <f t="shared" si="638"/>
        <v>0</v>
      </c>
      <c r="AI2639" s="88" t="s">
        <v>55</v>
      </c>
      <c r="AJ2639" s="93">
        <f t="shared" si="639"/>
        <v>0</v>
      </c>
      <c r="AK2639" s="93">
        <f t="shared" si="640"/>
        <v>0</v>
      </c>
      <c r="AL2639" s="93">
        <f t="shared" si="641"/>
        <v>0</v>
      </c>
      <c r="AN2639" s="93">
        <v>21</v>
      </c>
      <c r="AO2639" s="93">
        <f t="shared" si="642"/>
        <v>0</v>
      </c>
      <c r="AP2639" s="93">
        <f t="shared" si="643"/>
        <v>0</v>
      </c>
      <c r="AQ2639" s="94" t="s">
        <v>118</v>
      </c>
      <c r="AV2639" s="93">
        <f t="shared" si="644"/>
        <v>0</v>
      </c>
      <c r="AW2639" s="93">
        <f t="shared" si="645"/>
        <v>0</v>
      </c>
      <c r="AX2639" s="93">
        <f t="shared" si="646"/>
        <v>0</v>
      </c>
      <c r="AY2639" s="94" t="s">
        <v>3503</v>
      </c>
      <c r="AZ2639" s="94" t="s">
        <v>3504</v>
      </c>
      <c r="BA2639" s="88" t="s">
        <v>67</v>
      </c>
      <c r="BC2639" s="93">
        <f t="shared" si="647"/>
        <v>0</v>
      </c>
      <c r="BD2639" s="93">
        <f t="shared" si="648"/>
        <v>0</v>
      </c>
      <c r="BE2639" s="93">
        <v>0</v>
      </c>
      <c r="BF2639" s="93">
        <f t="shared" si="649"/>
        <v>0</v>
      </c>
      <c r="BH2639" s="93">
        <f t="shared" si="650"/>
        <v>0</v>
      </c>
      <c r="BI2639" s="93">
        <f t="shared" si="651"/>
        <v>0</v>
      </c>
      <c r="BJ2639" s="93">
        <f t="shared" si="652"/>
        <v>0</v>
      </c>
      <c r="BK2639" s="93"/>
      <c r="BL2639" s="93"/>
      <c r="BW2639" s="93" t="str">
        <f t="shared" si="653"/>
        <v>21</v>
      </c>
      <c r="BX2639" s="2" t="s">
        <v>3858</v>
      </c>
    </row>
    <row r="2640" spans="1:76" s="81" customFormat="1" ht="25.5" x14ac:dyDescent="0.25">
      <c r="A2640" s="72" t="s">
        <v>3859</v>
      </c>
      <c r="B2640" s="72" t="s">
        <v>55</v>
      </c>
      <c r="C2640" s="72" t="s">
        <v>3860</v>
      </c>
      <c r="D2640" s="175" t="s">
        <v>3861</v>
      </c>
      <c r="E2640" s="175"/>
      <c r="F2640" s="72" t="s">
        <v>3605</v>
      </c>
      <c r="G2640" s="90">
        <v>6</v>
      </c>
      <c r="H2640" s="91"/>
      <c r="I2640" s="92" t="s">
        <v>63</v>
      </c>
      <c r="J2640" s="90">
        <f t="shared" si="626"/>
        <v>0</v>
      </c>
      <c r="K2640" s="90">
        <f t="shared" si="627"/>
        <v>0</v>
      </c>
      <c r="L2640" s="90">
        <f t="shared" si="628"/>
        <v>0</v>
      </c>
      <c r="M2640" s="90">
        <f t="shared" si="629"/>
        <v>0</v>
      </c>
      <c r="N2640" s="90">
        <v>0</v>
      </c>
      <c r="O2640" s="90">
        <f t="shared" si="630"/>
        <v>0</v>
      </c>
      <c r="P2640" s="92" t="s">
        <v>1652</v>
      </c>
      <c r="Z2640" s="93">
        <f t="shared" si="631"/>
        <v>0</v>
      </c>
      <c r="AB2640" s="93">
        <f t="shared" si="632"/>
        <v>0</v>
      </c>
      <c r="AC2640" s="93">
        <f t="shared" si="633"/>
        <v>0</v>
      </c>
      <c r="AD2640" s="93">
        <f t="shared" si="634"/>
        <v>0</v>
      </c>
      <c r="AE2640" s="93">
        <f t="shared" si="635"/>
        <v>0</v>
      </c>
      <c r="AF2640" s="93">
        <f t="shared" si="636"/>
        <v>0</v>
      </c>
      <c r="AG2640" s="93">
        <f t="shared" si="637"/>
        <v>0</v>
      </c>
      <c r="AH2640" s="93">
        <f t="shared" si="638"/>
        <v>0</v>
      </c>
      <c r="AI2640" s="88" t="s">
        <v>55</v>
      </c>
      <c r="AJ2640" s="93">
        <f t="shared" si="639"/>
        <v>0</v>
      </c>
      <c r="AK2640" s="93">
        <f t="shared" si="640"/>
        <v>0</v>
      </c>
      <c r="AL2640" s="93">
        <f t="shared" si="641"/>
        <v>0</v>
      </c>
      <c r="AN2640" s="93">
        <v>21</v>
      </c>
      <c r="AO2640" s="93">
        <f t="shared" si="642"/>
        <v>0</v>
      </c>
      <c r="AP2640" s="93">
        <f t="shared" si="643"/>
        <v>0</v>
      </c>
      <c r="AQ2640" s="94" t="s">
        <v>118</v>
      </c>
      <c r="AV2640" s="93">
        <f t="shared" si="644"/>
        <v>0</v>
      </c>
      <c r="AW2640" s="93">
        <f t="shared" si="645"/>
        <v>0</v>
      </c>
      <c r="AX2640" s="93">
        <f t="shared" si="646"/>
        <v>0</v>
      </c>
      <c r="AY2640" s="94" t="s">
        <v>3503</v>
      </c>
      <c r="AZ2640" s="94" t="s">
        <v>3504</v>
      </c>
      <c r="BA2640" s="88" t="s">
        <v>67</v>
      </c>
      <c r="BC2640" s="93">
        <f t="shared" si="647"/>
        <v>0</v>
      </c>
      <c r="BD2640" s="93">
        <f t="shared" si="648"/>
        <v>0</v>
      </c>
      <c r="BE2640" s="93">
        <v>0</v>
      </c>
      <c r="BF2640" s="93">
        <f t="shared" si="649"/>
        <v>0</v>
      </c>
      <c r="BH2640" s="93">
        <f t="shared" si="650"/>
        <v>0</v>
      </c>
      <c r="BI2640" s="93">
        <f t="shared" si="651"/>
        <v>0</v>
      </c>
      <c r="BJ2640" s="93">
        <f t="shared" si="652"/>
        <v>0</v>
      </c>
      <c r="BK2640" s="93"/>
      <c r="BL2640" s="93"/>
      <c r="BW2640" s="93" t="str">
        <f t="shared" si="653"/>
        <v>21</v>
      </c>
      <c r="BX2640" s="2" t="s">
        <v>3861</v>
      </c>
    </row>
    <row r="2641" spans="1:76" s="81" customFormat="1" ht="25.5" x14ac:dyDescent="0.25">
      <c r="A2641" s="72" t="s">
        <v>3862</v>
      </c>
      <c r="B2641" s="72" t="s">
        <v>55</v>
      </c>
      <c r="C2641" s="72" t="s">
        <v>3863</v>
      </c>
      <c r="D2641" s="175" t="s">
        <v>3864</v>
      </c>
      <c r="E2641" s="175"/>
      <c r="F2641" s="72" t="s">
        <v>3605</v>
      </c>
      <c r="G2641" s="90">
        <v>12</v>
      </c>
      <c r="H2641" s="91"/>
      <c r="I2641" s="92" t="s">
        <v>63</v>
      </c>
      <c r="J2641" s="90">
        <f t="shared" si="626"/>
        <v>0</v>
      </c>
      <c r="K2641" s="90">
        <f t="shared" si="627"/>
        <v>0</v>
      </c>
      <c r="L2641" s="90">
        <f t="shared" si="628"/>
        <v>0</v>
      </c>
      <c r="M2641" s="90">
        <f t="shared" si="629"/>
        <v>0</v>
      </c>
      <c r="N2641" s="90">
        <v>0</v>
      </c>
      <c r="O2641" s="90">
        <f t="shared" si="630"/>
        <v>0</v>
      </c>
      <c r="P2641" s="92" t="s">
        <v>1652</v>
      </c>
      <c r="Z2641" s="93">
        <f t="shared" si="631"/>
        <v>0</v>
      </c>
      <c r="AB2641" s="93">
        <f t="shared" si="632"/>
        <v>0</v>
      </c>
      <c r="AC2641" s="93">
        <f t="shared" si="633"/>
        <v>0</v>
      </c>
      <c r="AD2641" s="93">
        <f t="shared" si="634"/>
        <v>0</v>
      </c>
      <c r="AE2641" s="93">
        <f t="shared" si="635"/>
        <v>0</v>
      </c>
      <c r="AF2641" s="93">
        <f t="shared" si="636"/>
        <v>0</v>
      </c>
      <c r="AG2641" s="93">
        <f t="shared" si="637"/>
        <v>0</v>
      </c>
      <c r="AH2641" s="93">
        <f t="shared" si="638"/>
        <v>0</v>
      </c>
      <c r="AI2641" s="88" t="s">
        <v>55</v>
      </c>
      <c r="AJ2641" s="93">
        <f t="shared" si="639"/>
        <v>0</v>
      </c>
      <c r="AK2641" s="93">
        <f t="shared" si="640"/>
        <v>0</v>
      </c>
      <c r="AL2641" s="93">
        <f t="shared" si="641"/>
        <v>0</v>
      </c>
      <c r="AN2641" s="93">
        <v>21</v>
      </c>
      <c r="AO2641" s="93">
        <f t="shared" si="642"/>
        <v>0</v>
      </c>
      <c r="AP2641" s="93">
        <f t="shared" si="643"/>
        <v>0</v>
      </c>
      <c r="AQ2641" s="94" t="s">
        <v>118</v>
      </c>
      <c r="AV2641" s="93">
        <f t="shared" si="644"/>
        <v>0</v>
      </c>
      <c r="AW2641" s="93">
        <f t="shared" si="645"/>
        <v>0</v>
      </c>
      <c r="AX2641" s="93">
        <f t="shared" si="646"/>
        <v>0</v>
      </c>
      <c r="AY2641" s="94" t="s">
        <v>3503</v>
      </c>
      <c r="AZ2641" s="94" t="s">
        <v>3504</v>
      </c>
      <c r="BA2641" s="88" t="s">
        <v>67</v>
      </c>
      <c r="BC2641" s="93">
        <f t="shared" si="647"/>
        <v>0</v>
      </c>
      <c r="BD2641" s="93">
        <f t="shared" si="648"/>
        <v>0</v>
      </c>
      <c r="BE2641" s="93">
        <v>0</v>
      </c>
      <c r="BF2641" s="93">
        <f t="shared" si="649"/>
        <v>0</v>
      </c>
      <c r="BH2641" s="93">
        <f t="shared" si="650"/>
        <v>0</v>
      </c>
      <c r="BI2641" s="93">
        <f t="shared" si="651"/>
        <v>0</v>
      </c>
      <c r="BJ2641" s="93">
        <f t="shared" si="652"/>
        <v>0</v>
      </c>
      <c r="BK2641" s="93"/>
      <c r="BL2641" s="93"/>
      <c r="BW2641" s="93" t="str">
        <f t="shared" si="653"/>
        <v>21</v>
      </c>
      <c r="BX2641" s="2" t="s">
        <v>3864</v>
      </c>
    </row>
    <row r="2642" spans="1:76" s="81" customFormat="1" ht="25.5" x14ac:dyDescent="0.25">
      <c r="A2642" s="72" t="s">
        <v>3865</v>
      </c>
      <c r="B2642" s="72" t="s">
        <v>55</v>
      </c>
      <c r="C2642" s="72" t="s">
        <v>3866</v>
      </c>
      <c r="D2642" s="175" t="s">
        <v>3867</v>
      </c>
      <c r="E2642" s="175"/>
      <c r="F2642" s="72" t="s">
        <v>3523</v>
      </c>
      <c r="G2642" s="90">
        <v>1</v>
      </c>
      <c r="H2642" s="91"/>
      <c r="I2642" s="92" t="s">
        <v>63</v>
      </c>
      <c r="J2642" s="90">
        <f t="shared" si="626"/>
        <v>0</v>
      </c>
      <c r="K2642" s="90">
        <f t="shared" si="627"/>
        <v>0</v>
      </c>
      <c r="L2642" s="90">
        <f t="shared" si="628"/>
        <v>0</v>
      </c>
      <c r="M2642" s="90">
        <f t="shared" si="629"/>
        <v>0</v>
      </c>
      <c r="N2642" s="90">
        <v>0</v>
      </c>
      <c r="O2642" s="90">
        <f t="shared" si="630"/>
        <v>0</v>
      </c>
      <c r="P2642" s="92" t="s">
        <v>1652</v>
      </c>
      <c r="Z2642" s="93">
        <f t="shared" si="631"/>
        <v>0</v>
      </c>
      <c r="AB2642" s="93">
        <f t="shared" si="632"/>
        <v>0</v>
      </c>
      <c r="AC2642" s="93">
        <f t="shared" si="633"/>
        <v>0</v>
      </c>
      <c r="AD2642" s="93">
        <f t="shared" si="634"/>
        <v>0</v>
      </c>
      <c r="AE2642" s="93">
        <f t="shared" si="635"/>
        <v>0</v>
      </c>
      <c r="AF2642" s="93">
        <f t="shared" si="636"/>
        <v>0</v>
      </c>
      <c r="AG2642" s="93">
        <f t="shared" si="637"/>
        <v>0</v>
      </c>
      <c r="AH2642" s="93">
        <f t="shared" si="638"/>
        <v>0</v>
      </c>
      <c r="AI2642" s="88" t="s">
        <v>55</v>
      </c>
      <c r="AJ2642" s="93">
        <f t="shared" si="639"/>
        <v>0</v>
      </c>
      <c r="AK2642" s="93">
        <f t="shared" si="640"/>
        <v>0</v>
      </c>
      <c r="AL2642" s="93">
        <f t="shared" si="641"/>
        <v>0</v>
      </c>
      <c r="AN2642" s="93">
        <v>21</v>
      </c>
      <c r="AO2642" s="93">
        <f t="shared" si="642"/>
        <v>0</v>
      </c>
      <c r="AP2642" s="93">
        <f t="shared" si="643"/>
        <v>0</v>
      </c>
      <c r="AQ2642" s="94" t="s">
        <v>118</v>
      </c>
      <c r="AV2642" s="93">
        <f t="shared" si="644"/>
        <v>0</v>
      </c>
      <c r="AW2642" s="93">
        <f t="shared" si="645"/>
        <v>0</v>
      </c>
      <c r="AX2642" s="93">
        <f t="shared" si="646"/>
        <v>0</v>
      </c>
      <c r="AY2642" s="94" t="s">
        <v>3503</v>
      </c>
      <c r="AZ2642" s="94" t="s">
        <v>3504</v>
      </c>
      <c r="BA2642" s="88" t="s">
        <v>67</v>
      </c>
      <c r="BC2642" s="93">
        <f t="shared" si="647"/>
        <v>0</v>
      </c>
      <c r="BD2642" s="93">
        <f t="shared" si="648"/>
        <v>0</v>
      </c>
      <c r="BE2642" s="93">
        <v>0</v>
      </c>
      <c r="BF2642" s="93">
        <f t="shared" si="649"/>
        <v>0</v>
      </c>
      <c r="BH2642" s="93">
        <f t="shared" si="650"/>
        <v>0</v>
      </c>
      <c r="BI2642" s="93">
        <f t="shared" si="651"/>
        <v>0</v>
      </c>
      <c r="BJ2642" s="93">
        <f t="shared" si="652"/>
        <v>0</v>
      </c>
      <c r="BK2642" s="93"/>
      <c r="BL2642" s="93"/>
      <c r="BW2642" s="93" t="str">
        <f t="shared" si="653"/>
        <v>21</v>
      </c>
      <c r="BX2642" s="2" t="s">
        <v>3867</v>
      </c>
    </row>
    <row r="2643" spans="1:76" s="81" customFormat="1" ht="25.5" x14ac:dyDescent="0.25">
      <c r="A2643" s="72" t="s">
        <v>3868</v>
      </c>
      <c r="B2643" s="72" t="s">
        <v>55</v>
      </c>
      <c r="C2643" s="72" t="s">
        <v>3869</v>
      </c>
      <c r="D2643" s="175" t="s">
        <v>3870</v>
      </c>
      <c r="E2643" s="175"/>
      <c r="F2643" s="72" t="s">
        <v>3523</v>
      </c>
      <c r="G2643" s="90">
        <v>1</v>
      </c>
      <c r="H2643" s="91"/>
      <c r="I2643" s="92" t="s">
        <v>63</v>
      </c>
      <c r="J2643" s="90">
        <f t="shared" si="626"/>
        <v>0</v>
      </c>
      <c r="K2643" s="90">
        <f t="shared" si="627"/>
        <v>0</v>
      </c>
      <c r="L2643" s="90">
        <f t="shared" si="628"/>
        <v>0</v>
      </c>
      <c r="M2643" s="90">
        <f t="shared" si="629"/>
        <v>0</v>
      </c>
      <c r="N2643" s="90">
        <v>0</v>
      </c>
      <c r="O2643" s="90">
        <f t="shared" si="630"/>
        <v>0</v>
      </c>
      <c r="P2643" s="92" t="s">
        <v>1652</v>
      </c>
      <c r="Z2643" s="93">
        <f t="shared" si="631"/>
        <v>0</v>
      </c>
      <c r="AB2643" s="93">
        <f t="shared" si="632"/>
        <v>0</v>
      </c>
      <c r="AC2643" s="93">
        <f t="shared" si="633"/>
        <v>0</v>
      </c>
      <c r="AD2643" s="93">
        <f t="shared" si="634"/>
        <v>0</v>
      </c>
      <c r="AE2643" s="93">
        <f t="shared" si="635"/>
        <v>0</v>
      </c>
      <c r="AF2643" s="93">
        <f t="shared" si="636"/>
        <v>0</v>
      </c>
      <c r="AG2643" s="93">
        <f t="shared" si="637"/>
        <v>0</v>
      </c>
      <c r="AH2643" s="93">
        <f t="shared" si="638"/>
        <v>0</v>
      </c>
      <c r="AI2643" s="88" t="s">
        <v>55</v>
      </c>
      <c r="AJ2643" s="93">
        <f t="shared" si="639"/>
        <v>0</v>
      </c>
      <c r="AK2643" s="93">
        <f t="shared" si="640"/>
        <v>0</v>
      </c>
      <c r="AL2643" s="93">
        <f t="shared" si="641"/>
        <v>0</v>
      </c>
      <c r="AN2643" s="93">
        <v>21</v>
      </c>
      <c r="AO2643" s="93">
        <f t="shared" si="642"/>
        <v>0</v>
      </c>
      <c r="AP2643" s="93">
        <f t="shared" si="643"/>
        <v>0</v>
      </c>
      <c r="AQ2643" s="94" t="s">
        <v>118</v>
      </c>
      <c r="AV2643" s="93">
        <f t="shared" si="644"/>
        <v>0</v>
      </c>
      <c r="AW2643" s="93">
        <f t="shared" si="645"/>
        <v>0</v>
      </c>
      <c r="AX2643" s="93">
        <f t="shared" si="646"/>
        <v>0</v>
      </c>
      <c r="AY2643" s="94" t="s">
        <v>3503</v>
      </c>
      <c r="AZ2643" s="94" t="s">
        <v>3504</v>
      </c>
      <c r="BA2643" s="88" t="s">
        <v>67</v>
      </c>
      <c r="BC2643" s="93">
        <f t="shared" si="647"/>
        <v>0</v>
      </c>
      <c r="BD2643" s="93">
        <f t="shared" si="648"/>
        <v>0</v>
      </c>
      <c r="BE2643" s="93">
        <v>0</v>
      </c>
      <c r="BF2643" s="93">
        <f t="shared" si="649"/>
        <v>0</v>
      </c>
      <c r="BH2643" s="93">
        <f t="shared" si="650"/>
        <v>0</v>
      </c>
      <c r="BI2643" s="93">
        <f t="shared" si="651"/>
        <v>0</v>
      </c>
      <c r="BJ2643" s="93">
        <f t="shared" si="652"/>
        <v>0</v>
      </c>
      <c r="BK2643" s="93"/>
      <c r="BL2643" s="93"/>
      <c r="BW2643" s="93" t="str">
        <f t="shared" si="653"/>
        <v>21</v>
      </c>
      <c r="BX2643" s="2" t="s">
        <v>3870</v>
      </c>
    </row>
    <row r="2644" spans="1:76" s="81" customFormat="1" ht="25.5" x14ac:dyDescent="0.25">
      <c r="A2644" s="72" t="s">
        <v>3871</v>
      </c>
      <c r="B2644" s="72" t="s">
        <v>55</v>
      </c>
      <c r="C2644" s="72" t="s">
        <v>3872</v>
      </c>
      <c r="D2644" s="175" t="s">
        <v>3873</v>
      </c>
      <c r="E2644" s="175"/>
      <c r="F2644" s="72" t="s">
        <v>3523</v>
      </c>
      <c r="G2644" s="90">
        <v>1</v>
      </c>
      <c r="H2644" s="91"/>
      <c r="I2644" s="92" t="s">
        <v>63</v>
      </c>
      <c r="J2644" s="90">
        <f t="shared" si="626"/>
        <v>0</v>
      </c>
      <c r="K2644" s="90">
        <f t="shared" si="627"/>
        <v>0</v>
      </c>
      <c r="L2644" s="90">
        <f t="shared" si="628"/>
        <v>0</v>
      </c>
      <c r="M2644" s="90">
        <f t="shared" si="629"/>
        <v>0</v>
      </c>
      <c r="N2644" s="90">
        <v>0</v>
      </c>
      <c r="O2644" s="90">
        <f t="shared" si="630"/>
        <v>0</v>
      </c>
      <c r="P2644" s="92" t="s">
        <v>1652</v>
      </c>
      <c r="Z2644" s="93">
        <f t="shared" si="631"/>
        <v>0</v>
      </c>
      <c r="AB2644" s="93">
        <f t="shared" si="632"/>
        <v>0</v>
      </c>
      <c r="AC2644" s="93">
        <f t="shared" si="633"/>
        <v>0</v>
      </c>
      <c r="AD2644" s="93">
        <f t="shared" si="634"/>
        <v>0</v>
      </c>
      <c r="AE2644" s="93">
        <f t="shared" si="635"/>
        <v>0</v>
      </c>
      <c r="AF2644" s="93">
        <f t="shared" si="636"/>
        <v>0</v>
      </c>
      <c r="AG2644" s="93">
        <f t="shared" si="637"/>
        <v>0</v>
      </c>
      <c r="AH2644" s="93">
        <f t="shared" si="638"/>
        <v>0</v>
      </c>
      <c r="AI2644" s="88" t="s">
        <v>55</v>
      </c>
      <c r="AJ2644" s="93">
        <f t="shared" si="639"/>
        <v>0</v>
      </c>
      <c r="AK2644" s="93">
        <f t="shared" si="640"/>
        <v>0</v>
      </c>
      <c r="AL2644" s="93">
        <f t="shared" si="641"/>
        <v>0</v>
      </c>
      <c r="AN2644" s="93">
        <v>21</v>
      </c>
      <c r="AO2644" s="93">
        <f t="shared" si="642"/>
        <v>0</v>
      </c>
      <c r="AP2644" s="93">
        <f t="shared" si="643"/>
        <v>0</v>
      </c>
      <c r="AQ2644" s="94" t="s">
        <v>118</v>
      </c>
      <c r="AV2644" s="93">
        <f t="shared" si="644"/>
        <v>0</v>
      </c>
      <c r="AW2644" s="93">
        <f t="shared" si="645"/>
        <v>0</v>
      </c>
      <c r="AX2644" s="93">
        <f t="shared" si="646"/>
        <v>0</v>
      </c>
      <c r="AY2644" s="94" t="s">
        <v>3503</v>
      </c>
      <c r="AZ2644" s="94" t="s">
        <v>3504</v>
      </c>
      <c r="BA2644" s="88" t="s">
        <v>67</v>
      </c>
      <c r="BC2644" s="93">
        <f t="shared" si="647"/>
        <v>0</v>
      </c>
      <c r="BD2644" s="93">
        <f t="shared" si="648"/>
        <v>0</v>
      </c>
      <c r="BE2644" s="93">
        <v>0</v>
      </c>
      <c r="BF2644" s="93">
        <f t="shared" si="649"/>
        <v>0</v>
      </c>
      <c r="BH2644" s="93">
        <f t="shared" si="650"/>
        <v>0</v>
      </c>
      <c r="BI2644" s="93">
        <f t="shared" si="651"/>
        <v>0</v>
      </c>
      <c r="BJ2644" s="93">
        <f t="shared" si="652"/>
        <v>0</v>
      </c>
      <c r="BK2644" s="93"/>
      <c r="BL2644" s="93"/>
      <c r="BW2644" s="93" t="str">
        <f t="shared" si="653"/>
        <v>21</v>
      </c>
      <c r="BX2644" s="2" t="s">
        <v>3873</v>
      </c>
    </row>
    <row r="2645" spans="1:76" s="81" customFormat="1" ht="25.5" x14ac:dyDescent="0.25">
      <c r="A2645" s="72" t="s">
        <v>3874</v>
      </c>
      <c r="B2645" s="72" t="s">
        <v>55</v>
      </c>
      <c r="C2645" s="72" t="s">
        <v>3875</v>
      </c>
      <c r="D2645" s="175" t="s">
        <v>3876</v>
      </c>
      <c r="E2645" s="175"/>
      <c r="F2645" s="72" t="s">
        <v>3523</v>
      </c>
      <c r="G2645" s="90">
        <v>1</v>
      </c>
      <c r="H2645" s="91"/>
      <c r="I2645" s="92" t="s">
        <v>63</v>
      </c>
      <c r="J2645" s="90">
        <f t="shared" si="626"/>
        <v>0</v>
      </c>
      <c r="K2645" s="90">
        <f t="shared" si="627"/>
        <v>0</v>
      </c>
      <c r="L2645" s="90">
        <f t="shared" si="628"/>
        <v>0</v>
      </c>
      <c r="M2645" s="90">
        <f t="shared" si="629"/>
        <v>0</v>
      </c>
      <c r="N2645" s="90">
        <v>0</v>
      </c>
      <c r="O2645" s="90">
        <f t="shared" si="630"/>
        <v>0</v>
      </c>
      <c r="P2645" s="92" t="s">
        <v>1652</v>
      </c>
      <c r="Z2645" s="93">
        <f t="shared" si="631"/>
        <v>0</v>
      </c>
      <c r="AB2645" s="93">
        <f t="shared" si="632"/>
        <v>0</v>
      </c>
      <c r="AC2645" s="93">
        <f t="shared" si="633"/>
        <v>0</v>
      </c>
      <c r="AD2645" s="93">
        <f t="shared" si="634"/>
        <v>0</v>
      </c>
      <c r="AE2645" s="93">
        <f t="shared" si="635"/>
        <v>0</v>
      </c>
      <c r="AF2645" s="93">
        <f t="shared" si="636"/>
        <v>0</v>
      </c>
      <c r="AG2645" s="93">
        <f t="shared" si="637"/>
        <v>0</v>
      </c>
      <c r="AH2645" s="93">
        <f t="shared" si="638"/>
        <v>0</v>
      </c>
      <c r="AI2645" s="88" t="s">
        <v>55</v>
      </c>
      <c r="AJ2645" s="93">
        <f t="shared" si="639"/>
        <v>0</v>
      </c>
      <c r="AK2645" s="93">
        <f t="shared" si="640"/>
        <v>0</v>
      </c>
      <c r="AL2645" s="93">
        <f t="shared" si="641"/>
        <v>0</v>
      </c>
      <c r="AN2645" s="93">
        <v>21</v>
      </c>
      <c r="AO2645" s="93">
        <f t="shared" si="642"/>
        <v>0</v>
      </c>
      <c r="AP2645" s="93">
        <f t="shared" si="643"/>
        <v>0</v>
      </c>
      <c r="AQ2645" s="94" t="s">
        <v>118</v>
      </c>
      <c r="AV2645" s="93">
        <f t="shared" si="644"/>
        <v>0</v>
      </c>
      <c r="AW2645" s="93">
        <f t="shared" si="645"/>
        <v>0</v>
      </c>
      <c r="AX2645" s="93">
        <f t="shared" si="646"/>
        <v>0</v>
      </c>
      <c r="AY2645" s="94" t="s">
        <v>3503</v>
      </c>
      <c r="AZ2645" s="94" t="s">
        <v>3504</v>
      </c>
      <c r="BA2645" s="88" t="s">
        <v>67</v>
      </c>
      <c r="BC2645" s="93">
        <f t="shared" si="647"/>
        <v>0</v>
      </c>
      <c r="BD2645" s="93">
        <f t="shared" si="648"/>
        <v>0</v>
      </c>
      <c r="BE2645" s="93">
        <v>0</v>
      </c>
      <c r="BF2645" s="93">
        <f t="shared" si="649"/>
        <v>0</v>
      </c>
      <c r="BH2645" s="93">
        <f t="shared" si="650"/>
        <v>0</v>
      </c>
      <c r="BI2645" s="93">
        <f t="shared" si="651"/>
        <v>0</v>
      </c>
      <c r="BJ2645" s="93">
        <f t="shared" si="652"/>
        <v>0</v>
      </c>
      <c r="BK2645" s="93"/>
      <c r="BL2645" s="93"/>
      <c r="BW2645" s="93" t="str">
        <f t="shared" si="653"/>
        <v>21</v>
      </c>
      <c r="BX2645" s="2" t="s">
        <v>3876</v>
      </c>
    </row>
    <row r="2646" spans="1:76" s="81" customFormat="1" ht="25.5" x14ac:dyDescent="0.25">
      <c r="A2646" s="72" t="s">
        <v>3877</v>
      </c>
      <c r="B2646" s="72" t="s">
        <v>55</v>
      </c>
      <c r="C2646" s="72" t="s">
        <v>3878</v>
      </c>
      <c r="D2646" s="175" t="s">
        <v>3879</v>
      </c>
      <c r="E2646" s="175"/>
      <c r="F2646" s="72" t="s">
        <v>3523</v>
      </c>
      <c r="G2646" s="90">
        <v>1</v>
      </c>
      <c r="H2646" s="91"/>
      <c r="I2646" s="92" t="s">
        <v>63</v>
      </c>
      <c r="J2646" s="90">
        <f t="shared" ref="J2646:J2677" si="654">G2646*AO2646</f>
        <v>0</v>
      </c>
      <c r="K2646" s="90">
        <f t="shared" ref="K2646:K2677" si="655">G2646*AP2646</f>
        <v>0</v>
      </c>
      <c r="L2646" s="90">
        <f t="shared" ref="L2646:L2677" si="656">G2646*H2646</f>
        <v>0</v>
      </c>
      <c r="M2646" s="90">
        <f t="shared" ref="M2646:M2677" si="657">L2646*(1+BW2646/100)</f>
        <v>0</v>
      </c>
      <c r="N2646" s="90">
        <v>0</v>
      </c>
      <c r="O2646" s="90">
        <f t="shared" ref="O2646:O2677" si="658">G2646*N2646</f>
        <v>0</v>
      </c>
      <c r="P2646" s="92" t="s">
        <v>1652</v>
      </c>
      <c r="Z2646" s="93">
        <f t="shared" ref="Z2646:Z2677" si="659">IF(AQ2646="5",BJ2646,0)</f>
        <v>0</v>
      </c>
      <c r="AB2646" s="93">
        <f t="shared" ref="AB2646:AB2677" si="660">IF(AQ2646="1",BH2646,0)</f>
        <v>0</v>
      </c>
      <c r="AC2646" s="93">
        <f t="shared" ref="AC2646:AC2677" si="661">IF(AQ2646="1",BI2646,0)</f>
        <v>0</v>
      </c>
      <c r="AD2646" s="93">
        <f t="shared" ref="AD2646:AD2677" si="662">IF(AQ2646="7",BH2646,0)</f>
        <v>0</v>
      </c>
      <c r="AE2646" s="93">
        <f t="shared" ref="AE2646:AE2677" si="663">IF(AQ2646="7",BI2646,0)</f>
        <v>0</v>
      </c>
      <c r="AF2646" s="93">
        <f t="shared" ref="AF2646:AF2677" si="664">IF(AQ2646="2",BH2646,0)</f>
        <v>0</v>
      </c>
      <c r="AG2646" s="93">
        <f t="shared" ref="AG2646:AG2677" si="665">IF(AQ2646="2",BI2646,0)</f>
        <v>0</v>
      </c>
      <c r="AH2646" s="93">
        <f t="shared" ref="AH2646:AH2677" si="666">IF(AQ2646="0",BJ2646,0)</f>
        <v>0</v>
      </c>
      <c r="AI2646" s="88" t="s">
        <v>55</v>
      </c>
      <c r="AJ2646" s="93">
        <f t="shared" ref="AJ2646:AJ2677" si="667">IF(AN2646=0,L2646,0)</f>
        <v>0</v>
      </c>
      <c r="AK2646" s="93">
        <f t="shared" ref="AK2646:AK2677" si="668">IF(AN2646=12,L2646,0)</f>
        <v>0</v>
      </c>
      <c r="AL2646" s="93">
        <f t="shared" ref="AL2646:AL2677" si="669">IF(AN2646=21,L2646,0)</f>
        <v>0</v>
      </c>
      <c r="AN2646" s="93">
        <v>21</v>
      </c>
      <c r="AO2646" s="93">
        <f t="shared" ref="AO2646:AO2677" si="670">H2646*0</f>
        <v>0</v>
      </c>
      <c r="AP2646" s="93">
        <f t="shared" ref="AP2646:AP2677" si="671">H2646*(1-0)</f>
        <v>0</v>
      </c>
      <c r="AQ2646" s="94" t="s">
        <v>118</v>
      </c>
      <c r="AV2646" s="93">
        <f t="shared" ref="AV2646:AV2677" si="672">AW2646+AX2646</f>
        <v>0</v>
      </c>
      <c r="AW2646" s="93">
        <f t="shared" ref="AW2646:AW2677" si="673">G2646*AO2646</f>
        <v>0</v>
      </c>
      <c r="AX2646" s="93">
        <f t="shared" ref="AX2646:AX2677" si="674">G2646*AP2646</f>
        <v>0</v>
      </c>
      <c r="AY2646" s="94" t="s">
        <v>3503</v>
      </c>
      <c r="AZ2646" s="94" t="s">
        <v>3504</v>
      </c>
      <c r="BA2646" s="88" t="s">
        <v>67</v>
      </c>
      <c r="BC2646" s="93">
        <f t="shared" ref="BC2646:BC2677" si="675">AW2646+AX2646</f>
        <v>0</v>
      </c>
      <c r="BD2646" s="93">
        <f t="shared" ref="BD2646:BD2677" si="676">H2646/(100-BE2646)*100</f>
        <v>0</v>
      </c>
      <c r="BE2646" s="93">
        <v>0</v>
      </c>
      <c r="BF2646" s="93">
        <f t="shared" ref="BF2646:BF2677" si="677">O2646</f>
        <v>0</v>
      </c>
      <c r="BH2646" s="93">
        <f t="shared" ref="BH2646:BH2677" si="678">G2646*AO2646</f>
        <v>0</v>
      </c>
      <c r="BI2646" s="93">
        <f t="shared" ref="BI2646:BI2677" si="679">G2646*AP2646</f>
        <v>0</v>
      </c>
      <c r="BJ2646" s="93">
        <f t="shared" ref="BJ2646:BJ2677" si="680">G2646*H2646</f>
        <v>0</v>
      </c>
      <c r="BK2646" s="93"/>
      <c r="BL2646" s="93"/>
      <c r="BW2646" s="93" t="str">
        <f t="shared" ref="BW2646:BW2677" si="681">I2646</f>
        <v>21</v>
      </c>
      <c r="BX2646" s="2" t="s">
        <v>3879</v>
      </c>
    </row>
    <row r="2647" spans="1:76" s="81" customFormat="1" ht="25.5" x14ac:dyDescent="0.25">
      <c r="A2647" s="72" t="s">
        <v>3880</v>
      </c>
      <c r="B2647" s="72" t="s">
        <v>55</v>
      </c>
      <c r="C2647" s="72" t="s">
        <v>3881</v>
      </c>
      <c r="D2647" s="175" t="s">
        <v>3882</v>
      </c>
      <c r="E2647" s="175"/>
      <c r="F2647" s="72" t="s">
        <v>3523</v>
      </c>
      <c r="G2647" s="90">
        <v>1</v>
      </c>
      <c r="H2647" s="91"/>
      <c r="I2647" s="92" t="s">
        <v>63</v>
      </c>
      <c r="J2647" s="90">
        <f t="shared" si="654"/>
        <v>0</v>
      </c>
      <c r="K2647" s="90">
        <f t="shared" si="655"/>
        <v>0</v>
      </c>
      <c r="L2647" s="90">
        <f t="shared" si="656"/>
        <v>0</v>
      </c>
      <c r="M2647" s="90">
        <f t="shared" si="657"/>
        <v>0</v>
      </c>
      <c r="N2647" s="90">
        <v>0</v>
      </c>
      <c r="O2647" s="90">
        <f t="shared" si="658"/>
        <v>0</v>
      </c>
      <c r="P2647" s="92" t="s">
        <v>1652</v>
      </c>
      <c r="Z2647" s="93">
        <f t="shared" si="659"/>
        <v>0</v>
      </c>
      <c r="AB2647" s="93">
        <f t="shared" si="660"/>
        <v>0</v>
      </c>
      <c r="AC2647" s="93">
        <f t="shared" si="661"/>
        <v>0</v>
      </c>
      <c r="AD2647" s="93">
        <f t="shared" si="662"/>
        <v>0</v>
      </c>
      <c r="AE2647" s="93">
        <f t="shared" si="663"/>
        <v>0</v>
      </c>
      <c r="AF2647" s="93">
        <f t="shared" si="664"/>
        <v>0</v>
      </c>
      <c r="AG2647" s="93">
        <f t="shared" si="665"/>
        <v>0</v>
      </c>
      <c r="AH2647" s="93">
        <f t="shared" si="666"/>
        <v>0</v>
      </c>
      <c r="AI2647" s="88" t="s">
        <v>55</v>
      </c>
      <c r="AJ2647" s="93">
        <f t="shared" si="667"/>
        <v>0</v>
      </c>
      <c r="AK2647" s="93">
        <f t="shared" si="668"/>
        <v>0</v>
      </c>
      <c r="AL2647" s="93">
        <f t="shared" si="669"/>
        <v>0</v>
      </c>
      <c r="AN2647" s="93">
        <v>21</v>
      </c>
      <c r="AO2647" s="93">
        <f t="shared" si="670"/>
        <v>0</v>
      </c>
      <c r="AP2647" s="93">
        <f t="shared" si="671"/>
        <v>0</v>
      </c>
      <c r="AQ2647" s="94" t="s">
        <v>118</v>
      </c>
      <c r="AV2647" s="93">
        <f t="shared" si="672"/>
        <v>0</v>
      </c>
      <c r="AW2647" s="93">
        <f t="shared" si="673"/>
        <v>0</v>
      </c>
      <c r="AX2647" s="93">
        <f t="shared" si="674"/>
        <v>0</v>
      </c>
      <c r="AY2647" s="94" t="s">
        <v>3503</v>
      </c>
      <c r="AZ2647" s="94" t="s">
        <v>3504</v>
      </c>
      <c r="BA2647" s="88" t="s">
        <v>67</v>
      </c>
      <c r="BC2647" s="93">
        <f t="shared" si="675"/>
        <v>0</v>
      </c>
      <c r="BD2647" s="93">
        <f t="shared" si="676"/>
        <v>0</v>
      </c>
      <c r="BE2647" s="93">
        <v>0</v>
      </c>
      <c r="BF2647" s="93">
        <f t="shared" si="677"/>
        <v>0</v>
      </c>
      <c r="BH2647" s="93">
        <f t="shared" si="678"/>
        <v>0</v>
      </c>
      <c r="BI2647" s="93">
        <f t="shared" si="679"/>
        <v>0</v>
      </c>
      <c r="BJ2647" s="93">
        <f t="shared" si="680"/>
        <v>0</v>
      </c>
      <c r="BK2647" s="93"/>
      <c r="BL2647" s="93"/>
      <c r="BW2647" s="93" t="str">
        <f t="shared" si="681"/>
        <v>21</v>
      </c>
      <c r="BX2647" s="2" t="s">
        <v>3882</v>
      </c>
    </row>
    <row r="2648" spans="1:76" s="81" customFormat="1" ht="25.5" x14ac:dyDescent="0.25">
      <c r="A2648" s="72" t="s">
        <v>3883</v>
      </c>
      <c r="B2648" s="72" t="s">
        <v>55</v>
      </c>
      <c r="C2648" s="72" t="s">
        <v>3884</v>
      </c>
      <c r="D2648" s="175" t="s">
        <v>3885</v>
      </c>
      <c r="E2648" s="175"/>
      <c r="F2648" s="72" t="s">
        <v>3523</v>
      </c>
      <c r="G2648" s="90">
        <v>1</v>
      </c>
      <c r="H2648" s="91"/>
      <c r="I2648" s="92" t="s">
        <v>63</v>
      </c>
      <c r="J2648" s="90">
        <f t="shared" si="654"/>
        <v>0</v>
      </c>
      <c r="K2648" s="90">
        <f t="shared" si="655"/>
        <v>0</v>
      </c>
      <c r="L2648" s="90">
        <f t="shared" si="656"/>
        <v>0</v>
      </c>
      <c r="M2648" s="90">
        <f t="shared" si="657"/>
        <v>0</v>
      </c>
      <c r="N2648" s="90">
        <v>0</v>
      </c>
      <c r="O2648" s="90">
        <f t="shared" si="658"/>
        <v>0</v>
      </c>
      <c r="P2648" s="92" t="s">
        <v>1652</v>
      </c>
      <c r="Z2648" s="93">
        <f t="shared" si="659"/>
        <v>0</v>
      </c>
      <c r="AB2648" s="93">
        <f t="shared" si="660"/>
        <v>0</v>
      </c>
      <c r="AC2648" s="93">
        <f t="shared" si="661"/>
        <v>0</v>
      </c>
      <c r="AD2648" s="93">
        <f t="shared" si="662"/>
        <v>0</v>
      </c>
      <c r="AE2648" s="93">
        <f t="shared" si="663"/>
        <v>0</v>
      </c>
      <c r="AF2648" s="93">
        <f t="shared" si="664"/>
        <v>0</v>
      </c>
      <c r="AG2648" s="93">
        <f t="shared" si="665"/>
        <v>0</v>
      </c>
      <c r="AH2648" s="93">
        <f t="shared" si="666"/>
        <v>0</v>
      </c>
      <c r="AI2648" s="88" t="s">
        <v>55</v>
      </c>
      <c r="AJ2648" s="93">
        <f t="shared" si="667"/>
        <v>0</v>
      </c>
      <c r="AK2648" s="93">
        <f t="shared" si="668"/>
        <v>0</v>
      </c>
      <c r="AL2648" s="93">
        <f t="shared" si="669"/>
        <v>0</v>
      </c>
      <c r="AN2648" s="93">
        <v>21</v>
      </c>
      <c r="AO2648" s="93">
        <f t="shared" si="670"/>
        <v>0</v>
      </c>
      <c r="AP2648" s="93">
        <f t="shared" si="671"/>
        <v>0</v>
      </c>
      <c r="AQ2648" s="94" t="s">
        <v>118</v>
      </c>
      <c r="AV2648" s="93">
        <f t="shared" si="672"/>
        <v>0</v>
      </c>
      <c r="AW2648" s="93">
        <f t="shared" si="673"/>
        <v>0</v>
      </c>
      <c r="AX2648" s="93">
        <f t="shared" si="674"/>
        <v>0</v>
      </c>
      <c r="AY2648" s="94" t="s">
        <v>3503</v>
      </c>
      <c r="AZ2648" s="94" t="s">
        <v>3504</v>
      </c>
      <c r="BA2648" s="88" t="s">
        <v>67</v>
      </c>
      <c r="BC2648" s="93">
        <f t="shared" si="675"/>
        <v>0</v>
      </c>
      <c r="BD2648" s="93">
        <f t="shared" si="676"/>
        <v>0</v>
      </c>
      <c r="BE2648" s="93">
        <v>0</v>
      </c>
      <c r="BF2648" s="93">
        <f t="shared" si="677"/>
        <v>0</v>
      </c>
      <c r="BH2648" s="93">
        <f t="shared" si="678"/>
        <v>0</v>
      </c>
      <c r="BI2648" s="93">
        <f t="shared" si="679"/>
        <v>0</v>
      </c>
      <c r="BJ2648" s="93">
        <f t="shared" si="680"/>
        <v>0</v>
      </c>
      <c r="BK2648" s="93"/>
      <c r="BL2648" s="93"/>
      <c r="BW2648" s="93" t="str">
        <f t="shared" si="681"/>
        <v>21</v>
      </c>
      <c r="BX2648" s="2" t="s">
        <v>3885</v>
      </c>
    </row>
    <row r="2649" spans="1:76" s="81" customFormat="1" ht="25.5" x14ac:dyDescent="0.25">
      <c r="A2649" s="72" t="s">
        <v>3886</v>
      </c>
      <c r="B2649" s="72" t="s">
        <v>55</v>
      </c>
      <c r="C2649" s="72" t="s">
        <v>3887</v>
      </c>
      <c r="D2649" s="175" t="s">
        <v>3888</v>
      </c>
      <c r="E2649" s="175"/>
      <c r="F2649" s="72" t="s">
        <v>3523</v>
      </c>
      <c r="G2649" s="90">
        <v>1</v>
      </c>
      <c r="H2649" s="91"/>
      <c r="I2649" s="92" t="s">
        <v>63</v>
      </c>
      <c r="J2649" s="90">
        <f t="shared" si="654"/>
        <v>0</v>
      </c>
      <c r="K2649" s="90">
        <f t="shared" si="655"/>
        <v>0</v>
      </c>
      <c r="L2649" s="90">
        <f t="shared" si="656"/>
        <v>0</v>
      </c>
      <c r="M2649" s="90">
        <f t="shared" si="657"/>
        <v>0</v>
      </c>
      <c r="N2649" s="90">
        <v>0</v>
      </c>
      <c r="O2649" s="90">
        <f t="shared" si="658"/>
        <v>0</v>
      </c>
      <c r="P2649" s="92" t="s">
        <v>1652</v>
      </c>
      <c r="Z2649" s="93">
        <f t="shared" si="659"/>
        <v>0</v>
      </c>
      <c r="AB2649" s="93">
        <f t="shared" si="660"/>
        <v>0</v>
      </c>
      <c r="AC2649" s="93">
        <f t="shared" si="661"/>
        <v>0</v>
      </c>
      <c r="AD2649" s="93">
        <f t="shared" si="662"/>
        <v>0</v>
      </c>
      <c r="AE2649" s="93">
        <f t="shared" si="663"/>
        <v>0</v>
      </c>
      <c r="AF2649" s="93">
        <f t="shared" si="664"/>
        <v>0</v>
      </c>
      <c r="AG2649" s="93">
        <f t="shared" si="665"/>
        <v>0</v>
      </c>
      <c r="AH2649" s="93">
        <f t="shared" si="666"/>
        <v>0</v>
      </c>
      <c r="AI2649" s="88" t="s">
        <v>55</v>
      </c>
      <c r="AJ2649" s="93">
        <f t="shared" si="667"/>
        <v>0</v>
      </c>
      <c r="AK2649" s="93">
        <f t="shared" si="668"/>
        <v>0</v>
      </c>
      <c r="AL2649" s="93">
        <f t="shared" si="669"/>
        <v>0</v>
      </c>
      <c r="AN2649" s="93">
        <v>21</v>
      </c>
      <c r="AO2649" s="93">
        <f t="shared" si="670"/>
        <v>0</v>
      </c>
      <c r="AP2649" s="93">
        <f t="shared" si="671"/>
        <v>0</v>
      </c>
      <c r="AQ2649" s="94" t="s">
        <v>118</v>
      </c>
      <c r="AV2649" s="93">
        <f t="shared" si="672"/>
        <v>0</v>
      </c>
      <c r="AW2649" s="93">
        <f t="shared" si="673"/>
        <v>0</v>
      </c>
      <c r="AX2649" s="93">
        <f t="shared" si="674"/>
        <v>0</v>
      </c>
      <c r="AY2649" s="94" t="s">
        <v>3503</v>
      </c>
      <c r="AZ2649" s="94" t="s">
        <v>3504</v>
      </c>
      <c r="BA2649" s="88" t="s">
        <v>67</v>
      </c>
      <c r="BC2649" s="93">
        <f t="shared" si="675"/>
        <v>0</v>
      </c>
      <c r="BD2649" s="93">
        <f t="shared" si="676"/>
        <v>0</v>
      </c>
      <c r="BE2649" s="93">
        <v>0</v>
      </c>
      <c r="BF2649" s="93">
        <f t="shared" si="677"/>
        <v>0</v>
      </c>
      <c r="BH2649" s="93">
        <f t="shared" si="678"/>
        <v>0</v>
      </c>
      <c r="BI2649" s="93">
        <f t="shared" si="679"/>
        <v>0</v>
      </c>
      <c r="BJ2649" s="93">
        <f t="shared" si="680"/>
        <v>0</v>
      </c>
      <c r="BK2649" s="93"/>
      <c r="BL2649" s="93"/>
      <c r="BW2649" s="93" t="str">
        <f t="shared" si="681"/>
        <v>21</v>
      </c>
      <c r="BX2649" s="2" t="s">
        <v>3888</v>
      </c>
    </row>
    <row r="2650" spans="1:76" s="81" customFormat="1" ht="25.5" x14ac:dyDescent="0.25">
      <c r="A2650" s="72" t="s">
        <v>3889</v>
      </c>
      <c r="B2650" s="72" t="s">
        <v>55</v>
      </c>
      <c r="C2650" s="72" t="s">
        <v>3890</v>
      </c>
      <c r="D2650" s="175" t="s">
        <v>4292</v>
      </c>
      <c r="E2650" s="175"/>
      <c r="F2650" s="72" t="s">
        <v>3523</v>
      </c>
      <c r="G2650" s="90">
        <v>1</v>
      </c>
      <c r="H2650" s="91"/>
      <c r="I2650" s="92" t="s">
        <v>63</v>
      </c>
      <c r="J2650" s="90">
        <f t="shared" si="654"/>
        <v>0</v>
      </c>
      <c r="K2650" s="90">
        <f t="shared" si="655"/>
        <v>0</v>
      </c>
      <c r="L2650" s="90">
        <f t="shared" si="656"/>
        <v>0</v>
      </c>
      <c r="M2650" s="90">
        <f t="shared" si="657"/>
        <v>0</v>
      </c>
      <c r="N2650" s="90">
        <v>0</v>
      </c>
      <c r="O2650" s="90">
        <f t="shared" si="658"/>
        <v>0</v>
      </c>
      <c r="P2650" s="92" t="s">
        <v>1652</v>
      </c>
      <c r="Z2650" s="93">
        <f t="shared" si="659"/>
        <v>0</v>
      </c>
      <c r="AB2650" s="93">
        <f t="shared" si="660"/>
        <v>0</v>
      </c>
      <c r="AC2650" s="93">
        <f t="shared" si="661"/>
        <v>0</v>
      </c>
      <c r="AD2650" s="93">
        <f t="shared" si="662"/>
        <v>0</v>
      </c>
      <c r="AE2650" s="93">
        <f t="shared" si="663"/>
        <v>0</v>
      </c>
      <c r="AF2650" s="93">
        <f t="shared" si="664"/>
        <v>0</v>
      </c>
      <c r="AG2650" s="93">
        <f t="shared" si="665"/>
        <v>0</v>
      </c>
      <c r="AH2650" s="93">
        <f t="shared" si="666"/>
        <v>0</v>
      </c>
      <c r="AI2650" s="88" t="s">
        <v>55</v>
      </c>
      <c r="AJ2650" s="93">
        <f t="shared" si="667"/>
        <v>0</v>
      </c>
      <c r="AK2650" s="93">
        <f t="shared" si="668"/>
        <v>0</v>
      </c>
      <c r="AL2650" s="93">
        <f t="shared" si="669"/>
        <v>0</v>
      </c>
      <c r="AN2650" s="93">
        <v>21</v>
      </c>
      <c r="AO2650" s="93">
        <f t="shared" si="670"/>
        <v>0</v>
      </c>
      <c r="AP2650" s="93">
        <f t="shared" si="671"/>
        <v>0</v>
      </c>
      <c r="AQ2650" s="94" t="s">
        <v>118</v>
      </c>
      <c r="AV2650" s="93">
        <f t="shared" si="672"/>
        <v>0</v>
      </c>
      <c r="AW2650" s="93">
        <f t="shared" si="673"/>
        <v>0</v>
      </c>
      <c r="AX2650" s="93">
        <f t="shared" si="674"/>
        <v>0</v>
      </c>
      <c r="AY2650" s="94" t="s">
        <v>3503</v>
      </c>
      <c r="AZ2650" s="94" t="s">
        <v>3504</v>
      </c>
      <c r="BA2650" s="88" t="s">
        <v>67</v>
      </c>
      <c r="BC2650" s="93">
        <f t="shared" si="675"/>
        <v>0</v>
      </c>
      <c r="BD2650" s="93">
        <f t="shared" si="676"/>
        <v>0</v>
      </c>
      <c r="BE2650" s="93">
        <v>0</v>
      </c>
      <c r="BF2650" s="93">
        <f t="shared" si="677"/>
        <v>0</v>
      </c>
      <c r="BH2650" s="93">
        <f t="shared" si="678"/>
        <v>0</v>
      </c>
      <c r="BI2650" s="93">
        <f t="shared" si="679"/>
        <v>0</v>
      </c>
      <c r="BJ2650" s="93">
        <f t="shared" si="680"/>
        <v>0</v>
      </c>
      <c r="BK2650" s="93"/>
      <c r="BL2650" s="93"/>
      <c r="BW2650" s="93" t="str">
        <f t="shared" si="681"/>
        <v>21</v>
      </c>
      <c r="BX2650" s="2" t="s">
        <v>3891</v>
      </c>
    </row>
    <row r="2651" spans="1:76" s="81" customFormat="1" ht="25.5" x14ac:dyDescent="0.25">
      <c r="A2651" s="72" t="s">
        <v>3892</v>
      </c>
      <c r="B2651" s="72" t="s">
        <v>55</v>
      </c>
      <c r="C2651" s="72" t="s">
        <v>3893</v>
      </c>
      <c r="D2651" s="175" t="s">
        <v>3894</v>
      </c>
      <c r="E2651" s="175"/>
      <c r="F2651" s="72" t="s">
        <v>3523</v>
      </c>
      <c r="G2651" s="90">
        <v>1</v>
      </c>
      <c r="H2651" s="91"/>
      <c r="I2651" s="92" t="s">
        <v>63</v>
      </c>
      <c r="J2651" s="90">
        <f t="shared" si="654"/>
        <v>0</v>
      </c>
      <c r="K2651" s="90">
        <f t="shared" si="655"/>
        <v>0</v>
      </c>
      <c r="L2651" s="90">
        <f t="shared" si="656"/>
        <v>0</v>
      </c>
      <c r="M2651" s="90">
        <f t="shared" si="657"/>
        <v>0</v>
      </c>
      <c r="N2651" s="90">
        <v>0</v>
      </c>
      <c r="O2651" s="90">
        <f t="shared" si="658"/>
        <v>0</v>
      </c>
      <c r="P2651" s="92" t="s">
        <v>1652</v>
      </c>
      <c r="Z2651" s="93">
        <f t="shared" si="659"/>
        <v>0</v>
      </c>
      <c r="AB2651" s="93">
        <f t="shared" si="660"/>
        <v>0</v>
      </c>
      <c r="AC2651" s="93">
        <f t="shared" si="661"/>
        <v>0</v>
      </c>
      <c r="AD2651" s="93">
        <f t="shared" si="662"/>
        <v>0</v>
      </c>
      <c r="AE2651" s="93">
        <f t="shared" si="663"/>
        <v>0</v>
      </c>
      <c r="AF2651" s="93">
        <f t="shared" si="664"/>
        <v>0</v>
      </c>
      <c r="AG2651" s="93">
        <f t="shared" si="665"/>
        <v>0</v>
      </c>
      <c r="AH2651" s="93">
        <f t="shared" si="666"/>
        <v>0</v>
      </c>
      <c r="AI2651" s="88" t="s">
        <v>55</v>
      </c>
      <c r="AJ2651" s="93">
        <f t="shared" si="667"/>
        <v>0</v>
      </c>
      <c r="AK2651" s="93">
        <f t="shared" si="668"/>
        <v>0</v>
      </c>
      <c r="AL2651" s="93">
        <f t="shared" si="669"/>
        <v>0</v>
      </c>
      <c r="AN2651" s="93">
        <v>21</v>
      </c>
      <c r="AO2651" s="93">
        <f t="shared" si="670"/>
        <v>0</v>
      </c>
      <c r="AP2651" s="93">
        <f t="shared" si="671"/>
        <v>0</v>
      </c>
      <c r="AQ2651" s="94" t="s">
        <v>118</v>
      </c>
      <c r="AV2651" s="93">
        <f t="shared" si="672"/>
        <v>0</v>
      </c>
      <c r="AW2651" s="93">
        <f t="shared" si="673"/>
        <v>0</v>
      </c>
      <c r="AX2651" s="93">
        <f t="shared" si="674"/>
        <v>0</v>
      </c>
      <c r="AY2651" s="94" t="s">
        <v>3503</v>
      </c>
      <c r="AZ2651" s="94" t="s">
        <v>3504</v>
      </c>
      <c r="BA2651" s="88" t="s">
        <v>67</v>
      </c>
      <c r="BC2651" s="93">
        <f t="shared" si="675"/>
        <v>0</v>
      </c>
      <c r="BD2651" s="93">
        <f t="shared" si="676"/>
        <v>0</v>
      </c>
      <c r="BE2651" s="93">
        <v>0</v>
      </c>
      <c r="BF2651" s="93">
        <f t="shared" si="677"/>
        <v>0</v>
      </c>
      <c r="BH2651" s="93">
        <f t="shared" si="678"/>
        <v>0</v>
      </c>
      <c r="BI2651" s="93">
        <f t="shared" si="679"/>
        <v>0</v>
      </c>
      <c r="BJ2651" s="93">
        <f t="shared" si="680"/>
        <v>0</v>
      </c>
      <c r="BK2651" s="93"/>
      <c r="BL2651" s="93"/>
      <c r="BW2651" s="93" t="str">
        <f t="shared" si="681"/>
        <v>21</v>
      </c>
      <c r="BX2651" s="2" t="s">
        <v>3894</v>
      </c>
    </row>
    <row r="2652" spans="1:76" s="81" customFormat="1" ht="25.5" x14ac:dyDescent="0.25">
      <c r="A2652" s="72" t="s">
        <v>3895</v>
      </c>
      <c r="B2652" s="72" t="s">
        <v>55</v>
      </c>
      <c r="C2652" s="72" t="s">
        <v>3896</v>
      </c>
      <c r="D2652" s="175" t="s">
        <v>3897</v>
      </c>
      <c r="E2652" s="175"/>
      <c r="F2652" s="72" t="s">
        <v>3523</v>
      </c>
      <c r="G2652" s="90">
        <v>7</v>
      </c>
      <c r="H2652" s="91"/>
      <c r="I2652" s="92" t="s">
        <v>63</v>
      </c>
      <c r="J2652" s="90">
        <f t="shared" si="654"/>
        <v>0</v>
      </c>
      <c r="K2652" s="90">
        <f t="shared" si="655"/>
        <v>0</v>
      </c>
      <c r="L2652" s="90">
        <f t="shared" si="656"/>
        <v>0</v>
      </c>
      <c r="M2652" s="90">
        <f t="shared" si="657"/>
        <v>0</v>
      </c>
      <c r="N2652" s="90">
        <v>0</v>
      </c>
      <c r="O2652" s="90">
        <f t="shared" si="658"/>
        <v>0</v>
      </c>
      <c r="P2652" s="92" t="s">
        <v>1652</v>
      </c>
      <c r="Z2652" s="93">
        <f t="shared" si="659"/>
        <v>0</v>
      </c>
      <c r="AB2652" s="93">
        <f t="shared" si="660"/>
        <v>0</v>
      </c>
      <c r="AC2652" s="93">
        <f t="shared" si="661"/>
        <v>0</v>
      </c>
      <c r="AD2652" s="93">
        <f t="shared" si="662"/>
        <v>0</v>
      </c>
      <c r="AE2652" s="93">
        <f t="shared" si="663"/>
        <v>0</v>
      </c>
      <c r="AF2652" s="93">
        <f t="shared" si="664"/>
        <v>0</v>
      </c>
      <c r="AG2652" s="93">
        <f t="shared" si="665"/>
        <v>0</v>
      </c>
      <c r="AH2652" s="93">
        <f t="shared" si="666"/>
        <v>0</v>
      </c>
      <c r="AI2652" s="88" t="s">
        <v>55</v>
      </c>
      <c r="AJ2652" s="93">
        <f t="shared" si="667"/>
        <v>0</v>
      </c>
      <c r="AK2652" s="93">
        <f t="shared" si="668"/>
        <v>0</v>
      </c>
      <c r="AL2652" s="93">
        <f t="shared" si="669"/>
        <v>0</v>
      </c>
      <c r="AN2652" s="93">
        <v>21</v>
      </c>
      <c r="AO2652" s="93">
        <f t="shared" si="670"/>
        <v>0</v>
      </c>
      <c r="AP2652" s="93">
        <f t="shared" si="671"/>
        <v>0</v>
      </c>
      <c r="AQ2652" s="94" t="s">
        <v>118</v>
      </c>
      <c r="AV2652" s="93">
        <f t="shared" si="672"/>
        <v>0</v>
      </c>
      <c r="AW2652" s="93">
        <f t="shared" si="673"/>
        <v>0</v>
      </c>
      <c r="AX2652" s="93">
        <f t="shared" si="674"/>
        <v>0</v>
      </c>
      <c r="AY2652" s="94" t="s">
        <v>3503</v>
      </c>
      <c r="AZ2652" s="94" t="s">
        <v>3504</v>
      </c>
      <c r="BA2652" s="88" t="s">
        <v>67</v>
      </c>
      <c r="BC2652" s="93">
        <f t="shared" si="675"/>
        <v>0</v>
      </c>
      <c r="BD2652" s="93">
        <f t="shared" si="676"/>
        <v>0</v>
      </c>
      <c r="BE2652" s="93">
        <v>0</v>
      </c>
      <c r="BF2652" s="93">
        <f t="shared" si="677"/>
        <v>0</v>
      </c>
      <c r="BH2652" s="93">
        <f t="shared" si="678"/>
        <v>0</v>
      </c>
      <c r="BI2652" s="93">
        <f t="shared" si="679"/>
        <v>0</v>
      </c>
      <c r="BJ2652" s="93">
        <f t="shared" si="680"/>
        <v>0</v>
      </c>
      <c r="BK2652" s="93"/>
      <c r="BL2652" s="93"/>
      <c r="BW2652" s="93" t="str">
        <f t="shared" si="681"/>
        <v>21</v>
      </c>
      <c r="BX2652" s="2" t="s">
        <v>3897</v>
      </c>
    </row>
    <row r="2653" spans="1:76" s="81" customFormat="1" ht="25.5" x14ac:dyDescent="0.25">
      <c r="A2653" s="72" t="s">
        <v>3898</v>
      </c>
      <c r="B2653" s="72" t="s">
        <v>55</v>
      </c>
      <c r="C2653" s="72" t="s">
        <v>3899</v>
      </c>
      <c r="D2653" s="175" t="s">
        <v>3900</v>
      </c>
      <c r="E2653" s="175"/>
      <c r="F2653" s="72" t="s">
        <v>3523</v>
      </c>
      <c r="G2653" s="90">
        <v>1</v>
      </c>
      <c r="H2653" s="91"/>
      <c r="I2653" s="92" t="s">
        <v>63</v>
      </c>
      <c r="J2653" s="90">
        <f t="shared" si="654"/>
        <v>0</v>
      </c>
      <c r="K2653" s="90">
        <f t="shared" si="655"/>
        <v>0</v>
      </c>
      <c r="L2653" s="90">
        <f t="shared" si="656"/>
        <v>0</v>
      </c>
      <c r="M2653" s="90">
        <f t="shared" si="657"/>
        <v>0</v>
      </c>
      <c r="N2653" s="90">
        <v>0</v>
      </c>
      <c r="O2653" s="90">
        <f t="shared" si="658"/>
        <v>0</v>
      </c>
      <c r="P2653" s="92" t="s">
        <v>1652</v>
      </c>
      <c r="Z2653" s="93">
        <f t="shared" si="659"/>
        <v>0</v>
      </c>
      <c r="AB2653" s="93">
        <f t="shared" si="660"/>
        <v>0</v>
      </c>
      <c r="AC2653" s="93">
        <f t="shared" si="661"/>
        <v>0</v>
      </c>
      <c r="AD2653" s="93">
        <f t="shared" si="662"/>
        <v>0</v>
      </c>
      <c r="AE2653" s="93">
        <f t="shared" si="663"/>
        <v>0</v>
      </c>
      <c r="AF2653" s="93">
        <f t="shared" si="664"/>
        <v>0</v>
      </c>
      <c r="AG2653" s="93">
        <f t="shared" si="665"/>
        <v>0</v>
      </c>
      <c r="AH2653" s="93">
        <f t="shared" si="666"/>
        <v>0</v>
      </c>
      <c r="AI2653" s="88" t="s">
        <v>55</v>
      </c>
      <c r="AJ2653" s="93">
        <f t="shared" si="667"/>
        <v>0</v>
      </c>
      <c r="AK2653" s="93">
        <f t="shared" si="668"/>
        <v>0</v>
      </c>
      <c r="AL2653" s="93">
        <f t="shared" si="669"/>
        <v>0</v>
      </c>
      <c r="AN2653" s="93">
        <v>21</v>
      </c>
      <c r="AO2653" s="93">
        <f t="shared" si="670"/>
        <v>0</v>
      </c>
      <c r="AP2653" s="93">
        <f t="shared" si="671"/>
        <v>0</v>
      </c>
      <c r="AQ2653" s="94" t="s">
        <v>118</v>
      </c>
      <c r="AV2653" s="93">
        <f t="shared" si="672"/>
        <v>0</v>
      </c>
      <c r="AW2653" s="93">
        <f t="shared" si="673"/>
        <v>0</v>
      </c>
      <c r="AX2653" s="93">
        <f t="shared" si="674"/>
        <v>0</v>
      </c>
      <c r="AY2653" s="94" t="s">
        <v>3503</v>
      </c>
      <c r="AZ2653" s="94" t="s">
        <v>3504</v>
      </c>
      <c r="BA2653" s="88" t="s">
        <v>67</v>
      </c>
      <c r="BC2653" s="93">
        <f t="shared" si="675"/>
        <v>0</v>
      </c>
      <c r="BD2653" s="93">
        <f t="shared" si="676"/>
        <v>0</v>
      </c>
      <c r="BE2653" s="93">
        <v>0</v>
      </c>
      <c r="BF2653" s="93">
        <f t="shared" si="677"/>
        <v>0</v>
      </c>
      <c r="BH2653" s="93">
        <f t="shared" si="678"/>
        <v>0</v>
      </c>
      <c r="BI2653" s="93">
        <f t="shared" si="679"/>
        <v>0</v>
      </c>
      <c r="BJ2653" s="93">
        <f t="shared" si="680"/>
        <v>0</v>
      </c>
      <c r="BK2653" s="93"/>
      <c r="BL2653" s="93"/>
      <c r="BW2653" s="93" t="str">
        <f t="shared" si="681"/>
        <v>21</v>
      </c>
      <c r="BX2653" s="2" t="s">
        <v>3900</v>
      </c>
    </row>
    <row r="2654" spans="1:76" s="81" customFormat="1" ht="25.5" x14ac:dyDescent="0.25">
      <c r="A2654" s="72" t="s">
        <v>3901</v>
      </c>
      <c r="B2654" s="72" t="s">
        <v>55</v>
      </c>
      <c r="C2654" s="72" t="s">
        <v>3902</v>
      </c>
      <c r="D2654" s="175" t="s">
        <v>3903</v>
      </c>
      <c r="E2654" s="175"/>
      <c r="F2654" s="72" t="s">
        <v>3523</v>
      </c>
      <c r="G2654" s="90">
        <v>1</v>
      </c>
      <c r="H2654" s="91"/>
      <c r="I2654" s="92" t="s">
        <v>63</v>
      </c>
      <c r="J2654" s="90">
        <f t="shared" si="654"/>
        <v>0</v>
      </c>
      <c r="K2654" s="90">
        <f t="shared" si="655"/>
        <v>0</v>
      </c>
      <c r="L2654" s="90">
        <f t="shared" si="656"/>
        <v>0</v>
      </c>
      <c r="M2654" s="90">
        <f t="shared" si="657"/>
        <v>0</v>
      </c>
      <c r="N2654" s="90">
        <v>0</v>
      </c>
      <c r="O2654" s="90">
        <f t="shared" si="658"/>
        <v>0</v>
      </c>
      <c r="P2654" s="92" t="s">
        <v>1652</v>
      </c>
      <c r="Z2654" s="93">
        <f t="shared" si="659"/>
        <v>0</v>
      </c>
      <c r="AB2654" s="93">
        <f t="shared" si="660"/>
        <v>0</v>
      </c>
      <c r="AC2654" s="93">
        <f t="shared" si="661"/>
        <v>0</v>
      </c>
      <c r="AD2654" s="93">
        <f t="shared" si="662"/>
        <v>0</v>
      </c>
      <c r="AE2654" s="93">
        <f t="shared" si="663"/>
        <v>0</v>
      </c>
      <c r="AF2654" s="93">
        <f t="shared" si="664"/>
        <v>0</v>
      </c>
      <c r="AG2654" s="93">
        <f t="shared" si="665"/>
        <v>0</v>
      </c>
      <c r="AH2654" s="93">
        <f t="shared" si="666"/>
        <v>0</v>
      </c>
      <c r="AI2654" s="88" t="s">
        <v>55</v>
      </c>
      <c r="AJ2654" s="93">
        <f t="shared" si="667"/>
        <v>0</v>
      </c>
      <c r="AK2654" s="93">
        <f t="shared" si="668"/>
        <v>0</v>
      </c>
      <c r="AL2654" s="93">
        <f t="shared" si="669"/>
        <v>0</v>
      </c>
      <c r="AN2654" s="93">
        <v>21</v>
      </c>
      <c r="AO2654" s="93">
        <f t="shared" si="670"/>
        <v>0</v>
      </c>
      <c r="AP2654" s="93">
        <f t="shared" si="671"/>
        <v>0</v>
      </c>
      <c r="AQ2654" s="94" t="s">
        <v>118</v>
      </c>
      <c r="AV2654" s="93">
        <f t="shared" si="672"/>
        <v>0</v>
      </c>
      <c r="AW2654" s="93">
        <f t="shared" si="673"/>
        <v>0</v>
      </c>
      <c r="AX2654" s="93">
        <f t="shared" si="674"/>
        <v>0</v>
      </c>
      <c r="AY2654" s="94" t="s">
        <v>3503</v>
      </c>
      <c r="AZ2654" s="94" t="s">
        <v>3504</v>
      </c>
      <c r="BA2654" s="88" t="s">
        <v>67</v>
      </c>
      <c r="BC2654" s="93">
        <f t="shared" si="675"/>
        <v>0</v>
      </c>
      <c r="BD2654" s="93">
        <f t="shared" si="676"/>
        <v>0</v>
      </c>
      <c r="BE2654" s="93">
        <v>0</v>
      </c>
      <c r="BF2654" s="93">
        <f t="shared" si="677"/>
        <v>0</v>
      </c>
      <c r="BH2654" s="93">
        <f t="shared" si="678"/>
        <v>0</v>
      </c>
      <c r="BI2654" s="93">
        <f t="shared" si="679"/>
        <v>0</v>
      </c>
      <c r="BJ2654" s="93">
        <f t="shared" si="680"/>
        <v>0</v>
      </c>
      <c r="BK2654" s="93"/>
      <c r="BL2654" s="93"/>
      <c r="BW2654" s="93" t="str">
        <f t="shared" si="681"/>
        <v>21</v>
      </c>
      <c r="BX2654" s="2" t="s">
        <v>3903</v>
      </c>
    </row>
    <row r="2655" spans="1:76" s="81" customFormat="1" ht="25.5" x14ac:dyDescent="0.25">
      <c r="A2655" s="72" t="s">
        <v>3904</v>
      </c>
      <c r="B2655" s="72" t="s">
        <v>55</v>
      </c>
      <c r="C2655" s="72" t="s">
        <v>3905</v>
      </c>
      <c r="D2655" s="175" t="s">
        <v>3906</v>
      </c>
      <c r="E2655" s="175"/>
      <c r="F2655" s="72" t="s">
        <v>3523</v>
      </c>
      <c r="G2655" s="90">
        <v>1</v>
      </c>
      <c r="H2655" s="91"/>
      <c r="I2655" s="92" t="s">
        <v>63</v>
      </c>
      <c r="J2655" s="90">
        <f t="shared" si="654"/>
        <v>0</v>
      </c>
      <c r="K2655" s="90">
        <f t="shared" si="655"/>
        <v>0</v>
      </c>
      <c r="L2655" s="90">
        <f t="shared" si="656"/>
        <v>0</v>
      </c>
      <c r="M2655" s="90">
        <f t="shared" si="657"/>
        <v>0</v>
      </c>
      <c r="N2655" s="90">
        <v>0</v>
      </c>
      <c r="O2655" s="90">
        <f t="shared" si="658"/>
        <v>0</v>
      </c>
      <c r="P2655" s="92" t="s">
        <v>1652</v>
      </c>
      <c r="Z2655" s="93">
        <f t="shared" si="659"/>
        <v>0</v>
      </c>
      <c r="AB2655" s="93">
        <f t="shared" si="660"/>
        <v>0</v>
      </c>
      <c r="AC2655" s="93">
        <f t="shared" si="661"/>
        <v>0</v>
      </c>
      <c r="AD2655" s="93">
        <f t="shared" si="662"/>
        <v>0</v>
      </c>
      <c r="AE2655" s="93">
        <f t="shared" si="663"/>
        <v>0</v>
      </c>
      <c r="AF2655" s="93">
        <f t="shared" si="664"/>
        <v>0</v>
      </c>
      <c r="AG2655" s="93">
        <f t="shared" si="665"/>
        <v>0</v>
      </c>
      <c r="AH2655" s="93">
        <f t="shared" si="666"/>
        <v>0</v>
      </c>
      <c r="AI2655" s="88" t="s">
        <v>55</v>
      </c>
      <c r="AJ2655" s="93">
        <f t="shared" si="667"/>
        <v>0</v>
      </c>
      <c r="AK2655" s="93">
        <f t="shared" si="668"/>
        <v>0</v>
      </c>
      <c r="AL2655" s="93">
        <f t="shared" si="669"/>
        <v>0</v>
      </c>
      <c r="AN2655" s="93">
        <v>21</v>
      </c>
      <c r="AO2655" s="93">
        <f t="shared" si="670"/>
        <v>0</v>
      </c>
      <c r="AP2655" s="93">
        <f t="shared" si="671"/>
        <v>0</v>
      </c>
      <c r="AQ2655" s="94" t="s">
        <v>118</v>
      </c>
      <c r="AV2655" s="93">
        <f t="shared" si="672"/>
        <v>0</v>
      </c>
      <c r="AW2655" s="93">
        <f t="shared" si="673"/>
        <v>0</v>
      </c>
      <c r="AX2655" s="93">
        <f t="shared" si="674"/>
        <v>0</v>
      </c>
      <c r="AY2655" s="94" t="s">
        <v>3503</v>
      </c>
      <c r="AZ2655" s="94" t="s">
        <v>3504</v>
      </c>
      <c r="BA2655" s="88" t="s">
        <v>67</v>
      </c>
      <c r="BC2655" s="93">
        <f t="shared" si="675"/>
        <v>0</v>
      </c>
      <c r="BD2655" s="93">
        <f t="shared" si="676"/>
        <v>0</v>
      </c>
      <c r="BE2655" s="93">
        <v>0</v>
      </c>
      <c r="BF2655" s="93">
        <f t="shared" si="677"/>
        <v>0</v>
      </c>
      <c r="BH2655" s="93">
        <f t="shared" si="678"/>
        <v>0</v>
      </c>
      <c r="BI2655" s="93">
        <f t="shared" si="679"/>
        <v>0</v>
      </c>
      <c r="BJ2655" s="93">
        <f t="shared" si="680"/>
        <v>0</v>
      </c>
      <c r="BK2655" s="93"/>
      <c r="BL2655" s="93"/>
      <c r="BW2655" s="93" t="str">
        <f t="shared" si="681"/>
        <v>21</v>
      </c>
      <c r="BX2655" s="2" t="s">
        <v>3906</v>
      </c>
    </row>
    <row r="2656" spans="1:76" s="81" customFormat="1" ht="25.5" x14ac:dyDescent="0.25">
      <c r="A2656" s="72" t="s">
        <v>3907</v>
      </c>
      <c r="B2656" s="72" t="s">
        <v>55</v>
      </c>
      <c r="C2656" s="72" t="s">
        <v>3908</v>
      </c>
      <c r="D2656" s="175" t="s">
        <v>3909</v>
      </c>
      <c r="E2656" s="175"/>
      <c r="F2656" s="72" t="s">
        <v>3523</v>
      </c>
      <c r="G2656" s="90">
        <v>1</v>
      </c>
      <c r="H2656" s="91"/>
      <c r="I2656" s="92" t="s">
        <v>63</v>
      </c>
      <c r="J2656" s="90">
        <f t="shared" si="654"/>
        <v>0</v>
      </c>
      <c r="K2656" s="90">
        <f t="shared" si="655"/>
        <v>0</v>
      </c>
      <c r="L2656" s="90">
        <f t="shared" si="656"/>
        <v>0</v>
      </c>
      <c r="M2656" s="90">
        <f t="shared" si="657"/>
        <v>0</v>
      </c>
      <c r="N2656" s="90">
        <v>0</v>
      </c>
      <c r="O2656" s="90">
        <f t="shared" si="658"/>
        <v>0</v>
      </c>
      <c r="P2656" s="92" t="s">
        <v>1652</v>
      </c>
      <c r="Z2656" s="93">
        <f t="shared" si="659"/>
        <v>0</v>
      </c>
      <c r="AB2656" s="93">
        <f t="shared" si="660"/>
        <v>0</v>
      </c>
      <c r="AC2656" s="93">
        <f t="shared" si="661"/>
        <v>0</v>
      </c>
      <c r="AD2656" s="93">
        <f t="shared" si="662"/>
        <v>0</v>
      </c>
      <c r="AE2656" s="93">
        <f t="shared" si="663"/>
        <v>0</v>
      </c>
      <c r="AF2656" s="93">
        <f t="shared" si="664"/>
        <v>0</v>
      </c>
      <c r="AG2656" s="93">
        <f t="shared" si="665"/>
        <v>0</v>
      </c>
      <c r="AH2656" s="93">
        <f t="shared" si="666"/>
        <v>0</v>
      </c>
      <c r="AI2656" s="88" t="s">
        <v>55</v>
      </c>
      <c r="AJ2656" s="93">
        <f t="shared" si="667"/>
        <v>0</v>
      </c>
      <c r="AK2656" s="93">
        <f t="shared" si="668"/>
        <v>0</v>
      </c>
      <c r="AL2656" s="93">
        <f t="shared" si="669"/>
        <v>0</v>
      </c>
      <c r="AN2656" s="93">
        <v>21</v>
      </c>
      <c r="AO2656" s="93">
        <f t="shared" si="670"/>
        <v>0</v>
      </c>
      <c r="AP2656" s="93">
        <f t="shared" si="671"/>
        <v>0</v>
      </c>
      <c r="AQ2656" s="94" t="s">
        <v>118</v>
      </c>
      <c r="AV2656" s="93">
        <f t="shared" si="672"/>
        <v>0</v>
      </c>
      <c r="AW2656" s="93">
        <f t="shared" si="673"/>
        <v>0</v>
      </c>
      <c r="AX2656" s="93">
        <f t="shared" si="674"/>
        <v>0</v>
      </c>
      <c r="AY2656" s="94" t="s">
        <v>3503</v>
      </c>
      <c r="AZ2656" s="94" t="s">
        <v>3504</v>
      </c>
      <c r="BA2656" s="88" t="s">
        <v>67</v>
      </c>
      <c r="BC2656" s="93">
        <f t="shared" si="675"/>
        <v>0</v>
      </c>
      <c r="BD2656" s="93">
        <f t="shared" si="676"/>
        <v>0</v>
      </c>
      <c r="BE2656" s="93">
        <v>0</v>
      </c>
      <c r="BF2656" s="93">
        <f t="shared" si="677"/>
        <v>0</v>
      </c>
      <c r="BH2656" s="93">
        <f t="shared" si="678"/>
        <v>0</v>
      </c>
      <c r="BI2656" s="93">
        <f t="shared" si="679"/>
        <v>0</v>
      </c>
      <c r="BJ2656" s="93">
        <f t="shared" si="680"/>
        <v>0</v>
      </c>
      <c r="BK2656" s="93"/>
      <c r="BL2656" s="93"/>
      <c r="BW2656" s="93" t="str">
        <f t="shared" si="681"/>
        <v>21</v>
      </c>
      <c r="BX2656" s="2" t="s">
        <v>3909</v>
      </c>
    </row>
    <row r="2657" spans="1:76" s="81" customFormat="1" ht="25.5" x14ac:dyDescent="0.25">
      <c r="A2657" s="72" t="s">
        <v>3910</v>
      </c>
      <c r="B2657" s="72" t="s">
        <v>55</v>
      </c>
      <c r="C2657" s="72" t="s">
        <v>3911</v>
      </c>
      <c r="D2657" s="175" t="s">
        <v>3912</v>
      </c>
      <c r="E2657" s="175"/>
      <c r="F2657" s="72" t="s">
        <v>192</v>
      </c>
      <c r="G2657" s="90">
        <v>18</v>
      </c>
      <c r="H2657" s="91"/>
      <c r="I2657" s="92" t="s">
        <v>63</v>
      </c>
      <c r="J2657" s="90">
        <f t="shared" si="654"/>
        <v>0</v>
      </c>
      <c r="K2657" s="90">
        <f t="shared" si="655"/>
        <v>0</v>
      </c>
      <c r="L2657" s="90">
        <f t="shared" si="656"/>
        <v>0</v>
      </c>
      <c r="M2657" s="90">
        <f t="shared" si="657"/>
        <v>0</v>
      </c>
      <c r="N2657" s="90">
        <v>0</v>
      </c>
      <c r="O2657" s="90">
        <f t="shared" si="658"/>
        <v>0</v>
      </c>
      <c r="P2657" s="92" t="s">
        <v>1652</v>
      </c>
      <c r="Z2657" s="93">
        <f t="shared" si="659"/>
        <v>0</v>
      </c>
      <c r="AB2657" s="93">
        <f t="shared" si="660"/>
        <v>0</v>
      </c>
      <c r="AC2657" s="93">
        <f t="shared" si="661"/>
        <v>0</v>
      </c>
      <c r="AD2657" s="93">
        <f t="shared" si="662"/>
        <v>0</v>
      </c>
      <c r="AE2657" s="93">
        <f t="shared" si="663"/>
        <v>0</v>
      </c>
      <c r="AF2657" s="93">
        <f t="shared" si="664"/>
        <v>0</v>
      </c>
      <c r="AG2657" s="93">
        <f t="shared" si="665"/>
        <v>0</v>
      </c>
      <c r="AH2657" s="93">
        <f t="shared" si="666"/>
        <v>0</v>
      </c>
      <c r="AI2657" s="88" t="s">
        <v>55</v>
      </c>
      <c r="AJ2657" s="93">
        <f t="shared" si="667"/>
        <v>0</v>
      </c>
      <c r="AK2657" s="93">
        <f t="shared" si="668"/>
        <v>0</v>
      </c>
      <c r="AL2657" s="93">
        <f t="shared" si="669"/>
        <v>0</v>
      </c>
      <c r="AN2657" s="93">
        <v>21</v>
      </c>
      <c r="AO2657" s="93">
        <f t="shared" si="670"/>
        <v>0</v>
      </c>
      <c r="AP2657" s="93">
        <f t="shared" si="671"/>
        <v>0</v>
      </c>
      <c r="AQ2657" s="94" t="s">
        <v>118</v>
      </c>
      <c r="AV2657" s="93">
        <f t="shared" si="672"/>
        <v>0</v>
      </c>
      <c r="AW2657" s="93">
        <f t="shared" si="673"/>
        <v>0</v>
      </c>
      <c r="AX2657" s="93">
        <f t="shared" si="674"/>
        <v>0</v>
      </c>
      <c r="AY2657" s="94" t="s">
        <v>3503</v>
      </c>
      <c r="AZ2657" s="94" t="s">
        <v>3504</v>
      </c>
      <c r="BA2657" s="88" t="s">
        <v>67</v>
      </c>
      <c r="BC2657" s="93">
        <f t="shared" si="675"/>
        <v>0</v>
      </c>
      <c r="BD2657" s="93">
        <f t="shared" si="676"/>
        <v>0</v>
      </c>
      <c r="BE2657" s="93">
        <v>0</v>
      </c>
      <c r="BF2657" s="93">
        <f t="shared" si="677"/>
        <v>0</v>
      </c>
      <c r="BH2657" s="93">
        <f t="shared" si="678"/>
        <v>0</v>
      </c>
      <c r="BI2657" s="93">
        <f t="shared" si="679"/>
        <v>0</v>
      </c>
      <c r="BJ2657" s="93">
        <f t="shared" si="680"/>
        <v>0</v>
      </c>
      <c r="BK2657" s="93"/>
      <c r="BL2657" s="93"/>
      <c r="BW2657" s="93" t="str">
        <f t="shared" si="681"/>
        <v>21</v>
      </c>
      <c r="BX2657" s="2" t="s">
        <v>3912</v>
      </c>
    </row>
    <row r="2658" spans="1:76" s="81" customFormat="1" ht="25.5" x14ac:dyDescent="0.25">
      <c r="A2658" s="72" t="s">
        <v>3913</v>
      </c>
      <c r="B2658" s="72" t="s">
        <v>55</v>
      </c>
      <c r="C2658" s="72" t="s">
        <v>3914</v>
      </c>
      <c r="D2658" s="175" t="s">
        <v>3915</v>
      </c>
      <c r="E2658" s="175"/>
      <c r="F2658" s="72" t="s">
        <v>213</v>
      </c>
      <c r="G2658" s="90">
        <v>36</v>
      </c>
      <c r="H2658" s="91"/>
      <c r="I2658" s="92" t="s">
        <v>63</v>
      </c>
      <c r="J2658" s="90">
        <f t="shared" si="654"/>
        <v>0</v>
      </c>
      <c r="K2658" s="90">
        <f t="shared" si="655"/>
        <v>0</v>
      </c>
      <c r="L2658" s="90">
        <f t="shared" si="656"/>
        <v>0</v>
      </c>
      <c r="M2658" s="90">
        <f t="shared" si="657"/>
        <v>0</v>
      </c>
      <c r="N2658" s="90">
        <v>0</v>
      </c>
      <c r="O2658" s="90">
        <f t="shared" si="658"/>
        <v>0</v>
      </c>
      <c r="P2658" s="92" t="s">
        <v>1652</v>
      </c>
      <c r="Z2658" s="93">
        <f t="shared" si="659"/>
        <v>0</v>
      </c>
      <c r="AB2658" s="93">
        <f t="shared" si="660"/>
        <v>0</v>
      </c>
      <c r="AC2658" s="93">
        <f t="shared" si="661"/>
        <v>0</v>
      </c>
      <c r="AD2658" s="93">
        <f t="shared" si="662"/>
        <v>0</v>
      </c>
      <c r="AE2658" s="93">
        <f t="shared" si="663"/>
        <v>0</v>
      </c>
      <c r="AF2658" s="93">
        <f t="shared" si="664"/>
        <v>0</v>
      </c>
      <c r="AG2658" s="93">
        <f t="shared" si="665"/>
        <v>0</v>
      </c>
      <c r="AH2658" s="93">
        <f t="shared" si="666"/>
        <v>0</v>
      </c>
      <c r="AI2658" s="88" t="s">
        <v>55</v>
      </c>
      <c r="AJ2658" s="93">
        <f t="shared" si="667"/>
        <v>0</v>
      </c>
      <c r="AK2658" s="93">
        <f t="shared" si="668"/>
        <v>0</v>
      </c>
      <c r="AL2658" s="93">
        <f t="shared" si="669"/>
        <v>0</v>
      </c>
      <c r="AN2658" s="93">
        <v>21</v>
      </c>
      <c r="AO2658" s="93">
        <f t="shared" si="670"/>
        <v>0</v>
      </c>
      <c r="AP2658" s="93">
        <f t="shared" si="671"/>
        <v>0</v>
      </c>
      <c r="AQ2658" s="94" t="s">
        <v>118</v>
      </c>
      <c r="AV2658" s="93">
        <f t="shared" si="672"/>
        <v>0</v>
      </c>
      <c r="AW2658" s="93">
        <f t="shared" si="673"/>
        <v>0</v>
      </c>
      <c r="AX2658" s="93">
        <f t="shared" si="674"/>
        <v>0</v>
      </c>
      <c r="AY2658" s="94" t="s">
        <v>3503</v>
      </c>
      <c r="AZ2658" s="94" t="s">
        <v>3504</v>
      </c>
      <c r="BA2658" s="88" t="s">
        <v>67</v>
      </c>
      <c r="BC2658" s="93">
        <f t="shared" si="675"/>
        <v>0</v>
      </c>
      <c r="BD2658" s="93">
        <f t="shared" si="676"/>
        <v>0</v>
      </c>
      <c r="BE2658" s="93">
        <v>0</v>
      </c>
      <c r="BF2658" s="93">
        <f t="shared" si="677"/>
        <v>0</v>
      </c>
      <c r="BH2658" s="93">
        <f t="shared" si="678"/>
        <v>0</v>
      </c>
      <c r="BI2658" s="93">
        <f t="shared" si="679"/>
        <v>0</v>
      </c>
      <c r="BJ2658" s="93">
        <f t="shared" si="680"/>
        <v>0</v>
      </c>
      <c r="BK2658" s="93"/>
      <c r="BL2658" s="93"/>
      <c r="BW2658" s="93" t="str">
        <f t="shared" si="681"/>
        <v>21</v>
      </c>
      <c r="BX2658" s="2" t="s">
        <v>3915</v>
      </c>
    </row>
    <row r="2659" spans="1:76" s="81" customFormat="1" ht="25.5" x14ac:dyDescent="0.25">
      <c r="A2659" s="72" t="s">
        <v>3916</v>
      </c>
      <c r="B2659" s="72" t="s">
        <v>55</v>
      </c>
      <c r="C2659" s="72" t="s">
        <v>3917</v>
      </c>
      <c r="D2659" s="175" t="s">
        <v>3918</v>
      </c>
      <c r="E2659" s="175"/>
      <c r="F2659" s="72" t="s">
        <v>213</v>
      </c>
      <c r="G2659" s="90">
        <v>240</v>
      </c>
      <c r="H2659" s="91"/>
      <c r="I2659" s="92" t="s">
        <v>63</v>
      </c>
      <c r="J2659" s="90">
        <f t="shared" si="654"/>
        <v>0</v>
      </c>
      <c r="K2659" s="90">
        <f t="shared" si="655"/>
        <v>0</v>
      </c>
      <c r="L2659" s="90">
        <f t="shared" si="656"/>
        <v>0</v>
      </c>
      <c r="M2659" s="90">
        <f t="shared" si="657"/>
        <v>0</v>
      </c>
      <c r="N2659" s="90">
        <v>0</v>
      </c>
      <c r="O2659" s="90">
        <f t="shared" si="658"/>
        <v>0</v>
      </c>
      <c r="P2659" s="92" t="s">
        <v>1652</v>
      </c>
      <c r="Z2659" s="93">
        <f t="shared" si="659"/>
        <v>0</v>
      </c>
      <c r="AB2659" s="93">
        <f t="shared" si="660"/>
        <v>0</v>
      </c>
      <c r="AC2659" s="93">
        <f t="shared" si="661"/>
        <v>0</v>
      </c>
      <c r="AD2659" s="93">
        <f t="shared" si="662"/>
        <v>0</v>
      </c>
      <c r="AE2659" s="93">
        <f t="shared" si="663"/>
        <v>0</v>
      </c>
      <c r="AF2659" s="93">
        <f t="shared" si="664"/>
        <v>0</v>
      </c>
      <c r="AG2659" s="93">
        <f t="shared" si="665"/>
        <v>0</v>
      </c>
      <c r="AH2659" s="93">
        <f t="shared" si="666"/>
        <v>0</v>
      </c>
      <c r="AI2659" s="88" t="s">
        <v>55</v>
      </c>
      <c r="AJ2659" s="93">
        <f t="shared" si="667"/>
        <v>0</v>
      </c>
      <c r="AK2659" s="93">
        <f t="shared" si="668"/>
        <v>0</v>
      </c>
      <c r="AL2659" s="93">
        <f t="shared" si="669"/>
        <v>0</v>
      </c>
      <c r="AN2659" s="93">
        <v>21</v>
      </c>
      <c r="AO2659" s="93">
        <f t="shared" si="670"/>
        <v>0</v>
      </c>
      <c r="AP2659" s="93">
        <f t="shared" si="671"/>
        <v>0</v>
      </c>
      <c r="AQ2659" s="94" t="s">
        <v>118</v>
      </c>
      <c r="AV2659" s="93">
        <f t="shared" si="672"/>
        <v>0</v>
      </c>
      <c r="AW2659" s="93">
        <f t="shared" si="673"/>
        <v>0</v>
      </c>
      <c r="AX2659" s="93">
        <f t="shared" si="674"/>
        <v>0</v>
      </c>
      <c r="AY2659" s="94" t="s">
        <v>3503</v>
      </c>
      <c r="AZ2659" s="94" t="s">
        <v>3504</v>
      </c>
      <c r="BA2659" s="88" t="s">
        <v>67</v>
      </c>
      <c r="BC2659" s="93">
        <f t="shared" si="675"/>
        <v>0</v>
      </c>
      <c r="BD2659" s="93">
        <f t="shared" si="676"/>
        <v>0</v>
      </c>
      <c r="BE2659" s="93">
        <v>0</v>
      </c>
      <c r="BF2659" s="93">
        <f t="shared" si="677"/>
        <v>0</v>
      </c>
      <c r="BH2659" s="93">
        <f t="shared" si="678"/>
        <v>0</v>
      </c>
      <c r="BI2659" s="93">
        <f t="shared" si="679"/>
        <v>0</v>
      </c>
      <c r="BJ2659" s="93">
        <f t="shared" si="680"/>
        <v>0</v>
      </c>
      <c r="BK2659" s="93"/>
      <c r="BL2659" s="93"/>
      <c r="BW2659" s="93" t="str">
        <f t="shared" si="681"/>
        <v>21</v>
      </c>
      <c r="BX2659" s="2" t="s">
        <v>3918</v>
      </c>
    </row>
    <row r="2660" spans="1:76" s="81" customFormat="1" ht="25.5" x14ac:dyDescent="0.25">
      <c r="A2660" s="72" t="s">
        <v>3919</v>
      </c>
      <c r="B2660" s="72" t="s">
        <v>55</v>
      </c>
      <c r="C2660" s="72" t="s">
        <v>3920</v>
      </c>
      <c r="D2660" s="175" t="s">
        <v>3921</v>
      </c>
      <c r="E2660" s="175"/>
      <c r="F2660" s="72" t="s">
        <v>213</v>
      </c>
      <c r="G2660" s="90">
        <v>91</v>
      </c>
      <c r="H2660" s="91"/>
      <c r="I2660" s="92" t="s">
        <v>63</v>
      </c>
      <c r="J2660" s="90">
        <f t="shared" si="654"/>
        <v>0</v>
      </c>
      <c r="K2660" s="90">
        <f t="shared" si="655"/>
        <v>0</v>
      </c>
      <c r="L2660" s="90">
        <f t="shared" si="656"/>
        <v>0</v>
      </c>
      <c r="M2660" s="90">
        <f t="shared" si="657"/>
        <v>0</v>
      </c>
      <c r="N2660" s="90">
        <v>0</v>
      </c>
      <c r="O2660" s="90">
        <f t="shared" si="658"/>
        <v>0</v>
      </c>
      <c r="P2660" s="92" t="s">
        <v>1652</v>
      </c>
      <c r="Z2660" s="93">
        <f t="shared" si="659"/>
        <v>0</v>
      </c>
      <c r="AB2660" s="93">
        <f t="shared" si="660"/>
        <v>0</v>
      </c>
      <c r="AC2660" s="93">
        <f t="shared" si="661"/>
        <v>0</v>
      </c>
      <c r="AD2660" s="93">
        <f t="shared" si="662"/>
        <v>0</v>
      </c>
      <c r="AE2660" s="93">
        <f t="shared" si="663"/>
        <v>0</v>
      </c>
      <c r="AF2660" s="93">
        <f t="shared" si="664"/>
        <v>0</v>
      </c>
      <c r="AG2660" s="93">
        <f t="shared" si="665"/>
        <v>0</v>
      </c>
      <c r="AH2660" s="93">
        <f t="shared" si="666"/>
        <v>0</v>
      </c>
      <c r="AI2660" s="88" t="s">
        <v>55</v>
      </c>
      <c r="AJ2660" s="93">
        <f t="shared" si="667"/>
        <v>0</v>
      </c>
      <c r="AK2660" s="93">
        <f t="shared" si="668"/>
        <v>0</v>
      </c>
      <c r="AL2660" s="93">
        <f t="shared" si="669"/>
        <v>0</v>
      </c>
      <c r="AN2660" s="93">
        <v>21</v>
      </c>
      <c r="AO2660" s="93">
        <f t="shared" si="670"/>
        <v>0</v>
      </c>
      <c r="AP2660" s="93">
        <f t="shared" si="671"/>
        <v>0</v>
      </c>
      <c r="AQ2660" s="94" t="s">
        <v>118</v>
      </c>
      <c r="AV2660" s="93">
        <f t="shared" si="672"/>
        <v>0</v>
      </c>
      <c r="AW2660" s="93">
        <f t="shared" si="673"/>
        <v>0</v>
      </c>
      <c r="AX2660" s="93">
        <f t="shared" si="674"/>
        <v>0</v>
      </c>
      <c r="AY2660" s="94" t="s">
        <v>3503</v>
      </c>
      <c r="AZ2660" s="94" t="s">
        <v>3504</v>
      </c>
      <c r="BA2660" s="88" t="s">
        <v>67</v>
      </c>
      <c r="BC2660" s="93">
        <f t="shared" si="675"/>
        <v>0</v>
      </c>
      <c r="BD2660" s="93">
        <f t="shared" si="676"/>
        <v>0</v>
      </c>
      <c r="BE2660" s="93">
        <v>0</v>
      </c>
      <c r="BF2660" s="93">
        <f t="shared" si="677"/>
        <v>0</v>
      </c>
      <c r="BH2660" s="93">
        <f t="shared" si="678"/>
        <v>0</v>
      </c>
      <c r="BI2660" s="93">
        <f t="shared" si="679"/>
        <v>0</v>
      </c>
      <c r="BJ2660" s="93">
        <f t="shared" si="680"/>
        <v>0</v>
      </c>
      <c r="BK2660" s="93"/>
      <c r="BL2660" s="93"/>
      <c r="BW2660" s="93" t="str">
        <f t="shared" si="681"/>
        <v>21</v>
      </c>
      <c r="BX2660" s="2" t="s">
        <v>3921</v>
      </c>
    </row>
    <row r="2661" spans="1:76" s="81" customFormat="1" ht="25.5" x14ac:dyDescent="0.25">
      <c r="A2661" s="72" t="s">
        <v>3922</v>
      </c>
      <c r="B2661" s="72" t="s">
        <v>55</v>
      </c>
      <c r="C2661" s="72" t="s">
        <v>3923</v>
      </c>
      <c r="D2661" s="175" t="s">
        <v>3924</v>
      </c>
      <c r="E2661" s="175"/>
      <c r="F2661" s="72" t="s">
        <v>213</v>
      </c>
      <c r="G2661" s="90">
        <v>330</v>
      </c>
      <c r="H2661" s="91"/>
      <c r="I2661" s="92" t="s">
        <v>63</v>
      </c>
      <c r="J2661" s="90">
        <f t="shared" si="654"/>
        <v>0</v>
      </c>
      <c r="K2661" s="90">
        <f t="shared" si="655"/>
        <v>0</v>
      </c>
      <c r="L2661" s="90">
        <f t="shared" si="656"/>
        <v>0</v>
      </c>
      <c r="M2661" s="90">
        <f t="shared" si="657"/>
        <v>0</v>
      </c>
      <c r="N2661" s="90">
        <v>0</v>
      </c>
      <c r="O2661" s="90">
        <f t="shared" si="658"/>
        <v>0</v>
      </c>
      <c r="P2661" s="92" t="s">
        <v>1652</v>
      </c>
      <c r="Z2661" s="93">
        <f t="shared" si="659"/>
        <v>0</v>
      </c>
      <c r="AB2661" s="93">
        <f t="shared" si="660"/>
        <v>0</v>
      </c>
      <c r="AC2661" s="93">
        <f t="shared" si="661"/>
        <v>0</v>
      </c>
      <c r="AD2661" s="93">
        <f t="shared" si="662"/>
        <v>0</v>
      </c>
      <c r="AE2661" s="93">
        <f t="shared" si="663"/>
        <v>0</v>
      </c>
      <c r="AF2661" s="93">
        <f t="shared" si="664"/>
        <v>0</v>
      </c>
      <c r="AG2661" s="93">
        <f t="shared" si="665"/>
        <v>0</v>
      </c>
      <c r="AH2661" s="93">
        <f t="shared" si="666"/>
        <v>0</v>
      </c>
      <c r="AI2661" s="88" t="s">
        <v>55</v>
      </c>
      <c r="AJ2661" s="93">
        <f t="shared" si="667"/>
        <v>0</v>
      </c>
      <c r="AK2661" s="93">
        <f t="shared" si="668"/>
        <v>0</v>
      </c>
      <c r="AL2661" s="93">
        <f t="shared" si="669"/>
        <v>0</v>
      </c>
      <c r="AN2661" s="93">
        <v>21</v>
      </c>
      <c r="AO2661" s="93">
        <f t="shared" si="670"/>
        <v>0</v>
      </c>
      <c r="AP2661" s="93">
        <f t="shared" si="671"/>
        <v>0</v>
      </c>
      <c r="AQ2661" s="94" t="s">
        <v>118</v>
      </c>
      <c r="AV2661" s="93">
        <f t="shared" si="672"/>
        <v>0</v>
      </c>
      <c r="AW2661" s="93">
        <f t="shared" si="673"/>
        <v>0</v>
      </c>
      <c r="AX2661" s="93">
        <f t="shared" si="674"/>
        <v>0</v>
      </c>
      <c r="AY2661" s="94" t="s">
        <v>3503</v>
      </c>
      <c r="AZ2661" s="94" t="s">
        <v>3504</v>
      </c>
      <c r="BA2661" s="88" t="s">
        <v>67</v>
      </c>
      <c r="BC2661" s="93">
        <f t="shared" si="675"/>
        <v>0</v>
      </c>
      <c r="BD2661" s="93">
        <f t="shared" si="676"/>
        <v>0</v>
      </c>
      <c r="BE2661" s="93">
        <v>0</v>
      </c>
      <c r="BF2661" s="93">
        <f t="shared" si="677"/>
        <v>0</v>
      </c>
      <c r="BH2661" s="93">
        <f t="shared" si="678"/>
        <v>0</v>
      </c>
      <c r="BI2661" s="93">
        <f t="shared" si="679"/>
        <v>0</v>
      </c>
      <c r="BJ2661" s="93">
        <f t="shared" si="680"/>
        <v>0</v>
      </c>
      <c r="BK2661" s="93"/>
      <c r="BL2661" s="93"/>
      <c r="BW2661" s="93" t="str">
        <f t="shared" si="681"/>
        <v>21</v>
      </c>
      <c r="BX2661" s="2" t="s">
        <v>3924</v>
      </c>
    </row>
    <row r="2662" spans="1:76" s="81" customFormat="1" ht="25.5" x14ac:dyDescent="0.25">
      <c r="A2662" s="72" t="s">
        <v>3925</v>
      </c>
      <c r="B2662" s="72" t="s">
        <v>55</v>
      </c>
      <c r="C2662" s="72" t="s">
        <v>3926</v>
      </c>
      <c r="D2662" s="175" t="s">
        <v>3927</v>
      </c>
      <c r="E2662" s="175"/>
      <c r="F2662" s="72" t="s">
        <v>203</v>
      </c>
      <c r="G2662" s="90">
        <v>4</v>
      </c>
      <c r="H2662" s="91"/>
      <c r="I2662" s="92" t="s">
        <v>63</v>
      </c>
      <c r="J2662" s="90">
        <f t="shared" si="654"/>
        <v>0</v>
      </c>
      <c r="K2662" s="90">
        <f t="shared" si="655"/>
        <v>0</v>
      </c>
      <c r="L2662" s="90">
        <f t="shared" si="656"/>
        <v>0</v>
      </c>
      <c r="M2662" s="90">
        <f t="shared" si="657"/>
        <v>0</v>
      </c>
      <c r="N2662" s="90">
        <v>0</v>
      </c>
      <c r="O2662" s="90">
        <f t="shared" si="658"/>
        <v>0</v>
      </c>
      <c r="P2662" s="92" t="s">
        <v>1652</v>
      </c>
      <c r="Z2662" s="93">
        <f t="shared" si="659"/>
        <v>0</v>
      </c>
      <c r="AB2662" s="93">
        <f t="shared" si="660"/>
        <v>0</v>
      </c>
      <c r="AC2662" s="93">
        <f t="shared" si="661"/>
        <v>0</v>
      </c>
      <c r="AD2662" s="93">
        <f t="shared" si="662"/>
        <v>0</v>
      </c>
      <c r="AE2662" s="93">
        <f t="shared" si="663"/>
        <v>0</v>
      </c>
      <c r="AF2662" s="93">
        <f t="shared" si="664"/>
        <v>0</v>
      </c>
      <c r="AG2662" s="93">
        <f t="shared" si="665"/>
        <v>0</v>
      </c>
      <c r="AH2662" s="93">
        <f t="shared" si="666"/>
        <v>0</v>
      </c>
      <c r="AI2662" s="88" t="s">
        <v>55</v>
      </c>
      <c r="AJ2662" s="93">
        <f t="shared" si="667"/>
        <v>0</v>
      </c>
      <c r="AK2662" s="93">
        <f t="shared" si="668"/>
        <v>0</v>
      </c>
      <c r="AL2662" s="93">
        <f t="shared" si="669"/>
        <v>0</v>
      </c>
      <c r="AN2662" s="93">
        <v>21</v>
      </c>
      <c r="AO2662" s="93">
        <f t="shared" si="670"/>
        <v>0</v>
      </c>
      <c r="AP2662" s="93">
        <f t="shared" si="671"/>
        <v>0</v>
      </c>
      <c r="AQ2662" s="94" t="s">
        <v>118</v>
      </c>
      <c r="AV2662" s="93">
        <f t="shared" si="672"/>
        <v>0</v>
      </c>
      <c r="AW2662" s="93">
        <f t="shared" si="673"/>
        <v>0</v>
      </c>
      <c r="AX2662" s="93">
        <f t="shared" si="674"/>
        <v>0</v>
      </c>
      <c r="AY2662" s="94" t="s">
        <v>3503</v>
      </c>
      <c r="AZ2662" s="94" t="s">
        <v>3504</v>
      </c>
      <c r="BA2662" s="88" t="s">
        <v>67</v>
      </c>
      <c r="BC2662" s="93">
        <f t="shared" si="675"/>
        <v>0</v>
      </c>
      <c r="BD2662" s="93">
        <f t="shared" si="676"/>
        <v>0</v>
      </c>
      <c r="BE2662" s="93">
        <v>0</v>
      </c>
      <c r="BF2662" s="93">
        <f t="shared" si="677"/>
        <v>0</v>
      </c>
      <c r="BH2662" s="93">
        <f t="shared" si="678"/>
        <v>0</v>
      </c>
      <c r="BI2662" s="93">
        <f t="shared" si="679"/>
        <v>0</v>
      </c>
      <c r="BJ2662" s="93">
        <f t="shared" si="680"/>
        <v>0</v>
      </c>
      <c r="BK2662" s="93"/>
      <c r="BL2662" s="93"/>
      <c r="BW2662" s="93" t="str">
        <f t="shared" si="681"/>
        <v>21</v>
      </c>
      <c r="BX2662" s="2" t="s">
        <v>3927</v>
      </c>
    </row>
    <row r="2663" spans="1:76" s="81" customFormat="1" ht="25.5" x14ac:dyDescent="0.25">
      <c r="A2663" s="72" t="s">
        <v>3928</v>
      </c>
      <c r="B2663" s="72" t="s">
        <v>55</v>
      </c>
      <c r="C2663" s="72" t="s">
        <v>3929</v>
      </c>
      <c r="D2663" s="175" t="s">
        <v>3930</v>
      </c>
      <c r="E2663" s="175"/>
      <c r="F2663" s="72" t="s">
        <v>213</v>
      </c>
      <c r="G2663" s="90">
        <v>21</v>
      </c>
      <c r="H2663" s="91"/>
      <c r="I2663" s="92" t="s">
        <v>63</v>
      </c>
      <c r="J2663" s="90">
        <f t="shared" si="654"/>
        <v>0</v>
      </c>
      <c r="K2663" s="90">
        <f t="shared" si="655"/>
        <v>0</v>
      </c>
      <c r="L2663" s="90">
        <f t="shared" si="656"/>
        <v>0</v>
      </c>
      <c r="M2663" s="90">
        <f t="shared" si="657"/>
        <v>0</v>
      </c>
      <c r="N2663" s="90">
        <v>0</v>
      </c>
      <c r="O2663" s="90">
        <f t="shared" si="658"/>
        <v>0</v>
      </c>
      <c r="P2663" s="92" t="s">
        <v>1652</v>
      </c>
      <c r="Z2663" s="93">
        <f t="shared" si="659"/>
        <v>0</v>
      </c>
      <c r="AB2663" s="93">
        <f t="shared" si="660"/>
        <v>0</v>
      </c>
      <c r="AC2663" s="93">
        <f t="shared" si="661"/>
        <v>0</v>
      </c>
      <c r="AD2663" s="93">
        <f t="shared" si="662"/>
        <v>0</v>
      </c>
      <c r="AE2663" s="93">
        <f t="shared" si="663"/>
        <v>0</v>
      </c>
      <c r="AF2663" s="93">
        <f t="shared" si="664"/>
        <v>0</v>
      </c>
      <c r="AG2663" s="93">
        <f t="shared" si="665"/>
        <v>0</v>
      </c>
      <c r="AH2663" s="93">
        <f t="shared" si="666"/>
        <v>0</v>
      </c>
      <c r="AI2663" s="88" t="s">
        <v>55</v>
      </c>
      <c r="AJ2663" s="93">
        <f t="shared" si="667"/>
        <v>0</v>
      </c>
      <c r="AK2663" s="93">
        <f t="shared" si="668"/>
        <v>0</v>
      </c>
      <c r="AL2663" s="93">
        <f t="shared" si="669"/>
        <v>0</v>
      </c>
      <c r="AN2663" s="93">
        <v>21</v>
      </c>
      <c r="AO2663" s="93">
        <f t="shared" si="670"/>
        <v>0</v>
      </c>
      <c r="AP2663" s="93">
        <f t="shared" si="671"/>
        <v>0</v>
      </c>
      <c r="AQ2663" s="94" t="s">
        <v>118</v>
      </c>
      <c r="AV2663" s="93">
        <f t="shared" si="672"/>
        <v>0</v>
      </c>
      <c r="AW2663" s="93">
        <f t="shared" si="673"/>
        <v>0</v>
      </c>
      <c r="AX2663" s="93">
        <f t="shared" si="674"/>
        <v>0</v>
      </c>
      <c r="AY2663" s="94" t="s">
        <v>3503</v>
      </c>
      <c r="AZ2663" s="94" t="s">
        <v>3504</v>
      </c>
      <c r="BA2663" s="88" t="s">
        <v>67</v>
      </c>
      <c r="BC2663" s="93">
        <f t="shared" si="675"/>
        <v>0</v>
      </c>
      <c r="BD2663" s="93">
        <f t="shared" si="676"/>
        <v>0</v>
      </c>
      <c r="BE2663" s="93">
        <v>0</v>
      </c>
      <c r="BF2663" s="93">
        <f t="shared" si="677"/>
        <v>0</v>
      </c>
      <c r="BH2663" s="93">
        <f t="shared" si="678"/>
        <v>0</v>
      </c>
      <c r="BI2663" s="93">
        <f t="shared" si="679"/>
        <v>0</v>
      </c>
      <c r="BJ2663" s="93">
        <f t="shared" si="680"/>
        <v>0</v>
      </c>
      <c r="BK2663" s="93"/>
      <c r="BL2663" s="93"/>
      <c r="BW2663" s="93" t="str">
        <f t="shared" si="681"/>
        <v>21</v>
      </c>
      <c r="BX2663" s="2" t="s">
        <v>3930</v>
      </c>
    </row>
    <row r="2664" spans="1:76" s="81" customFormat="1" ht="25.5" x14ac:dyDescent="0.25">
      <c r="A2664" s="72" t="s">
        <v>3931</v>
      </c>
      <c r="B2664" s="72" t="s">
        <v>55</v>
      </c>
      <c r="C2664" s="72" t="s">
        <v>3932</v>
      </c>
      <c r="D2664" s="175" t="s">
        <v>3933</v>
      </c>
      <c r="E2664" s="175"/>
      <c r="F2664" s="72" t="s">
        <v>213</v>
      </c>
      <c r="G2664" s="90">
        <v>90</v>
      </c>
      <c r="H2664" s="91"/>
      <c r="I2664" s="92" t="s">
        <v>63</v>
      </c>
      <c r="J2664" s="90">
        <f t="shared" si="654"/>
        <v>0</v>
      </c>
      <c r="K2664" s="90">
        <f t="shared" si="655"/>
        <v>0</v>
      </c>
      <c r="L2664" s="90">
        <f t="shared" si="656"/>
        <v>0</v>
      </c>
      <c r="M2664" s="90">
        <f t="shared" si="657"/>
        <v>0</v>
      </c>
      <c r="N2664" s="90">
        <v>0</v>
      </c>
      <c r="O2664" s="90">
        <f t="shared" si="658"/>
        <v>0</v>
      </c>
      <c r="P2664" s="92" t="s">
        <v>1652</v>
      </c>
      <c r="Z2664" s="93">
        <f t="shared" si="659"/>
        <v>0</v>
      </c>
      <c r="AB2664" s="93">
        <f t="shared" si="660"/>
        <v>0</v>
      </c>
      <c r="AC2664" s="93">
        <f t="shared" si="661"/>
        <v>0</v>
      </c>
      <c r="AD2664" s="93">
        <f t="shared" si="662"/>
        <v>0</v>
      </c>
      <c r="AE2664" s="93">
        <f t="shared" si="663"/>
        <v>0</v>
      </c>
      <c r="AF2664" s="93">
        <f t="shared" si="664"/>
        <v>0</v>
      </c>
      <c r="AG2664" s="93">
        <f t="shared" si="665"/>
        <v>0</v>
      </c>
      <c r="AH2664" s="93">
        <f t="shared" si="666"/>
        <v>0</v>
      </c>
      <c r="AI2664" s="88" t="s">
        <v>55</v>
      </c>
      <c r="AJ2664" s="93">
        <f t="shared" si="667"/>
        <v>0</v>
      </c>
      <c r="AK2664" s="93">
        <f t="shared" si="668"/>
        <v>0</v>
      </c>
      <c r="AL2664" s="93">
        <f t="shared" si="669"/>
        <v>0</v>
      </c>
      <c r="AN2664" s="93">
        <v>21</v>
      </c>
      <c r="AO2664" s="93">
        <f t="shared" si="670"/>
        <v>0</v>
      </c>
      <c r="AP2664" s="93">
        <f t="shared" si="671"/>
        <v>0</v>
      </c>
      <c r="AQ2664" s="94" t="s">
        <v>118</v>
      </c>
      <c r="AV2664" s="93">
        <f t="shared" si="672"/>
        <v>0</v>
      </c>
      <c r="AW2664" s="93">
        <f t="shared" si="673"/>
        <v>0</v>
      </c>
      <c r="AX2664" s="93">
        <f t="shared" si="674"/>
        <v>0</v>
      </c>
      <c r="AY2664" s="94" t="s">
        <v>3503</v>
      </c>
      <c r="AZ2664" s="94" t="s">
        <v>3504</v>
      </c>
      <c r="BA2664" s="88" t="s">
        <v>67</v>
      </c>
      <c r="BC2664" s="93">
        <f t="shared" si="675"/>
        <v>0</v>
      </c>
      <c r="BD2664" s="93">
        <f t="shared" si="676"/>
        <v>0</v>
      </c>
      <c r="BE2664" s="93">
        <v>0</v>
      </c>
      <c r="BF2664" s="93">
        <f t="shared" si="677"/>
        <v>0</v>
      </c>
      <c r="BH2664" s="93">
        <f t="shared" si="678"/>
        <v>0</v>
      </c>
      <c r="BI2664" s="93">
        <f t="shared" si="679"/>
        <v>0</v>
      </c>
      <c r="BJ2664" s="93">
        <f t="shared" si="680"/>
        <v>0</v>
      </c>
      <c r="BK2664" s="93"/>
      <c r="BL2664" s="93"/>
      <c r="BW2664" s="93" t="str">
        <f t="shared" si="681"/>
        <v>21</v>
      </c>
      <c r="BX2664" s="2" t="s">
        <v>3933</v>
      </c>
    </row>
    <row r="2665" spans="1:76" s="81" customFormat="1" ht="25.5" x14ac:dyDescent="0.25">
      <c r="A2665" s="72" t="s">
        <v>3934</v>
      </c>
      <c r="B2665" s="72" t="s">
        <v>55</v>
      </c>
      <c r="C2665" s="72" t="s">
        <v>3935</v>
      </c>
      <c r="D2665" s="175" t="s">
        <v>3936</v>
      </c>
      <c r="E2665" s="175"/>
      <c r="F2665" s="72" t="s">
        <v>213</v>
      </c>
      <c r="G2665" s="90">
        <v>90</v>
      </c>
      <c r="H2665" s="91"/>
      <c r="I2665" s="92" t="s">
        <v>63</v>
      </c>
      <c r="J2665" s="90">
        <f t="shared" si="654"/>
        <v>0</v>
      </c>
      <c r="K2665" s="90">
        <f t="shared" si="655"/>
        <v>0</v>
      </c>
      <c r="L2665" s="90">
        <f t="shared" si="656"/>
        <v>0</v>
      </c>
      <c r="M2665" s="90">
        <f t="shared" si="657"/>
        <v>0</v>
      </c>
      <c r="N2665" s="90">
        <v>0</v>
      </c>
      <c r="O2665" s="90">
        <f t="shared" si="658"/>
        <v>0</v>
      </c>
      <c r="P2665" s="92" t="s">
        <v>1652</v>
      </c>
      <c r="Z2665" s="93">
        <f t="shared" si="659"/>
        <v>0</v>
      </c>
      <c r="AB2665" s="93">
        <f t="shared" si="660"/>
        <v>0</v>
      </c>
      <c r="AC2665" s="93">
        <f t="shared" si="661"/>
        <v>0</v>
      </c>
      <c r="AD2665" s="93">
        <f t="shared" si="662"/>
        <v>0</v>
      </c>
      <c r="AE2665" s="93">
        <f t="shared" si="663"/>
        <v>0</v>
      </c>
      <c r="AF2665" s="93">
        <f t="shared" si="664"/>
        <v>0</v>
      </c>
      <c r="AG2665" s="93">
        <f t="shared" si="665"/>
        <v>0</v>
      </c>
      <c r="AH2665" s="93">
        <f t="shared" si="666"/>
        <v>0</v>
      </c>
      <c r="AI2665" s="88" t="s">
        <v>55</v>
      </c>
      <c r="AJ2665" s="93">
        <f t="shared" si="667"/>
        <v>0</v>
      </c>
      <c r="AK2665" s="93">
        <f t="shared" si="668"/>
        <v>0</v>
      </c>
      <c r="AL2665" s="93">
        <f t="shared" si="669"/>
        <v>0</v>
      </c>
      <c r="AN2665" s="93">
        <v>21</v>
      </c>
      <c r="AO2665" s="93">
        <f t="shared" si="670"/>
        <v>0</v>
      </c>
      <c r="AP2665" s="93">
        <f t="shared" si="671"/>
        <v>0</v>
      </c>
      <c r="AQ2665" s="94" t="s">
        <v>118</v>
      </c>
      <c r="AV2665" s="93">
        <f t="shared" si="672"/>
        <v>0</v>
      </c>
      <c r="AW2665" s="93">
        <f t="shared" si="673"/>
        <v>0</v>
      </c>
      <c r="AX2665" s="93">
        <f t="shared" si="674"/>
        <v>0</v>
      </c>
      <c r="AY2665" s="94" t="s">
        <v>3503</v>
      </c>
      <c r="AZ2665" s="94" t="s">
        <v>3504</v>
      </c>
      <c r="BA2665" s="88" t="s">
        <v>67</v>
      </c>
      <c r="BC2665" s="93">
        <f t="shared" si="675"/>
        <v>0</v>
      </c>
      <c r="BD2665" s="93">
        <f t="shared" si="676"/>
        <v>0</v>
      </c>
      <c r="BE2665" s="93">
        <v>0</v>
      </c>
      <c r="BF2665" s="93">
        <f t="shared" si="677"/>
        <v>0</v>
      </c>
      <c r="BH2665" s="93">
        <f t="shared" si="678"/>
        <v>0</v>
      </c>
      <c r="BI2665" s="93">
        <f t="shared" si="679"/>
        <v>0</v>
      </c>
      <c r="BJ2665" s="93">
        <f t="shared" si="680"/>
        <v>0</v>
      </c>
      <c r="BK2665" s="93"/>
      <c r="BL2665" s="93"/>
      <c r="BW2665" s="93" t="str">
        <f t="shared" si="681"/>
        <v>21</v>
      </c>
      <c r="BX2665" s="2" t="s">
        <v>3936</v>
      </c>
    </row>
    <row r="2666" spans="1:76" s="81" customFormat="1" ht="25.5" x14ac:dyDescent="0.25">
      <c r="A2666" s="72" t="s">
        <v>3937</v>
      </c>
      <c r="B2666" s="72" t="s">
        <v>55</v>
      </c>
      <c r="C2666" s="72" t="s">
        <v>3938</v>
      </c>
      <c r="D2666" s="175" t="s">
        <v>3918</v>
      </c>
      <c r="E2666" s="175"/>
      <c r="F2666" s="72" t="s">
        <v>213</v>
      </c>
      <c r="G2666" s="90">
        <v>240</v>
      </c>
      <c r="H2666" s="91"/>
      <c r="I2666" s="92" t="s">
        <v>63</v>
      </c>
      <c r="J2666" s="90">
        <f t="shared" si="654"/>
        <v>0</v>
      </c>
      <c r="K2666" s="90">
        <f t="shared" si="655"/>
        <v>0</v>
      </c>
      <c r="L2666" s="90">
        <f t="shared" si="656"/>
        <v>0</v>
      </c>
      <c r="M2666" s="90">
        <f t="shared" si="657"/>
        <v>0</v>
      </c>
      <c r="N2666" s="90">
        <v>0</v>
      </c>
      <c r="O2666" s="90">
        <f t="shared" si="658"/>
        <v>0</v>
      </c>
      <c r="P2666" s="92" t="s">
        <v>1652</v>
      </c>
      <c r="Z2666" s="93">
        <f t="shared" si="659"/>
        <v>0</v>
      </c>
      <c r="AB2666" s="93">
        <f t="shared" si="660"/>
        <v>0</v>
      </c>
      <c r="AC2666" s="93">
        <f t="shared" si="661"/>
        <v>0</v>
      </c>
      <c r="AD2666" s="93">
        <f t="shared" si="662"/>
        <v>0</v>
      </c>
      <c r="AE2666" s="93">
        <f t="shared" si="663"/>
        <v>0</v>
      </c>
      <c r="AF2666" s="93">
        <f t="shared" si="664"/>
        <v>0</v>
      </c>
      <c r="AG2666" s="93">
        <f t="shared" si="665"/>
        <v>0</v>
      </c>
      <c r="AH2666" s="93">
        <f t="shared" si="666"/>
        <v>0</v>
      </c>
      <c r="AI2666" s="88" t="s">
        <v>55</v>
      </c>
      <c r="AJ2666" s="93">
        <f t="shared" si="667"/>
        <v>0</v>
      </c>
      <c r="AK2666" s="93">
        <f t="shared" si="668"/>
        <v>0</v>
      </c>
      <c r="AL2666" s="93">
        <f t="shared" si="669"/>
        <v>0</v>
      </c>
      <c r="AN2666" s="93">
        <v>21</v>
      </c>
      <c r="AO2666" s="93">
        <f t="shared" si="670"/>
        <v>0</v>
      </c>
      <c r="AP2666" s="93">
        <f t="shared" si="671"/>
        <v>0</v>
      </c>
      <c r="AQ2666" s="94" t="s">
        <v>118</v>
      </c>
      <c r="AV2666" s="93">
        <f t="shared" si="672"/>
        <v>0</v>
      </c>
      <c r="AW2666" s="93">
        <f t="shared" si="673"/>
        <v>0</v>
      </c>
      <c r="AX2666" s="93">
        <f t="shared" si="674"/>
        <v>0</v>
      </c>
      <c r="AY2666" s="94" t="s">
        <v>3503</v>
      </c>
      <c r="AZ2666" s="94" t="s">
        <v>3504</v>
      </c>
      <c r="BA2666" s="88" t="s">
        <v>67</v>
      </c>
      <c r="BC2666" s="93">
        <f t="shared" si="675"/>
        <v>0</v>
      </c>
      <c r="BD2666" s="93">
        <f t="shared" si="676"/>
        <v>0</v>
      </c>
      <c r="BE2666" s="93">
        <v>0</v>
      </c>
      <c r="BF2666" s="93">
        <f t="shared" si="677"/>
        <v>0</v>
      </c>
      <c r="BH2666" s="93">
        <f t="shared" si="678"/>
        <v>0</v>
      </c>
      <c r="BI2666" s="93">
        <f t="shared" si="679"/>
        <v>0</v>
      </c>
      <c r="BJ2666" s="93">
        <f t="shared" si="680"/>
        <v>0</v>
      </c>
      <c r="BK2666" s="93"/>
      <c r="BL2666" s="93"/>
      <c r="BW2666" s="93" t="str">
        <f t="shared" si="681"/>
        <v>21</v>
      </c>
      <c r="BX2666" s="2" t="s">
        <v>3918</v>
      </c>
    </row>
    <row r="2667" spans="1:76" s="81" customFormat="1" ht="25.5" x14ac:dyDescent="0.25">
      <c r="A2667" s="72" t="s">
        <v>3939</v>
      </c>
      <c r="B2667" s="72" t="s">
        <v>55</v>
      </c>
      <c r="C2667" s="72" t="s">
        <v>3940</v>
      </c>
      <c r="D2667" s="175" t="s">
        <v>3921</v>
      </c>
      <c r="E2667" s="175"/>
      <c r="F2667" s="72" t="s">
        <v>213</v>
      </c>
      <c r="G2667" s="90">
        <v>91</v>
      </c>
      <c r="H2667" s="91"/>
      <c r="I2667" s="92" t="s">
        <v>63</v>
      </c>
      <c r="J2667" s="90">
        <f t="shared" si="654"/>
        <v>0</v>
      </c>
      <c r="K2667" s="90">
        <f t="shared" si="655"/>
        <v>0</v>
      </c>
      <c r="L2667" s="90">
        <f t="shared" si="656"/>
        <v>0</v>
      </c>
      <c r="M2667" s="90">
        <f t="shared" si="657"/>
        <v>0</v>
      </c>
      <c r="N2667" s="90">
        <v>0</v>
      </c>
      <c r="O2667" s="90">
        <f t="shared" si="658"/>
        <v>0</v>
      </c>
      <c r="P2667" s="92" t="s">
        <v>1652</v>
      </c>
      <c r="Z2667" s="93">
        <f t="shared" si="659"/>
        <v>0</v>
      </c>
      <c r="AB2667" s="93">
        <f t="shared" si="660"/>
        <v>0</v>
      </c>
      <c r="AC2667" s="93">
        <f t="shared" si="661"/>
        <v>0</v>
      </c>
      <c r="AD2667" s="93">
        <f t="shared" si="662"/>
        <v>0</v>
      </c>
      <c r="AE2667" s="93">
        <f t="shared" si="663"/>
        <v>0</v>
      </c>
      <c r="AF2667" s="93">
        <f t="shared" si="664"/>
        <v>0</v>
      </c>
      <c r="AG2667" s="93">
        <f t="shared" si="665"/>
        <v>0</v>
      </c>
      <c r="AH2667" s="93">
        <f t="shared" si="666"/>
        <v>0</v>
      </c>
      <c r="AI2667" s="88" t="s">
        <v>55</v>
      </c>
      <c r="AJ2667" s="93">
        <f t="shared" si="667"/>
        <v>0</v>
      </c>
      <c r="AK2667" s="93">
        <f t="shared" si="668"/>
        <v>0</v>
      </c>
      <c r="AL2667" s="93">
        <f t="shared" si="669"/>
        <v>0</v>
      </c>
      <c r="AN2667" s="93">
        <v>21</v>
      </c>
      <c r="AO2667" s="93">
        <f t="shared" si="670"/>
        <v>0</v>
      </c>
      <c r="AP2667" s="93">
        <f t="shared" si="671"/>
        <v>0</v>
      </c>
      <c r="AQ2667" s="94" t="s">
        <v>118</v>
      </c>
      <c r="AV2667" s="93">
        <f t="shared" si="672"/>
        <v>0</v>
      </c>
      <c r="AW2667" s="93">
        <f t="shared" si="673"/>
        <v>0</v>
      </c>
      <c r="AX2667" s="93">
        <f t="shared" si="674"/>
        <v>0</v>
      </c>
      <c r="AY2667" s="94" t="s">
        <v>3503</v>
      </c>
      <c r="AZ2667" s="94" t="s">
        <v>3504</v>
      </c>
      <c r="BA2667" s="88" t="s">
        <v>67</v>
      </c>
      <c r="BC2667" s="93">
        <f t="shared" si="675"/>
        <v>0</v>
      </c>
      <c r="BD2667" s="93">
        <f t="shared" si="676"/>
        <v>0</v>
      </c>
      <c r="BE2667" s="93">
        <v>0</v>
      </c>
      <c r="BF2667" s="93">
        <f t="shared" si="677"/>
        <v>0</v>
      </c>
      <c r="BH2667" s="93">
        <f t="shared" si="678"/>
        <v>0</v>
      </c>
      <c r="BI2667" s="93">
        <f t="shared" si="679"/>
        <v>0</v>
      </c>
      <c r="BJ2667" s="93">
        <f t="shared" si="680"/>
        <v>0</v>
      </c>
      <c r="BK2667" s="93"/>
      <c r="BL2667" s="93"/>
      <c r="BW2667" s="93" t="str">
        <f t="shared" si="681"/>
        <v>21</v>
      </c>
      <c r="BX2667" s="2" t="s">
        <v>3921</v>
      </c>
    </row>
    <row r="2668" spans="1:76" s="81" customFormat="1" ht="25.5" x14ac:dyDescent="0.25">
      <c r="A2668" s="72" t="s">
        <v>3941</v>
      </c>
      <c r="B2668" s="72" t="s">
        <v>55</v>
      </c>
      <c r="C2668" s="72" t="s">
        <v>3942</v>
      </c>
      <c r="D2668" s="175" t="s">
        <v>3943</v>
      </c>
      <c r="E2668" s="175"/>
      <c r="F2668" s="72" t="s">
        <v>62</v>
      </c>
      <c r="G2668" s="90">
        <v>85</v>
      </c>
      <c r="H2668" s="91"/>
      <c r="I2668" s="92" t="s">
        <v>63</v>
      </c>
      <c r="J2668" s="90">
        <f t="shared" si="654"/>
        <v>0</v>
      </c>
      <c r="K2668" s="90">
        <f t="shared" si="655"/>
        <v>0</v>
      </c>
      <c r="L2668" s="90">
        <f t="shared" si="656"/>
        <v>0</v>
      </c>
      <c r="M2668" s="90">
        <f t="shared" si="657"/>
        <v>0</v>
      </c>
      <c r="N2668" s="90">
        <v>0</v>
      </c>
      <c r="O2668" s="90">
        <f t="shared" si="658"/>
        <v>0</v>
      </c>
      <c r="P2668" s="92" t="s">
        <v>1652</v>
      </c>
      <c r="Z2668" s="93">
        <f t="shared" si="659"/>
        <v>0</v>
      </c>
      <c r="AB2668" s="93">
        <f t="shared" si="660"/>
        <v>0</v>
      </c>
      <c r="AC2668" s="93">
        <f t="shared" si="661"/>
        <v>0</v>
      </c>
      <c r="AD2668" s="93">
        <f t="shared" si="662"/>
        <v>0</v>
      </c>
      <c r="AE2668" s="93">
        <f t="shared" si="663"/>
        <v>0</v>
      </c>
      <c r="AF2668" s="93">
        <f t="shared" si="664"/>
        <v>0</v>
      </c>
      <c r="AG2668" s="93">
        <f t="shared" si="665"/>
        <v>0</v>
      </c>
      <c r="AH2668" s="93">
        <f t="shared" si="666"/>
        <v>0</v>
      </c>
      <c r="AI2668" s="88" t="s">
        <v>55</v>
      </c>
      <c r="AJ2668" s="93">
        <f t="shared" si="667"/>
        <v>0</v>
      </c>
      <c r="AK2668" s="93">
        <f t="shared" si="668"/>
        <v>0</v>
      </c>
      <c r="AL2668" s="93">
        <f t="shared" si="669"/>
        <v>0</v>
      </c>
      <c r="AN2668" s="93">
        <v>21</v>
      </c>
      <c r="AO2668" s="93">
        <f t="shared" si="670"/>
        <v>0</v>
      </c>
      <c r="AP2668" s="93">
        <f t="shared" si="671"/>
        <v>0</v>
      </c>
      <c r="AQ2668" s="94" t="s">
        <v>118</v>
      </c>
      <c r="AV2668" s="93">
        <f t="shared" si="672"/>
        <v>0</v>
      </c>
      <c r="AW2668" s="93">
        <f t="shared" si="673"/>
        <v>0</v>
      </c>
      <c r="AX2668" s="93">
        <f t="shared" si="674"/>
        <v>0</v>
      </c>
      <c r="AY2668" s="94" t="s">
        <v>3503</v>
      </c>
      <c r="AZ2668" s="94" t="s">
        <v>3504</v>
      </c>
      <c r="BA2668" s="88" t="s">
        <v>67</v>
      </c>
      <c r="BC2668" s="93">
        <f t="shared" si="675"/>
        <v>0</v>
      </c>
      <c r="BD2668" s="93">
        <f t="shared" si="676"/>
        <v>0</v>
      </c>
      <c r="BE2668" s="93">
        <v>0</v>
      </c>
      <c r="BF2668" s="93">
        <f t="shared" si="677"/>
        <v>0</v>
      </c>
      <c r="BH2668" s="93">
        <f t="shared" si="678"/>
        <v>0</v>
      </c>
      <c r="BI2668" s="93">
        <f t="shared" si="679"/>
        <v>0</v>
      </c>
      <c r="BJ2668" s="93">
        <f t="shared" si="680"/>
        <v>0</v>
      </c>
      <c r="BK2668" s="93"/>
      <c r="BL2668" s="93"/>
      <c r="BW2668" s="93" t="str">
        <f t="shared" si="681"/>
        <v>21</v>
      </c>
      <c r="BX2668" s="2" t="s">
        <v>3943</v>
      </c>
    </row>
    <row r="2669" spans="1:76" s="81" customFormat="1" ht="25.5" x14ac:dyDescent="0.25">
      <c r="A2669" s="72" t="s">
        <v>3944</v>
      </c>
      <c r="B2669" s="72" t="s">
        <v>55</v>
      </c>
      <c r="C2669" s="72" t="s">
        <v>3945</v>
      </c>
      <c r="D2669" s="175" t="s">
        <v>3946</v>
      </c>
      <c r="E2669" s="175"/>
      <c r="F2669" s="72" t="s">
        <v>62</v>
      </c>
      <c r="G2669" s="90">
        <v>85</v>
      </c>
      <c r="H2669" s="91"/>
      <c r="I2669" s="92" t="s">
        <v>63</v>
      </c>
      <c r="J2669" s="90">
        <f t="shared" si="654"/>
        <v>0</v>
      </c>
      <c r="K2669" s="90">
        <f t="shared" si="655"/>
        <v>0</v>
      </c>
      <c r="L2669" s="90">
        <f t="shared" si="656"/>
        <v>0</v>
      </c>
      <c r="M2669" s="90">
        <f t="shared" si="657"/>
        <v>0</v>
      </c>
      <c r="N2669" s="90">
        <v>0</v>
      </c>
      <c r="O2669" s="90">
        <f t="shared" si="658"/>
        <v>0</v>
      </c>
      <c r="P2669" s="92" t="s">
        <v>1652</v>
      </c>
      <c r="Z2669" s="93">
        <f t="shared" si="659"/>
        <v>0</v>
      </c>
      <c r="AB2669" s="93">
        <f t="shared" si="660"/>
        <v>0</v>
      </c>
      <c r="AC2669" s="93">
        <f t="shared" si="661"/>
        <v>0</v>
      </c>
      <c r="AD2669" s="93">
        <f t="shared" si="662"/>
        <v>0</v>
      </c>
      <c r="AE2669" s="93">
        <f t="shared" si="663"/>
        <v>0</v>
      </c>
      <c r="AF2669" s="93">
        <f t="shared" si="664"/>
        <v>0</v>
      </c>
      <c r="AG2669" s="93">
        <f t="shared" si="665"/>
        <v>0</v>
      </c>
      <c r="AH2669" s="93">
        <f t="shared" si="666"/>
        <v>0</v>
      </c>
      <c r="AI2669" s="88" t="s">
        <v>55</v>
      </c>
      <c r="AJ2669" s="93">
        <f t="shared" si="667"/>
        <v>0</v>
      </c>
      <c r="AK2669" s="93">
        <f t="shared" si="668"/>
        <v>0</v>
      </c>
      <c r="AL2669" s="93">
        <f t="shared" si="669"/>
        <v>0</v>
      </c>
      <c r="AN2669" s="93">
        <v>21</v>
      </c>
      <c r="AO2669" s="93">
        <f t="shared" si="670"/>
        <v>0</v>
      </c>
      <c r="AP2669" s="93">
        <f t="shared" si="671"/>
        <v>0</v>
      </c>
      <c r="AQ2669" s="94" t="s">
        <v>118</v>
      </c>
      <c r="AV2669" s="93">
        <f t="shared" si="672"/>
        <v>0</v>
      </c>
      <c r="AW2669" s="93">
        <f t="shared" si="673"/>
        <v>0</v>
      </c>
      <c r="AX2669" s="93">
        <f t="shared" si="674"/>
        <v>0</v>
      </c>
      <c r="AY2669" s="94" t="s">
        <v>3503</v>
      </c>
      <c r="AZ2669" s="94" t="s">
        <v>3504</v>
      </c>
      <c r="BA2669" s="88" t="s">
        <v>67</v>
      </c>
      <c r="BC2669" s="93">
        <f t="shared" si="675"/>
        <v>0</v>
      </c>
      <c r="BD2669" s="93">
        <f t="shared" si="676"/>
        <v>0</v>
      </c>
      <c r="BE2669" s="93">
        <v>0</v>
      </c>
      <c r="BF2669" s="93">
        <f t="shared" si="677"/>
        <v>0</v>
      </c>
      <c r="BH2669" s="93">
        <f t="shared" si="678"/>
        <v>0</v>
      </c>
      <c r="BI2669" s="93">
        <f t="shared" si="679"/>
        <v>0</v>
      </c>
      <c r="BJ2669" s="93">
        <f t="shared" si="680"/>
        <v>0</v>
      </c>
      <c r="BK2669" s="93"/>
      <c r="BL2669" s="93"/>
      <c r="BW2669" s="93" t="str">
        <f t="shared" si="681"/>
        <v>21</v>
      </c>
      <c r="BX2669" s="2" t="s">
        <v>3946</v>
      </c>
    </row>
    <row r="2670" spans="1:76" s="81" customFormat="1" ht="25.5" x14ac:dyDescent="0.25">
      <c r="A2670" s="72" t="s">
        <v>3947</v>
      </c>
      <c r="B2670" s="72" t="s">
        <v>55</v>
      </c>
      <c r="C2670" s="72" t="s">
        <v>3948</v>
      </c>
      <c r="D2670" s="175" t="s">
        <v>3949</v>
      </c>
      <c r="E2670" s="175"/>
      <c r="F2670" s="72" t="s">
        <v>192</v>
      </c>
      <c r="G2670" s="90">
        <v>160</v>
      </c>
      <c r="H2670" s="91"/>
      <c r="I2670" s="92" t="s">
        <v>63</v>
      </c>
      <c r="J2670" s="90">
        <f t="shared" si="654"/>
        <v>0</v>
      </c>
      <c r="K2670" s="90">
        <f t="shared" si="655"/>
        <v>0</v>
      </c>
      <c r="L2670" s="90">
        <f t="shared" si="656"/>
        <v>0</v>
      </c>
      <c r="M2670" s="90">
        <f t="shared" si="657"/>
        <v>0</v>
      </c>
      <c r="N2670" s="90">
        <v>0</v>
      </c>
      <c r="O2670" s="90">
        <f t="shared" si="658"/>
        <v>0</v>
      </c>
      <c r="P2670" s="92" t="s">
        <v>1652</v>
      </c>
      <c r="Z2670" s="93">
        <f t="shared" si="659"/>
        <v>0</v>
      </c>
      <c r="AB2670" s="93">
        <f t="shared" si="660"/>
        <v>0</v>
      </c>
      <c r="AC2670" s="93">
        <f t="shared" si="661"/>
        <v>0</v>
      </c>
      <c r="AD2670" s="93">
        <f t="shared" si="662"/>
        <v>0</v>
      </c>
      <c r="AE2670" s="93">
        <f t="shared" si="663"/>
        <v>0</v>
      </c>
      <c r="AF2670" s="93">
        <f t="shared" si="664"/>
        <v>0</v>
      </c>
      <c r="AG2670" s="93">
        <f t="shared" si="665"/>
        <v>0</v>
      </c>
      <c r="AH2670" s="93">
        <f t="shared" si="666"/>
        <v>0</v>
      </c>
      <c r="AI2670" s="88" t="s">
        <v>55</v>
      </c>
      <c r="AJ2670" s="93">
        <f t="shared" si="667"/>
        <v>0</v>
      </c>
      <c r="AK2670" s="93">
        <f t="shared" si="668"/>
        <v>0</v>
      </c>
      <c r="AL2670" s="93">
        <f t="shared" si="669"/>
        <v>0</v>
      </c>
      <c r="AN2670" s="93">
        <v>21</v>
      </c>
      <c r="AO2670" s="93">
        <f t="shared" si="670"/>
        <v>0</v>
      </c>
      <c r="AP2670" s="93">
        <f t="shared" si="671"/>
        <v>0</v>
      </c>
      <c r="AQ2670" s="94" t="s">
        <v>118</v>
      </c>
      <c r="AV2670" s="93">
        <f t="shared" si="672"/>
        <v>0</v>
      </c>
      <c r="AW2670" s="93">
        <f t="shared" si="673"/>
        <v>0</v>
      </c>
      <c r="AX2670" s="93">
        <f t="shared" si="674"/>
        <v>0</v>
      </c>
      <c r="AY2670" s="94" t="s">
        <v>3503</v>
      </c>
      <c r="AZ2670" s="94" t="s">
        <v>3504</v>
      </c>
      <c r="BA2670" s="88" t="s">
        <v>67</v>
      </c>
      <c r="BC2670" s="93">
        <f t="shared" si="675"/>
        <v>0</v>
      </c>
      <c r="BD2670" s="93">
        <f t="shared" si="676"/>
        <v>0</v>
      </c>
      <c r="BE2670" s="93">
        <v>0</v>
      </c>
      <c r="BF2670" s="93">
        <f t="shared" si="677"/>
        <v>0</v>
      </c>
      <c r="BH2670" s="93">
        <f t="shared" si="678"/>
        <v>0</v>
      </c>
      <c r="BI2670" s="93">
        <f t="shared" si="679"/>
        <v>0</v>
      </c>
      <c r="BJ2670" s="93">
        <f t="shared" si="680"/>
        <v>0</v>
      </c>
      <c r="BK2670" s="93"/>
      <c r="BL2670" s="93"/>
      <c r="BW2670" s="93" t="str">
        <f t="shared" si="681"/>
        <v>21</v>
      </c>
      <c r="BX2670" s="2" t="s">
        <v>3949</v>
      </c>
    </row>
    <row r="2671" spans="1:76" s="81" customFormat="1" ht="25.5" x14ac:dyDescent="0.25">
      <c r="A2671" s="72" t="s">
        <v>3950</v>
      </c>
      <c r="B2671" s="72" t="s">
        <v>55</v>
      </c>
      <c r="C2671" s="72" t="s">
        <v>3951</v>
      </c>
      <c r="D2671" s="175" t="s">
        <v>3952</v>
      </c>
      <c r="E2671" s="175"/>
      <c r="F2671" s="72" t="s">
        <v>213</v>
      </c>
      <c r="G2671" s="90">
        <v>25</v>
      </c>
      <c r="H2671" s="91"/>
      <c r="I2671" s="92" t="s">
        <v>63</v>
      </c>
      <c r="J2671" s="90">
        <f t="shared" si="654"/>
        <v>0</v>
      </c>
      <c r="K2671" s="90">
        <f t="shared" si="655"/>
        <v>0</v>
      </c>
      <c r="L2671" s="90">
        <f t="shared" si="656"/>
        <v>0</v>
      </c>
      <c r="M2671" s="90">
        <f t="shared" si="657"/>
        <v>0</v>
      </c>
      <c r="N2671" s="90">
        <v>0</v>
      </c>
      <c r="O2671" s="90">
        <f t="shared" si="658"/>
        <v>0</v>
      </c>
      <c r="P2671" s="92" t="s">
        <v>1652</v>
      </c>
      <c r="Z2671" s="93">
        <f t="shared" si="659"/>
        <v>0</v>
      </c>
      <c r="AB2671" s="93">
        <f t="shared" si="660"/>
        <v>0</v>
      </c>
      <c r="AC2671" s="93">
        <f t="shared" si="661"/>
        <v>0</v>
      </c>
      <c r="AD2671" s="93">
        <f t="shared" si="662"/>
        <v>0</v>
      </c>
      <c r="AE2671" s="93">
        <f t="shared" si="663"/>
        <v>0</v>
      </c>
      <c r="AF2671" s="93">
        <f t="shared" si="664"/>
        <v>0</v>
      </c>
      <c r="AG2671" s="93">
        <f t="shared" si="665"/>
        <v>0</v>
      </c>
      <c r="AH2671" s="93">
        <f t="shared" si="666"/>
        <v>0</v>
      </c>
      <c r="AI2671" s="88" t="s">
        <v>55</v>
      </c>
      <c r="AJ2671" s="93">
        <f t="shared" si="667"/>
        <v>0</v>
      </c>
      <c r="AK2671" s="93">
        <f t="shared" si="668"/>
        <v>0</v>
      </c>
      <c r="AL2671" s="93">
        <f t="shared" si="669"/>
        <v>0</v>
      </c>
      <c r="AN2671" s="93">
        <v>21</v>
      </c>
      <c r="AO2671" s="93">
        <f t="shared" si="670"/>
        <v>0</v>
      </c>
      <c r="AP2671" s="93">
        <f t="shared" si="671"/>
        <v>0</v>
      </c>
      <c r="AQ2671" s="94" t="s">
        <v>118</v>
      </c>
      <c r="AV2671" s="93">
        <f t="shared" si="672"/>
        <v>0</v>
      </c>
      <c r="AW2671" s="93">
        <f t="shared" si="673"/>
        <v>0</v>
      </c>
      <c r="AX2671" s="93">
        <f t="shared" si="674"/>
        <v>0</v>
      </c>
      <c r="AY2671" s="94" t="s">
        <v>3503</v>
      </c>
      <c r="AZ2671" s="94" t="s">
        <v>3504</v>
      </c>
      <c r="BA2671" s="88" t="s">
        <v>67</v>
      </c>
      <c r="BC2671" s="93">
        <f t="shared" si="675"/>
        <v>0</v>
      </c>
      <c r="BD2671" s="93">
        <f t="shared" si="676"/>
        <v>0</v>
      </c>
      <c r="BE2671" s="93">
        <v>0</v>
      </c>
      <c r="BF2671" s="93">
        <f t="shared" si="677"/>
        <v>0</v>
      </c>
      <c r="BH2671" s="93">
        <f t="shared" si="678"/>
        <v>0</v>
      </c>
      <c r="BI2671" s="93">
        <f t="shared" si="679"/>
        <v>0</v>
      </c>
      <c r="BJ2671" s="93">
        <f t="shared" si="680"/>
        <v>0</v>
      </c>
      <c r="BK2671" s="93"/>
      <c r="BL2671" s="93"/>
      <c r="BW2671" s="93" t="str">
        <f t="shared" si="681"/>
        <v>21</v>
      </c>
      <c r="BX2671" s="2" t="s">
        <v>3952</v>
      </c>
    </row>
    <row r="2672" spans="1:76" s="81" customFormat="1" ht="25.5" x14ac:dyDescent="0.25">
      <c r="A2672" s="72" t="s">
        <v>3953</v>
      </c>
      <c r="B2672" s="72" t="s">
        <v>55</v>
      </c>
      <c r="C2672" s="72" t="s">
        <v>3954</v>
      </c>
      <c r="D2672" s="175" t="s">
        <v>3955</v>
      </c>
      <c r="E2672" s="175"/>
      <c r="F2672" s="72" t="s">
        <v>213</v>
      </c>
      <c r="G2672" s="90">
        <v>120</v>
      </c>
      <c r="H2672" s="91"/>
      <c r="I2672" s="92" t="s">
        <v>63</v>
      </c>
      <c r="J2672" s="90">
        <f t="shared" si="654"/>
        <v>0</v>
      </c>
      <c r="K2672" s="90">
        <f t="shared" si="655"/>
        <v>0</v>
      </c>
      <c r="L2672" s="90">
        <f t="shared" si="656"/>
        <v>0</v>
      </c>
      <c r="M2672" s="90">
        <f t="shared" si="657"/>
        <v>0</v>
      </c>
      <c r="N2672" s="90">
        <v>0</v>
      </c>
      <c r="O2672" s="90">
        <f t="shared" si="658"/>
        <v>0</v>
      </c>
      <c r="P2672" s="92" t="s">
        <v>1652</v>
      </c>
      <c r="Z2672" s="93">
        <f t="shared" si="659"/>
        <v>0</v>
      </c>
      <c r="AB2672" s="93">
        <f t="shared" si="660"/>
        <v>0</v>
      </c>
      <c r="AC2672" s="93">
        <f t="shared" si="661"/>
        <v>0</v>
      </c>
      <c r="AD2672" s="93">
        <f t="shared" si="662"/>
        <v>0</v>
      </c>
      <c r="AE2672" s="93">
        <f t="shared" si="663"/>
        <v>0</v>
      </c>
      <c r="AF2672" s="93">
        <f t="shared" si="664"/>
        <v>0</v>
      </c>
      <c r="AG2672" s="93">
        <f t="shared" si="665"/>
        <v>0</v>
      </c>
      <c r="AH2672" s="93">
        <f t="shared" si="666"/>
        <v>0</v>
      </c>
      <c r="AI2672" s="88" t="s">
        <v>55</v>
      </c>
      <c r="AJ2672" s="93">
        <f t="shared" si="667"/>
        <v>0</v>
      </c>
      <c r="AK2672" s="93">
        <f t="shared" si="668"/>
        <v>0</v>
      </c>
      <c r="AL2672" s="93">
        <f t="shared" si="669"/>
        <v>0</v>
      </c>
      <c r="AN2672" s="93">
        <v>21</v>
      </c>
      <c r="AO2672" s="93">
        <f t="shared" si="670"/>
        <v>0</v>
      </c>
      <c r="AP2672" s="93">
        <f t="shared" si="671"/>
        <v>0</v>
      </c>
      <c r="AQ2672" s="94" t="s">
        <v>118</v>
      </c>
      <c r="AV2672" s="93">
        <f t="shared" si="672"/>
        <v>0</v>
      </c>
      <c r="AW2672" s="93">
        <f t="shared" si="673"/>
        <v>0</v>
      </c>
      <c r="AX2672" s="93">
        <f t="shared" si="674"/>
        <v>0</v>
      </c>
      <c r="AY2672" s="94" t="s">
        <v>3503</v>
      </c>
      <c r="AZ2672" s="94" t="s">
        <v>3504</v>
      </c>
      <c r="BA2672" s="88" t="s">
        <v>67</v>
      </c>
      <c r="BC2672" s="93">
        <f t="shared" si="675"/>
        <v>0</v>
      </c>
      <c r="BD2672" s="93">
        <f t="shared" si="676"/>
        <v>0</v>
      </c>
      <c r="BE2672" s="93">
        <v>0</v>
      </c>
      <c r="BF2672" s="93">
        <f t="shared" si="677"/>
        <v>0</v>
      </c>
      <c r="BH2672" s="93">
        <f t="shared" si="678"/>
        <v>0</v>
      </c>
      <c r="BI2672" s="93">
        <f t="shared" si="679"/>
        <v>0</v>
      </c>
      <c r="BJ2672" s="93">
        <f t="shared" si="680"/>
        <v>0</v>
      </c>
      <c r="BK2672" s="93"/>
      <c r="BL2672" s="93"/>
      <c r="BW2672" s="93" t="str">
        <f t="shared" si="681"/>
        <v>21</v>
      </c>
      <c r="BX2672" s="2" t="s">
        <v>3955</v>
      </c>
    </row>
    <row r="2673" spans="1:76" s="81" customFormat="1" ht="25.5" x14ac:dyDescent="0.25">
      <c r="A2673" s="72" t="s">
        <v>3956</v>
      </c>
      <c r="B2673" s="72" t="s">
        <v>55</v>
      </c>
      <c r="C2673" s="72" t="s">
        <v>3957</v>
      </c>
      <c r="D2673" s="175" t="s">
        <v>3958</v>
      </c>
      <c r="E2673" s="175"/>
      <c r="F2673" s="72" t="s">
        <v>213</v>
      </c>
      <c r="G2673" s="90">
        <v>28</v>
      </c>
      <c r="H2673" s="91"/>
      <c r="I2673" s="92" t="s">
        <v>63</v>
      </c>
      <c r="J2673" s="90">
        <f t="shared" si="654"/>
        <v>0</v>
      </c>
      <c r="K2673" s="90">
        <f t="shared" si="655"/>
        <v>0</v>
      </c>
      <c r="L2673" s="90">
        <f t="shared" si="656"/>
        <v>0</v>
      </c>
      <c r="M2673" s="90">
        <f t="shared" si="657"/>
        <v>0</v>
      </c>
      <c r="N2673" s="90">
        <v>0</v>
      </c>
      <c r="O2673" s="90">
        <f t="shared" si="658"/>
        <v>0</v>
      </c>
      <c r="P2673" s="92" t="s">
        <v>1652</v>
      </c>
      <c r="Z2673" s="93">
        <f t="shared" si="659"/>
        <v>0</v>
      </c>
      <c r="AB2673" s="93">
        <f t="shared" si="660"/>
        <v>0</v>
      </c>
      <c r="AC2673" s="93">
        <f t="shared" si="661"/>
        <v>0</v>
      </c>
      <c r="AD2673" s="93">
        <f t="shared" si="662"/>
        <v>0</v>
      </c>
      <c r="AE2673" s="93">
        <f t="shared" si="663"/>
        <v>0</v>
      </c>
      <c r="AF2673" s="93">
        <f t="shared" si="664"/>
        <v>0</v>
      </c>
      <c r="AG2673" s="93">
        <f t="shared" si="665"/>
        <v>0</v>
      </c>
      <c r="AH2673" s="93">
        <f t="shared" si="666"/>
        <v>0</v>
      </c>
      <c r="AI2673" s="88" t="s">
        <v>55</v>
      </c>
      <c r="AJ2673" s="93">
        <f t="shared" si="667"/>
        <v>0</v>
      </c>
      <c r="AK2673" s="93">
        <f t="shared" si="668"/>
        <v>0</v>
      </c>
      <c r="AL2673" s="93">
        <f t="shared" si="669"/>
        <v>0</v>
      </c>
      <c r="AN2673" s="93">
        <v>21</v>
      </c>
      <c r="AO2673" s="93">
        <f t="shared" si="670"/>
        <v>0</v>
      </c>
      <c r="AP2673" s="93">
        <f t="shared" si="671"/>
        <v>0</v>
      </c>
      <c r="AQ2673" s="94" t="s">
        <v>118</v>
      </c>
      <c r="AV2673" s="93">
        <f t="shared" si="672"/>
        <v>0</v>
      </c>
      <c r="AW2673" s="93">
        <f t="shared" si="673"/>
        <v>0</v>
      </c>
      <c r="AX2673" s="93">
        <f t="shared" si="674"/>
        <v>0</v>
      </c>
      <c r="AY2673" s="94" t="s">
        <v>3503</v>
      </c>
      <c r="AZ2673" s="94" t="s">
        <v>3504</v>
      </c>
      <c r="BA2673" s="88" t="s">
        <v>67</v>
      </c>
      <c r="BC2673" s="93">
        <f t="shared" si="675"/>
        <v>0</v>
      </c>
      <c r="BD2673" s="93">
        <f t="shared" si="676"/>
        <v>0</v>
      </c>
      <c r="BE2673" s="93">
        <v>0</v>
      </c>
      <c r="BF2673" s="93">
        <f t="shared" si="677"/>
        <v>0</v>
      </c>
      <c r="BH2673" s="93">
        <f t="shared" si="678"/>
        <v>0</v>
      </c>
      <c r="BI2673" s="93">
        <f t="shared" si="679"/>
        <v>0</v>
      </c>
      <c r="BJ2673" s="93">
        <f t="shared" si="680"/>
        <v>0</v>
      </c>
      <c r="BK2673" s="93"/>
      <c r="BL2673" s="93"/>
      <c r="BW2673" s="93" t="str">
        <f t="shared" si="681"/>
        <v>21</v>
      </c>
      <c r="BX2673" s="2" t="s">
        <v>3958</v>
      </c>
    </row>
    <row r="2674" spans="1:76" s="81" customFormat="1" ht="25.5" x14ac:dyDescent="0.25">
      <c r="A2674" s="72" t="s">
        <v>3959</v>
      </c>
      <c r="B2674" s="72" t="s">
        <v>55</v>
      </c>
      <c r="C2674" s="72" t="s">
        <v>3960</v>
      </c>
      <c r="D2674" s="175" t="s">
        <v>3961</v>
      </c>
      <c r="E2674" s="175"/>
      <c r="F2674" s="72" t="s">
        <v>203</v>
      </c>
      <c r="G2674" s="90">
        <v>5</v>
      </c>
      <c r="H2674" s="91"/>
      <c r="I2674" s="92" t="s">
        <v>63</v>
      </c>
      <c r="J2674" s="90">
        <f t="shared" si="654"/>
        <v>0</v>
      </c>
      <c r="K2674" s="90">
        <f t="shared" si="655"/>
        <v>0</v>
      </c>
      <c r="L2674" s="90">
        <f t="shared" si="656"/>
        <v>0</v>
      </c>
      <c r="M2674" s="90">
        <f t="shared" si="657"/>
        <v>0</v>
      </c>
      <c r="N2674" s="90">
        <v>0</v>
      </c>
      <c r="O2674" s="90">
        <f t="shared" si="658"/>
        <v>0</v>
      </c>
      <c r="P2674" s="92" t="s">
        <v>1652</v>
      </c>
      <c r="Z2674" s="93">
        <f t="shared" si="659"/>
        <v>0</v>
      </c>
      <c r="AB2674" s="93">
        <f t="shared" si="660"/>
        <v>0</v>
      </c>
      <c r="AC2674" s="93">
        <f t="shared" si="661"/>
        <v>0</v>
      </c>
      <c r="AD2674" s="93">
        <f t="shared" si="662"/>
        <v>0</v>
      </c>
      <c r="AE2674" s="93">
        <f t="shared" si="663"/>
        <v>0</v>
      </c>
      <c r="AF2674" s="93">
        <f t="shared" si="664"/>
        <v>0</v>
      </c>
      <c r="AG2674" s="93">
        <f t="shared" si="665"/>
        <v>0</v>
      </c>
      <c r="AH2674" s="93">
        <f t="shared" si="666"/>
        <v>0</v>
      </c>
      <c r="AI2674" s="88" t="s">
        <v>55</v>
      </c>
      <c r="AJ2674" s="93">
        <f t="shared" si="667"/>
        <v>0</v>
      </c>
      <c r="AK2674" s="93">
        <f t="shared" si="668"/>
        <v>0</v>
      </c>
      <c r="AL2674" s="93">
        <f t="shared" si="669"/>
        <v>0</v>
      </c>
      <c r="AN2674" s="93">
        <v>21</v>
      </c>
      <c r="AO2674" s="93">
        <f t="shared" si="670"/>
        <v>0</v>
      </c>
      <c r="AP2674" s="93">
        <f t="shared" si="671"/>
        <v>0</v>
      </c>
      <c r="AQ2674" s="94" t="s">
        <v>118</v>
      </c>
      <c r="AV2674" s="93">
        <f t="shared" si="672"/>
        <v>0</v>
      </c>
      <c r="AW2674" s="93">
        <f t="shared" si="673"/>
        <v>0</v>
      </c>
      <c r="AX2674" s="93">
        <f t="shared" si="674"/>
        <v>0</v>
      </c>
      <c r="AY2674" s="94" t="s">
        <v>3503</v>
      </c>
      <c r="AZ2674" s="94" t="s">
        <v>3504</v>
      </c>
      <c r="BA2674" s="88" t="s">
        <v>67</v>
      </c>
      <c r="BC2674" s="93">
        <f t="shared" si="675"/>
        <v>0</v>
      </c>
      <c r="BD2674" s="93">
        <f t="shared" si="676"/>
        <v>0</v>
      </c>
      <c r="BE2674" s="93">
        <v>0</v>
      </c>
      <c r="BF2674" s="93">
        <f t="shared" si="677"/>
        <v>0</v>
      </c>
      <c r="BH2674" s="93">
        <f t="shared" si="678"/>
        <v>0</v>
      </c>
      <c r="BI2674" s="93">
        <f t="shared" si="679"/>
        <v>0</v>
      </c>
      <c r="BJ2674" s="93">
        <f t="shared" si="680"/>
        <v>0</v>
      </c>
      <c r="BK2674" s="93"/>
      <c r="BL2674" s="93"/>
      <c r="BW2674" s="93" t="str">
        <f t="shared" si="681"/>
        <v>21</v>
      </c>
      <c r="BX2674" s="2" t="s">
        <v>3961</v>
      </c>
    </row>
    <row r="2675" spans="1:76" s="81" customFormat="1" ht="25.5" x14ac:dyDescent="0.25">
      <c r="A2675" s="72" t="s">
        <v>3962</v>
      </c>
      <c r="B2675" s="72" t="s">
        <v>55</v>
      </c>
      <c r="C2675" s="72" t="s">
        <v>3963</v>
      </c>
      <c r="D2675" s="175" t="s">
        <v>3964</v>
      </c>
      <c r="E2675" s="175"/>
      <c r="F2675" s="72" t="s">
        <v>203</v>
      </c>
      <c r="G2675" s="90">
        <v>5</v>
      </c>
      <c r="H2675" s="91"/>
      <c r="I2675" s="92" t="s">
        <v>63</v>
      </c>
      <c r="J2675" s="90">
        <f t="shared" si="654"/>
        <v>0</v>
      </c>
      <c r="K2675" s="90">
        <f t="shared" si="655"/>
        <v>0</v>
      </c>
      <c r="L2675" s="90">
        <f t="shared" si="656"/>
        <v>0</v>
      </c>
      <c r="M2675" s="90">
        <f t="shared" si="657"/>
        <v>0</v>
      </c>
      <c r="N2675" s="90">
        <v>0</v>
      </c>
      <c r="O2675" s="90">
        <f t="shared" si="658"/>
        <v>0</v>
      </c>
      <c r="P2675" s="92" t="s">
        <v>1652</v>
      </c>
      <c r="Z2675" s="93">
        <f t="shared" si="659"/>
        <v>0</v>
      </c>
      <c r="AB2675" s="93">
        <f t="shared" si="660"/>
        <v>0</v>
      </c>
      <c r="AC2675" s="93">
        <f t="shared" si="661"/>
        <v>0</v>
      </c>
      <c r="AD2675" s="93">
        <f t="shared" si="662"/>
        <v>0</v>
      </c>
      <c r="AE2675" s="93">
        <f t="shared" si="663"/>
        <v>0</v>
      </c>
      <c r="AF2675" s="93">
        <f t="shared" si="664"/>
        <v>0</v>
      </c>
      <c r="AG2675" s="93">
        <f t="shared" si="665"/>
        <v>0</v>
      </c>
      <c r="AH2675" s="93">
        <f t="shared" si="666"/>
        <v>0</v>
      </c>
      <c r="AI2675" s="88" t="s">
        <v>55</v>
      </c>
      <c r="AJ2675" s="93">
        <f t="shared" si="667"/>
        <v>0</v>
      </c>
      <c r="AK2675" s="93">
        <f t="shared" si="668"/>
        <v>0</v>
      </c>
      <c r="AL2675" s="93">
        <f t="shared" si="669"/>
        <v>0</v>
      </c>
      <c r="AN2675" s="93">
        <v>21</v>
      </c>
      <c r="AO2675" s="93">
        <f t="shared" si="670"/>
        <v>0</v>
      </c>
      <c r="AP2675" s="93">
        <f t="shared" si="671"/>
        <v>0</v>
      </c>
      <c r="AQ2675" s="94" t="s">
        <v>118</v>
      </c>
      <c r="AV2675" s="93">
        <f t="shared" si="672"/>
        <v>0</v>
      </c>
      <c r="AW2675" s="93">
        <f t="shared" si="673"/>
        <v>0</v>
      </c>
      <c r="AX2675" s="93">
        <f t="shared" si="674"/>
        <v>0</v>
      </c>
      <c r="AY2675" s="94" t="s">
        <v>3503</v>
      </c>
      <c r="AZ2675" s="94" t="s">
        <v>3504</v>
      </c>
      <c r="BA2675" s="88" t="s">
        <v>67</v>
      </c>
      <c r="BC2675" s="93">
        <f t="shared" si="675"/>
        <v>0</v>
      </c>
      <c r="BD2675" s="93">
        <f t="shared" si="676"/>
        <v>0</v>
      </c>
      <c r="BE2675" s="93">
        <v>0</v>
      </c>
      <c r="BF2675" s="93">
        <f t="shared" si="677"/>
        <v>0</v>
      </c>
      <c r="BH2675" s="93">
        <f t="shared" si="678"/>
        <v>0</v>
      </c>
      <c r="BI2675" s="93">
        <f t="shared" si="679"/>
        <v>0</v>
      </c>
      <c r="BJ2675" s="93">
        <f t="shared" si="680"/>
        <v>0</v>
      </c>
      <c r="BK2675" s="93"/>
      <c r="BL2675" s="93"/>
      <c r="BW2675" s="93" t="str">
        <f t="shared" si="681"/>
        <v>21</v>
      </c>
      <c r="BX2675" s="2" t="s">
        <v>3964</v>
      </c>
    </row>
    <row r="2676" spans="1:76" s="81" customFormat="1" ht="25.5" x14ac:dyDescent="0.25">
      <c r="A2676" s="72" t="s">
        <v>3965</v>
      </c>
      <c r="B2676" s="72" t="s">
        <v>55</v>
      </c>
      <c r="C2676" s="72" t="s">
        <v>3966</v>
      </c>
      <c r="D2676" s="175" t="s">
        <v>3967</v>
      </c>
      <c r="E2676" s="175"/>
      <c r="F2676" s="72" t="s">
        <v>213</v>
      </c>
      <c r="G2676" s="90">
        <v>18</v>
      </c>
      <c r="H2676" s="91"/>
      <c r="I2676" s="92" t="s">
        <v>63</v>
      </c>
      <c r="J2676" s="90">
        <f t="shared" si="654"/>
        <v>0</v>
      </c>
      <c r="K2676" s="90">
        <f t="shared" si="655"/>
        <v>0</v>
      </c>
      <c r="L2676" s="90">
        <f t="shared" si="656"/>
        <v>0</v>
      </c>
      <c r="M2676" s="90">
        <f t="shared" si="657"/>
        <v>0</v>
      </c>
      <c r="N2676" s="90">
        <v>0</v>
      </c>
      <c r="O2676" s="90">
        <f t="shared" si="658"/>
        <v>0</v>
      </c>
      <c r="P2676" s="92" t="s">
        <v>1652</v>
      </c>
      <c r="Z2676" s="93">
        <f t="shared" si="659"/>
        <v>0</v>
      </c>
      <c r="AB2676" s="93">
        <f t="shared" si="660"/>
        <v>0</v>
      </c>
      <c r="AC2676" s="93">
        <f t="shared" si="661"/>
        <v>0</v>
      </c>
      <c r="AD2676" s="93">
        <f t="shared" si="662"/>
        <v>0</v>
      </c>
      <c r="AE2676" s="93">
        <f t="shared" si="663"/>
        <v>0</v>
      </c>
      <c r="AF2676" s="93">
        <f t="shared" si="664"/>
        <v>0</v>
      </c>
      <c r="AG2676" s="93">
        <f t="shared" si="665"/>
        <v>0</v>
      </c>
      <c r="AH2676" s="93">
        <f t="shared" si="666"/>
        <v>0</v>
      </c>
      <c r="AI2676" s="88" t="s">
        <v>55</v>
      </c>
      <c r="AJ2676" s="93">
        <f t="shared" si="667"/>
        <v>0</v>
      </c>
      <c r="AK2676" s="93">
        <f t="shared" si="668"/>
        <v>0</v>
      </c>
      <c r="AL2676" s="93">
        <f t="shared" si="669"/>
        <v>0</v>
      </c>
      <c r="AN2676" s="93">
        <v>21</v>
      </c>
      <c r="AO2676" s="93">
        <f t="shared" si="670"/>
        <v>0</v>
      </c>
      <c r="AP2676" s="93">
        <f t="shared" si="671"/>
        <v>0</v>
      </c>
      <c r="AQ2676" s="94" t="s">
        <v>118</v>
      </c>
      <c r="AV2676" s="93">
        <f t="shared" si="672"/>
        <v>0</v>
      </c>
      <c r="AW2676" s="93">
        <f t="shared" si="673"/>
        <v>0</v>
      </c>
      <c r="AX2676" s="93">
        <f t="shared" si="674"/>
        <v>0</v>
      </c>
      <c r="AY2676" s="94" t="s">
        <v>3503</v>
      </c>
      <c r="AZ2676" s="94" t="s">
        <v>3504</v>
      </c>
      <c r="BA2676" s="88" t="s">
        <v>67</v>
      </c>
      <c r="BC2676" s="93">
        <f t="shared" si="675"/>
        <v>0</v>
      </c>
      <c r="BD2676" s="93">
        <f t="shared" si="676"/>
        <v>0</v>
      </c>
      <c r="BE2676" s="93">
        <v>0</v>
      </c>
      <c r="BF2676" s="93">
        <f t="shared" si="677"/>
        <v>0</v>
      </c>
      <c r="BH2676" s="93">
        <f t="shared" si="678"/>
        <v>0</v>
      </c>
      <c r="BI2676" s="93">
        <f t="shared" si="679"/>
        <v>0</v>
      </c>
      <c r="BJ2676" s="93">
        <f t="shared" si="680"/>
        <v>0</v>
      </c>
      <c r="BK2676" s="93"/>
      <c r="BL2676" s="93"/>
      <c r="BW2676" s="93" t="str">
        <f t="shared" si="681"/>
        <v>21</v>
      </c>
      <c r="BX2676" s="2" t="s">
        <v>3967</v>
      </c>
    </row>
    <row r="2677" spans="1:76" s="81" customFormat="1" ht="25.5" x14ac:dyDescent="0.25">
      <c r="A2677" s="72" t="s">
        <v>3968</v>
      </c>
      <c r="B2677" s="72" t="s">
        <v>55</v>
      </c>
      <c r="C2677" s="72" t="s">
        <v>3969</v>
      </c>
      <c r="D2677" s="175" t="s">
        <v>3970</v>
      </c>
      <c r="E2677" s="175"/>
      <c r="F2677" s="72" t="s">
        <v>213</v>
      </c>
      <c r="G2677" s="90">
        <v>86</v>
      </c>
      <c r="H2677" s="91"/>
      <c r="I2677" s="92" t="s">
        <v>63</v>
      </c>
      <c r="J2677" s="90">
        <f t="shared" si="654"/>
        <v>0</v>
      </c>
      <c r="K2677" s="90">
        <f t="shared" si="655"/>
        <v>0</v>
      </c>
      <c r="L2677" s="90">
        <f t="shared" si="656"/>
        <v>0</v>
      </c>
      <c r="M2677" s="90">
        <f t="shared" si="657"/>
        <v>0</v>
      </c>
      <c r="N2677" s="90">
        <v>0</v>
      </c>
      <c r="O2677" s="90">
        <f t="shared" si="658"/>
        <v>0</v>
      </c>
      <c r="P2677" s="92" t="s">
        <v>1652</v>
      </c>
      <c r="Z2677" s="93">
        <f t="shared" si="659"/>
        <v>0</v>
      </c>
      <c r="AB2677" s="93">
        <f t="shared" si="660"/>
        <v>0</v>
      </c>
      <c r="AC2677" s="93">
        <f t="shared" si="661"/>
        <v>0</v>
      </c>
      <c r="AD2677" s="93">
        <f t="shared" si="662"/>
        <v>0</v>
      </c>
      <c r="AE2677" s="93">
        <f t="shared" si="663"/>
        <v>0</v>
      </c>
      <c r="AF2677" s="93">
        <f t="shared" si="664"/>
        <v>0</v>
      </c>
      <c r="AG2677" s="93">
        <f t="shared" si="665"/>
        <v>0</v>
      </c>
      <c r="AH2677" s="93">
        <f t="shared" si="666"/>
        <v>0</v>
      </c>
      <c r="AI2677" s="88" t="s">
        <v>55</v>
      </c>
      <c r="AJ2677" s="93">
        <f t="shared" si="667"/>
        <v>0</v>
      </c>
      <c r="AK2677" s="93">
        <f t="shared" si="668"/>
        <v>0</v>
      </c>
      <c r="AL2677" s="93">
        <f t="shared" si="669"/>
        <v>0</v>
      </c>
      <c r="AN2677" s="93">
        <v>21</v>
      </c>
      <c r="AO2677" s="93">
        <f t="shared" si="670"/>
        <v>0</v>
      </c>
      <c r="AP2677" s="93">
        <f t="shared" si="671"/>
        <v>0</v>
      </c>
      <c r="AQ2677" s="94" t="s">
        <v>118</v>
      </c>
      <c r="AV2677" s="93">
        <f t="shared" si="672"/>
        <v>0</v>
      </c>
      <c r="AW2677" s="93">
        <f t="shared" si="673"/>
        <v>0</v>
      </c>
      <c r="AX2677" s="93">
        <f t="shared" si="674"/>
        <v>0</v>
      </c>
      <c r="AY2677" s="94" t="s">
        <v>3503</v>
      </c>
      <c r="AZ2677" s="94" t="s">
        <v>3504</v>
      </c>
      <c r="BA2677" s="88" t="s">
        <v>67</v>
      </c>
      <c r="BC2677" s="93">
        <f t="shared" si="675"/>
        <v>0</v>
      </c>
      <c r="BD2677" s="93">
        <f t="shared" si="676"/>
        <v>0</v>
      </c>
      <c r="BE2677" s="93">
        <v>0</v>
      </c>
      <c r="BF2677" s="93">
        <f t="shared" si="677"/>
        <v>0</v>
      </c>
      <c r="BH2677" s="93">
        <f t="shared" si="678"/>
        <v>0</v>
      </c>
      <c r="BI2677" s="93">
        <f t="shared" si="679"/>
        <v>0</v>
      </c>
      <c r="BJ2677" s="93">
        <f t="shared" si="680"/>
        <v>0</v>
      </c>
      <c r="BK2677" s="93"/>
      <c r="BL2677" s="93"/>
      <c r="BW2677" s="93" t="str">
        <f t="shared" si="681"/>
        <v>21</v>
      </c>
      <c r="BX2677" s="2" t="s">
        <v>3970</v>
      </c>
    </row>
    <row r="2678" spans="1:76" s="81" customFormat="1" ht="25.5" x14ac:dyDescent="0.25">
      <c r="A2678" s="72" t="s">
        <v>3971</v>
      </c>
      <c r="B2678" s="72" t="s">
        <v>55</v>
      </c>
      <c r="C2678" s="72" t="s">
        <v>3972</v>
      </c>
      <c r="D2678" s="175" t="s">
        <v>3973</v>
      </c>
      <c r="E2678" s="175"/>
      <c r="F2678" s="72" t="s">
        <v>213</v>
      </c>
      <c r="G2678" s="90">
        <v>44</v>
      </c>
      <c r="H2678" s="91"/>
      <c r="I2678" s="92" t="s">
        <v>63</v>
      </c>
      <c r="J2678" s="90">
        <f t="shared" ref="J2678:J2696" si="682">G2678*AO2678</f>
        <v>0</v>
      </c>
      <c r="K2678" s="90">
        <f t="shared" ref="K2678:K2696" si="683">G2678*AP2678</f>
        <v>0</v>
      </c>
      <c r="L2678" s="90">
        <f t="shared" ref="L2678:L2696" si="684">G2678*H2678</f>
        <v>0</v>
      </c>
      <c r="M2678" s="90">
        <f t="shared" ref="M2678:M2696" si="685">L2678*(1+BW2678/100)</f>
        <v>0</v>
      </c>
      <c r="N2678" s="90">
        <v>0</v>
      </c>
      <c r="O2678" s="90">
        <f t="shared" ref="O2678:O2696" si="686">G2678*N2678</f>
        <v>0</v>
      </c>
      <c r="P2678" s="92" t="s">
        <v>1652</v>
      </c>
      <c r="Z2678" s="93">
        <f t="shared" ref="Z2678:Z2696" si="687">IF(AQ2678="5",BJ2678,0)</f>
        <v>0</v>
      </c>
      <c r="AB2678" s="93">
        <f t="shared" ref="AB2678:AB2696" si="688">IF(AQ2678="1",BH2678,0)</f>
        <v>0</v>
      </c>
      <c r="AC2678" s="93">
        <f t="shared" ref="AC2678:AC2696" si="689">IF(AQ2678="1",BI2678,0)</f>
        <v>0</v>
      </c>
      <c r="AD2678" s="93">
        <f t="shared" ref="AD2678:AD2696" si="690">IF(AQ2678="7",BH2678,0)</f>
        <v>0</v>
      </c>
      <c r="AE2678" s="93">
        <f t="shared" ref="AE2678:AE2696" si="691">IF(AQ2678="7",BI2678,0)</f>
        <v>0</v>
      </c>
      <c r="AF2678" s="93">
        <f t="shared" ref="AF2678:AF2696" si="692">IF(AQ2678="2",BH2678,0)</f>
        <v>0</v>
      </c>
      <c r="AG2678" s="93">
        <f t="shared" ref="AG2678:AG2696" si="693">IF(AQ2678="2",BI2678,0)</f>
        <v>0</v>
      </c>
      <c r="AH2678" s="93">
        <f t="shared" ref="AH2678:AH2696" si="694">IF(AQ2678="0",BJ2678,0)</f>
        <v>0</v>
      </c>
      <c r="AI2678" s="88" t="s">
        <v>55</v>
      </c>
      <c r="AJ2678" s="93">
        <f t="shared" ref="AJ2678:AJ2696" si="695">IF(AN2678=0,L2678,0)</f>
        <v>0</v>
      </c>
      <c r="AK2678" s="93">
        <f t="shared" ref="AK2678:AK2696" si="696">IF(AN2678=12,L2678,0)</f>
        <v>0</v>
      </c>
      <c r="AL2678" s="93">
        <f t="shared" ref="AL2678:AL2696" si="697">IF(AN2678=21,L2678,0)</f>
        <v>0</v>
      </c>
      <c r="AN2678" s="93">
        <v>21</v>
      </c>
      <c r="AO2678" s="93">
        <f t="shared" ref="AO2678:AO2696" si="698">H2678*0</f>
        <v>0</v>
      </c>
      <c r="AP2678" s="93">
        <f t="shared" ref="AP2678:AP2696" si="699">H2678*(1-0)</f>
        <v>0</v>
      </c>
      <c r="AQ2678" s="94" t="s">
        <v>118</v>
      </c>
      <c r="AV2678" s="93">
        <f t="shared" ref="AV2678:AV2696" si="700">AW2678+AX2678</f>
        <v>0</v>
      </c>
      <c r="AW2678" s="93">
        <f t="shared" ref="AW2678:AW2696" si="701">G2678*AO2678</f>
        <v>0</v>
      </c>
      <c r="AX2678" s="93">
        <f t="shared" ref="AX2678:AX2696" si="702">G2678*AP2678</f>
        <v>0</v>
      </c>
      <c r="AY2678" s="94" t="s">
        <v>3503</v>
      </c>
      <c r="AZ2678" s="94" t="s">
        <v>3504</v>
      </c>
      <c r="BA2678" s="88" t="s">
        <v>67</v>
      </c>
      <c r="BC2678" s="93">
        <f t="shared" ref="BC2678:BC2696" si="703">AW2678+AX2678</f>
        <v>0</v>
      </c>
      <c r="BD2678" s="93">
        <f t="shared" ref="BD2678:BD2696" si="704">H2678/(100-BE2678)*100</f>
        <v>0</v>
      </c>
      <c r="BE2678" s="93">
        <v>0</v>
      </c>
      <c r="BF2678" s="93">
        <f t="shared" ref="BF2678:BF2696" si="705">O2678</f>
        <v>0</v>
      </c>
      <c r="BH2678" s="93">
        <f t="shared" ref="BH2678:BH2696" si="706">G2678*AO2678</f>
        <v>0</v>
      </c>
      <c r="BI2678" s="93">
        <f t="shared" ref="BI2678:BI2696" si="707">G2678*AP2678</f>
        <v>0</v>
      </c>
      <c r="BJ2678" s="93">
        <f t="shared" ref="BJ2678:BJ2696" si="708">G2678*H2678</f>
        <v>0</v>
      </c>
      <c r="BK2678" s="93"/>
      <c r="BL2678" s="93"/>
      <c r="BW2678" s="93" t="str">
        <f t="shared" ref="BW2678:BW2696" si="709">I2678</f>
        <v>21</v>
      </c>
      <c r="BX2678" s="2" t="s">
        <v>3973</v>
      </c>
    </row>
    <row r="2679" spans="1:76" s="81" customFormat="1" ht="25.5" x14ac:dyDescent="0.25">
      <c r="A2679" s="72" t="s">
        <v>3974</v>
      </c>
      <c r="B2679" s="72" t="s">
        <v>55</v>
      </c>
      <c r="C2679" s="72" t="s">
        <v>3975</v>
      </c>
      <c r="D2679" s="175" t="s">
        <v>3976</v>
      </c>
      <c r="E2679" s="175"/>
      <c r="F2679" s="72" t="s">
        <v>213</v>
      </c>
      <c r="G2679" s="90">
        <v>22</v>
      </c>
      <c r="H2679" s="91"/>
      <c r="I2679" s="92" t="s">
        <v>63</v>
      </c>
      <c r="J2679" s="90">
        <f t="shared" si="682"/>
        <v>0</v>
      </c>
      <c r="K2679" s="90">
        <f t="shared" si="683"/>
        <v>0</v>
      </c>
      <c r="L2679" s="90">
        <f t="shared" si="684"/>
        <v>0</v>
      </c>
      <c r="M2679" s="90">
        <f t="shared" si="685"/>
        <v>0</v>
      </c>
      <c r="N2679" s="90">
        <v>0</v>
      </c>
      <c r="O2679" s="90">
        <f t="shared" si="686"/>
        <v>0</v>
      </c>
      <c r="P2679" s="92" t="s">
        <v>1652</v>
      </c>
      <c r="Z2679" s="93">
        <f t="shared" si="687"/>
        <v>0</v>
      </c>
      <c r="AB2679" s="93">
        <f t="shared" si="688"/>
        <v>0</v>
      </c>
      <c r="AC2679" s="93">
        <f t="shared" si="689"/>
        <v>0</v>
      </c>
      <c r="AD2679" s="93">
        <f t="shared" si="690"/>
        <v>0</v>
      </c>
      <c r="AE2679" s="93">
        <f t="shared" si="691"/>
        <v>0</v>
      </c>
      <c r="AF2679" s="93">
        <f t="shared" si="692"/>
        <v>0</v>
      </c>
      <c r="AG2679" s="93">
        <f t="shared" si="693"/>
        <v>0</v>
      </c>
      <c r="AH2679" s="93">
        <f t="shared" si="694"/>
        <v>0</v>
      </c>
      <c r="AI2679" s="88" t="s">
        <v>55</v>
      </c>
      <c r="AJ2679" s="93">
        <f t="shared" si="695"/>
        <v>0</v>
      </c>
      <c r="AK2679" s="93">
        <f t="shared" si="696"/>
        <v>0</v>
      </c>
      <c r="AL2679" s="93">
        <f t="shared" si="697"/>
        <v>0</v>
      </c>
      <c r="AN2679" s="93">
        <v>21</v>
      </c>
      <c r="AO2679" s="93">
        <f t="shared" si="698"/>
        <v>0</v>
      </c>
      <c r="AP2679" s="93">
        <f t="shared" si="699"/>
        <v>0</v>
      </c>
      <c r="AQ2679" s="94" t="s">
        <v>118</v>
      </c>
      <c r="AV2679" s="93">
        <f t="shared" si="700"/>
        <v>0</v>
      </c>
      <c r="AW2679" s="93">
        <f t="shared" si="701"/>
        <v>0</v>
      </c>
      <c r="AX2679" s="93">
        <f t="shared" si="702"/>
        <v>0</v>
      </c>
      <c r="AY2679" s="94" t="s">
        <v>3503</v>
      </c>
      <c r="AZ2679" s="94" t="s">
        <v>3504</v>
      </c>
      <c r="BA2679" s="88" t="s">
        <v>67</v>
      </c>
      <c r="BC2679" s="93">
        <f t="shared" si="703"/>
        <v>0</v>
      </c>
      <c r="BD2679" s="93">
        <f t="shared" si="704"/>
        <v>0</v>
      </c>
      <c r="BE2679" s="93">
        <v>0</v>
      </c>
      <c r="BF2679" s="93">
        <f t="shared" si="705"/>
        <v>0</v>
      </c>
      <c r="BH2679" s="93">
        <f t="shared" si="706"/>
        <v>0</v>
      </c>
      <c r="BI2679" s="93">
        <f t="shared" si="707"/>
        <v>0</v>
      </c>
      <c r="BJ2679" s="93">
        <f t="shared" si="708"/>
        <v>0</v>
      </c>
      <c r="BK2679" s="93"/>
      <c r="BL2679" s="93"/>
      <c r="BW2679" s="93" t="str">
        <f t="shared" si="709"/>
        <v>21</v>
      </c>
      <c r="BX2679" s="2" t="s">
        <v>3976</v>
      </c>
    </row>
    <row r="2680" spans="1:76" s="81" customFormat="1" ht="25.5" x14ac:dyDescent="0.25">
      <c r="A2680" s="72" t="s">
        <v>3977</v>
      </c>
      <c r="B2680" s="72" t="s">
        <v>55</v>
      </c>
      <c r="C2680" s="72" t="s">
        <v>3978</v>
      </c>
      <c r="D2680" s="175" t="s">
        <v>3595</v>
      </c>
      <c r="E2680" s="175"/>
      <c r="F2680" s="72" t="s">
        <v>213</v>
      </c>
      <c r="G2680" s="90">
        <v>21</v>
      </c>
      <c r="H2680" s="91"/>
      <c r="I2680" s="92" t="s">
        <v>63</v>
      </c>
      <c r="J2680" s="90">
        <f t="shared" si="682"/>
        <v>0</v>
      </c>
      <c r="K2680" s="90">
        <f t="shared" si="683"/>
        <v>0</v>
      </c>
      <c r="L2680" s="90">
        <f t="shared" si="684"/>
        <v>0</v>
      </c>
      <c r="M2680" s="90">
        <f t="shared" si="685"/>
        <v>0</v>
      </c>
      <c r="N2680" s="90">
        <v>0</v>
      </c>
      <c r="O2680" s="90">
        <f t="shared" si="686"/>
        <v>0</v>
      </c>
      <c r="P2680" s="92" t="s">
        <v>1652</v>
      </c>
      <c r="Z2680" s="93">
        <f t="shared" si="687"/>
        <v>0</v>
      </c>
      <c r="AB2680" s="93">
        <f t="shared" si="688"/>
        <v>0</v>
      </c>
      <c r="AC2680" s="93">
        <f t="shared" si="689"/>
        <v>0</v>
      </c>
      <c r="AD2680" s="93">
        <f t="shared" si="690"/>
        <v>0</v>
      </c>
      <c r="AE2680" s="93">
        <f t="shared" si="691"/>
        <v>0</v>
      </c>
      <c r="AF2680" s="93">
        <f t="shared" si="692"/>
        <v>0</v>
      </c>
      <c r="AG2680" s="93">
        <f t="shared" si="693"/>
        <v>0</v>
      </c>
      <c r="AH2680" s="93">
        <f t="shared" si="694"/>
        <v>0</v>
      </c>
      <c r="AI2680" s="88" t="s">
        <v>55</v>
      </c>
      <c r="AJ2680" s="93">
        <f t="shared" si="695"/>
        <v>0</v>
      </c>
      <c r="AK2680" s="93">
        <f t="shared" si="696"/>
        <v>0</v>
      </c>
      <c r="AL2680" s="93">
        <f t="shared" si="697"/>
        <v>0</v>
      </c>
      <c r="AN2680" s="93">
        <v>21</v>
      </c>
      <c r="AO2680" s="93">
        <f t="shared" si="698"/>
        <v>0</v>
      </c>
      <c r="AP2680" s="93">
        <f t="shared" si="699"/>
        <v>0</v>
      </c>
      <c r="AQ2680" s="94" t="s">
        <v>118</v>
      </c>
      <c r="AV2680" s="93">
        <f t="shared" si="700"/>
        <v>0</v>
      </c>
      <c r="AW2680" s="93">
        <f t="shared" si="701"/>
        <v>0</v>
      </c>
      <c r="AX2680" s="93">
        <f t="shared" si="702"/>
        <v>0</v>
      </c>
      <c r="AY2680" s="94" t="s">
        <v>3503</v>
      </c>
      <c r="AZ2680" s="94" t="s">
        <v>3504</v>
      </c>
      <c r="BA2680" s="88" t="s">
        <v>67</v>
      </c>
      <c r="BC2680" s="93">
        <f t="shared" si="703"/>
        <v>0</v>
      </c>
      <c r="BD2680" s="93">
        <f t="shared" si="704"/>
        <v>0</v>
      </c>
      <c r="BE2680" s="93">
        <v>0</v>
      </c>
      <c r="BF2680" s="93">
        <f t="shared" si="705"/>
        <v>0</v>
      </c>
      <c r="BH2680" s="93">
        <f t="shared" si="706"/>
        <v>0</v>
      </c>
      <c r="BI2680" s="93">
        <f t="shared" si="707"/>
        <v>0</v>
      </c>
      <c r="BJ2680" s="93">
        <f t="shared" si="708"/>
        <v>0</v>
      </c>
      <c r="BK2680" s="93"/>
      <c r="BL2680" s="93"/>
      <c r="BW2680" s="93" t="str">
        <f t="shared" si="709"/>
        <v>21</v>
      </c>
      <c r="BX2680" s="2" t="s">
        <v>3595</v>
      </c>
    </row>
    <row r="2681" spans="1:76" s="81" customFormat="1" ht="25.5" x14ac:dyDescent="0.25">
      <c r="A2681" s="72" t="s">
        <v>3979</v>
      </c>
      <c r="B2681" s="72" t="s">
        <v>55</v>
      </c>
      <c r="C2681" s="72" t="s">
        <v>3980</v>
      </c>
      <c r="D2681" s="175" t="s">
        <v>3981</v>
      </c>
      <c r="E2681" s="175"/>
      <c r="F2681" s="72" t="s">
        <v>3605</v>
      </c>
      <c r="G2681" s="90">
        <v>4</v>
      </c>
      <c r="H2681" s="91"/>
      <c r="I2681" s="92" t="s">
        <v>63</v>
      </c>
      <c r="J2681" s="90">
        <f t="shared" si="682"/>
        <v>0</v>
      </c>
      <c r="K2681" s="90">
        <f t="shared" si="683"/>
        <v>0</v>
      </c>
      <c r="L2681" s="90">
        <f t="shared" si="684"/>
        <v>0</v>
      </c>
      <c r="M2681" s="90">
        <f t="shared" si="685"/>
        <v>0</v>
      </c>
      <c r="N2681" s="90">
        <v>0</v>
      </c>
      <c r="O2681" s="90">
        <f t="shared" si="686"/>
        <v>0</v>
      </c>
      <c r="P2681" s="92" t="s">
        <v>1652</v>
      </c>
      <c r="Z2681" s="93">
        <f t="shared" si="687"/>
        <v>0</v>
      </c>
      <c r="AB2681" s="93">
        <f t="shared" si="688"/>
        <v>0</v>
      </c>
      <c r="AC2681" s="93">
        <f t="shared" si="689"/>
        <v>0</v>
      </c>
      <c r="AD2681" s="93">
        <f t="shared" si="690"/>
        <v>0</v>
      </c>
      <c r="AE2681" s="93">
        <f t="shared" si="691"/>
        <v>0</v>
      </c>
      <c r="AF2681" s="93">
        <f t="shared" si="692"/>
        <v>0</v>
      </c>
      <c r="AG2681" s="93">
        <f t="shared" si="693"/>
        <v>0</v>
      </c>
      <c r="AH2681" s="93">
        <f t="shared" si="694"/>
        <v>0</v>
      </c>
      <c r="AI2681" s="88" t="s">
        <v>55</v>
      </c>
      <c r="AJ2681" s="93">
        <f t="shared" si="695"/>
        <v>0</v>
      </c>
      <c r="AK2681" s="93">
        <f t="shared" si="696"/>
        <v>0</v>
      </c>
      <c r="AL2681" s="93">
        <f t="shared" si="697"/>
        <v>0</v>
      </c>
      <c r="AN2681" s="93">
        <v>21</v>
      </c>
      <c r="AO2681" s="93">
        <f t="shared" si="698"/>
        <v>0</v>
      </c>
      <c r="AP2681" s="93">
        <f t="shared" si="699"/>
        <v>0</v>
      </c>
      <c r="AQ2681" s="94" t="s">
        <v>118</v>
      </c>
      <c r="AV2681" s="93">
        <f t="shared" si="700"/>
        <v>0</v>
      </c>
      <c r="AW2681" s="93">
        <f t="shared" si="701"/>
        <v>0</v>
      </c>
      <c r="AX2681" s="93">
        <f t="shared" si="702"/>
        <v>0</v>
      </c>
      <c r="AY2681" s="94" t="s">
        <v>3503</v>
      </c>
      <c r="AZ2681" s="94" t="s">
        <v>3504</v>
      </c>
      <c r="BA2681" s="88" t="s">
        <v>67</v>
      </c>
      <c r="BC2681" s="93">
        <f t="shared" si="703"/>
        <v>0</v>
      </c>
      <c r="BD2681" s="93">
        <f t="shared" si="704"/>
        <v>0</v>
      </c>
      <c r="BE2681" s="93">
        <v>0</v>
      </c>
      <c r="BF2681" s="93">
        <f t="shared" si="705"/>
        <v>0</v>
      </c>
      <c r="BH2681" s="93">
        <f t="shared" si="706"/>
        <v>0</v>
      </c>
      <c r="BI2681" s="93">
        <f t="shared" si="707"/>
        <v>0</v>
      </c>
      <c r="BJ2681" s="93">
        <f t="shared" si="708"/>
        <v>0</v>
      </c>
      <c r="BK2681" s="93"/>
      <c r="BL2681" s="93"/>
      <c r="BW2681" s="93" t="str">
        <f t="shared" si="709"/>
        <v>21</v>
      </c>
      <c r="BX2681" s="2" t="s">
        <v>3981</v>
      </c>
    </row>
    <row r="2682" spans="1:76" s="81" customFormat="1" ht="25.5" x14ac:dyDescent="0.25">
      <c r="A2682" s="72" t="s">
        <v>3982</v>
      </c>
      <c r="B2682" s="72" t="s">
        <v>55</v>
      </c>
      <c r="C2682" s="72" t="s">
        <v>3983</v>
      </c>
      <c r="D2682" s="175" t="s">
        <v>3984</v>
      </c>
      <c r="E2682" s="175"/>
      <c r="F2682" s="72" t="s">
        <v>213</v>
      </c>
      <c r="G2682" s="90">
        <v>132</v>
      </c>
      <c r="H2682" s="91"/>
      <c r="I2682" s="92" t="s">
        <v>63</v>
      </c>
      <c r="J2682" s="90">
        <f t="shared" si="682"/>
        <v>0</v>
      </c>
      <c r="K2682" s="90">
        <f t="shared" si="683"/>
        <v>0</v>
      </c>
      <c r="L2682" s="90">
        <f t="shared" si="684"/>
        <v>0</v>
      </c>
      <c r="M2682" s="90">
        <f t="shared" si="685"/>
        <v>0</v>
      </c>
      <c r="N2682" s="90">
        <v>0</v>
      </c>
      <c r="O2682" s="90">
        <f t="shared" si="686"/>
        <v>0</v>
      </c>
      <c r="P2682" s="92" t="s">
        <v>1652</v>
      </c>
      <c r="Z2682" s="93">
        <f t="shared" si="687"/>
        <v>0</v>
      </c>
      <c r="AB2682" s="93">
        <f t="shared" si="688"/>
        <v>0</v>
      </c>
      <c r="AC2682" s="93">
        <f t="shared" si="689"/>
        <v>0</v>
      </c>
      <c r="AD2682" s="93">
        <f t="shared" si="690"/>
        <v>0</v>
      </c>
      <c r="AE2682" s="93">
        <f t="shared" si="691"/>
        <v>0</v>
      </c>
      <c r="AF2682" s="93">
        <f t="shared" si="692"/>
        <v>0</v>
      </c>
      <c r="AG2682" s="93">
        <f t="shared" si="693"/>
        <v>0</v>
      </c>
      <c r="AH2682" s="93">
        <f t="shared" si="694"/>
        <v>0</v>
      </c>
      <c r="AI2682" s="88" t="s">
        <v>55</v>
      </c>
      <c r="AJ2682" s="93">
        <f t="shared" si="695"/>
        <v>0</v>
      </c>
      <c r="AK2682" s="93">
        <f t="shared" si="696"/>
        <v>0</v>
      </c>
      <c r="AL2682" s="93">
        <f t="shared" si="697"/>
        <v>0</v>
      </c>
      <c r="AN2682" s="93">
        <v>21</v>
      </c>
      <c r="AO2682" s="93">
        <f t="shared" si="698"/>
        <v>0</v>
      </c>
      <c r="AP2682" s="93">
        <f t="shared" si="699"/>
        <v>0</v>
      </c>
      <c r="AQ2682" s="94" t="s">
        <v>118</v>
      </c>
      <c r="AV2682" s="93">
        <f t="shared" si="700"/>
        <v>0</v>
      </c>
      <c r="AW2682" s="93">
        <f t="shared" si="701"/>
        <v>0</v>
      </c>
      <c r="AX2682" s="93">
        <f t="shared" si="702"/>
        <v>0</v>
      </c>
      <c r="AY2682" s="94" t="s">
        <v>3503</v>
      </c>
      <c r="AZ2682" s="94" t="s">
        <v>3504</v>
      </c>
      <c r="BA2682" s="88" t="s">
        <v>67</v>
      </c>
      <c r="BC2682" s="93">
        <f t="shared" si="703"/>
        <v>0</v>
      </c>
      <c r="BD2682" s="93">
        <f t="shared" si="704"/>
        <v>0</v>
      </c>
      <c r="BE2682" s="93">
        <v>0</v>
      </c>
      <c r="BF2682" s="93">
        <f t="shared" si="705"/>
        <v>0</v>
      </c>
      <c r="BH2682" s="93">
        <f t="shared" si="706"/>
        <v>0</v>
      </c>
      <c r="BI2682" s="93">
        <f t="shared" si="707"/>
        <v>0</v>
      </c>
      <c r="BJ2682" s="93">
        <f t="shared" si="708"/>
        <v>0</v>
      </c>
      <c r="BK2682" s="93"/>
      <c r="BL2682" s="93"/>
      <c r="BW2682" s="93" t="str">
        <f t="shared" si="709"/>
        <v>21</v>
      </c>
      <c r="BX2682" s="2" t="s">
        <v>3984</v>
      </c>
    </row>
    <row r="2683" spans="1:76" s="81" customFormat="1" ht="25.5" x14ac:dyDescent="0.25">
      <c r="A2683" s="72" t="s">
        <v>3985</v>
      </c>
      <c r="B2683" s="72" t="s">
        <v>55</v>
      </c>
      <c r="C2683" s="72" t="s">
        <v>3986</v>
      </c>
      <c r="D2683" s="175" t="s">
        <v>3987</v>
      </c>
      <c r="E2683" s="175"/>
      <c r="F2683" s="72" t="s">
        <v>203</v>
      </c>
      <c r="G2683" s="90">
        <v>10</v>
      </c>
      <c r="H2683" s="91"/>
      <c r="I2683" s="92" t="s">
        <v>63</v>
      </c>
      <c r="J2683" s="90">
        <f t="shared" si="682"/>
        <v>0</v>
      </c>
      <c r="K2683" s="90">
        <f t="shared" si="683"/>
        <v>0</v>
      </c>
      <c r="L2683" s="90">
        <f t="shared" si="684"/>
        <v>0</v>
      </c>
      <c r="M2683" s="90">
        <f t="shared" si="685"/>
        <v>0</v>
      </c>
      <c r="N2683" s="90">
        <v>0</v>
      </c>
      <c r="O2683" s="90">
        <f t="shared" si="686"/>
        <v>0</v>
      </c>
      <c r="P2683" s="92" t="s">
        <v>1652</v>
      </c>
      <c r="Z2683" s="93">
        <f t="shared" si="687"/>
        <v>0</v>
      </c>
      <c r="AB2683" s="93">
        <f t="shared" si="688"/>
        <v>0</v>
      </c>
      <c r="AC2683" s="93">
        <f t="shared" si="689"/>
        <v>0</v>
      </c>
      <c r="AD2683" s="93">
        <f t="shared" si="690"/>
        <v>0</v>
      </c>
      <c r="AE2683" s="93">
        <f t="shared" si="691"/>
        <v>0</v>
      </c>
      <c r="AF2683" s="93">
        <f t="shared" si="692"/>
        <v>0</v>
      </c>
      <c r="AG2683" s="93">
        <f t="shared" si="693"/>
        <v>0</v>
      </c>
      <c r="AH2683" s="93">
        <f t="shared" si="694"/>
        <v>0</v>
      </c>
      <c r="AI2683" s="88" t="s">
        <v>55</v>
      </c>
      <c r="AJ2683" s="93">
        <f t="shared" si="695"/>
        <v>0</v>
      </c>
      <c r="AK2683" s="93">
        <f t="shared" si="696"/>
        <v>0</v>
      </c>
      <c r="AL2683" s="93">
        <f t="shared" si="697"/>
        <v>0</v>
      </c>
      <c r="AN2683" s="93">
        <v>21</v>
      </c>
      <c r="AO2683" s="93">
        <f t="shared" si="698"/>
        <v>0</v>
      </c>
      <c r="AP2683" s="93">
        <f t="shared" si="699"/>
        <v>0</v>
      </c>
      <c r="AQ2683" s="94" t="s">
        <v>118</v>
      </c>
      <c r="AV2683" s="93">
        <f t="shared" si="700"/>
        <v>0</v>
      </c>
      <c r="AW2683" s="93">
        <f t="shared" si="701"/>
        <v>0</v>
      </c>
      <c r="AX2683" s="93">
        <f t="shared" si="702"/>
        <v>0</v>
      </c>
      <c r="AY2683" s="94" t="s">
        <v>3503</v>
      </c>
      <c r="AZ2683" s="94" t="s">
        <v>3504</v>
      </c>
      <c r="BA2683" s="88" t="s">
        <v>67</v>
      </c>
      <c r="BC2683" s="93">
        <f t="shared" si="703"/>
        <v>0</v>
      </c>
      <c r="BD2683" s="93">
        <f t="shared" si="704"/>
        <v>0</v>
      </c>
      <c r="BE2683" s="93">
        <v>0</v>
      </c>
      <c r="BF2683" s="93">
        <f t="shared" si="705"/>
        <v>0</v>
      </c>
      <c r="BH2683" s="93">
        <f t="shared" si="706"/>
        <v>0</v>
      </c>
      <c r="BI2683" s="93">
        <f t="shared" si="707"/>
        <v>0</v>
      </c>
      <c r="BJ2683" s="93">
        <f t="shared" si="708"/>
        <v>0</v>
      </c>
      <c r="BK2683" s="93"/>
      <c r="BL2683" s="93"/>
      <c r="BW2683" s="93" t="str">
        <f t="shared" si="709"/>
        <v>21</v>
      </c>
      <c r="BX2683" s="2" t="s">
        <v>3987</v>
      </c>
    </row>
    <row r="2684" spans="1:76" s="81" customFormat="1" ht="25.5" x14ac:dyDescent="0.25">
      <c r="A2684" s="72" t="s">
        <v>3988</v>
      </c>
      <c r="B2684" s="72" t="s">
        <v>55</v>
      </c>
      <c r="C2684" s="72" t="s">
        <v>3989</v>
      </c>
      <c r="D2684" s="175" t="s">
        <v>3990</v>
      </c>
      <c r="E2684" s="175"/>
      <c r="F2684" s="72" t="s">
        <v>203</v>
      </c>
      <c r="G2684" s="90">
        <v>67</v>
      </c>
      <c r="H2684" s="91"/>
      <c r="I2684" s="92" t="s">
        <v>63</v>
      </c>
      <c r="J2684" s="90">
        <f t="shared" si="682"/>
        <v>0</v>
      </c>
      <c r="K2684" s="90">
        <f t="shared" si="683"/>
        <v>0</v>
      </c>
      <c r="L2684" s="90">
        <f t="shared" si="684"/>
        <v>0</v>
      </c>
      <c r="M2684" s="90">
        <f t="shared" si="685"/>
        <v>0</v>
      </c>
      <c r="N2684" s="90">
        <v>0</v>
      </c>
      <c r="O2684" s="90">
        <f t="shared" si="686"/>
        <v>0</v>
      </c>
      <c r="P2684" s="92" t="s">
        <v>1652</v>
      </c>
      <c r="Z2684" s="93">
        <f t="shared" si="687"/>
        <v>0</v>
      </c>
      <c r="AB2684" s="93">
        <f t="shared" si="688"/>
        <v>0</v>
      </c>
      <c r="AC2684" s="93">
        <f t="shared" si="689"/>
        <v>0</v>
      </c>
      <c r="AD2684" s="93">
        <f t="shared" si="690"/>
        <v>0</v>
      </c>
      <c r="AE2684" s="93">
        <f t="shared" si="691"/>
        <v>0</v>
      </c>
      <c r="AF2684" s="93">
        <f t="shared" si="692"/>
        <v>0</v>
      </c>
      <c r="AG2684" s="93">
        <f t="shared" si="693"/>
        <v>0</v>
      </c>
      <c r="AH2684" s="93">
        <f t="shared" si="694"/>
        <v>0</v>
      </c>
      <c r="AI2684" s="88" t="s">
        <v>55</v>
      </c>
      <c r="AJ2684" s="93">
        <f t="shared" si="695"/>
        <v>0</v>
      </c>
      <c r="AK2684" s="93">
        <f t="shared" si="696"/>
        <v>0</v>
      </c>
      <c r="AL2684" s="93">
        <f t="shared" si="697"/>
        <v>0</v>
      </c>
      <c r="AN2684" s="93">
        <v>21</v>
      </c>
      <c r="AO2684" s="93">
        <f t="shared" si="698"/>
        <v>0</v>
      </c>
      <c r="AP2684" s="93">
        <f t="shared" si="699"/>
        <v>0</v>
      </c>
      <c r="AQ2684" s="94" t="s">
        <v>118</v>
      </c>
      <c r="AV2684" s="93">
        <f t="shared" si="700"/>
        <v>0</v>
      </c>
      <c r="AW2684" s="93">
        <f t="shared" si="701"/>
        <v>0</v>
      </c>
      <c r="AX2684" s="93">
        <f t="shared" si="702"/>
        <v>0</v>
      </c>
      <c r="AY2684" s="94" t="s">
        <v>3503</v>
      </c>
      <c r="AZ2684" s="94" t="s">
        <v>3504</v>
      </c>
      <c r="BA2684" s="88" t="s">
        <v>67</v>
      </c>
      <c r="BC2684" s="93">
        <f t="shared" si="703"/>
        <v>0</v>
      </c>
      <c r="BD2684" s="93">
        <f t="shared" si="704"/>
        <v>0</v>
      </c>
      <c r="BE2684" s="93">
        <v>0</v>
      </c>
      <c r="BF2684" s="93">
        <f t="shared" si="705"/>
        <v>0</v>
      </c>
      <c r="BH2684" s="93">
        <f t="shared" si="706"/>
        <v>0</v>
      </c>
      <c r="BI2684" s="93">
        <f t="shared" si="707"/>
        <v>0</v>
      </c>
      <c r="BJ2684" s="93">
        <f t="shared" si="708"/>
        <v>0</v>
      </c>
      <c r="BK2684" s="93"/>
      <c r="BL2684" s="93"/>
      <c r="BW2684" s="93" t="str">
        <f t="shared" si="709"/>
        <v>21</v>
      </c>
      <c r="BX2684" s="2" t="s">
        <v>3990</v>
      </c>
    </row>
    <row r="2685" spans="1:76" s="81" customFormat="1" ht="25.5" x14ac:dyDescent="0.25">
      <c r="A2685" s="72" t="s">
        <v>3991</v>
      </c>
      <c r="B2685" s="72" t="s">
        <v>55</v>
      </c>
      <c r="C2685" s="72" t="s">
        <v>3992</v>
      </c>
      <c r="D2685" s="175" t="s">
        <v>3993</v>
      </c>
      <c r="E2685" s="175"/>
      <c r="F2685" s="72" t="s">
        <v>3605</v>
      </c>
      <c r="G2685" s="90">
        <v>12</v>
      </c>
      <c r="H2685" s="91"/>
      <c r="I2685" s="92" t="s">
        <v>63</v>
      </c>
      <c r="J2685" s="90">
        <f t="shared" si="682"/>
        <v>0</v>
      </c>
      <c r="K2685" s="90">
        <f t="shared" si="683"/>
        <v>0</v>
      </c>
      <c r="L2685" s="90">
        <f t="shared" si="684"/>
        <v>0</v>
      </c>
      <c r="M2685" s="90">
        <f t="shared" si="685"/>
        <v>0</v>
      </c>
      <c r="N2685" s="90">
        <v>0</v>
      </c>
      <c r="O2685" s="90">
        <f t="shared" si="686"/>
        <v>0</v>
      </c>
      <c r="P2685" s="92" t="s">
        <v>1652</v>
      </c>
      <c r="Z2685" s="93">
        <f t="shared" si="687"/>
        <v>0</v>
      </c>
      <c r="AB2685" s="93">
        <f t="shared" si="688"/>
        <v>0</v>
      </c>
      <c r="AC2685" s="93">
        <f t="shared" si="689"/>
        <v>0</v>
      </c>
      <c r="AD2685" s="93">
        <f t="shared" si="690"/>
        <v>0</v>
      </c>
      <c r="AE2685" s="93">
        <f t="shared" si="691"/>
        <v>0</v>
      </c>
      <c r="AF2685" s="93">
        <f t="shared" si="692"/>
        <v>0</v>
      </c>
      <c r="AG2685" s="93">
        <f t="shared" si="693"/>
        <v>0</v>
      </c>
      <c r="AH2685" s="93">
        <f t="shared" si="694"/>
        <v>0</v>
      </c>
      <c r="AI2685" s="88" t="s">
        <v>55</v>
      </c>
      <c r="AJ2685" s="93">
        <f t="shared" si="695"/>
        <v>0</v>
      </c>
      <c r="AK2685" s="93">
        <f t="shared" si="696"/>
        <v>0</v>
      </c>
      <c r="AL2685" s="93">
        <f t="shared" si="697"/>
        <v>0</v>
      </c>
      <c r="AN2685" s="93">
        <v>21</v>
      </c>
      <c r="AO2685" s="93">
        <f t="shared" si="698"/>
        <v>0</v>
      </c>
      <c r="AP2685" s="93">
        <f t="shared" si="699"/>
        <v>0</v>
      </c>
      <c r="AQ2685" s="94" t="s">
        <v>118</v>
      </c>
      <c r="AV2685" s="93">
        <f t="shared" si="700"/>
        <v>0</v>
      </c>
      <c r="AW2685" s="93">
        <f t="shared" si="701"/>
        <v>0</v>
      </c>
      <c r="AX2685" s="93">
        <f t="shared" si="702"/>
        <v>0</v>
      </c>
      <c r="AY2685" s="94" t="s">
        <v>3503</v>
      </c>
      <c r="AZ2685" s="94" t="s">
        <v>3504</v>
      </c>
      <c r="BA2685" s="88" t="s">
        <v>67</v>
      </c>
      <c r="BC2685" s="93">
        <f t="shared" si="703"/>
        <v>0</v>
      </c>
      <c r="BD2685" s="93">
        <f t="shared" si="704"/>
        <v>0</v>
      </c>
      <c r="BE2685" s="93">
        <v>0</v>
      </c>
      <c r="BF2685" s="93">
        <f t="shared" si="705"/>
        <v>0</v>
      </c>
      <c r="BH2685" s="93">
        <f t="shared" si="706"/>
        <v>0</v>
      </c>
      <c r="BI2685" s="93">
        <f t="shared" si="707"/>
        <v>0</v>
      </c>
      <c r="BJ2685" s="93">
        <f t="shared" si="708"/>
        <v>0</v>
      </c>
      <c r="BK2685" s="93"/>
      <c r="BL2685" s="93"/>
      <c r="BW2685" s="93" t="str">
        <f t="shared" si="709"/>
        <v>21</v>
      </c>
      <c r="BX2685" s="2" t="s">
        <v>3993</v>
      </c>
    </row>
    <row r="2686" spans="1:76" s="81" customFormat="1" ht="25.5" x14ac:dyDescent="0.25">
      <c r="A2686" s="72" t="s">
        <v>3994</v>
      </c>
      <c r="B2686" s="72" t="s">
        <v>55</v>
      </c>
      <c r="C2686" s="72" t="s">
        <v>3995</v>
      </c>
      <c r="D2686" s="175" t="s">
        <v>3996</v>
      </c>
      <c r="E2686" s="175"/>
      <c r="F2686" s="72" t="s">
        <v>1334</v>
      </c>
      <c r="G2686" s="90">
        <v>1</v>
      </c>
      <c r="H2686" s="91"/>
      <c r="I2686" s="92" t="s">
        <v>63</v>
      </c>
      <c r="J2686" s="90">
        <f t="shared" si="682"/>
        <v>0</v>
      </c>
      <c r="K2686" s="90">
        <f t="shared" si="683"/>
        <v>0</v>
      </c>
      <c r="L2686" s="90">
        <f t="shared" si="684"/>
        <v>0</v>
      </c>
      <c r="M2686" s="90">
        <f t="shared" si="685"/>
        <v>0</v>
      </c>
      <c r="N2686" s="90">
        <v>0</v>
      </c>
      <c r="O2686" s="90">
        <f t="shared" si="686"/>
        <v>0</v>
      </c>
      <c r="P2686" s="92" t="s">
        <v>1652</v>
      </c>
      <c r="Z2686" s="93">
        <f t="shared" si="687"/>
        <v>0</v>
      </c>
      <c r="AB2686" s="93">
        <f t="shared" si="688"/>
        <v>0</v>
      </c>
      <c r="AC2686" s="93">
        <f t="shared" si="689"/>
        <v>0</v>
      </c>
      <c r="AD2686" s="93">
        <f t="shared" si="690"/>
        <v>0</v>
      </c>
      <c r="AE2686" s="93">
        <f t="shared" si="691"/>
        <v>0</v>
      </c>
      <c r="AF2686" s="93">
        <f t="shared" si="692"/>
        <v>0</v>
      </c>
      <c r="AG2686" s="93">
        <f t="shared" si="693"/>
        <v>0</v>
      </c>
      <c r="AH2686" s="93">
        <f t="shared" si="694"/>
        <v>0</v>
      </c>
      <c r="AI2686" s="88" t="s">
        <v>55</v>
      </c>
      <c r="AJ2686" s="93">
        <f t="shared" si="695"/>
        <v>0</v>
      </c>
      <c r="AK2686" s="93">
        <f t="shared" si="696"/>
        <v>0</v>
      </c>
      <c r="AL2686" s="93">
        <f t="shared" si="697"/>
        <v>0</v>
      </c>
      <c r="AN2686" s="93">
        <v>21</v>
      </c>
      <c r="AO2686" s="93">
        <f t="shared" si="698"/>
        <v>0</v>
      </c>
      <c r="AP2686" s="93">
        <f t="shared" si="699"/>
        <v>0</v>
      </c>
      <c r="AQ2686" s="94" t="s">
        <v>118</v>
      </c>
      <c r="AV2686" s="93">
        <f t="shared" si="700"/>
        <v>0</v>
      </c>
      <c r="AW2686" s="93">
        <f t="shared" si="701"/>
        <v>0</v>
      </c>
      <c r="AX2686" s="93">
        <f t="shared" si="702"/>
        <v>0</v>
      </c>
      <c r="AY2686" s="94" t="s">
        <v>3503</v>
      </c>
      <c r="AZ2686" s="94" t="s">
        <v>3504</v>
      </c>
      <c r="BA2686" s="88" t="s">
        <v>67</v>
      </c>
      <c r="BC2686" s="93">
        <f t="shared" si="703"/>
        <v>0</v>
      </c>
      <c r="BD2686" s="93">
        <f t="shared" si="704"/>
        <v>0</v>
      </c>
      <c r="BE2686" s="93">
        <v>0</v>
      </c>
      <c r="BF2686" s="93">
        <f t="shared" si="705"/>
        <v>0</v>
      </c>
      <c r="BH2686" s="93">
        <f t="shared" si="706"/>
        <v>0</v>
      </c>
      <c r="BI2686" s="93">
        <f t="shared" si="707"/>
        <v>0</v>
      </c>
      <c r="BJ2686" s="93">
        <f t="shared" si="708"/>
        <v>0</v>
      </c>
      <c r="BK2686" s="93"/>
      <c r="BL2686" s="93"/>
      <c r="BW2686" s="93" t="str">
        <f t="shared" si="709"/>
        <v>21</v>
      </c>
      <c r="BX2686" s="2" t="s">
        <v>3996</v>
      </c>
    </row>
    <row r="2687" spans="1:76" s="81" customFormat="1" ht="25.5" x14ac:dyDescent="0.25">
      <c r="A2687" s="72" t="s">
        <v>3997</v>
      </c>
      <c r="B2687" s="72" t="s">
        <v>55</v>
      </c>
      <c r="C2687" s="72" t="s">
        <v>3998</v>
      </c>
      <c r="D2687" s="175" t="s">
        <v>3999</v>
      </c>
      <c r="E2687" s="175"/>
      <c r="F2687" s="72" t="s">
        <v>203</v>
      </c>
      <c r="G2687" s="90">
        <v>67</v>
      </c>
      <c r="H2687" s="91"/>
      <c r="I2687" s="92" t="s">
        <v>63</v>
      </c>
      <c r="J2687" s="90">
        <f t="shared" si="682"/>
        <v>0</v>
      </c>
      <c r="K2687" s="90">
        <f t="shared" si="683"/>
        <v>0</v>
      </c>
      <c r="L2687" s="90">
        <f t="shared" si="684"/>
        <v>0</v>
      </c>
      <c r="M2687" s="90">
        <f t="shared" si="685"/>
        <v>0</v>
      </c>
      <c r="N2687" s="90">
        <v>0</v>
      </c>
      <c r="O2687" s="90">
        <f t="shared" si="686"/>
        <v>0</v>
      </c>
      <c r="P2687" s="92" t="s">
        <v>1652</v>
      </c>
      <c r="Z2687" s="93">
        <f t="shared" si="687"/>
        <v>0</v>
      </c>
      <c r="AB2687" s="93">
        <f t="shared" si="688"/>
        <v>0</v>
      </c>
      <c r="AC2687" s="93">
        <f t="shared" si="689"/>
        <v>0</v>
      </c>
      <c r="AD2687" s="93">
        <f t="shared" si="690"/>
        <v>0</v>
      </c>
      <c r="AE2687" s="93">
        <f t="shared" si="691"/>
        <v>0</v>
      </c>
      <c r="AF2687" s="93">
        <f t="shared" si="692"/>
        <v>0</v>
      </c>
      <c r="AG2687" s="93">
        <f t="shared" si="693"/>
        <v>0</v>
      </c>
      <c r="AH2687" s="93">
        <f t="shared" si="694"/>
        <v>0</v>
      </c>
      <c r="AI2687" s="88" t="s">
        <v>55</v>
      </c>
      <c r="AJ2687" s="93">
        <f t="shared" si="695"/>
        <v>0</v>
      </c>
      <c r="AK2687" s="93">
        <f t="shared" si="696"/>
        <v>0</v>
      </c>
      <c r="AL2687" s="93">
        <f t="shared" si="697"/>
        <v>0</v>
      </c>
      <c r="AN2687" s="93">
        <v>21</v>
      </c>
      <c r="AO2687" s="93">
        <f t="shared" si="698"/>
        <v>0</v>
      </c>
      <c r="AP2687" s="93">
        <f t="shared" si="699"/>
        <v>0</v>
      </c>
      <c r="AQ2687" s="94" t="s">
        <v>118</v>
      </c>
      <c r="AV2687" s="93">
        <f t="shared" si="700"/>
        <v>0</v>
      </c>
      <c r="AW2687" s="93">
        <f t="shared" si="701"/>
        <v>0</v>
      </c>
      <c r="AX2687" s="93">
        <f t="shared" si="702"/>
        <v>0</v>
      </c>
      <c r="AY2687" s="94" t="s">
        <v>3503</v>
      </c>
      <c r="AZ2687" s="94" t="s">
        <v>3504</v>
      </c>
      <c r="BA2687" s="88" t="s">
        <v>67</v>
      </c>
      <c r="BC2687" s="93">
        <f t="shared" si="703"/>
        <v>0</v>
      </c>
      <c r="BD2687" s="93">
        <f t="shared" si="704"/>
        <v>0</v>
      </c>
      <c r="BE2687" s="93">
        <v>0</v>
      </c>
      <c r="BF2687" s="93">
        <f t="shared" si="705"/>
        <v>0</v>
      </c>
      <c r="BH2687" s="93">
        <f t="shared" si="706"/>
        <v>0</v>
      </c>
      <c r="BI2687" s="93">
        <f t="shared" si="707"/>
        <v>0</v>
      </c>
      <c r="BJ2687" s="93">
        <f t="shared" si="708"/>
        <v>0</v>
      </c>
      <c r="BK2687" s="93"/>
      <c r="BL2687" s="93"/>
      <c r="BW2687" s="93" t="str">
        <f t="shared" si="709"/>
        <v>21</v>
      </c>
      <c r="BX2687" s="2" t="s">
        <v>3999</v>
      </c>
    </row>
    <row r="2688" spans="1:76" s="81" customFormat="1" ht="25.5" x14ac:dyDescent="0.25">
      <c r="A2688" s="72" t="s">
        <v>4000</v>
      </c>
      <c r="B2688" s="72" t="s">
        <v>55</v>
      </c>
      <c r="C2688" s="72" t="s">
        <v>4001</v>
      </c>
      <c r="D2688" s="175" t="s">
        <v>4002</v>
      </c>
      <c r="E2688" s="175"/>
      <c r="F2688" s="72" t="s">
        <v>203</v>
      </c>
      <c r="G2688" s="90">
        <v>1</v>
      </c>
      <c r="H2688" s="91"/>
      <c r="I2688" s="92" t="s">
        <v>63</v>
      </c>
      <c r="J2688" s="90">
        <f t="shared" si="682"/>
        <v>0</v>
      </c>
      <c r="K2688" s="90">
        <f t="shared" si="683"/>
        <v>0</v>
      </c>
      <c r="L2688" s="90">
        <f t="shared" si="684"/>
        <v>0</v>
      </c>
      <c r="M2688" s="90">
        <f t="shared" si="685"/>
        <v>0</v>
      </c>
      <c r="N2688" s="90">
        <v>0</v>
      </c>
      <c r="O2688" s="90">
        <f t="shared" si="686"/>
        <v>0</v>
      </c>
      <c r="P2688" s="92" t="s">
        <v>1652</v>
      </c>
      <c r="Z2688" s="93">
        <f t="shared" si="687"/>
        <v>0</v>
      </c>
      <c r="AB2688" s="93">
        <f t="shared" si="688"/>
        <v>0</v>
      </c>
      <c r="AC2688" s="93">
        <f t="shared" si="689"/>
        <v>0</v>
      </c>
      <c r="AD2688" s="93">
        <f t="shared" si="690"/>
        <v>0</v>
      </c>
      <c r="AE2688" s="93">
        <f t="shared" si="691"/>
        <v>0</v>
      </c>
      <c r="AF2688" s="93">
        <f t="shared" si="692"/>
        <v>0</v>
      </c>
      <c r="AG2688" s="93">
        <f t="shared" si="693"/>
        <v>0</v>
      </c>
      <c r="AH2688" s="93">
        <f t="shared" si="694"/>
        <v>0</v>
      </c>
      <c r="AI2688" s="88" t="s">
        <v>55</v>
      </c>
      <c r="AJ2688" s="93">
        <f t="shared" si="695"/>
        <v>0</v>
      </c>
      <c r="AK2688" s="93">
        <f t="shared" si="696"/>
        <v>0</v>
      </c>
      <c r="AL2688" s="93">
        <f t="shared" si="697"/>
        <v>0</v>
      </c>
      <c r="AN2688" s="93">
        <v>21</v>
      </c>
      <c r="AO2688" s="93">
        <f t="shared" si="698"/>
        <v>0</v>
      </c>
      <c r="AP2688" s="93">
        <f t="shared" si="699"/>
        <v>0</v>
      </c>
      <c r="AQ2688" s="94" t="s">
        <v>118</v>
      </c>
      <c r="AV2688" s="93">
        <f t="shared" si="700"/>
        <v>0</v>
      </c>
      <c r="AW2688" s="93">
        <f t="shared" si="701"/>
        <v>0</v>
      </c>
      <c r="AX2688" s="93">
        <f t="shared" si="702"/>
        <v>0</v>
      </c>
      <c r="AY2688" s="94" t="s">
        <v>3503</v>
      </c>
      <c r="AZ2688" s="94" t="s">
        <v>3504</v>
      </c>
      <c r="BA2688" s="88" t="s">
        <v>67</v>
      </c>
      <c r="BC2688" s="93">
        <f t="shared" si="703"/>
        <v>0</v>
      </c>
      <c r="BD2688" s="93">
        <f t="shared" si="704"/>
        <v>0</v>
      </c>
      <c r="BE2688" s="93">
        <v>0</v>
      </c>
      <c r="BF2688" s="93">
        <f t="shared" si="705"/>
        <v>0</v>
      </c>
      <c r="BH2688" s="93">
        <f t="shared" si="706"/>
        <v>0</v>
      </c>
      <c r="BI2688" s="93">
        <f t="shared" si="707"/>
        <v>0</v>
      </c>
      <c r="BJ2688" s="93">
        <f t="shared" si="708"/>
        <v>0</v>
      </c>
      <c r="BK2688" s="93"/>
      <c r="BL2688" s="93"/>
      <c r="BW2688" s="93" t="str">
        <f t="shared" si="709"/>
        <v>21</v>
      </c>
      <c r="BX2688" s="2" t="s">
        <v>4002</v>
      </c>
    </row>
    <row r="2689" spans="1:76" s="81" customFormat="1" ht="25.5" x14ac:dyDescent="0.25">
      <c r="A2689" s="72" t="s">
        <v>4003</v>
      </c>
      <c r="B2689" s="72" t="s">
        <v>55</v>
      </c>
      <c r="C2689" s="72" t="s">
        <v>4004</v>
      </c>
      <c r="D2689" s="175" t="s">
        <v>4005</v>
      </c>
      <c r="E2689" s="175"/>
      <c r="F2689" s="72" t="s">
        <v>192</v>
      </c>
      <c r="G2689" s="90">
        <v>200</v>
      </c>
      <c r="H2689" s="91"/>
      <c r="I2689" s="92" t="s">
        <v>63</v>
      </c>
      <c r="J2689" s="90">
        <f t="shared" si="682"/>
        <v>0</v>
      </c>
      <c r="K2689" s="90">
        <f t="shared" si="683"/>
        <v>0</v>
      </c>
      <c r="L2689" s="90">
        <f t="shared" si="684"/>
        <v>0</v>
      </c>
      <c r="M2689" s="90">
        <f t="shared" si="685"/>
        <v>0</v>
      </c>
      <c r="N2689" s="90">
        <v>0</v>
      </c>
      <c r="O2689" s="90">
        <f t="shared" si="686"/>
        <v>0</v>
      </c>
      <c r="P2689" s="92" t="s">
        <v>1652</v>
      </c>
      <c r="Z2689" s="93">
        <f t="shared" si="687"/>
        <v>0</v>
      </c>
      <c r="AB2689" s="93">
        <f t="shared" si="688"/>
        <v>0</v>
      </c>
      <c r="AC2689" s="93">
        <f t="shared" si="689"/>
        <v>0</v>
      </c>
      <c r="AD2689" s="93">
        <f t="shared" si="690"/>
        <v>0</v>
      </c>
      <c r="AE2689" s="93">
        <f t="shared" si="691"/>
        <v>0</v>
      </c>
      <c r="AF2689" s="93">
        <f t="shared" si="692"/>
        <v>0</v>
      </c>
      <c r="AG2689" s="93">
        <f t="shared" si="693"/>
        <v>0</v>
      </c>
      <c r="AH2689" s="93">
        <f t="shared" si="694"/>
        <v>0</v>
      </c>
      <c r="AI2689" s="88" t="s">
        <v>55</v>
      </c>
      <c r="AJ2689" s="93">
        <f t="shared" si="695"/>
        <v>0</v>
      </c>
      <c r="AK2689" s="93">
        <f t="shared" si="696"/>
        <v>0</v>
      </c>
      <c r="AL2689" s="93">
        <f t="shared" si="697"/>
        <v>0</v>
      </c>
      <c r="AN2689" s="93">
        <v>21</v>
      </c>
      <c r="AO2689" s="93">
        <f t="shared" si="698"/>
        <v>0</v>
      </c>
      <c r="AP2689" s="93">
        <f t="shared" si="699"/>
        <v>0</v>
      </c>
      <c r="AQ2689" s="94" t="s">
        <v>118</v>
      </c>
      <c r="AV2689" s="93">
        <f t="shared" si="700"/>
        <v>0</v>
      </c>
      <c r="AW2689" s="93">
        <f t="shared" si="701"/>
        <v>0</v>
      </c>
      <c r="AX2689" s="93">
        <f t="shared" si="702"/>
        <v>0</v>
      </c>
      <c r="AY2689" s="94" t="s">
        <v>3503</v>
      </c>
      <c r="AZ2689" s="94" t="s">
        <v>3504</v>
      </c>
      <c r="BA2689" s="88" t="s">
        <v>67</v>
      </c>
      <c r="BC2689" s="93">
        <f t="shared" si="703"/>
        <v>0</v>
      </c>
      <c r="BD2689" s="93">
        <f t="shared" si="704"/>
        <v>0</v>
      </c>
      <c r="BE2689" s="93">
        <v>0</v>
      </c>
      <c r="BF2689" s="93">
        <f t="shared" si="705"/>
        <v>0</v>
      </c>
      <c r="BH2689" s="93">
        <f t="shared" si="706"/>
        <v>0</v>
      </c>
      <c r="BI2689" s="93">
        <f t="shared" si="707"/>
        <v>0</v>
      </c>
      <c r="BJ2689" s="93">
        <f t="shared" si="708"/>
        <v>0</v>
      </c>
      <c r="BK2689" s="93"/>
      <c r="BL2689" s="93"/>
      <c r="BW2689" s="93" t="str">
        <f t="shared" si="709"/>
        <v>21</v>
      </c>
      <c r="BX2689" s="2" t="s">
        <v>4005</v>
      </c>
    </row>
    <row r="2690" spans="1:76" s="81" customFormat="1" ht="25.5" x14ac:dyDescent="0.25">
      <c r="A2690" s="72" t="s">
        <v>4006</v>
      </c>
      <c r="B2690" s="72" t="s">
        <v>55</v>
      </c>
      <c r="C2690" s="72" t="s">
        <v>4007</v>
      </c>
      <c r="D2690" s="175" t="s">
        <v>4008</v>
      </c>
      <c r="E2690" s="175"/>
      <c r="F2690" s="72" t="s">
        <v>4009</v>
      </c>
      <c r="G2690" s="90">
        <v>1</v>
      </c>
      <c r="H2690" s="91"/>
      <c r="I2690" s="92" t="s">
        <v>63</v>
      </c>
      <c r="J2690" s="90">
        <f t="shared" si="682"/>
        <v>0</v>
      </c>
      <c r="K2690" s="90">
        <f t="shared" si="683"/>
        <v>0</v>
      </c>
      <c r="L2690" s="90">
        <f t="shared" si="684"/>
        <v>0</v>
      </c>
      <c r="M2690" s="90">
        <f t="shared" si="685"/>
        <v>0</v>
      </c>
      <c r="N2690" s="90">
        <v>0</v>
      </c>
      <c r="O2690" s="90">
        <f t="shared" si="686"/>
        <v>0</v>
      </c>
      <c r="P2690" s="92" t="s">
        <v>1652</v>
      </c>
      <c r="Z2690" s="93">
        <f t="shared" si="687"/>
        <v>0</v>
      </c>
      <c r="AB2690" s="93">
        <f t="shared" si="688"/>
        <v>0</v>
      </c>
      <c r="AC2690" s="93">
        <f t="shared" si="689"/>
        <v>0</v>
      </c>
      <c r="AD2690" s="93">
        <f t="shared" si="690"/>
        <v>0</v>
      </c>
      <c r="AE2690" s="93">
        <f t="shared" si="691"/>
        <v>0</v>
      </c>
      <c r="AF2690" s="93">
        <f t="shared" si="692"/>
        <v>0</v>
      </c>
      <c r="AG2690" s="93">
        <f t="shared" si="693"/>
        <v>0</v>
      </c>
      <c r="AH2690" s="93">
        <f t="shared" si="694"/>
        <v>0</v>
      </c>
      <c r="AI2690" s="88" t="s">
        <v>55</v>
      </c>
      <c r="AJ2690" s="93">
        <f t="shared" si="695"/>
        <v>0</v>
      </c>
      <c r="AK2690" s="93">
        <f t="shared" si="696"/>
        <v>0</v>
      </c>
      <c r="AL2690" s="93">
        <f t="shared" si="697"/>
        <v>0</v>
      </c>
      <c r="AN2690" s="93">
        <v>21</v>
      </c>
      <c r="AO2690" s="93">
        <f t="shared" si="698"/>
        <v>0</v>
      </c>
      <c r="AP2690" s="93">
        <f t="shared" si="699"/>
        <v>0</v>
      </c>
      <c r="AQ2690" s="94" t="s">
        <v>118</v>
      </c>
      <c r="AV2690" s="93">
        <f t="shared" si="700"/>
        <v>0</v>
      </c>
      <c r="AW2690" s="93">
        <f t="shared" si="701"/>
        <v>0</v>
      </c>
      <c r="AX2690" s="93">
        <f t="shared" si="702"/>
        <v>0</v>
      </c>
      <c r="AY2690" s="94" t="s">
        <v>3503</v>
      </c>
      <c r="AZ2690" s="94" t="s">
        <v>3504</v>
      </c>
      <c r="BA2690" s="88" t="s">
        <v>67</v>
      </c>
      <c r="BC2690" s="93">
        <f t="shared" si="703"/>
        <v>0</v>
      </c>
      <c r="BD2690" s="93">
        <f t="shared" si="704"/>
        <v>0</v>
      </c>
      <c r="BE2690" s="93">
        <v>0</v>
      </c>
      <c r="BF2690" s="93">
        <f t="shared" si="705"/>
        <v>0</v>
      </c>
      <c r="BH2690" s="93">
        <f t="shared" si="706"/>
        <v>0</v>
      </c>
      <c r="BI2690" s="93">
        <f t="shared" si="707"/>
        <v>0</v>
      </c>
      <c r="BJ2690" s="93">
        <f t="shared" si="708"/>
        <v>0</v>
      </c>
      <c r="BK2690" s="93"/>
      <c r="BL2690" s="93"/>
      <c r="BW2690" s="93" t="str">
        <f t="shared" si="709"/>
        <v>21</v>
      </c>
      <c r="BX2690" s="2" t="s">
        <v>4008</v>
      </c>
    </row>
    <row r="2691" spans="1:76" s="81" customFormat="1" ht="25.5" x14ac:dyDescent="0.25">
      <c r="A2691" s="72" t="s">
        <v>4010</v>
      </c>
      <c r="B2691" s="72" t="s">
        <v>55</v>
      </c>
      <c r="C2691" s="72" t="s">
        <v>4011</v>
      </c>
      <c r="D2691" s="175" t="s">
        <v>4012</v>
      </c>
      <c r="E2691" s="175"/>
      <c r="F2691" s="72" t="s">
        <v>203</v>
      </c>
      <c r="G2691" s="90">
        <v>1</v>
      </c>
      <c r="H2691" s="91"/>
      <c r="I2691" s="92" t="s">
        <v>63</v>
      </c>
      <c r="J2691" s="90">
        <f t="shared" si="682"/>
        <v>0</v>
      </c>
      <c r="K2691" s="90">
        <f t="shared" si="683"/>
        <v>0</v>
      </c>
      <c r="L2691" s="90">
        <f t="shared" si="684"/>
        <v>0</v>
      </c>
      <c r="M2691" s="90">
        <f t="shared" si="685"/>
        <v>0</v>
      </c>
      <c r="N2691" s="90">
        <v>0</v>
      </c>
      <c r="O2691" s="90">
        <f t="shared" si="686"/>
        <v>0</v>
      </c>
      <c r="P2691" s="92" t="s">
        <v>1652</v>
      </c>
      <c r="Z2691" s="93">
        <f t="shared" si="687"/>
        <v>0</v>
      </c>
      <c r="AB2691" s="93">
        <f t="shared" si="688"/>
        <v>0</v>
      </c>
      <c r="AC2691" s="93">
        <f t="shared" si="689"/>
        <v>0</v>
      </c>
      <c r="AD2691" s="93">
        <f t="shared" si="690"/>
        <v>0</v>
      </c>
      <c r="AE2691" s="93">
        <f t="shared" si="691"/>
        <v>0</v>
      </c>
      <c r="AF2691" s="93">
        <f t="shared" si="692"/>
        <v>0</v>
      </c>
      <c r="AG2691" s="93">
        <f t="shared" si="693"/>
        <v>0</v>
      </c>
      <c r="AH2691" s="93">
        <f t="shared" si="694"/>
        <v>0</v>
      </c>
      <c r="AI2691" s="88" t="s">
        <v>55</v>
      </c>
      <c r="AJ2691" s="93">
        <f t="shared" si="695"/>
        <v>0</v>
      </c>
      <c r="AK2691" s="93">
        <f t="shared" si="696"/>
        <v>0</v>
      </c>
      <c r="AL2691" s="93">
        <f t="shared" si="697"/>
        <v>0</v>
      </c>
      <c r="AN2691" s="93">
        <v>21</v>
      </c>
      <c r="AO2691" s="93">
        <f t="shared" si="698"/>
        <v>0</v>
      </c>
      <c r="AP2691" s="93">
        <f t="shared" si="699"/>
        <v>0</v>
      </c>
      <c r="AQ2691" s="94" t="s">
        <v>118</v>
      </c>
      <c r="AV2691" s="93">
        <f t="shared" si="700"/>
        <v>0</v>
      </c>
      <c r="AW2691" s="93">
        <f t="shared" si="701"/>
        <v>0</v>
      </c>
      <c r="AX2691" s="93">
        <f t="shared" si="702"/>
        <v>0</v>
      </c>
      <c r="AY2691" s="94" t="s">
        <v>3503</v>
      </c>
      <c r="AZ2691" s="94" t="s">
        <v>3504</v>
      </c>
      <c r="BA2691" s="88" t="s">
        <v>67</v>
      </c>
      <c r="BC2691" s="93">
        <f t="shared" si="703"/>
        <v>0</v>
      </c>
      <c r="BD2691" s="93">
        <f t="shared" si="704"/>
        <v>0</v>
      </c>
      <c r="BE2691" s="93">
        <v>0</v>
      </c>
      <c r="BF2691" s="93">
        <f t="shared" si="705"/>
        <v>0</v>
      </c>
      <c r="BH2691" s="93">
        <f t="shared" si="706"/>
        <v>0</v>
      </c>
      <c r="BI2691" s="93">
        <f t="shared" si="707"/>
        <v>0</v>
      </c>
      <c r="BJ2691" s="93">
        <f t="shared" si="708"/>
        <v>0</v>
      </c>
      <c r="BK2691" s="93"/>
      <c r="BL2691" s="93"/>
      <c r="BW2691" s="93" t="str">
        <f t="shared" si="709"/>
        <v>21</v>
      </c>
      <c r="BX2691" s="2" t="s">
        <v>4012</v>
      </c>
    </row>
    <row r="2692" spans="1:76" s="81" customFormat="1" ht="25.5" x14ac:dyDescent="0.25">
      <c r="A2692" s="72" t="s">
        <v>4013</v>
      </c>
      <c r="B2692" s="72" t="s">
        <v>55</v>
      </c>
      <c r="C2692" s="72" t="s">
        <v>4014</v>
      </c>
      <c r="D2692" s="175" t="s">
        <v>4015</v>
      </c>
      <c r="E2692" s="175"/>
      <c r="F2692" s="72" t="s">
        <v>203</v>
      </c>
      <c r="G2692" s="90">
        <v>1</v>
      </c>
      <c r="H2692" s="91"/>
      <c r="I2692" s="92" t="s">
        <v>63</v>
      </c>
      <c r="J2692" s="90">
        <f t="shared" si="682"/>
        <v>0</v>
      </c>
      <c r="K2692" s="90">
        <f t="shared" si="683"/>
        <v>0</v>
      </c>
      <c r="L2692" s="90">
        <f t="shared" si="684"/>
        <v>0</v>
      </c>
      <c r="M2692" s="90">
        <f t="shared" si="685"/>
        <v>0</v>
      </c>
      <c r="N2692" s="90">
        <v>0</v>
      </c>
      <c r="O2692" s="90">
        <f t="shared" si="686"/>
        <v>0</v>
      </c>
      <c r="P2692" s="92" t="s">
        <v>1652</v>
      </c>
      <c r="Z2692" s="93">
        <f t="shared" si="687"/>
        <v>0</v>
      </c>
      <c r="AB2692" s="93">
        <f t="shared" si="688"/>
        <v>0</v>
      </c>
      <c r="AC2692" s="93">
        <f t="shared" si="689"/>
        <v>0</v>
      </c>
      <c r="AD2692" s="93">
        <f t="shared" si="690"/>
        <v>0</v>
      </c>
      <c r="AE2692" s="93">
        <f t="shared" si="691"/>
        <v>0</v>
      </c>
      <c r="AF2692" s="93">
        <f t="shared" si="692"/>
        <v>0</v>
      </c>
      <c r="AG2692" s="93">
        <f t="shared" si="693"/>
        <v>0</v>
      </c>
      <c r="AH2692" s="93">
        <f t="shared" si="694"/>
        <v>0</v>
      </c>
      <c r="AI2692" s="88" t="s">
        <v>55</v>
      </c>
      <c r="AJ2692" s="93">
        <f t="shared" si="695"/>
        <v>0</v>
      </c>
      <c r="AK2692" s="93">
        <f t="shared" si="696"/>
        <v>0</v>
      </c>
      <c r="AL2692" s="93">
        <f t="shared" si="697"/>
        <v>0</v>
      </c>
      <c r="AN2692" s="93">
        <v>21</v>
      </c>
      <c r="AO2692" s="93">
        <f t="shared" si="698"/>
        <v>0</v>
      </c>
      <c r="AP2692" s="93">
        <f t="shared" si="699"/>
        <v>0</v>
      </c>
      <c r="AQ2692" s="94" t="s">
        <v>118</v>
      </c>
      <c r="AV2692" s="93">
        <f t="shared" si="700"/>
        <v>0</v>
      </c>
      <c r="AW2692" s="93">
        <f t="shared" si="701"/>
        <v>0</v>
      </c>
      <c r="AX2692" s="93">
        <f t="shared" si="702"/>
        <v>0</v>
      </c>
      <c r="AY2692" s="94" t="s">
        <v>3503</v>
      </c>
      <c r="AZ2692" s="94" t="s">
        <v>3504</v>
      </c>
      <c r="BA2692" s="88" t="s">
        <v>67</v>
      </c>
      <c r="BC2692" s="93">
        <f t="shared" si="703"/>
        <v>0</v>
      </c>
      <c r="BD2692" s="93">
        <f t="shared" si="704"/>
        <v>0</v>
      </c>
      <c r="BE2692" s="93">
        <v>0</v>
      </c>
      <c r="BF2692" s="93">
        <f t="shared" si="705"/>
        <v>0</v>
      </c>
      <c r="BH2692" s="93">
        <f t="shared" si="706"/>
        <v>0</v>
      </c>
      <c r="BI2692" s="93">
        <f t="shared" si="707"/>
        <v>0</v>
      </c>
      <c r="BJ2692" s="93">
        <f t="shared" si="708"/>
        <v>0</v>
      </c>
      <c r="BK2692" s="93"/>
      <c r="BL2692" s="93"/>
      <c r="BW2692" s="93" t="str">
        <f t="shared" si="709"/>
        <v>21</v>
      </c>
      <c r="BX2692" s="2" t="s">
        <v>4015</v>
      </c>
    </row>
    <row r="2693" spans="1:76" s="81" customFormat="1" ht="25.5" x14ac:dyDescent="0.25">
      <c r="A2693" s="72" t="s">
        <v>4016</v>
      </c>
      <c r="B2693" s="72" t="s">
        <v>55</v>
      </c>
      <c r="C2693" s="72" t="s">
        <v>4017</v>
      </c>
      <c r="D2693" s="175" t="s">
        <v>4018</v>
      </c>
      <c r="E2693" s="175"/>
      <c r="F2693" s="72" t="s">
        <v>1334</v>
      </c>
      <c r="G2693" s="90">
        <v>1</v>
      </c>
      <c r="H2693" s="91"/>
      <c r="I2693" s="92" t="s">
        <v>63</v>
      </c>
      <c r="J2693" s="90">
        <f t="shared" si="682"/>
        <v>0</v>
      </c>
      <c r="K2693" s="90">
        <f t="shared" si="683"/>
        <v>0</v>
      </c>
      <c r="L2693" s="90">
        <f t="shared" si="684"/>
        <v>0</v>
      </c>
      <c r="M2693" s="90">
        <f t="shared" si="685"/>
        <v>0</v>
      </c>
      <c r="N2693" s="90">
        <v>0</v>
      </c>
      <c r="O2693" s="90">
        <f t="shared" si="686"/>
        <v>0</v>
      </c>
      <c r="P2693" s="92" t="s">
        <v>1652</v>
      </c>
      <c r="Z2693" s="93">
        <f t="shared" si="687"/>
        <v>0</v>
      </c>
      <c r="AB2693" s="93">
        <f t="shared" si="688"/>
        <v>0</v>
      </c>
      <c r="AC2693" s="93">
        <f t="shared" si="689"/>
        <v>0</v>
      </c>
      <c r="AD2693" s="93">
        <f t="shared" si="690"/>
        <v>0</v>
      </c>
      <c r="AE2693" s="93">
        <f t="shared" si="691"/>
        <v>0</v>
      </c>
      <c r="AF2693" s="93">
        <f t="shared" si="692"/>
        <v>0</v>
      </c>
      <c r="AG2693" s="93">
        <f t="shared" si="693"/>
        <v>0</v>
      </c>
      <c r="AH2693" s="93">
        <f t="shared" si="694"/>
        <v>0</v>
      </c>
      <c r="AI2693" s="88" t="s">
        <v>55</v>
      </c>
      <c r="AJ2693" s="93">
        <f t="shared" si="695"/>
        <v>0</v>
      </c>
      <c r="AK2693" s="93">
        <f t="shared" si="696"/>
        <v>0</v>
      </c>
      <c r="AL2693" s="93">
        <f t="shared" si="697"/>
        <v>0</v>
      </c>
      <c r="AN2693" s="93">
        <v>21</v>
      </c>
      <c r="AO2693" s="93">
        <f t="shared" si="698"/>
        <v>0</v>
      </c>
      <c r="AP2693" s="93">
        <f t="shared" si="699"/>
        <v>0</v>
      </c>
      <c r="AQ2693" s="94" t="s">
        <v>118</v>
      </c>
      <c r="AV2693" s="93">
        <f t="shared" si="700"/>
        <v>0</v>
      </c>
      <c r="AW2693" s="93">
        <f t="shared" si="701"/>
        <v>0</v>
      </c>
      <c r="AX2693" s="93">
        <f t="shared" si="702"/>
        <v>0</v>
      </c>
      <c r="AY2693" s="94" t="s">
        <v>3503</v>
      </c>
      <c r="AZ2693" s="94" t="s">
        <v>3504</v>
      </c>
      <c r="BA2693" s="88" t="s">
        <v>67</v>
      </c>
      <c r="BC2693" s="93">
        <f t="shared" si="703"/>
        <v>0</v>
      </c>
      <c r="BD2693" s="93">
        <f t="shared" si="704"/>
        <v>0</v>
      </c>
      <c r="BE2693" s="93">
        <v>0</v>
      </c>
      <c r="BF2693" s="93">
        <f t="shared" si="705"/>
        <v>0</v>
      </c>
      <c r="BH2693" s="93">
        <f t="shared" si="706"/>
        <v>0</v>
      </c>
      <c r="BI2693" s="93">
        <f t="shared" si="707"/>
        <v>0</v>
      </c>
      <c r="BJ2693" s="93">
        <f t="shared" si="708"/>
        <v>0</v>
      </c>
      <c r="BK2693" s="93"/>
      <c r="BL2693" s="93"/>
      <c r="BW2693" s="93" t="str">
        <f t="shared" si="709"/>
        <v>21</v>
      </c>
      <c r="BX2693" s="2" t="s">
        <v>4018</v>
      </c>
    </row>
    <row r="2694" spans="1:76" s="81" customFormat="1" ht="25.5" x14ac:dyDescent="0.25">
      <c r="A2694" s="72" t="s">
        <v>4019</v>
      </c>
      <c r="B2694" s="72" t="s">
        <v>55</v>
      </c>
      <c r="C2694" s="72" t="s">
        <v>4020</v>
      </c>
      <c r="D2694" s="175" t="s">
        <v>4021</v>
      </c>
      <c r="E2694" s="175"/>
      <c r="F2694" s="72" t="s">
        <v>3605</v>
      </c>
      <c r="G2694" s="90">
        <v>232</v>
      </c>
      <c r="H2694" s="91"/>
      <c r="I2694" s="92" t="s">
        <v>63</v>
      </c>
      <c r="J2694" s="90">
        <f t="shared" si="682"/>
        <v>0</v>
      </c>
      <c r="K2694" s="90">
        <f t="shared" si="683"/>
        <v>0</v>
      </c>
      <c r="L2694" s="90">
        <f t="shared" si="684"/>
        <v>0</v>
      </c>
      <c r="M2694" s="90">
        <f t="shared" si="685"/>
        <v>0</v>
      </c>
      <c r="N2694" s="90">
        <v>0</v>
      </c>
      <c r="O2694" s="90">
        <f t="shared" si="686"/>
        <v>0</v>
      </c>
      <c r="P2694" s="92" t="s">
        <v>1652</v>
      </c>
      <c r="Z2694" s="93">
        <f t="shared" si="687"/>
        <v>0</v>
      </c>
      <c r="AB2694" s="93">
        <f t="shared" si="688"/>
        <v>0</v>
      </c>
      <c r="AC2694" s="93">
        <f t="shared" si="689"/>
        <v>0</v>
      </c>
      <c r="AD2694" s="93">
        <f t="shared" si="690"/>
        <v>0</v>
      </c>
      <c r="AE2694" s="93">
        <f t="shared" si="691"/>
        <v>0</v>
      </c>
      <c r="AF2694" s="93">
        <f t="shared" si="692"/>
        <v>0</v>
      </c>
      <c r="AG2694" s="93">
        <f t="shared" si="693"/>
        <v>0</v>
      </c>
      <c r="AH2694" s="93">
        <f t="shared" si="694"/>
        <v>0</v>
      </c>
      <c r="AI2694" s="88" t="s">
        <v>55</v>
      </c>
      <c r="AJ2694" s="93">
        <f t="shared" si="695"/>
        <v>0</v>
      </c>
      <c r="AK2694" s="93">
        <f t="shared" si="696"/>
        <v>0</v>
      </c>
      <c r="AL2694" s="93">
        <f t="shared" si="697"/>
        <v>0</v>
      </c>
      <c r="AN2694" s="93">
        <v>21</v>
      </c>
      <c r="AO2694" s="93">
        <f t="shared" si="698"/>
        <v>0</v>
      </c>
      <c r="AP2694" s="93">
        <f t="shared" si="699"/>
        <v>0</v>
      </c>
      <c r="AQ2694" s="94" t="s">
        <v>118</v>
      </c>
      <c r="AV2694" s="93">
        <f t="shared" si="700"/>
        <v>0</v>
      </c>
      <c r="AW2694" s="93">
        <f t="shared" si="701"/>
        <v>0</v>
      </c>
      <c r="AX2694" s="93">
        <f t="shared" si="702"/>
        <v>0</v>
      </c>
      <c r="AY2694" s="94" t="s">
        <v>3503</v>
      </c>
      <c r="AZ2694" s="94" t="s">
        <v>3504</v>
      </c>
      <c r="BA2694" s="88" t="s">
        <v>67</v>
      </c>
      <c r="BC2694" s="93">
        <f t="shared" si="703"/>
        <v>0</v>
      </c>
      <c r="BD2694" s="93">
        <f t="shared" si="704"/>
        <v>0</v>
      </c>
      <c r="BE2694" s="93">
        <v>0</v>
      </c>
      <c r="BF2694" s="93">
        <f t="shared" si="705"/>
        <v>0</v>
      </c>
      <c r="BH2694" s="93">
        <f t="shared" si="706"/>
        <v>0</v>
      </c>
      <c r="BI2694" s="93">
        <f t="shared" si="707"/>
        <v>0</v>
      </c>
      <c r="BJ2694" s="93">
        <f t="shared" si="708"/>
        <v>0</v>
      </c>
      <c r="BK2694" s="93"/>
      <c r="BL2694" s="93"/>
      <c r="BW2694" s="93" t="str">
        <f t="shared" si="709"/>
        <v>21</v>
      </c>
      <c r="BX2694" s="2" t="s">
        <v>4021</v>
      </c>
    </row>
    <row r="2695" spans="1:76" s="81" customFormat="1" ht="25.5" x14ac:dyDescent="0.25">
      <c r="A2695" s="72" t="s">
        <v>4022</v>
      </c>
      <c r="B2695" s="72" t="s">
        <v>55</v>
      </c>
      <c r="C2695" s="72" t="s">
        <v>4023</v>
      </c>
      <c r="D2695" s="175" t="s">
        <v>4024</v>
      </c>
      <c r="E2695" s="175"/>
      <c r="F2695" s="72" t="s">
        <v>1334</v>
      </c>
      <c r="G2695" s="90">
        <v>1</v>
      </c>
      <c r="H2695" s="91"/>
      <c r="I2695" s="92" t="s">
        <v>63</v>
      </c>
      <c r="J2695" s="90">
        <f t="shared" si="682"/>
        <v>0</v>
      </c>
      <c r="K2695" s="90">
        <f t="shared" si="683"/>
        <v>0</v>
      </c>
      <c r="L2695" s="90">
        <f t="shared" si="684"/>
        <v>0</v>
      </c>
      <c r="M2695" s="90">
        <f t="shared" si="685"/>
        <v>0</v>
      </c>
      <c r="N2695" s="90">
        <v>0</v>
      </c>
      <c r="O2695" s="90">
        <f t="shared" si="686"/>
        <v>0</v>
      </c>
      <c r="P2695" s="92" t="s">
        <v>1652</v>
      </c>
      <c r="Z2695" s="93">
        <f t="shared" si="687"/>
        <v>0</v>
      </c>
      <c r="AB2695" s="93">
        <f t="shared" si="688"/>
        <v>0</v>
      </c>
      <c r="AC2695" s="93">
        <f t="shared" si="689"/>
        <v>0</v>
      </c>
      <c r="AD2695" s="93">
        <f t="shared" si="690"/>
        <v>0</v>
      </c>
      <c r="AE2695" s="93">
        <f t="shared" si="691"/>
        <v>0</v>
      </c>
      <c r="AF2695" s="93">
        <f t="shared" si="692"/>
        <v>0</v>
      </c>
      <c r="AG2695" s="93">
        <f t="shared" si="693"/>
        <v>0</v>
      </c>
      <c r="AH2695" s="93">
        <f t="shared" si="694"/>
        <v>0</v>
      </c>
      <c r="AI2695" s="88" t="s">
        <v>55</v>
      </c>
      <c r="AJ2695" s="93">
        <f t="shared" si="695"/>
        <v>0</v>
      </c>
      <c r="AK2695" s="93">
        <f t="shared" si="696"/>
        <v>0</v>
      </c>
      <c r="AL2695" s="93">
        <f t="shared" si="697"/>
        <v>0</v>
      </c>
      <c r="AN2695" s="93">
        <v>21</v>
      </c>
      <c r="AO2695" s="93">
        <f t="shared" si="698"/>
        <v>0</v>
      </c>
      <c r="AP2695" s="93">
        <f t="shared" si="699"/>
        <v>0</v>
      </c>
      <c r="AQ2695" s="94" t="s">
        <v>118</v>
      </c>
      <c r="AV2695" s="93">
        <f t="shared" si="700"/>
        <v>0</v>
      </c>
      <c r="AW2695" s="93">
        <f t="shared" si="701"/>
        <v>0</v>
      </c>
      <c r="AX2695" s="93">
        <f t="shared" si="702"/>
        <v>0</v>
      </c>
      <c r="AY2695" s="94" t="s">
        <v>3503</v>
      </c>
      <c r="AZ2695" s="94" t="s">
        <v>3504</v>
      </c>
      <c r="BA2695" s="88" t="s">
        <v>67</v>
      </c>
      <c r="BC2695" s="93">
        <f t="shared" si="703"/>
        <v>0</v>
      </c>
      <c r="BD2695" s="93">
        <f t="shared" si="704"/>
        <v>0</v>
      </c>
      <c r="BE2695" s="93">
        <v>0</v>
      </c>
      <c r="BF2695" s="93">
        <f t="shared" si="705"/>
        <v>0</v>
      </c>
      <c r="BH2695" s="93">
        <f t="shared" si="706"/>
        <v>0</v>
      </c>
      <c r="BI2695" s="93">
        <f t="shared" si="707"/>
        <v>0</v>
      </c>
      <c r="BJ2695" s="93">
        <f t="shared" si="708"/>
        <v>0</v>
      </c>
      <c r="BK2695" s="93"/>
      <c r="BL2695" s="93"/>
      <c r="BW2695" s="93" t="str">
        <f t="shared" si="709"/>
        <v>21</v>
      </c>
      <c r="BX2695" s="2" t="s">
        <v>4024</v>
      </c>
    </row>
    <row r="2696" spans="1:76" s="81" customFormat="1" ht="25.5" x14ac:dyDescent="0.25">
      <c r="A2696" s="72" t="s">
        <v>4025</v>
      </c>
      <c r="B2696" s="72" t="s">
        <v>55</v>
      </c>
      <c r="C2696" s="72" t="s">
        <v>4026</v>
      </c>
      <c r="D2696" s="175" t="s">
        <v>3858</v>
      </c>
      <c r="E2696" s="175"/>
      <c r="F2696" s="72" t="s">
        <v>3605</v>
      </c>
      <c r="G2696" s="90">
        <v>16</v>
      </c>
      <c r="H2696" s="91"/>
      <c r="I2696" s="92" t="s">
        <v>63</v>
      </c>
      <c r="J2696" s="90">
        <f t="shared" si="682"/>
        <v>0</v>
      </c>
      <c r="K2696" s="90">
        <f t="shared" si="683"/>
        <v>0</v>
      </c>
      <c r="L2696" s="90">
        <f t="shared" si="684"/>
        <v>0</v>
      </c>
      <c r="M2696" s="90">
        <f t="shared" si="685"/>
        <v>0</v>
      </c>
      <c r="N2696" s="90">
        <v>0</v>
      </c>
      <c r="O2696" s="90">
        <f t="shared" si="686"/>
        <v>0</v>
      </c>
      <c r="P2696" s="92" t="s">
        <v>1652</v>
      </c>
      <c r="Z2696" s="93">
        <f t="shared" si="687"/>
        <v>0</v>
      </c>
      <c r="AB2696" s="93">
        <f t="shared" si="688"/>
        <v>0</v>
      </c>
      <c r="AC2696" s="93">
        <f t="shared" si="689"/>
        <v>0</v>
      </c>
      <c r="AD2696" s="93">
        <f t="shared" si="690"/>
        <v>0</v>
      </c>
      <c r="AE2696" s="93">
        <f t="shared" si="691"/>
        <v>0</v>
      </c>
      <c r="AF2696" s="93">
        <f t="shared" si="692"/>
        <v>0</v>
      </c>
      <c r="AG2696" s="93">
        <f t="shared" si="693"/>
        <v>0</v>
      </c>
      <c r="AH2696" s="93">
        <f t="shared" si="694"/>
        <v>0</v>
      </c>
      <c r="AI2696" s="88" t="s">
        <v>55</v>
      </c>
      <c r="AJ2696" s="93">
        <f t="shared" si="695"/>
        <v>0</v>
      </c>
      <c r="AK2696" s="93">
        <f t="shared" si="696"/>
        <v>0</v>
      </c>
      <c r="AL2696" s="93">
        <f t="shared" si="697"/>
        <v>0</v>
      </c>
      <c r="AN2696" s="93">
        <v>21</v>
      </c>
      <c r="AO2696" s="93">
        <f t="shared" si="698"/>
        <v>0</v>
      </c>
      <c r="AP2696" s="93">
        <f t="shared" si="699"/>
        <v>0</v>
      </c>
      <c r="AQ2696" s="94" t="s">
        <v>118</v>
      </c>
      <c r="AV2696" s="93">
        <f t="shared" si="700"/>
        <v>0</v>
      </c>
      <c r="AW2696" s="93">
        <f t="shared" si="701"/>
        <v>0</v>
      </c>
      <c r="AX2696" s="93">
        <f t="shared" si="702"/>
        <v>0</v>
      </c>
      <c r="AY2696" s="94" t="s">
        <v>3503</v>
      </c>
      <c r="AZ2696" s="94" t="s">
        <v>3504</v>
      </c>
      <c r="BA2696" s="88" t="s">
        <v>67</v>
      </c>
      <c r="BC2696" s="93">
        <f t="shared" si="703"/>
        <v>0</v>
      </c>
      <c r="BD2696" s="93">
        <f t="shared" si="704"/>
        <v>0</v>
      </c>
      <c r="BE2696" s="93">
        <v>0</v>
      </c>
      <c r="BF2696" s="93">
        <f t="shared" si="705"/>
        <v>0</v>
      </c>
      <c r="BH2696" s="93">
        <f t="shared" si="706"/>
        <v>0</v>
      </c>
      <c r="BI2696" s="93">
        <f t="shared" si="707"/>
        <v>0</v>
      </c>
      <c r="BJ2696" s="93">
        <f t="shared" si="708"/>
        <v>0</v>
      </c>
      <c r="BK2696" s="93"/>
      <c r="BL2696" s="93"/>
      <c r="BW2696" s="93" t="str">
        <f t="shared" si="709"/>
        <v>21</v>
      </c>
      <c r="BX2696" s="2" t="s">
        <v>3858</v>
      </c>
    </row>
    <row r="2697" spans="1:76" s="81" customFormat="1" x14ac:dyDescent="0.25">
      <c r="A2697" s="85" t="s">
        <v>54</v>
      </c>
      <c r="B2697" s="74" t="s">
        <v>4027</v>
      </c>
      <c r="C2697" s="74" t="s">
        <v>54</v>
      </c>
      <c r="D2697" s="176" t="s">
        <v>4028</v>
      </c>
      <c r="E2697" s="176"/>
      <c r="F2697" s="85" t="s">
        <v>4</v>
      </c>
      <c r="G2697" s="85" t="s">
        <v>4</v>
      </c>
      <c r="H2697" s="85" t="s">
        <v>4</v>
      </c>
      <c r="I2697" s="85" t="s">
        <v>4</v>
      </c>
      <c r="J2697" s="86">
        <f>J2699+J2705+J2710+J2715+J2725+J2729+J2732+J2735</f>
        <v>0</v>
      </c>
      <c r="K2697" s="86">
        <f>K2699+K2705+K2710+K2715+K2725+K2729+K2732+K2735</f>
        <v>0</v>
      </c>
      <c r="L2697" s="86">
        <f>L2699+L2705+L2710+L2715+L2725+L2729+L2732+L2735</f>
        <v>0</v>
      </c>
      <c r="M2697" s="86">
        <f>M2699+M2705+M2710+M2715+M2725+M2729+M2732+M2735</f>
        <v>0</v>
      </c>
      <c r="N2697" s="87" t="s">
        <v>54</v>
      </c>
      <c r="O2697" s="86">
        <f>O2699+O2705+O2710+O2715+O2725+O2729+O2732+O2735</f>
        <v>385.07113543999998</v>
      </c>
      <c r="P2697" s="87" t="s">
        <v>54</v>
      </c>
    </row>
    <row r="2698" spans="1:76" s="81" customFormat="1" x14ac:dyDescent="0.25">
      <c r="A2698" s="82" t="s">
        <v>54</v>
      </c>
      <c r="B2698" s="73" t="s">
        <v>4027</v>
      </c>
      <c r="C2698" s="73" t="s">
        <v>54</v>
      </c>
      <c r="D2698" s="168" t="s">
        <v>56</v>
      </c>
      <c r="E2698" s="168"/>
      <c r="F2698" s="82" t="s">
        <v>4</v>
      </c>
      <c r="G2698" s="82" t="s">
        <v>4</v>
      </c>
      <c r="H2698" s="82" t="s">
        <v>4</v>
      </c>
      <c r="I2698" s="82" t="s">
        <v>4</v>
      </c>
      <c r="J2698" s="83">
        <f>J2699+J2705+J2710+J2715+J2725+J2729+J2732</f>
        <v>0</v>
      </c>
      <c r="K2698" s="83">
        <f>K2699+K2705+K2710+K2715+K2725+K2729+K2732</f>
        <v>0</v>
      </c>
      <c r="L2698" s="83">
        <f>L2699+L2705+L2710+L2715+L2725+L2729+L2732</f>
        <v>0</v>
      </c>
      <c r="M2698" s="83">
        <f>M2699+M2705+M2710+M2715+M2725+M2729+M2732</f>
        <v>0</v>
      </c>
      <c r="N2698" s="84" t="s">
        <v>54</v>
      </c>
      <c r="O2698" s="83">
        <f>O2699+O2705+O2710+O2715+O2725+O2729+O2732</f>
        <v>385.07113543999998</v>
      </c>
      <c r="P2698" s="84" t="s">
        <v>54</v>
      </c>
    </row>
    <row r="2699" spans="1:76" s="81" customFormat="1" x14ac:dyDescent="0.25">
      <c r="A2699" s="85" t="s">
        <v>54</v>
      </c>
      <c r="B2699" s="74" t="s">
        <v>4027</v>
      </c>
      <c r="C2699" s="74" t="s">
        <v>57</v>
      </c>
      <c r="D2699" s="176" t="s">
        <v>58</v>
      </c>
      <c r="E2699" s="176"/>
      <c r="F2699" s="85" t="s">
        <v>4</v>
      </c>
      <c r="G2699" s="85" t="s">
        <v>4</v>
      </c>
      <c r="H2699" s="85" t="s">
        <v>4</v>
      </c>
      <c r="I2699" s="85" t="s">
        <v>4</v>
      </c>
      <c r="J2699" s="86">
        <f>SUM(J2700:J2703)</f>
        <v>0</v>
      </c>
      <c r="K2699" s="86">
        <f>SUM(K2700:K2703)</f>
        <v>0</v>
      </c>
      <c r="L2699" s="86">
        <f>SUM(L2700:L2703)</f>
        <v>0</v>
      </c>
      <c r="M2699" s="86">
        <f>SUM(M2700:M2703)</f>
        <v>0</v>
      </c>
      <c r="N2699" s="87" t="s">
        <v>54</v>
      </c>
      <c r="O2699" s="86">
        <f>SUM(O2700:O2703)</f>
        <v>0</v>
      </c>
      <c r="P2699" s="87" t="s">
        <v>54</v>
      </c>
      <c r="AI2699" s="88" t="s">
        <v>4027</v>
      </c>
      <c r="AS2699" s="89">
        <f>SUM(AJ2700:AJ2703)</f>
        <v>0</v>
      </c>
      <c r="AT2699" s="89">
        <f>SUM(AK2700:AK2703)</f>
        <v>0</v>
      </c>
      <c r="AU2699" s="89">
        <f>SUM(AL2700:AL2703)</f>
        <v>0</v>
      </c>
    </row>
    <row r="2700" spans="1:76" s="81" customFormat="1" x14ac:dyDescent="0.25">
      <c r="A2700" s="72" t="s">
        <v>4029</v>
      </c>
      <c r="B2700" s="72" t="s">
        <v>4027</v>
      </c>
      <c r="C2700" s="72" t="s">
        <v>4030</v>
      </c>
      <c r="D2700" s="175" t="s">
        <v>4031</v>
      </c>
      <c r="E2700" s="175"/>
      <c r="F2700" s="72" t="s">
        <v>62</v>
      </c>
      <c r="G2700" s="90">
        <v>28.8</v>
      </c>
      <c r="H2700" s="91"/>
      <c r="I2700" s="92" t="s">
        <v>63</v>
      </c>
      <c r="J2700" s="90">
        <f>G2700*AO2700</f>
        <v>0</v>
      </c>
      <c r="K2700" s="90">
        <f>G2700*AP2700</f>
        <v>0</v>
      </c>
      <c r="L2700" s="90">
        <f>G2700*H2700</f>
        <v>0</v>
      </c>
      <c r="M2700" s="90">
        <f>L2700*(1+BW2700/100)</f>
        <v>0</v>
      </c>
      <c r="N2700" s="90">
        <v>0</v>
      </c>
      <c r="O2700" s="90">
        <f>G2700*N2700</f>
        <v>0</v>
      </c>
      <c r="P2700" s="92" t="s">
        <v>64</v>
      </c>
      <c r="Z2700" s="93">
        <f>IF(AQ2700="5",BJ2700,0)</f>
        <v>0</v>
      </c>
      <c r="AB2700" s="93">
        <f>IF(AQ2700="1",BH2700,0)</f>
        <v>0</v>
      </c>
      <c r="AC2700" s="93">
        <f>IF(AQ2700="1",BI2700,0)</f>
        <v>0</v>
      </c>
      <c r="AD2700" s="93">
        <f>IF(AQ2700="7",BH2700,0)</f>
        <v>0</v>
      </c>
      <c r="AE2700" s="93">
        <f>IF(AQ2700="7",BI2700,0)</f>
        <v>0</v>
      </c>
      <c r="AF2700" s="93">
        <f>IF(AQ2700="2",BH2700,0)</f>
        <v>0</v>
      </c>
      <c r="AG2700" s="93">
        <f>IF(AQ2700="2",BI2700,0)</f>
        <v>0</v>
      </c>
      <c r="AH2700" s="93">
        <f>IF(AQ2700="0",BJ2700,0)</f>
        <v>0</v>
      </c>
      <c r="AI2700" s="88" t="s">
        <v>4027</v>
      </c>
      <c r="AJ2700" s="93">
        <f>IF(AN2700=0,L2700,0)</f>
        <v>0</v>
      </c>
      <c r="AK2700" s="93">
        <f>IF(AN2700=12,L2700,0)</f>
        <v>0</v>
      </c>
      <c r="AL2700" s="93">
        <f>IF(AN2700=21,L2700,0)</f>
        <v>0</v>
      </c>
      <c r="AN2700" s="93">
        <v>21</v>
      </c>
      <c r="AO2700" s="93">
        <f>H2700*0</f>
        <v>0</v>
      </c>
      <c r="AP2700" s="93">
        <f>H2700*(1-0)</f>
        <v>0</v>
      </c>
      <c r="AQ2700" s="94" t="s">
        <v>59</v>
      </c>
      <c r="AV2700" s="93">
        <f>AW2700+AX2700</f>
        <v>0</v>
      </c>
      <c r="AW2700" s="93">
        <f>G2700*AO2700</f>
        <v>0</v>
      </c>
      <c r="AX2700" s="93">
        <f>G2700*AP2700</f>
        <v>0</v>
      </c>
      <c r="AY2700" s="94" t="s">
        <v>65</v>
      </c>
      <c r="AZ2700" s="94" t="s">
        <v>4032</v>
      </c>
      <c r="BA2700" s="88" t="s">
        <v>4033</v>
      </c>
      <c r="BC2700" s="93">
        <f>AW2700+AX2700</f>
        <v>0</v>
      </c>
      <c r="BD2700" s="93">
        <f>H2700/(100-BE2700)*100</f>
        <v>0</v>
      </c>
      <c r="BE2700" s="93">
        <v>0</v>
      </c>
      <c r="BF2700" s="93">
        <f>O2700</f>
        <v>0</v>
      </c>
      <c r="BH2700" s="93">
        <f>G2700*AO2700</f>
        <v>0</v>
      </c>
      <c r="BI2700" s="93">
        <f>G2700*AP2700</f>
        <v>0</v>
      </c>
      <c r="BJ2700" s="93">
        <f>G2700*H2700</f>
        <v>0</v>
      </c>
      <c r="BK2700" s="93"/>
      <c r="BL2700" s="93">
        <v>13</v>
      </c>
      <c r="BW2700" s="93" t="str">
        <f>I2700</f>
        <v>21</v>
      </c>
      <c r="BX2700" s="2" t="s">
        <v>4031</v>
      </c>
    </row>
    <row r="2701" spans="1:76" s="81" customFormat="1" x14ac:dyDescent="0.25">
      <c r="A2701" s="95"/>
      <c r="B2701" s="95"/>
      <c r="C2701" s="95"/>
      <c r="D2701" s="76" t="s">
        <v>54</v>
      </c>
      <c r="E2701" s="76" t="s">
        <v>4034</v>
      </c>
      <c r="F2701" s="95"/>
      <c r="G2701" s="96">
        <v>0</v>
      </c>
      <c r="H2701" s="95"/>
      <c r="I2701" s="95"/>
      <c r="J2701" s="95"/>
      <c r="K2701" s="95"/>
      <c r="L2701" s="95"/>
      <c r="M2701" s="95"/>
      <c r="N2701" s="95"/>
      <c r="O2701" s="95"/>
      <c r="P2701" s="95"/>
    </row>
    <row r="2702" spans="1:76" s="81" customFormat="1" x14ac:dyDescent="0.25">
      <c r="A2702" s="95"/>
      <c r="B2702" s="95"/>
      <c r="C2702" s="95"/>
      <c r="D2702" s="76" t="s">
        <v>4035</v>
      </c>
      <c r="E2702" s="76" t="s">
        <v>54</v>
      </c>
      <c r="F2702" s="95"/>
      <c r="G2702" s="96">
        <v>28.8</v>
      </c>
      <c r="H2702" s="95"/>
      <c r="I2702" s="95"/>
      <c r="J2702" s="95"/>
      <c r="K2702" s="95"/>
      <c r="L2702" s="95"/>
      <c r="M2702" s="95"/>
      <c r="N2702" s="95"/>
      <c r="O2702" s="95"/>
      <c r="P2702" s="95"/>
    </row>
    <row r="2703" spans="1:76" s="81" customFormat="1" x14ac:dyDescent="0.25">
      <c r="A2703" s="72" t="s">
        <v>4036</v>
      </c>
      <c r="B2703" s="72" t="s">
        <v>4027</v>
      </c>
      <c r="C2703" s="72" t="s">
        <v>131</v>
      </c>
      <c r="D2703" s="175" t="s">
        <v>132</v>
      </c>
      <c r="E2703" s="175"/>
      <c r="F2703" s="72" t="s">
        <v>62</v>
      </c>
      <c r="G2703" s="90">
        <v>14.4</v>
      </c>
      <c r="H2703" s="91"/>
      <c r="I2703" s="92" t="s">
        <v>63</v>
      </c>
      <c r="J2703" s="90">
        <f>G2703*AO2703</f>
        <v>0</v>
      </c>
      <c r="K2703" s="90">
        <f>G2703*AP2703</f>
        <v>0</v>
      </c>
      <c r="L2703" s="90">
        <f>G2703*H2703</f>
        <v>0</v>
      </c>
      <c r="M2703" s="90">
        <f>L2703*(1+BW2703/100)</f>
        <v>0</v>
      </c>
      <c r="N2703" s="90">
        <v>0</v>
      </c>
      <c r="O2703" s="90">
        <f>G2703*N2703</f>
        <v>0</v>
      </c>
      <c r="P2703" s="92" t="s">
        <v>64</v>
      </c>
      <c r="Z2703" s="93">
        <f>IF(AQ2703="5",BJ2703,0)</f>
        <v>0</v>
      </c>
      <c r="AB2703" s="93">
        <f>IF(AQ2703="1",BH2703,0)</f>
        <v>0</v>
      </c>
      <c r="AC2703" s="93">
        <f>IF(AQ2703="1",BI2703,0)</f>
        <v>0</v>
      </c>
      <c r="AD2703" s="93">
        <f>IF(AQ2703="7",BH2703,0)</f>
        <v>0</v>
      </c>
      <c r="AE2703" s="93">
        <f>IF(AQ2703="7",BI2703,0)</f>
        <v>0</v>
      </c>
      <c r="AF2703" s="93">
        <f>IF(AQ2703="2",BH2703,0)</f>
        <v>0</v>
      </c>
      <c r="AG2703" s="93">
        <f>IF(AQ2703="2",BI2703,0)</f>
        <v>0</v>
      </c>
      <c r="AH2703" s="93">
        <f>IF(AQ2703="0",BJ2703,0)</f>
        <v>0</v>
      </c>
      <c r="AI2703" s="88" t="s">
        <v>4027</v>
      </c>
      <c r="AJ2703" s="93">
        <f>IF(AN2703=0,L2703,0)</f>
        <v>0</v>
      </c>
      <c r="AK2703" s="93">
        <f>IF(AN2703=12,L2703,0)</f>
        <v>0</v>
      </c>
      <c r="AL2703" s="93">
        <f>IF(AN2703=21,L2703,0)</f>
        <v>0</v>
      </c>
      <c r="AN2703" s="93">
        <v>21</v>
      </c>
      <c r="AO2703" s="93">
        <f>H2703*0</f>
        <v>0</v>
      </c>
      <c r="AP2703" s="93">
        <f>H2703*(1-0)</f>
        <v>0</v>
      </c>
      <c r="AQ2703" s="94" t="s">
        <v>59</v>
      </c>
      <c r="AV2703" s="93">
        <f>AW2703+AX2703</f>
        <v>0</v>
      </c>
      <c r="AW2703" s="93">
        <f>G2703*AO2703</f>
        <v>0</v>
      </c>
      <c r="AX2703" s="93">
        <f>G2703*AP2703</f>
        <v>0</v>
      </c>
      <c r="AY2703" s="94" t="s">
        <v>65</v>
      </c>
      <c r="AZ2703" s="94" t="s">
        <v>4032</v>
      </c>
      <c r="BA2703" s="88" t="s">
        <v>4033</v>
      </c>
      <c r="BC2703" s="93">
        <f>AW2703+AX2703</f>
        <v>0</v>
      </c>
      <c r="BD2703" s="93">
        <f>H2703/(100-BE2703)*100</f>
        <v>0</v>
      </c>
      <c r="BE2703" s="93">
        <v>0</v>
      </c>
      <c r="BF2703" s="93">
        <f>O2703</f>
        <v>0</v>
      </c>
      <c r="BH2703" s="93">
        <f>G2703*AO2703</f>
        <v>0</v>
      </c>
      <c r="BI2703" s="93">
        <f>G2703*AP2703</f>
        <v>0</v>
      </c>
      <c r="BJ2703" s="93">
        <f>G2703*H2703</f>
        <v>0</v>
      </c>
      <c r="BK2703" s="93"/>
      <c r="BL2703" s="93">
        <v>13</v>
      </c>
      <c r="BW2703" s="93" t="str">
        <f>I2703</f>
        <v>21</v>
      </c>
      <c r="BX2703" s="2" t="s">
        <v>132</v>
      </c>
    </row>
    <row r="2704" spans="1:76" s="81" customFormat="1" x14ac:dyDescent="0.25">
      <c r="A2704" s="95"/>
      <c r="B2704" s="95"/>
      <c r="C2704" s="95"/>
      <c r="D2704" s="76" t="s">
        <v>4037</v>
      </c>
      <c r="E2704" s="76" t="s">
        <v>54</v>
      </c>
      <c r="F2704" s="95"/>
      <c r="G2704" s="96">
        <v>14.4</v>
      </c>
      <c r="H2704" s="95"/>
      <c r="I2704" s="95"/>
      <c r="J2704" s="95"/>
      <c r="K2704" s="95"/>
      <c r="L2704" s="95"/>
      <c r="M2704" s="95"/>
      <c r="N2704" s="95"/>
      <c r="O2704" s="95"/>
      <c r="P2704" s="95"/>
    </row>
    <row r="2705" spans="1:76" s="81" customFormat="1" x14ac:dyDescent="0.25">
      <c r="A2705" s="85" t="s">
        <v>54</v>
      </c>
      <c r="B2705" s="74" t="s">
        <v>4027</v>
      </c>
      <c r="C2705" s="74" t="s">
        <v>134</v>
      </c>
      <c r="D2705" s="176" t="s">
        <v>135</v>
      </c>
      <c r="E2705" s="176"/>
      <c r="F2705" s="85" t="s">
        <v>4</v>
      </c>
      <c r="G2705" s="85" t="s">
        <v>4</v>
      </c>
      <c r="H2705" s="85" t="s">
        <v>4</v>
      </c>
      <c r="I2705" s="85" t="s">
        <v>4</v>
      </c>
      <c r="J2705" s="86">
        <f>SUM(J2706:J2709)</f>
        <v>0</v>
      </c>
      <c r="K2705" s="86">
        <f>SUM(K2706:K2709)</f>
        <v>0</v>
      </c>
      <c r="L2705" s="86">
        <f>SUM(L2706:L2709)</f>
        <v>0</v>
      </c>
      <c r="M2705" s="86">
        <f>SUM(M2706:M2709)</f>
        <v>0</v>
      </c>
      <c r="N2705" s="87" t="s">
        <v>54</v>
      </c>
      <c r="O2705" s="86">
        <f>SUM(O2706:O2709)</f>
        <v>0</v>
      </c>
      <c r="P2705" s="87" t="s">
        <v>54</v>
      </c>
      <c r="AI2705" s="88" t="s">
        <v>4027</v>
      </c>
      <c r="AS2705" s="89">
        <f>SUM(AJ2706:AJ2709)</f>
        <v>0</v>
      </c>
      <c r="AT2705" s="89">
        <f>SUM(AK2706:AK2709)</f>
        <v>0</v>
      </c>
      <c r="AU2705" s="89">
        <f>SUM(AL2706:AL2709)</f>
        <v>0</v>
      </c>
    </row>
    <row r="2706" spans="1:76" s="81" customFormat="1" x14ac:dyDescent="0.25">
      <c r="A2706" s="72" t="s">
        <v>4038</v>
      </c>
      <c r="B2706" s="72" t="s">
        <v>4027</v>
      </c>
      <c r="C2706" s="72" t="s">
        <v>145</v>
      </c>
      <c r="D2706" s="175" t="s">
        <v>146</v>
      </c>
      <c r="E2706" s="175"/>
      <c r="F2706" s="72" t="s">
        <v>62</v>
      </c>
      <c r="G2706" s="90">
        <v>28.8</v>
      </c>
      <c r="H2706" s="91"/>
      <c r="I2706" s="92" t="s">
        <v>63</v>
      </c>
      <c r="J2706" s="90">
        <f>G2706*AO2706</f>
        <v>0</v>
      </c>
      <c r="K2706" s="90">
        <f>G2706*AP2706</f>
        <v>0</v>
      </c>
      <c r="L2706" s="90">
        <f>G2706*H2706</f>
        <v>0</v>
      </c>
      <c r="M2706" s="90">
        <f>L2706*(1+BW2706/100)</f>
        <v>0</v>
      </c>
      <c r="N2706" s="90">
        <v>0</v>
      </c>
      <c r="O2706" s="90">
        <f>G2706*N2706</f>
        <v>0</v>
      </c>
      <c r="P2706" s="92" t="s">
        <v>64</v>
      </c>
      <c r="Z2706" s="93">
        <f>IF(AQ2706="5",BJ2706,0)</f>
        <v>0</v>
      </c>
      <c r="AB2706" s="93">
        <f>IF(AQ2706="1",BH2706,0)</f>
        <v>0</v>
      </c>
      <c r="AC2706" s="93">
        <f>IF(AQ2706="1",BI2706,0)</f>
        <v>0</v>
      </c>
      <c r="AD2706" s="93">
        <f>IF(AQ2706="7",BH2706,0)</f>
        <v>0</v>
      </c>
      <c r="AE2706" s="93">
        <f>IF(AQ2706="7",BI2706,0)</f>
        <v>0</v>
      </c>
      <c r="AF2706" s="93">
        <f>IF(AQ2706="2",BH2706,0)</f>
        <v>0</v>
      </c>
      <c r="AG2706" s="93">
        <f>IF(AQ2706="2",BI2706,0)</f>
        <v>0</v>
      </c>
      <c r="AH2706" s="93">
        <f>IF(AQ2706="0",BJ2706,0)</f>
        <v>0</v>
      </c>
      <c r="AI2706" s="88" t="s">
        <v>4027</v>
      </c>
      <c r="AJ2706" s="93">
        <f>IF(AN2706=0,L2706,0)</f>
        <v>0</v>
      </c>
      <c r="AK2706" s="93">
        <f>IF(AN2706=12,L2706,0)</f>
        <v>0</v>
      </c>
      <c r="AL2706" s="93">
        <f>IF(AN2706=21,L2706,0)</f>
        <v>0</v>
      </c>
      <c r="AN2706" s="93">
        <v>21</v>
      </c>
      <c r="AO2706" s="93">
        <f>H2706*0</f>
        <v>0</v>
      </c>
      <c r="AP2706" s="93">
        <f>H2706*(1-0)</f>
        <v>0</v>
      </c>
      <c r="AQ2706" s="94" t="s">
        <v>59</v>
      </c>
      <c r="AV2706" s="93">
        <f>AW2706+AX2706</f>
        <v>0</v>
      </c>
      <c r="AW2706" s="93">
        <f>G2706*AO2706</f>
        <v>0</v>
      </c>
      <c r="AX2706" s="93">
        <f>G2706*AP2706</f>
        <v>0</v>
      </c>
      <c r="AY2706" s="94" t="s">
        <v>139</v>
      </c>
      <c r="AZ2706" s="94" t="s">
        <v>4032</v>
      </c>
      <c r="BA2706" s="88" t="s">
        <v>4033</v>
      </c>
      <c r="BC2706" s="93">
        <f>AW2706+AX2706</f>
        <v>0</v>
      </c>
      <c r="BD2706" s="93">
        <f>H2706/(100-BE2706)*100</f>
        <v>0</v>
      </c>
      <c r="BE2706" s="93">
        <v>0</v>
      </c>
      <c r="BF2706" s="93">
        <f>O2706</f>
        <v>0</v>
      </c>
      <c r="BH2706" s="93">
        <f>G2706*AO2706</f>
        <v>0</v>
      </c>
      <c r="BI2706" s="93">
        <f>G2706*AP2706</f>
        <v>0</v>
      </c>
      <c r="BJ2706" s="93">
        <f>G2706*H2706</f>
        <v>0</v>
      </c>
      <c r="BK2706" s="93"/>
      <c r="BL2706" s="93">
        <v>16</v>
      </c>
      <c r="BW2706" s="93" t="str">
        <f>I2706</f>
        <v>21</v>
      </c>
      <c r="BX2706" s="2" t="s">
        <v>146</v>
      </c>
    </row>
    <row r="2707" spans="1:76" s="81" customFormat="1" x14ac:dyDescent="0.25">
      <c r="A2707" s="72" t="s">
        <v>4039</v>
      </c>
      <c r="B2707" s="72" t="s">
        <v>4027</v>
      </c>
      <c r="C2707" s="72" t="s">
        <v>149</v>
      </c>
      <c r="D2707" s="175" t="s">
        <v>150</v>
      </c>
      <c r="E2707" s="175"/>
      <c r="F2707" s="72" t="s">
        <v>62</v>
      </c>
      <c r="G2707" s="90">
        <v>288</v>
      </c>
      <c r="H2707" s="91"/>
      <c r="I2707" s="92" t="s">
        <v>63</v>
      </c>
      <c r="J2707" s="90">
        <f>G2707*AO2707</f>
        <v>0</v>
      </c>
      <c r="K2707" s="90">
        <f>G2707*AP2707</f>
        <v>0</v>
      </c>
      <c r="L2707" s="90">
        <f>G2707*H2707</f>
        <v>0</v>
      </c>
      <c r="M2707" s="90">
        <f>L2707*(1+BW2707/100)</f>
        <v>0</v>
      </c>
      <c r="N2707" s="90">
        <v>0</v>
      </c>
      <c r="O2707" s="90">
        <f>G2707*N2707</f>
        <v>0</v>
      </c>
      <c r="P2707" s="92" t="s">
        <v>64</v>
      </c>
      <c r="Z2707" s="93">
        <f>IF(AQ2707="5",BJ2707,0)</f>
        <v>0</v>
      </c>
      <c r="AB2707" s="93">
        <f>IF(AQ2707="1",BH2707,0)</f>
        <v>0</v>
      </c>
      <c r="AC2707" s="93">
        <f>IF(AQ2707="1",BI2707,0)</f>
        <v>0</v>
      </c>
      <c r="AD2707" s="93">
        <f>IF(AQ2707="7",BH2707,0)</f>
        <v>0</v>
      </c>
      <c r="AE2707" s="93">
        <f>IF(AQ2707="7",BI2707,0)</f>
        <v>0</v>
      </c>
      <c r="AF2707" s="93">
        <f>IF(AQ2707="2",BH2707,0)</f>
        <v>0</v>
      </c>
      <c r="AG2707" s="93">
        <f>IF(AQ2707="2",BI2707,0)</f>
        <v>0</v>
      </c>
      <c r="AH2707" s="93">
        <f>IF(AQ2707="0",BJ2707,0)</f>
        <v>0</v>
      </c>
      <c r="AI2707" s="88" t="s">
        <v>4027</v>
      </c>
      <c r="AJ2707" s="93">
        <f>IF(AN2707=0,L2707,0)</f>
        <v>0</v>
      </c>
      <c r="AK2707" s="93">
        <f>IF(AN2707=12,L2707,0)</f>
        <v>0</v>
      </c>
      <c r="AL2707" s="93">
        <f>IF(AN2707=21,L2707,0)</f>
        <v>0</v>
      </c>
      <c r="AN2707" s="93">
        <v>21</v>
      </c>
      <c r="AO2707" s="93">
        <f>H2707*0</f>
        <v>0</v>
      </c>
      <c r="AP2707" s="93">
        <f>H2707*(1-0)</f>
        <v>0</v>
      </c>
      <c r="AQ2707" s="94" t="s">
        <v>59</v>
      </c>
      <c r="AV2707" s="93">
        <f>AW2707+AX2707</f>
        <v>0</v>
      </c>
      <c r="AW2707" s="93">
        <f>G2707*AO2707</f>
        <v>0</v>
      </c>
      <c r="AX2707" s="93">
        <f>G2707*AP2707</f>
        <v>0</v>
      </c>
      <c r="AY2707" s="94" t="s">
        <v>139</v>
      </c>
      <c r="AZ2707" s="94" t="s">
        <v>4032</v>
      </c>
      <c r="BA2707" s="88" t="s">
        <v>4033</v>
      </c>
      <c r="BC2707" s="93">
        <f>AW2707+AX2707</f>
        <v>0</v>
      </c>
      <c r="BD2707" s="93">
        <f>H2707/(100-BE2707)*100</f>
        <v>0</v>
      </c>
      <c r="BE2707" s="93">
        <v>0</v>
      </c>
      <c r="BF2707" s="93">
        <f>O2707</f>
        <v>0</v>
      </c>
      <c r="BH2707" s="93">
        <f>G2707*AO2707</f>
        <v>0</v>
      </c>
      <c r="BI2707" s="93">
        <f>G2707*AP2707</f>
        <v>0</v>
      </c>
      <c r="BJ2707" s="93">
        <f>G2707*H2707</f>
        <v>0</v>
      </c>
      <c r="BK2707" s="93"/>
      <c r="BL2707" s="93">
        <v>16</v>
      </c>
      <c r="BW2707" s="93" t="str">
        <f>I2707</f>
        <v>21</v>
      </c>
      <c r="BX2707" s="2" t="s">
        <v>150</v>
      </c>
    </row>
    <row r="2708" spans="1:76" s="81" customFormat="1" x14ac:dyDescent="0.25">
      <c r="A2708" s="95"/>
      <c r="B2708" s="95"/>
      <c r="C2708" s="95"/>
      <c r="D2708" s="76" t="s">
        <v>4040</v>
      </c>
      <c r="E2708" s="76" t="s">
        <v>54</v>
      </c>
      <c r="F2708" s="95"/>
      <c r="G2708" s="96">
        <v>288</v>
      </c>
      <c r="H2708" s="95"/>
      <c r="I2708" s="95"/>
      <c r="J2708" s="95"/>
      <c r="K2708" s="95"/>
      <c r="L2708" s="95"/>
      <c r="M2708" s="95"/>
      <c r="N2708" s="95"/>
      <c r="O2708" s="95"/>
      <c r="P2708" s="95"/>
    </row>
    <row r="2709" spans="1:76" s="81" customFormat="1" x14ac:dyDescent="0.25">
      <c r="A2709" s="72" t="s">
        <v>4041</v>
      </c>
      <c r="B2709" s="72" t="s">
        <v>4027</v>
      </c>
      <c r="C2709" s="72" t="s">
        <v>153</v>
      </c>
      <c r="D2709" s="175" t="s">
        <v>154</v>
      </c>
      <c r="E2709" s="175"/>
      <c r="F2709" s="72" t="s">
        <v>62</v>
      </c>
      <c r="G2709" s="90">
        <v>28.8</v>
      </c>
      <c r="H2709" s="91"/>
      <c r="I2709" s="92" t="s">
        <v>63</v>
      </c>
      <c r="J2709" s="90">
        <f>G2709*AO2709</f>
        <v>0</v>
      </c>
      <c r="K2709" s="90">
        <f>G2709*AP2709</f>
        <v>0</v>
      </c>
      <c r="L2709" s="90">
        <f>G2709*H2709</f>
        <v>0</v>
      </c>
      <c r="M2709" s="90">
        <f>L2709*(1+BW2709/100)</f>
        <v>0</v>
      </c>
      <c r="N2709" s="90">
        <v>0</v>
      </c>
      <c r="O2709" s="90">
        <f>G2709*N2709</f>
        <v>0</v>
      </c>
      <c r="P2709" s="92" t="s">
        <v>64</v>
      </c>
      <c r="Z2709" s="93">
        <f>IF(AQ2709="5",BJ2709,0)</f>
        <v>0</v>
      </c>
      <c r="AB2709" s="93">
        <f>IF(AQ2709="1",BH2709,0)</f>
        <v>0</v>
      </c>
      <c r="AC2709" s="93">
        <f>IF(AQ2709="1",BI2709,0)</f>
        <v>0</v>
      </c>
      <c r="AD2709" s="93">
        <f>IF(AQ2709="7",BH2709,0)</f>
        <v>0</v>
      </c>
      <c r="AE2709" s="93">
        <f>IF(AQ2709="7",BI2709,0)</f>
        <v>0</v>
      </c>
      <c r="AF2709" s="93">
        <f>IF(AQ2709="2",BH2709,0)</f>
        <v>0</v>
      </c>
      <c r="AG2709" s="93">
        <f>IF(AQ2709="2",BI2709,0)</f>
        <v>0</v>
      </c>
      <c r="AH2709" s="93">
        <f>IF(AQ2709="0",BJ2709,0)</f>
        <v>0</v>
      </c>
      <c r="AI2709" s="88" t="s">
        <v>4027</v>
      </c>
      <c r="AJ2709" s="93">
        <f>IF(AN2709=0,L2709,0)</f>
        <v>0</v>
      </c>
      <c r="AK2709" s="93">
        <f>IF(AN2709=12,L2709,0)</f>
        <v>0</v>
      </c>
      <c r="AL2709" s="93">
        <f>IF(AN2709=21,L2709,0)</f>
        <v>0</v>
      </c>
      <c r="AN2709" s="93">
        <v>21</v>
      </c>
      <c r="AO2709" s="93">
        <f>H2709*0</f>
        <v>0</v>
      </c>
      <c r="AP2709" s="93">
        <f>H2709*(1-0)</f>
        <v>0</v>
      </c>
      <c r="AQ2709" s="94" t="s">
        <v>59</v>
      </c>
      <c r="AV2709" s="93">
        <f>AW2709+AX2709</f>
        <v>0</v>
      </c>
      <c r="AW2709" s="93">
        <f>G2709*AO2709</f>
        <v>0</v>
      </c>
      <c r="AX2709" s="93">
        <f>G2709*AP2709</f>
        <v>0</v>
      </c>
      <c r="AY2709" s="94" t="s">
        <v>139</v>
      </c>
      <c r="AZ2709" s="94" t="s">
        <v>4032</v>
      </c>
      <c r="BA2709" s="88" t="s">
        <v>4033</v>
      </c>
      <c r="BC2709" s="93">
        <f>AW2709+AX2709</f>
        <v>0</v>
      </c>
      <c r="BD2709" s="93">
        <f>H2709/(100-BE2709)*100</f>
        <v>0</v>
      </c>
      <c r="BE2709" s="93">
        <v>0</v>
      </c>
      <c r="BF2709" s="93">
        <f>O2709</f>
        <v>0</v>
      </c>
      <c r="BH2709" s="93">
        <f>G2709*AO2709</f>
        <v>0</v>
      </c>
      <c r="BI2709" s="93">
        <f>G2709*AP2709</f>
        <v>0</v>
      </c>
      <c r="BJ2709" s="93">
        <f>G2709*H2709</f>
        <v>0</v>
      </c>
      <c r="BK2709" s="93"/>
      <c r="BL2709" s="93">
        <v>16</v>
      </c>
      <c r="BW2709" s="93" t="str">
        <f>I2709</f>
        <v>21</v>
      </c>
      <c r="BX2709" s="2" t="s">
        <v>154</v>
      </c>
    </row>
    <row r="2710" spans="1:76" s="81" customFormat="1" x14ac:dyDescent="0.25">
      <c r="A2710" s="85" t="s">
        <v>54</v>
      </c>
      <c r="B2710" s="74" t="s">
        <v>4027</v>
      </c>
      <c r="C2710" s="74" t="s">
        <v>63</v>
      </c>
      <c r="D2710" s="176" t="s">
        <v>204</v>
      </c>
      <c r="E2710" s="176"/>
      <c r="F2710" s="85" t="s">
        <v>4</v>
      </c>
      <c r="G2710" s="85" t="s">
        <v>4</v>
      </c>
      <c r="H2710" s="85" t="s">
        <v>4</v>
      </c>
      <c r="I2710" s="85" t="s">
        <v>4</v>
      </c>
      <c r="J2710" s="86">
        <f>SUM(J2711:J2711)</f>
        <v>0</v>
      </c>
      <c r="K2710" s="86">
        <f>SUM(K2711:K2711)</f>
        <v>0</v>
      </c>
      <c r="L2710" s="86">
        <f>SUM(L2711:L2711)</f>
        <v>0</v>
      </c>
      <c r="M2710" s="86">
        <f>SUM(M2711:M2711)</f>
        <v>0</v>
      </c>
      <c r="N2710" s="87" t="s">
        <v>54</v>
      </c>
      <c r="O2710" s="86">
        <f>SUM(O2711:O2711)</f>
        <v>13.4525553</v>
      </c>
      <c r="P2710" s="87" t="s">
        <v>54</v>
      </c>
      <c r="AI2710" s="88" t="s">
        <v>4027</v>
      </c>
      <c r="AS2710" s="89">
        <f>SUM(AJ2711:AJ2711)</f>
        <v>0</v>
      </c>
      <c r="AT2710" s="89">
        <f>SUM(AK2711:AK2711)</f>
        <v>0</v>
      </c>
      <c r="AU2710" s="89">
        <f>SUM(AL2711:AL2711)</f>
        <v>0</v>
      </c>
    </row>
    <row r="2711" spans="1:76" s="81" customFormat="1" x14ac:dyDescent="0.25">
      <c r="A2711" s="72" t="s">
        <v>4042</v>
      </c>
      <c r="B2711" s="72" t="s">
        <v>4027</v>
      </c>
      <c r="C2711" s="72" t="s">
        <v>211</v>
      </c>
      <c r="D2711" s="175" t="s">
        <v>212</v>
      </c>
      <c r="E2711" s="175"/>
      <c r="F2711" s="72" t="s">
        <v>213</v>
      </c>
      <c r="G2711" s="90">
        <v>31.63</v>
      </c>
      <c r="H2711" s="91"/>
      <c r="I2711" s="92" t="s">
        <v>63</v>
      </c>
      <c r="J2711" s="90">
        <f>G2711*AO2711</f>
        <v>0</v>
      </c>
      <c r="K2711" s="90">
        <f>G2711*AP2711</f>
        <v>0</v>
      </c>
      <c r="L2711" s="90">
        <f>G2711*H2711</f>
        <v>0</v>
      </c>
      <c r="M2711" s="90">
        <f>L2711*(1+BW2711/100)</f>
        <v>0</v>
      </c>
      <c r="N2711" s="90">
        <v>0.42531000000000002</v>
      </c>
      <c r="O2711" s="90">
        <f>G2711*N2711</f>
        <v>13.4525553</v>
      </c>
      <c r="P2711" s="92" t="s">
        <v>64</v>
      </c>
      <c r="Z2711" s="93">
        <f>IF(AQ2711="5",BJ2711,0)</f>
        <v>0</v>
      </c>
      <c r="AB2711" s="93">
        <f>IF(AQ2711="1",BH2711,0)</f>
        <v>0</v>
      </c>
      <c r="AC2711" s="93">
        <f>IF(AQ2711="1",BI2711,0)</f>
        <v>0</v>
      </c>
      <c r="AD2711" s="93">
        <f>IF(AQ2711="7",BH2711,0)</f>
        <v>0</v>
      </c>
      <c r="AE2711" s="93">
        <f>IF(AQ2711="7",BI2711,0)</f>
        <v>0</v>
      </c>
      <c r="AF2711" s="93">
        <f>IF(AQ2711="2",BH2711,0)</f>
        <v>0</v>
      </c>
      <c r="AG2711" s="93">
        <f>IF(AQ2711="2",BI2711,0)</f>
        <v>0</v>
      </c>
      <c r="AH2711" s="93">
        <f>IF(AQ2711="0",BJ2711,0)</f>
        <v>0</v>
      </c>
      <c r="AI2711" s="88" t="s">
        <v>4027</v>
      </c>
      <c r="AJ2711" s="93">
        <f>IF(AN2711=0,L2711,0)</f>
        <v>0</v>
      </c>
      <c r="AK2711" s="93">
        <f>IF(AN2711=12,L2711,0)</f>
        <v>0</v>
      </c>
      <c r="AL2711" s="93">
        <f>IF(AN2711=21,L2711,0)</f>
        <v>0</v>
      </c>
      <c r="AN2711" s="93">
        <v>21</v>
      </c>
      <c r="AO2711" s="93">
        <f>H2711*0.690080545</f>
        <v>0</v>
      </c>
      <c r="AP2711" s="93">
        <f>H2711*(1-0.690080545)</f>
        <v>0</v>
      </c>
      <c r="AQ2711" s="94" t="s">
        <v>59</v>
      </c>
      <c r="AV2711" s="93">
        <f>AW2711+AX2711</f>
        <v>0</v>
      </c>
      <c r="AW2711" s="93">
        <f>G2711*AO2711</f>
        <v>0</v>
      </c>
      <c r="AX2711" s="93">
        <f>G2711*AP2711</f>
        <v>0</v>
      </c>
      <c r="AY2711" s="94" t="s">
        <v>207</v>
      </c>
      <c r="AZ2711" s="94" t="s">
        <v>4043</v>
      </c>
      <c r="BA2711" s="88" t="s">
        <v>4033</v>
      </c>
      <c r="BC2711" s="93">
        <f>AW2711+AX2711</f>
        <v>0</v>
      </c>
      <c r="BD2711" s="93">
        <f>H2711/(100-BE2711)*100</f>
        <v>0</v>
      </c>
      <c r="BE2711" s="93">
        <v>0</v>
      </c>
      <c r="BF2711" s="93">
        <f>O2711</f>
        <v>13.4525553</v>
      </c>
      <c r="BH2711" s="93">
        <f>G2711*AO2711</f>
        <v>0</v>
      </c>
      <c r="BI2711" s="93">
        <f>G2711*AP2711</f>
        <v>0</v>
      </c>
      <c r="BJ2711" s="93">
        <f>G2711*H2711</f>
        <v>0</v>
      </c>
      <c r="BK2711" s="93"/>
      <c r="BL2711" s="93">
        <v>21</v>
      </c>
      <c r="BW2711" s="93" t="str">
        <f>I2711</f>
        <v>21</v>
      </c>
      <c r="BX2711" s="2" t="s">
        <v>212</v>
      </c>
    </row>
    <row r="2712" spans="1:76" s="81" customFormat="1" ht="13.5" customHeight="1" x14ac:dyDescent="0.25">
      <c r="A2712" s="95"/>
      <c r="B2712" s="95"/>
      <c r="C2712" s="95"/>
      <c r="D2712" s="182" t="s">
        <v>214</v>
      </c>
      <c r="E2712" s="182"/>
      <c r="F2712" s="182"/>
      <c r="G2712" s="182"/>
      <c r="H2712" s="182"/>
      <c r="I2712" s="182"/>
      <c r="J2712" s="182"/>
      <c r="K2712" s="182"/>
      <c r="L2712" s="182"/>
      <c r="M2712" s="182"/>
      <c r="N2712" s="182"/>
      <c r="O2712" s="182"/>
      <c r="P2712" s="182"/>
    </row>
    <row r="2713" spans="1:76" s="81" customFormat="1" x14ac:dyDescent="0.25">
      <c r="A2713" s="95"/>
      <c r="B2713" s="95"/>
      <c r="C2713" s="95"/>
      <c r="D2713" s="76" t="s">
        <v>54</v>
      </c>
      <c r="E2713" s="76" t="s">
        <v>4034</v>
      </c>
      <c r="F2713" s="95"/>
      <c r="G2713" s="96">
        <v>0</v>
      </c>
      <c r="H2713" s="95"/>
      <c r="I2713" s="95"/>
      <c r="J2713" s="95"/>
      <c r="K2713" s="95"/>
      <c r="L2713" s="95"/>
      <c r="M2713" s="95"/>
      <c r="N2713" s="95"/>
      <c r="O2713" s="95"/>
      <c r="P2713" s="95"/>
    </row>
    <row r="2714" spans="1:76" s="81" customFormat="1" x14ac:dyDescent="0.25">
      <c r="A2714" s="95"/>
      <c r="B2714" s="95"/>
      <c r="C2714" s="95"/>
      <c r="D2714" s="76" t="s">
        <v>4044</v>
      </c>
      <c r="E2714" s="76" t="s">
        <v>54</v>
      </c>
      <c r="F2714" s="95"/>
      <c r="G2714" s="96">
        <v>31.63</v>
      </c>
      <c r="H2714" s="95"/>
      <c r="I2714" s="95"/>
      <c r="J2714" s="95"/>
      <c r="K2714" s="95"/>
      <c r="L2714" s="95"/>
      <c r="M2714" s="95"/>
      <c r="N2714" s="95"/>
      <c r="O2714" s="95"/>
      <c r="P2714" s="95"/>
    </row>
    <row r="2715" spans="1:76" s="81" customFormat="1" x14ac:dyDescent="0.25">
      <c r="A2715" s="85" t="s">
        <v>54</v>
      </c>
      <c r="B2715" s="74" t="s">
        <v>4027</v>
      </c>
      <c r="C2715" s="74" t="s">
        <v>217</v>
      </c>
      <c r="D2715" s="176" t="s">
        <v>218</v>
      </c>
      <c r="E2715" s="176"/>
      <c r="F2715" s="85" t="s">
        <v>4</v>
      </c>
      <c r="G2715" s="85" t="s">
        <v>4</v>
      </c>
      <c r="H2715" s="85" t="s">
        <v>4</v>
      </c>
      <c r="I2715" s="85" t="s">
        <v>4</v>
      </c>
      <c r="J2715" s="86">
        <f>SUM(J2716:J2724)</f>
        <v>0</v>
      </c>
      <c r="K2715" s="86">
        <f>SUM(K2716:K2724)</f>
        <v>0</v>
      </c>
      <c r="L2715" s="86">
        <f>SUM(L2716:L2724)</f>
        <v>0</v>
      </c>
      <c r="M2715" s="86">
        <f>SUM(M2716:M2724)</f>
        <v>0</v>
      </c>
      <c r="N2715" s="87" t="s">
        <v>54</v>
      </c>
      <c r="O2715" s="86">
        <f>SUM(O2716:O2724)</f>
        <v>51.137790000000003</v>
      </c>
      <c r="P2715" s="87" t="s">
        <v>54</v>
      </c>
      <c r="AI2715" s="88" t="s">
        <v>4027</v>
      </c>
      <c r="AS2715" s="89">
        <f>SUM(AJ2716:AJ2724)</f>
        <v>0</v>
      </c>
      <c r="AT2715" s="89">
        <f>SUM(AK2716:AK2724)</f>
        <v>0</v>
      </c>
      <c r="AU2715" s="89">
        <f>SUM(AL2716:AL2724)</f>
        <v>0</v>
      </c>
    </row>
    <row r="2716" spans="1:76" s="81" customFormat="1" x14ac:dyDescent="0.25">
      <c r="A2716" s="72" t="s">
        <v>4045</v>
      </c>
      <c r="B2716" s="72" t="s">
        <v>4027</v>
      </c>
      <c r="C2716" s="72" t="s">
        <v>4046</v>
      </c>
      <c r="D2716" s="175" t="s">
        <v>4047</v>
      </c>
      <c r="E2716" s="175"/>
      <c r="F2716" s="72" t="s">
        <v>62</v>
      </c>
      <c r="G2716" s="90">
        <v>19.71</v>
      </c>
      <c r="H2716" s="91"/>
      <c r="I2716" s="92" t="s">
        <v>63</v>
      </c>
      <c r="J2716" s="90">
        <f>G2716*AO2716</f>
        <v>0</v>
      </c>
      <c r="K2716" s="90">
        <f>G2716*AP2716</f>
        <v>0</v>
      </c>
      <c r="L2716" s="90">
        <f>G2716*H2716</f>
        <v>0</v>
      </c>
      <c r="M2716" s="90">
        <f>L2716*(1+BW2716/100)</f>
        <v>0</v>
      </c>
      <c r="N2716" s="90">
        <v>2.5249999999999999</v>
      </c>
      <c r="O2716" s="90">
        <f>G2716*N2716</f>
        <v>49.767749999999999</v>
      </c>
      <c r="P2716" s="92" t="s">
        <v>64</v>
      </c>
      <c r="Z2716" s="93">
        <f>IF(AQ2716="5",BJ2716,0)</f>
        <v>0</v>
      </c>
      <c r="AB2716" s="93">
        <f>IF(AQ2716="1",BH2716,0)</f>
        <v>0</v>
      </c>
      <c r="AC2716" s="93">
        <f>IF(AQ2716="1",BI2716,0)</f>
        <v>0</v>
      </c>
      <c r="AD2716" s="93">
        <f>IF(AQ2716="7",BH2716,0)</f>
        <v>0</v>
      </c>
      <c r="AE2716" s="93">
        <f>IF(AQ2716="7",BI2716,0)</f>
        <v>0</v>
      </c>
      <c r="AF2716" s="93">
        <f>IF(AQ2716="2",BH2716,0)</f>
        <v>0</v>
      </c>
      <c r="AG2716" s="93">
        <f>IF(AQ2716="2",BI2716,0)</f>
        <v>0</v>
      </c>
      <c r="AH2716" s="93">
        <f>IF(AQ2716="0",BJ2716,0)</f>
        <v>0</v>
      </c>
      <c r="AI2716" s="88" t="s">
        <v>4027</v>
      </c>
      <c r="AJ2716" s="93">
        <f>IF(AN2716=0,L2716,0)</f>
        <v>0</v>
      </c>
      <c r="AK2716" s="93">
        <f>IF(AN2716=12,L2716,0)</f>
        <v>0</v>
      </c>
      <c r="AL2716" s="93">
        <f>IF(AN2716=21,L2716,0)</f>
        <v>0</v>
      </c>
      <c r="AN2716" s="93">
        <v>21</v>
      </c>
      <c r="AO2716" s="93">
        <f>H2716*0.921287105</f>
        <v>0</v>
      </c>
      <c r="AP2716" s="93">
        <f>H2716*(1-0.921287105)</f>
        <v>0</v>
      </c>
      <c r="AQ2716" s="94" t="s">
        <v>59</v>
      </c>
      <c r="AV2716" s="93">
        <f>AW2716+AX2716</f>
        <v>0</v>
      </c>
      <c r="AW2716" s="93">
        <f>G2716*AO2716</f>
        <v>0</v>
      </c>
      <c r="AX2716" s="93">
        <f>G2716*AP2716</f>
        <v>0</v>
      </c>
      <c r="AY2716" s="94" t="s">
        <v>223</v>
      </c>
      <c r="AZ2716" s="94" t="s">
        <v>4043</v>
      </c>
      <c r="BA2716" s="88" t="s">
        <v>4033</v>
      </c>
      <c r="BC2716" s="93">
        <f>AW2716+AX2716</f>
        <v>0</v>
      </c>
      <c r="BD2716" s="93">
        <f>H2716/(100-BE2716)*100</f>
        <v>0</v>
      </c>
      <c r="BE2716" s="93">
        <v>0</v>
      </c>
      <c r="BF2716" s="93">
        <f>O2716</f>
        <v>49.767749999999999</v>
      </c>
      <c r="BH2716" s="93">
        <f>G2716*AO2716</f>
        <v>0</v>
      </c>
      <c r="BI2716" s="93">
        <f>G2716*AP2716</f>
        <v>0</v>
      </c>
      <c r="BJ2716" s="93">
        <f>G2716*H2716</f>
        <v>0</v>
      </c>
      <c r="BK2716" s="93"/>
      <c r="BL2716" s="93">
        <v>27</v>
      </c>
      <c r="BW2716" s="93" t="str">
        <f>I2716</f>
        <v>21</v>
      </c>
      <c r="BX2716" s="2" t="s">
        <v>4047</v>
      </c>
    </row>
    <row r="2717" spans="1:76" s="81" customFormat="1" x14ac:dyDescent="0.25">
      <c r="A2717" s="95"/>
      <c r="B2717" s="95"/>
      <c r="C2717" s="95"/>
      <c r="D2717" s="76" t="s">
        <v>54</v>
      </c>
      <c r="E2717" s="76" t="s">
        <v>4034</v>
      </c>
      <c r="F2717" s="95"/>
      <c r="G2717" s="96">
        <v>0</v>
      </c>
      <c r="H2717" s="95"/>
      <c r="I2717" s="95"/>
      <c r="J2717" s="95"/>
      <c r="K2717" s="95"/>
      <c r="L2717" s="95"/>
      <c r="M2717" s="95"/>
      <c r="N2717" s="95"/>
      <c r="O2717" s="95"/>
      <c r="P2717" s="95"/>
    </row>
    <row r="2718" spans="1:76" s="81" customFormat="1" x14ac:dyDescent="0.25">
      <c r="A2718" s="95"/>
      <c r="B2718" s="95"/>
      <c r="C2718" s="95"/>
      <c r="D2718" s="76" t="s">
        <v>4048</v>
      </c>
      <c r="E2718" s="76" t="s">
        <v>54</v>
      </c>
      <c r="F2718" s="95"/>
      <c r="G2718" s="96">
        <v>19.2</v>
      </c>
      <c r="H2718" s="95"/>
      <c r="I2718" s="95"/>
      <c r="J2718" s="95"/>
      <c r="K2718" s="95"/>
      <c r="L2718" s="95"/>
      <c r="M2718" s="95"/>
      <c r="N2718" s="95"/>
      <c r="O2718" s="95"/>
      <c r="P2718" s="95"/>
    </row>
    <row r="2719" spans="1:76" s="81" customFormat="1" x14ac:dyDescent="0.25">
      <c r="A2719" s="95"/>
      <c r="B2719" s="95"/>
      <c r="C2719" s="95"/>
      <c r="D2719" s="76" t="s">
        <v>4049</v>
      </c>
      <c r="E2719" s="76" t="s">
        <v>54</v>
      </c>
      <c r="F2719" s="95"/>
      <c r="G2719" s="96">
        <v>0.51</v>
      </c>
      <c r="H2719" s="95"/>
      <c r="I2719" s="95"/>
      <c r="J2719" s="95"/>
      <c r="K2719" s="95"/>
      <c r="L2719" s="95"/>
      <c r="M2719" s="95"/>
      <c r="N2719" s="95"/>
      <c r="O2719" s="95"/>
      <c r="P2719" s="95"/>
    </row>
    <row r="2720" spans="1:76" s="81" customFormat="1" x14ac:dyDescent="0.25">
      <c r="A2720" s="72" t="s">
        <v>4050</v>
      </c>
      <c r="B2720" s="72" t="s">
        <v>4027</v>
      </c>
      <c r="C2720" s="72" t="s">
        <v>4051</v>
      </c>
      <c r="D2720" s="175" t="s">
        <v>4052</v>
      </c>
      <c r="E2720" s="175"/>
      <c r="F2720" s="72" t="s">
        <v>192</v>
      </c>
      <c r="G2720" s="90">
        <v>34.950000000000003</v>
      </c>
      <c r="H2720" s="91"/>
      <c r="I2720" s="92" t="s">
        <v>63</v>
      </c>
      <c r="J2720" s="90">
        <f>G2720*AO2720</f>
        <v>0</v>
      </c>
      <c r="K2720" s="90">
        <f>G2720*AP2720</f>
        <v>0</v>
      </c>
      <c r="L2720" s="90">
        <f>G2720*H2720</f>
        <v>0</v>
      </c>
      <c r="M2720" s="90">
        <f>L2720*(1+BW2720/100)</f>
        <v>0</v>
      </c>
      <c r="N2720" s="90">
        <v>3.9199999999999999E-2</v>
      </c>
      <c r="O2720" s="90">
        <f>G2720*N2720</f>
        <v>1.3700400000000001</v>
      </c>
      <c r="P2720" s="92" t="s">
        <v>64</v>
      </c>
      <c r="Z2720" s="93">
        <f>IF(AQ2720="5",BJ2720,0)</f>
        <v>0</v>
      </c>
      <c r="AB2720" s="93">
        <f>IF(AQ2720="1",BH2720,0)</f>
        <v>0</v>
      </c>
      <c r="AC2720" s="93">
        <f>IF(AQ2720="1",BI2720,0)</f>
        <v>0</v>
      </c>
      <c r="AD2720" s="93">
        <f>IF(AQ2720="7",BH2720,0)</f>
        <v>0</v>
      </c>
      <c r="AE2720" s="93">
        <f>IF(AQ2720="7",BI2720,0)</f>
        <v>0</v>
      </c>
      <c r="AF2720" s="93">
        <f>IF(AQ2720="2",BH2720,0)</f>
        <v>0</v>
      </c>
      <c r="AG2720" s="93">
        <f>IF(AQ2720="2",BI2720,0)</f>
        <v>0</v>
      </c>
      <c r="AH2720" s="93">
        <f>IF(AQ2720="0",BJ2720,0)</f>
        <v>0</v>
      </c>
      <c r="AI2720" s="88" t="s">
        <v>4027</v>
      </c>
      <c r="AJ2720" s="93">
        <f>IF(AN2720=0,L2720,0)</f>
        <v>0</v>
      </c>
      <c r="AK2720" s="93">
        <f>IF(AN2720=12,L2720,0)</f>
        <v>0</v>
      </c>
      <c r="AL2720" s="93">
        <f>IF(AN2720=21,L2720,0)</f>
        <v>0</v>
      </c>
      <c r="AN2720" s="93">
        <v>21</v>
      </c>
      <c r="AO2720" s="93">
        <f>H2720*0.340205479</f>
        <v>0</v>
      </c>
      <c r="AP2720" s="93">
        <f>H2720*(1-0.340205479)</f>
        <v>0</v>
      </c>
      <c r="AQ2720" s="94" t="s">
        <v>59</v>
      </c>
      <c r="AV2720" s="93">
        <f>AW2720+AX2720</f>
        <v>0</v>
      </c>
      <c r="AW2720" s="93">
        <f>G2720*AO2720</f>
        <v>0</v>
      </c>
      <c r="AX2720" s="93">
        <f>G2720*AP2720</f>
        <v>0</v>
      </c>
      <c r="AY2720" s="94" t="s">
        <v>223</v>
      </c>
      <c r="AZ2720" s="94" t="s">
        <v>4043</v>
      </c>
      <c r="BA2720" s="88" t="s">
        <v>4033</v>
      </c>
      <c r="BC2720" s="93">
        <f>AW2720+AX2720</f>
        <v>0</v>
      </c>
      <c r="BD2720" s="93">
        <f>H2720/(100-BE2720)*100</f>
        <v>0</v>
      </c>
      <c r="BE2720" s="93">
        <v>0</v>
      </c>
      <c r="BF2720" s="93">
        <f>O2720</f>
        <v>1.3700400000000001</v>
      </c>
      <c r="BH2720" s="93">
        <f>G2720*AO2720</f>
        <v>0</v>
      </c>
      <c r="BI2720" s="93">
        <f>G2720*AP2720</f>
        <v>0</v>
      </c>
      <c r="BJ2720" s="93">
        <f>G2720*H2720</f>
        <v>0</v>
      </c>
      <c r="BK2720" s="93"/>
      <c r="BL2720" s="93">
        <v>27</v>
      </c>
      <c r="BW2720" s="93" t="str">
        <f>I2720</f>
        <v>21</v>
      </c>
      <c r="BX2720" s="2" t="s">
        <v>4052</v>
      </c>
    </row>
    <row r="2721" spans="1:76" s="81" customFormat="1" x14ac:dyDescent="0.25">
      <c r="A2721" s="95"/>
      <c r="B2721" s="95"/>
      <c r="C2721" s="95"/>
      <c r="D2721" s="76" t="s">
        <v>54</v>
      </c>
      <c r="E2721" s="76" t="s">
        <v>4053</v>
      </c>
      <c r="F2721" s="95"/>
      <c r="G2721" s="96">
        <v>0</v>
      </c>
      <c r="H2721" s="95"/>
      <c r="I2721" s="95"/>
      <c r="J2721" s="95"/>
      <c r="K2721" s="95"/>
      <c r="L2721" s="95"/>
      <c r="M2721" s="95"/>
      <c r="N2721" s="95"/>
      <c r="O2721" s="95"/>
      <c r="P2721" s="95"/>
    </row>
    <row r="2722" spans="1:76" s="81" customFormat="1" x14ac:dyDescent="0.25">
      <c r="A2722" s="95"/>
      <c r="B2722" s="95"/>
      <c r="C2722" s="95"/>
      <c r="D2722" s="76" t="s">
        <v>4054</v>
      </c>
      <c r="E2722" s="76" t="s">
        <v>54</v>
      </c>
      <c r="F2722" s="95"/>
      <c r="G2722" s="96">
        <v>31.2</v>
      </c>
      <c r="H2722" s="95"/>
      <c r="I2722" s="95"/>
      <c r="J2722" s="95"/>
      <c r="K2722" s="95"/>
      <c r="L2722" s="95"/>
      <c r="M2722" s="95"/>
      <c r="N2722" s="95"/>
      <c r="O2722" s="95"/>
      <c r="P2722" s="95"/>
    </row>
    <row r="2723" spans="1:76" s="81" customFormat="1" x14ac:dyDescent="0.25">
      <c r="A2723" s="95"/>
      <c r="B2723" s="95"/>
      <c r="C2723" s="95"/>
      <c r="D2723" s="76" t="s">
        <v>4055</v>
      </c>
      <c r="E2723" s="76" t="s">
        <v>54</v>
      </c>
      <c r="F2723" s="95"/>
      <c r="G2723" s="96">
        <v>3.75</v>
      </c>
      <c r="H2723" s="95"/>
      <c r="I2723" s="95"/>
      <c r="J2723" s="95"/>
      <c r="K2723" s="95"/>
      <c r="L2723" s="95"/>
      <c r="M2723" s="95"/>
      <c r="N2723" s="95"/>
      <c r="O2723" s="95"/>
      <c r="P2723" s="95"/>
    </row>
    <row r="2724" spans="1:76" s="81" customFormat="1" x14ac:dyDescent="0.25">
      <c r="A2724" s="72" t="s">
        <v>4056</v>
      </c>
      <c r="B2724" s="72" t="s">
        <v>4027</v>
      </c>
      <c r="C2724" s="72" t="s">
        <v>4057</v>
      </c>
      <c r="D2724" s="175" t="s">
        <v>4058</v>
      </c>
      <c r="E2724" s="175"/>
      <c r="F2724" s="72" t="s">
        <v>192</v>
      </c>
      <c r="G2724" s="90">
        <v>34.950000000000003</v>
      </c>
      <c r="H2724" s="91"/>
      <c r="I2724" s="92" t="s">
        <v>63</v>
      </c>
      <c r="J2724" s="90">
        <f>G2724*AO2724</f>
        <v>0</v>
      </c>
      <c r="K2724" s="90">
        <f>G2724*AP2724</f>
        <v>0</v>
      </c>
      <c r="L2724" s="90">
        <f>G2724*H2724</f>
        <v>0</v>
      </c>
      <c r="M2724" s="90">
        <f>L2724*(1+BW2724/100)</f>
        <v>0</v>
      </c>
      <c r="N2724" s="90">
        <v>0</v>
      </c>
      <c r="O2724" s="90">
        <f>G2724*N2724</f>
        <v>0</v>
      </c>
      <c r="P2724" s="92" t="s">
        <v>64</v>
      </c>
      <c r="Z2724" s="93">
        <f>IF(AQ2724="5",BJ2724,0)</f>
        <v>0</v>
      </c>
      <c r="AB2724" s="93">
        <f>IF(AQ2724="1",BH2724,0)</f>
        <v>0</v>
      </c>
      <c r="AC2724" s="93">
        <f>IF(AQ2724="1",BI2724,0)</f>
        <v>0</v>
      </c>
      <c r="AD2724" s="93">
        <f>IF(AQ2724="7",BH2724,0)</f>
        <v>0</v>
      </c>
      <c r="AE2724" s="93">
        <f>IF(AQ2724="7",BI2724,0)</f>
        <v>0</v>
      </c>
      <c r="AF2724" s="93">
        <f>IF(AQ2724="2",BH2724,0)</f>
        <v>0</v>
      </c>
      <c r="AG2724" s="93">
        <f>IF(AQ2724="2",BI2724,0)</f>
        <v>0</v>
      </c>
      <c r="AH2724" s="93">
        <f>IF(AQ2724="0",BJ2724,0)</f>
        <v>0</v>
      </c>
      <c r="AI2724" s="88" t="s">
        <v>4027</v>
      </c>
      <c r="AJ2724" s="93">
        <f>IF(AN2724=0,L2724,0)</f>
        <v>0</v>
      </c>
      <c r="AK2724" s="93">
        <f>IF(AN2724=12,L2724,0)</f>
        <v>0</v>
      </c>
      <c r="AL2724" s="93">
        <f>IF(AN2724=21,L2724,0)</f>
        <v>0</v>
      </c>
      <c r="AN2724" s="93">
        <v>21</v>
      </c>
      <c r="AO2724" s="93">
        <f>H2724*0</f>
        <v>0</v>
      </c>
      <c r="AP2724" s="93">
        <f>H2724*(1-0)</f>
        <v>0</v>
      </c>
      <c r="AQ2724" s="94" t="s">
        <v>59</v>
      </c>
      <c r="AV2724" s="93">
        <f>AW2724+AX2724</f>
        <v>0</v>
      </c>
      <c r="AW2724" s="93">
        <f>G2724*AO2724</f>
        <v>0</v>
      </c>
      <c r="AX2724" s="93">
        <f>G2724*AP2724</f>
        <v>0</v>
      </c>
      <c r="AY2724" s="94" t="s">
        <v>223</v>
      </c>
      <c r="AZ2724" s="94" t="s">
        <v>4043</v>
      </c>
      <c r="BA2724" s="88" t="s">
        <v>4033</v>
      </c>
      <c r="BC2724" s="93">
        <f>AW2724+AX2724</f>
        <v>0</v>
      </c>
      <c r="BD2724" s="93">
        <f>H2724/(100-BE2724)*100</f>
        <v>0</v>
      </c>
      <c r="BE2724" s="93">
        <v>0</v>
      </c>
      <c r="BF2724" s="93">
        <f>O2724</f>
        <v>0</v>
      </c>
      <c r="BH2724" s="93">
        <f>G2724*AO2724</f>
        <v>0</v>
      </c>
      <c r="BI2724" s="93">
        <f>G2724*AP2724</f>
        <v>0</v>
      </c>
      <c r="BJ2724" s="93">
        <f>G2724*H2724</f>
        <v>0</v>
      </c>
      <c r="BK2724" s="93"/>
      <c r="BL2724" s="93">
        <v>27</v>
      </c>
      <c r="BW2724" s="93" t="str">
        <f>I2724</f>
        <v>21</v>
      </c>
      <c r="BX2724" s="2" t="s">
        <v>4058</v>
      </c>
    </row>
    <row r="2725" spans="1:76" s="81" customFormat="1" x14ac:dyDescent="0.25">
      <c r="A2725" s="85" t="s">
        <v>54</v>
      </c>
      <c r="B2725" s="74" t="s">
        <v>4027</v>
      </c>
      <c r="C2725" s="74" t="s">
        <v>521</v>
      </c>
      <c r="D2725" s="176" t="s">
        <v>4059</v>
      </c>
      <c r="E2725" s="176"/>
      <c r="F2725" s="85" t="s">
        <v>4</v>
      </c>
      <c r="G2725" s="85" t="s">
        <v>4</v>
      </c>
      <c r="H2725" s="85" t="s">
        <v>4</v>
      </c>
      <c r="I2725" s="85" t="s">
        <v>4</v>
      </c>
      <c r="J2725" s="86">
        <f>SUM(J2726:J2726)</f>
        <v>0</v>
      </c>
      <c r="K2725" s="86">
        <f>SUM(K2726:K2726)</f>
        <v>0</v>
      </c>
      <c r="L2725" s="86">
        <f>SUM(L2726:L2726)</f>
        <v>0</v>
      </c>
      <c r="M2725" s="86">
        <f>SUM(M2726:M2726)</f>
        <v>0</v>
      </c>
      <c r="N2725" s="87" t="s">
        <v>54</v>
      </c>
      <c r="O2725" s="86">
        <f>SUM(O2726:O2726)</f>
        <v>317.49175513999995</v>
      </c>
      <c r="P2725" s="87" t="s">
        <v>54</v>
      </c>
      <c r="AI2725" s="88" t="s">
        <v>4027</v>
      </c>
      <c r="AS2725" s="89">
        <f>SUM(AJ2726:AJ2726)</f>
        <v>0</v>
      </c>
      <c r="AT2725" s="89">
        <f>SUM(AK2726:AK2726)</f>
        <v>0</v>
      </c>
      <c r="AU2725" s="89">
        <f>SUM(AL2726:AL2726)</f>
        <v>0</v>
      </c>
    </row>
    <row r="2726" spans="1:76" s="81" customFormat="1" ht="25.5" x14ac:dyDescent="0.25">
      <c r="A2726" s="72" t="s">
        <v>4060</v>
      </c>
      <c r="B2726" s="72" t="s">
        <v>4027</v>
      </c>
      <c r="C2726" s="72" t="s">
        <v>4061</v>
      </c>
      <c r="D2726" s="175" t="s">
        <v>4062</v>
      </c>
      <c r="E2726" s="175"/>
      <c r="F2726" s="72" t="s">
        <v>192</v>
      </c>
      <c r="G2726" s="90">
        <v>277.23694999999998</v>
      </c>
      <c r="H2726" s="91"/>
      <c r="I2726" s="92" t="s">
        <v>63</v>
      </c>
      <c r="J2726" s="90">
        <f>G2726*AO2726</f>
        <v>0</v>
      </c>
      <c r="K2726" s="90">
        <f>G2726*AP2726</f>
        <v>0</v>
      </c>
      <c r="L2726" s="90">
        <f>G2726*H2726</f>
        <v>0</v>
      </c>
      <c r="M2726" s="90">
        <f>L2726*(1+BW2726/100)</f>
        <v>0</v>
      </c>
      <c r="N2726" s="90">
        <v>1.1452</v>
      </c>
      <c r="O2726" s="90">
        <f>G2726*N2726</f>
        <v>317.49175513999995</v>
      </c>
      <c r="P2726" s="92" t="s">
        <v>64</v>
      </c>
      <c r="Z2726" s="93">
        <f>IF(AQ2726="5",BJ2726,0)</f>
        <v>0</v>
      </c>
      <c r="AB2726" s="93">
        <f>IF(AQ2726="1",BH2726,0)</f>
        <v>0</v>
      </c>
      <c r="AC2726" s="93">
        <f>IF(AQ2726="1",BI2726,0)</f>
        <v>0</v>
      </c>
      <c r="AD2726" s="93">
        <f>IF(AQ2726="7",BH2726,0)</f>
        <v>0</v>
      </c>
      <c r="AE2726" s="93">
        <f>IF(AQ2726="7",BI2726,0)</f>
        <v>0</v>
      </c>
      <c r="AF2726" s="93">
        <f>IF(AQ2726="2",BH2726,0)</f>
        <v>0</v>
      </c>
      <c r="AG2726" s="93">
        <f>IF(AQ2726="2",BI2726,0)</f>
        <v>0</v>
      </c>
      <c r="AH2726" s="93">
        <f>IF(AQ2726="0",BJ2726,0)</f>
        <v>0</v>
      </c>
      <c r="AI2726" s="88" t="s">
        <v>4027</v>
      </c>
      <c r="AJ2726" s="93">
        <f>IF(AN2726=0,L2726,0)</f>
        <v>0</v>
      </c>
      <c r="AK2726" s="93">
        <f>IF(AN2726=12,L2726,0)</f>
        <v>0</v>
      </c>
      <c r="AL2726" s="93">
        <f>IF(AN2726=21,L2726,0)</f>
        <v>0</v>
      </c>
      <c r="AN2726" s="93">
        <v>21</v>
      </c>
      <c r="AO2726" s="93">
        <f>H2726*0.751832365</f>
        <v>0</v>
      </c>
      <c r="AP2726" s="93">
        <f>H2726*(1-0.751832365)</f>
        <v>0</v>
      </c>
      <c r="AQ2726" s="94" t="s">
        <v>59</v>
      </c>
      <c r="AV2726" s="93">
        <f>AW2726+AX2726</f>
        <v>0</v>
      </c>
      <c r="AW2726" s="93">
        <f>G2726*AO2726</f>
        <v>0</v>
      </c>
      <c r="AX2726" s="93">
        <f>G2726*AP2726</f>
        <v>0</v>
      </c>
      <c r="AY2726" s="94" t="s">
        <v>4063</v>
      </c>
      <c r="AZ2726" s="94" t="s">
        <v>4064</v>
      </c>
      <c r="BA2726" s="88" t="s">
        <v>4033</v>
      </c>
      <c r="BC2726" s="93">
        <f>AW2726+AX2726</f>
        <v>0</v>
      </c>
      <c r="BD2726" s="93">
        <f>H2726/(100-BE2726)*100</f>
        <v>0</v>
      </c>
      <c r="BE2726" s="93">
        <v>0</v>
      </c>
      <c r="BF2726" s="93">
        <f>O2726</f>
        <v>317.49175513999995</v>
      </c>
      <c r="BH2726" s="93">
        <f>G2726*AO2726</f>
        <v>0</v>
      </c>
      <c r="BI2726" s="93">
        <f>G2726*AP2726</f>
        <v>0</v>
      </c>
      <c r="BJ2726" s="93">
        <f>G2726*H2726</f>
        <v>0</v>
      </c>
      <c r="BK2726" s="93"/>
      <c r="BL2726" s="93">
        <v>58</v>
      </c>
      <c r="BW2726" s="93" t="str">
        <f>I2726</f>
        <v>21</v>
      </c>
      <c r="BX2726" s="2" t="s">
        <v>4062</v>
      </c>
    </row>
    <row r="2727" spans="1:76" s="81" customFormat="1" x14ac:dyDescent="0.25">
      <c r="A2727" s="95"/>
      <c r="B2727" s="95"/>
      <c r="C2727" s="95"/>
      <c r="D2727" s="76" t="s">
        <v>54</v>
      </c>
      <c r="E2727" s="76" t="s">
        <v>4034</v>
      </c>
      <c r="F2727" s="95"/>
      <c r="G2727" s="96">
        <v>0</v>
      </c>
      <c r="H2727" s="95"/>
      <c r="I2727" s="95"/>
      <c r="J2727" s="95"/>
      <c r="K2727" s="95"/>
      <c r="L2727" s="95"/>
      <c r="M2727" s="95"/>
      <c r="N2727" s="95"/>
      <c r="O2727" s="95"/>
      <c r="P2727" s="95"/>
    </row>
    <row r="2728" spans="1:76" s="81" customFormat="1" x14ac:dyDescent="0.25">
      <c r="A2728" s="95"/>
      <c r="B2728" s="95"/>
      <c r="C2728" s="95"/>
      <c r="D2728" s="76" t="s">
        <v>4065</v>
      </c>
      <c r="E2728" s="76" t="s">
        <v>54</v>
      </c>
      <c r="F2728" s="95"/>
      <c r="G2728" s="96">
        <v>277.23694999999998</v>
      </c>
      <c r="H2728" s="95"/>
      <c r="I2728" s="95"/>
      <c r="J2728" s="95"/>
      <c r="K2728" s="95"/>
      <c r="L2728" s="95"/>
      <c r="M2728" s="95"/>
      <c r="N2728" s="95"/>
      <c r="O2728" s="95"/>
      <c r="P2728" s="95"/>
    </row>
    <row r="2729" spans="1:76" s="81" customFormat="1" x14ac:dyDescent="0.25">
      <c r="A2729" s="85" t="s">
        <v>54</v>
      </c>
      <c r="B2729" s="74" t="s">
        <v>4027</v>
      </c>
      <c r="C2729" s="74" t="s">
        <v>525</v>
      </c>
      <c r="D2729" s="176" t="s">
        <v>855</v>
      </c>
      <c r="E2729" s="176"/>
      <c r="F2729" s="85" t="s">
        <v>4</v>
      </c>
      <c r="G2729" s="85" t="s">
        <v>4</v>
      </c>
      <c r="H2729" s="85" t="s">
        <v>4</v>
      </c>
      <c r="I2729" s="85" t="s">
        <v>4</v>
      </c>
      <c r="J2729" s="86">
        <f>SUM(J2730:J2730)</f>
        <v>0</v>
      </c>
      <c r="K2729" s="86">
        <f>SUM(K2730:K2730)</f>
        <v>0</v>
      </c>
      <c r="L2729" s="86">
        <f>SUM(L2730:L2730)</f>
        <v>0</v>
      </c>
      <c r="M2729" s="86">
        <f>SUM(M2730:M2730)</f>
        <v>0</v>
      </c>
      <c r="N2729" s="87" t="s">
        <v>54</v>
      </c>
      <c r="O2729" s="86">
        <f>SUM(O2730:O2730)</f>
        <v>2.9890349999999999</v>
      </c>
      <c r="P2729" s="87" t="s">
        <v>54</v>
      </c>
      <c r="AI2729" s="88" t="s">
        <v>4027</v>
      </c>
      <c r="AS2729" s="89">
        <f>SUM(AJ2730:AJ2730)</f>
        <v>0</v>
      </c>
      <c r="AT2729" s="89">
        <f>SUM(AK2730:AK2730)</f>
        <v>0</v>
      </c>
      <c r="AU2729" s="89">
        <f>SUM(AL2730:AL2730)</f>
        <v>0</v>
      </c>
    </row>
    <row r="2730" spans="1:76" s="81" customFormat="1" x14ac:dyDescent="0.25">
      <c r="A2730" s="72" t="s">
        <v>4066</v>
      </c>
      <c r="B2730" s="72" t="s">
        <v>4027</v>
      </c>
      <c r="C2730" s="72" t="s">
        <v>857</v>
      </c>
      <c r="D2730" s="175" t="s">
        <v>4067</v>
      </c>
      <c r="E2730" s="175"/>
      <c r="F2730" s="72" t="s">
        <v>213</v>
      </c>
      <c r="G2730" s="90">
        <v>31.63</v>
      </c>
      <c r="H2730" s="91"/>
      <c r="I2730" s="92" t="s">
        <v>63</v>
      </c>
      <c r="J2730" s="90">
        <f>G2730*AO2730</f>
        <v>0</v>
      </c>
      <c r="K2730" s="90">
        <f>G2730*AP2730</f>
        <v>0</v>
      </c>
      <c r="L2730" s="90">
        <f>G2730*H2730</f>
        <v>0</v>
      </c>
      <c r="M2730" s="90">
        <f>L2730*(1+BW2730/100)</f>
        <v>0</v>
      </c>
      <c r="N2730" s="90">
        <v>9.4500000000000001E-2</v>
      </c>
      <c r="O2730" s="90">
        <f>G2730*N2730</f>
        <v>2.9890349999999999</v>
      </c>
      <c r="P2730" s="92" t="s">
        <v>371</v>
      </c>
      <c r="Z2730" s="93">
        <f>IF(AQ2730="5",BJ2730,0)</f>
        <v>0</v>
      </c>
      <c r="AB2730" s="93">
        <f>IF(AQ2730="1",BH2730,0)</f>
        <v>0</v>
      </c>
      <c r="AC2730" s="93">
        <f>IF(AQ2730="1",BI2730,0)</f>
        <v>0</v>
      </c>
      <c r="AD2730" s="93">
        <f>IF(AQ2730="7",BH2730,0)</f>
        <v>0</v>
      </c>
      <c r="AE2730" s="93">
        <f>IF(AQ2730="7",BI2730,0)</f>
        <v>0</v>
      </c>
      <c r="AF2730" s="93">
        <f>IF(AQ2730="2",BH2730,0)</f>
        <v>0</v>
      </c>
      <c r="AG2730" s="93">
        <f>IF(AQ2730="2",BI2730,0)</f>
        <v>0</v>
      </c>
      <c r="AH2730" s="93">
        <f>IF(AQ2730="0",BJ2730,0)</f>
        <v>0</v>
      </c>
      <c r="AI2730" s="88" t="s">
        <v>4027</v>
      </c>
      <c r="AJ2730" s="93">
        <f>IF(AN2730=0,L2730,0)</f>
        <v>0</v>
      </c>
      <c r="AK2730" s="93">
        <f>IF(AN2730=12,L2730,0)</f>
        <v>0</v>
      </c>
      <c r="AL2730" s="93">
        <f>IF(AN2730=21,L2730,0)</f>
        <v>0</v>
      </c>
      <c r="AN2730" s="93">
        <v>21</v>
      </c>
      <c r="AO2730" s="93">
        <f>H2730*0.94824796</f>
        <v>0</v>
      </c>
      <c r="AP2730" s="93">
        <f>H2730*(1-0.94824796)</f>
        <v>0</v>
      </c>
      <c r="AQ2730" s="94" t="s">
        <v>59</v>
      </c>
      <c r="AV2730" s="93">
        <f>AW2730+AX2730</f>
        <v>0</v>
      </c>
      <c r="AW2730" s="93">
        <f>G2730*AO2730</f>
        <v>0</v>
      </c>
      <c r="AX2730" s="93">
        <f>G2730*AP2730</f>
        <v>0</v>
      </c>
      <c r="AY2730" s="94" t="s">
        <v>859</v>
      </c>
      <c r="AZ2730" s="94" t="s">
        <v>4064</v>
      </c>
      <c r="BA2730" s="88" t="s">
        <v>4033</v>
      </c>
      <c r="BC2730" s="93">
        <f>AW2730+AX2730</f>
        <v>0</v>
      </c>
      <c r="BD2730" s="93">
        <f>H2730/(100-BE2730)*100</f>
        <v>0</v>
      </c>
      <c r="BE2730" s="93">
        <v>0</v>
      </c>
      <c r="BF2730" s="93">
        <f>O2730</f>
        <v>2.9890349999999999</v>
      </c>
      <c r="BH2730" s="93">
        <f>G2730*AO2730</f>
        <v>0</v>
      </c>
      <c r="BI2730" s="93">
        <f>G2730*AP2730</f>
        <v>0</v>
      </c>
      <c r="BJ2730" s="93">
        <f>G2730*H2730</f>
        <v>0</v>
      </c>
      <c r="BK2730" s="93"/>
      <c r="BL2730" s="93">
        <v>59</v>
      </c>
      <c r="BW2730" s="93" t="str">
        <f>I2730</f>
        <v>21</v>
      </c>
      <c r="BX2730" s="2" t="s">
        <v>4067</v>
      </c>
    </row>
    <row r="2731" spans="1:76" s="81" customFormat="1" x14ac:dyDescent="0.25">
      <c r="A2731" s="95"/>
      <c r="B2731" s="95"/>
      <c r="C2731" s="95"/>
      <c r="D2731" s="76" t="s">
        <v>4044</v>
      </c>
      <c r="E2731" s="76" t="s">
        <v>4034</v>
      </c>
      <c r="F2731" s="95"/>
      <c r="G2731" s="96">
        <v>31.63</v>
      </c>
      <c r="H2731" s="95"/>
      <c r="I2731" s="95"/>
      <c r="J2731" s="95"/>
      <c r="K2731" s="95"/>
      <c r="L2731" s="95"/>
      <c r="M2731" s="95"/>
      <c r="N2731" s="95"/>
      <c r="O2731" s="95"/>
      <c r="P2731" s="95"/>
    </row>
    <row r="2732" spans="1:76" s="81" customFormat="1" x14ac:dyDescent="0.25">
      <c r="A2732" s="85" t="s">
        <v>54</v>
      </c>
      <c r="B2732" s="74" t="s">
        <v>4027</v>
      </c>
      <c r="C2732" s="74" t="s">
        <v>852</v>
      </c>
      <c r="D2732" s="176" t="s">
        <v>1350</v>
      </c>
      <c r="E2732" s="176"/>
      <c r="F2732" s="85" t="s">
        <v>4</v>
      </c>
      <c r="G2732" s="85" t="s">
        <v>4</v>
      </c>
      <c r="H2732" s="85" t="s">
        <v>4</v>
      </c>
      <c r="I2732" s="85" t="s">
        <v>4</v>
      </c>
      <c r="J2732" s="86">
        <f>SUM(J2733:J2733)</f>
        <v>0</v>
      </c>
      <c r="K2732" s="86">
        <f>SUM(K2733:K2733)</f>
        <v>0</v>
      </c>
      <c r="L2732" s="86">
        <f>SUM(L2733:L2733)</f>
        <v>0</v>
      </c>
      <c r="M2732" s="86">
        <f>SUM(M2733:M2733)</f>
        <v>0</v>
      </c>
      <c r="N2732" s="87" t="s">
        <v>54</v>
      </c>
      <c r="O2732" s="86">
        <f>SUM(O2733:O2733)</f>
        <v>0</v>
      </c>
      <c r="P2732" s="87" t="s">
        <v>54</v>
      </c>
      <c r="AI2732" s="88" t="s">
        <v>4027</v>
      </c>
      <c r="AS2732" s="89">
        <f>SUM(AJ2733:AJ2733)</f>
        <v>0</v>
      </c>
      <c r="AT2732" s="89">
        <f>SUM(AK2733:AK2733)</f>
        <v>0</v>
      </c>
      <c r="AU2732" s="89">
        <f>SUM(AL2733:AL2733)</f>
        <v>0</v>
      </c>
    </row>
    <row r="2733" spans="1:76" s="81" customFormat="1" x14ac:dyDescent="0.25">
      <c r="A2733" s="72" t="s">
        <v>4068</v>
      </c>
      <c r="B2733" s="72" t="s">
        <v>4027</v>
      </c>
      <c r="C2733" s="72" t="s">
        <v>4069</v>
      </c>
      <c r="D2733" s="175" t="s">
        <v>4070</v>
      </c>
      <c r="E2733" s="175"/>
      <c r="F2733" s="72" t="s">
        <v>222</v>
      </c>
      <c r="G2733" s="90">
        <v>385.0711</v>
      </c>
      <c r="H2733" s="91"/>
      <c r="I2733" s="92" t="s">
        <v>63</v>
      </c>
      <c r="J2733" s="90">
        <f>G2733*AO2733</f>
        <v>0</v>
      </c>
      <c r="K2733" s="90">
        <f>G2733*AP2733</f>
        <v>0</v>
      </c>
      <c r="L2733" s="90">
        <f>G2733*H2733</f>
        <v>0</v>
      </c>
      <c r="M2733" s="90">
        <f>L2733*(1+BW2733/100)</f>
        <v>0</v>
      </c>
      <c r="N2733" s="90">
        <v>0</v>
      </c>
      <c r="O2733" s="90">
        <f>G2733*N2733</f>
        <v>0</v>
      </c>
      <c r="P2733" s="92" t="s">
        <v>64</v>
      </c>
      <c r="Z2733" s="93">
        <f>IF(AQ2733="5",BJ2733,0)</f>
        <v>0</v>
      </c>
      <c r="AB2733" s="93">
        <f>IF(AQ2733="1",BH2733,0)</f>
        <v>0</v>
      </c>
      <c r="AC2733" s="93">
        <f>IF(AQ2733="1",BI2733,0)</f>
        <v>0</v>
      </c>
      <c r="AD2733" s="93">
        <f>IF(AQ2733="7",BH2733,0)</f>
        <v>0</v>
      </c>
      <c r="AE2733" s="93">
        <f>IF(AQ2733="7",BI2733,0)</f>
        <v>0</v>
      </c>
      <c r="AF2733" s="93">
        <f>IF(AQ2733="2",BH2733,0)</f>
        <v>0</v>
      </c>
      <c r="AG2733" s="93">
        <f>IF(AQ2733="2",BI2733,0)</f>
        <v>0</v>
      </c>
      <c r="AH2733" s="93">
        <f>IF(AQ2733="0",BJ2733,0)</f>
        <v>0</v>
      </c>
      <c r="AI2733" s="88" t="s">
        <v>4027</v>
      </c>
      <c r="AJ2733" s="93">
        <f>IF(AN2733=0,L2733,0)</f>
        <v>0</v>
      </c>
      <c r="AK2733" s="93">
        <f>IF(AN2733=12,L2733,0)</f>
        <v>0</v>
      </c>
      <c r="AL2733" s="93">
        <f>IF(AN2733=21,L2733,0)</f>
        <v>0</v>
      </c>
      <c r="AN2733" s="93">
        <v>21</v>
      </c>
      <c r="AO2733" s="93">
        <f>H2733*0</f>
        <v>0</v>
      </c>
      <c r="AP2733" s="93">
        <f>H2733*(1-0)</f>
        <v>0</v>
      </c>
      <c r="AQ2733" s="94" t="s">
        <v>136</v>
      </c>
      <c r="AV2733" s="93">
        <f>AW2733+AX2733</f>
        <v>0</v>
      </c>
      <c r="AW2733" s="93">
        <f>G2733*AO2733</f>
        <v>0</v>
      </c>
      <c r="AX2733" s="93">
        <f>G2733*AP2733</f>
        <v>0</v>
      </c>
      <c r="AY2733" s="94" t="s">
        <v>1354</v>
      </c>
      <c r="AZ2733" s="94" t="s">
        <v>4071</v>
      </c>
      <c r="BA2733" s="88" t="s">
        <v>4033</v>
      </c>
      <c r="BC2733" s="93">
        <f>AW2733+AX2733</f>
        <v>0</v>
      </c>
      <c r="BD2733" s="93">
        <f>H2733/(100-BE2733)*100</f>
        <v>0</v>
      </c>
      <c r="BE2733" s="93">
        <v>0</v>
      </c>
      <c r="BF2733" s="93">
        <f>O2733</f>
        <v>0</v>
      </c>
      <c r="BH2733" s="93">
        <f>G2733*AO2733</f>
        <v>0</v>
      </c>
      <c r="BI2733" s="93">
        <f>G2733*AP2733</f>
        <v>0</v>
      </c>
      <c r="BJ2733" s="93">
        <f>G2733*H2733</f>
        <v>0</v>
      </c>
      <c r="BK2733" s="93"/>
      <c r="BL2733" s="93">
        <v>99</v>
      </c>
      <c r="BW2733" s="93" t="str">
        <f>I2733</f>
        <v>21</v>
      </c>
      <c r="BX2733" s="2" t="s">
        <v>4070</v>
      </c>
    </row>
    <row r="2734" spans="1:76" s="81" customFormat="1" x14ac:dyDescent="0.25">
      <c r="A2734" s="82" t="s">
        <v>54</v>
      </c>
      <c r="B2734" s="73" t="s">
        <v>4027</v>
      </c>
      <c r="C2734" s="73" t="s">
        <v>54</v>
      </c>
      <c r="D2734" s="168" t="s">
        <v>1355</v>
      </c>
      <c r="E2734" s="168"/>
      <c r="F2734" s="82" t="s">
        <v>4</v>
      </c>
      <c r="G2734" s="82" t="s">
        <v>4</v>
      </c>
      <c r="H2734" s="82" t="s">
        <v>4</v>
      </c>
      <c r="I2734" s="82" t="s">
        <v>4</v>
      </c>
      <c r="J2734" s="83">
        <f>J2735</f>
        <v>0</v>
      </c>
      <c r="K2734" s="83">
        <f>K2735</f>
        <v>0</v>
      </c>
      <c r="L2734" s="83">
        <f>L2735</f>
        <v>0</v>
      </c>
      <c r="M2734" s="83">
        <f>M2735</f>
        <v>0</v>
      </c>
      <c r="N2734" s="84" t="s">
        <v>54</v>
      </c>
      <c r="O2734" s="83">
        <f>O2735</f>
        <v>0</v>
      </c>
      <c r="P2734" s="84" t="s">
        <v>54</v>
      </c>
    </row>
    <row r="2735" spans="1:76" s="81" customFormat="1" x14ac:dyDescent="0.25">
      <c r="A2735" s="85" t="s">
        <v>54</v>
      </c>
      <c r="B2735" s="74" t="s">
        <v>4027</v>
      </c>
      <c r="C2735" s="74" t="s">
        <v>2510</v>
      </c>
      <c r="D2735" s="176" t="s">
        <v>2511</v>
      </c>
      <c r="E2735" s="176"/>
      <c r="F2735" s="85" t="s">
        <v>4</v>
      </c>
      <c r="G2735" s="85" t="s">
        <v>4</v>
      </c>
      <c r="H2735" s="85" t="s">
        <v>4</v>
      </c>
      <c r="I2735" s="85" t="s">
        <v>4</v>
      </c>
      <c r="J2735" s="86">
        <f>SUM(J2736:J2741)</f>
        <v>0</v>
      </c>
      <c r="K2735" s="86">
        <f>SUM(K2736:K2741)</f>
        <v>0</v>
      </c>
      <c r="L2735" s="86">
        <f>SUM(L2736:L2741)</f>
        <v>0</v>
      </c>
      <c r="M2735" s="86">
        <f>SUM(M2736:M2741)</f>
        <v>0</v>
      </c>
      <c r="N2735" s="87" t="s">
        <v>54</v>
      </c>
      <c r="O2735" s="86">
        <f>SUM(O2736:O2741)</f>
        <v>0</v>
      </c>
      <c r="P2735" s="87" t="s">
        <v>54</v>
      </c>
      <c r="AI2735" s="88" t="s">
        <v>4027</v>
      </c>
      <c r="AS2735" s="89">
        <f>SUM(AJ2736:AJ2741)</f>
        <v>0</v>
      </c>
      <c r="AT2735" s="89">
        <f>SUM(AK2736:AK2741)</f>
        <v>0</v>
      </c>
      <c r="AU2735" s="89">
        <f>SUM(AL2736:AL2741)</f>
        <v>0</v>
      </c>
    </row>
    <row r="2736" spans="1:76" s="81" customFormat="1" ht="25.5" x14ac:dyDescent="0.25">
      <c r="A2736" s="72" t="s">
        <v>4072</v>
      </c>
      <c r="B2736" s="72" t="s">
        <v>4027</v>
      </c>
      <c r="C2736" s="72" t="s">
        <v>2553</v>
      </c>
      <c r="D2736" s="175" t="s">
        <v>4073</v>
      </c>
      <c r="E2736" s="175"/>
      <c r="F2736" s="72" t="s">
        <v>213</v>
      </c>
      <c r="G2736" s="90">
        <v>31.63</v>
      </c>
      <c r="H2736" s="91"/>
      <c r="I2736" s="92" t="s">
        <v>63</v>
      </c>
      <c r="J2736" s="90">
        <f>G2736*AO2736</f>
        <v>0</v>
      </c>
      <c r="K2736" s="90">
        <f>G2736*AP2736</f>
        <v>0</v>
      </c>
      <c r="L2736" s="90">
        <f>G2736*H2736</f>
        <v>0</v>
      </c>
      <c r="M2736" s="90">
        <f>L2736*(1+BW2736/100)</f>
        <v>0</v>
      </c>
      <c r="N2736" s="90">
        <v>0</v>
      </c>
      <c r="O2736" s="90">
        <f>G2736*N2736</f>
        <v>0</v>
      </c>
      <c r="P2736" s="92" t="s">
        <v>578</v>
      </c>
      <c r="Z2736" s="93">
        <f>IF(AQ2736="5",BJ2736,0)</f>
        <v>0</v>
      </c>
      <c r="AB2736" s="93">
        <f>IF(AQ2736="1",BH2736,0)</f>
        <v>0</v>
      </c>
      <c r="AC2736" s="93">
        <f>IF(AQ2736="1",BI2736,0)</f>
        <v>0</v>
      </c>
      <c r="AD2736" s="93">
        <f>IF(AQ2736="7",BH2736,0)</f>
        <v>0</v>
      </c>
      <c r="AE2736" s="93">
        <f>IF(AQ2736="7",BI2736,0)</f>
        <v>0</v>
      </c>
      <c r="AF2736" s="93">
        <f>IF(AQ2736="2",BH2736,0)</f>
        <v>0</v>
      </c>
      <c r="AG2736" s="93">
        <f>IF(AQ2736="2",BI2736,0)</f>
        <v>0</v>
      </c>
      <c r="AH2736" s="93">
        <f>IF(AQ2736="0",BJ2736,0)</f>
        <v>0</v>
      </c>
      <c r="AI2736" s="88" t="s">
        <v>4027</v>
      </c>
      <c r="AJ2736" s="93">
        <f>IF(AN2736=0,L2736,0)</f>
        <v>0</v>
      </c>
      <c r="AK2736" s="93">
        <f>IF(AN2736=12,L2736,0)</f>
        <v>0</v>
      </c>
      <c r="AL2736" s="93">
        <f>IF(AN2736=21,L2736,0)</f>
        <v>0</v>
      </c>
      <c r="AN2736" s="93">
        <v>21</v>
      </c>
      <c r="AO2736" s="93">
        <f>H2736*0.329042929</f>
        <v>0</v>
      </c>
      <c r="AP2736" s="93">
        <f>H2736*(1-0.329042929)</f>
        <v>0</v>
      </c>
      <c r="AQ2736" s="94" t="s">
        <v>148</v>
      </c>
      <c r="AV2736" s="93">
        <f>AW2736+AX2736</f>
        <v>0</v>
      </c>
      <c r="AW2736" s="93">
        <f>G2736*AO2736</f>
        <v>0</v>
      </c>
      <c r="AX2736" s="93">
        <f>G2736*AP2736</f>
        <v>0</v>
      </c>
      <c r="AY2736" s="94" t="s">
        <v>2515</v>
      </c>
      <c r="AZ2736" s="94" t="s">
        <v>4074</v>
      </c>
      <c r="BA2736" s="88" t="s">
        <v>4033</v>
      </c>
      <c r="BC2736" s="93">
        <f>AW2736+AX2736</f>
        <v>0</v>
      </c>
      <c r="BD2736" s="93">
        <f>H2736/(100-BE2736)*100</f>
        <v>0</v>
      </c>
      <c r="BE2736" s="93">
        <v>0</v>
      </c>
      <c r="BF2736" s="93">
        <f>O2736</f>
        <v>0</v>
      </c>
      <c r="BH2736" s="93">
        <f>G2736*AO2736</f>
        <v>0</v>
      </c>
      <c r="BI2736" s="93">
        <f>G2736*AP2736</f>
        <v>0</v>
      </c>
      <c r="BJ2736" s="93">
        <f>G2736*H2736</f>
        <v>0</v>
      </c>
      <c r="BK2736" s="93"/>
      <c r="BL2736" s="93">
        <v>767</v>
      </c>
      <c r="BW2736" s="93" t="str">
        <f>I2736</f>
        <v>21</v>
      </c>
      <c r="BX2736" s="2" t="s">
        <v>4073</v>
      </c>
    </row>
    <row r="2737" spans="1:76" s="81" customFormat="1" ht="13.5" customHeight="1" x14ac:dyDescent="0.25">
      <c r="A2737" s="95"/>
      <c r="B2737" s="95"/>
      <c r="C2737" s="95"/>
      <c r="D2737" s="182" t="s">
        <v>4075</v>
      </c>
      <c r="E2737" s="182"/>
      <c r="F2737" s="182"/>
      <c r="G2737" s="182"/>
      <c r="H2737" s="182"/>
      <c r="I2737" s="182"/>
      <c r="J2737" s="182"/>
      <c r="K2737" s="182"/>
      <c r="L2737" s="182"/>
      <c r="M2737" s="182"/>
      <c r="N2737" s="182"/>
      <c r="O2737" s="182"/>
      <c r="P2737" s="182"/>
    </row>
    <row r="2738" spans="1:76" s="81" customFormat="1" x14ac:dyDescent="0.25">
      <c r="A2738" s="95"/>
      <c r="B2738" s="95"/>
      <c r="C2738" s="95"/>
      <c r="D2738" s="76" t="s">
        <v>4044</v>
      </c>
      <c r="E2738" s="76" t="s">
        <v>4034</v>
      </c>
      <c r="F2738" s="95"/>
      <c r="G2738" s="96">
        <v>31.63</v>
      </c>
      <c r="H2738" s="95"/>
      <c r="I2738" s="95"/>
      <c r="J2738" s="95"/>
      <c r="K2738" s="95"/>
      <c r="L2738" s="95"/>
      <c r="M2738" s="95"/>
      <c r="N2738" s="95"/>
      <c r="O2738" s="95"/>
      <c r="P2738" s="95"/>
    </row>
    <row r="2739" spans="1:76" s="81" customFormat="1" ht="25.5" x14ac:dyDescent="0.25">
      <c r="A2739" s="72" t="s">
        <v>4076</v>
      </c>
      <c r="B2739" s="72" t="s">
        <v>4027</v>
      </c>
      <c r="C2739" s="72" t="s">
        <v>2553</v>
      </c>
      <c r="D2739" s="175" t="s">
        <v>4077</v>
      </c>
      <c r="E2739" s="175"/>
      <c r="F2739" s="72" t="s">
        <v>203</v>
      </c>
      <c r="G2739" s="90">
        <v>1</v>
      </c>
      <c r="H2739" s="91"/>
      <c r="I2739" s="92" t="s">
        <v>63</v>
      </c>
      <c r="J2739" s="90">
        <f>G2739*AO2739</f>
        <v>0</v>
      </c>
      <c r="K2739" s="90">
        <f>G2739*AP2739</f>
        <v>0</v>
      </c>
      <c r="L2739" s="90">
        <f>G2739*H2739</f>
        <v>0</v>
      </c>
      <c r="M2739" s="90">
        <f>L2739*(1+BW2739/100)</f>
        <v>0</v>
      </c>
      <c r="N2739" s="90">
        <v>0</v>
      </c>
      <c r="O2739" s="90">
        <f>G2739*N2739</f>
        <v>0</v>
      </c>
      <c r="P2739" s="92" t="s">
        <v>578</v>
      </c>
      <c r="Z2739" s="93">
        <f>IF(AQ2739="5",BJ2739,0)</f>
        <v>0</v>
      </c>
      <c r="AB2739" s="93">
        <f>IF(AQ2739="1",BH2739,0)</f>
        <v>0</v>
      </c>
      <c r="AC2739" s="93">
        <f>IF(AQ2739="1",BI2739,0)</f>
        <v>0</v>
      </c>
      <c r="AD2739" s="93">
        <f>IF(AQ2739="7",BH2739,0)</f>
        <v>0</v>
      </c>
      <c r="AE2739" s="93">
        <f>IF(AQ2739="7",BI2739,0)</f>
        <v>0</v>
      </c>
      <c r="AF2739" s="93">
        <f>IF(AQ2739="2",BH2739,0)</f>
        <v>0</v>
      </c>
      <c r="AG2739" s="93">
        <f>IF(AQ2739="2",BI2739,0)</f>
        <v>0</v>
      </c>
      <c r="AH2739" s="93">
        <f>IF(AQ2739="0",BJ2739,0)</f>
        <v>0</v>
      </c>
      <c r="AI2739" s="88" t="s">
        <v>4027</v>
      </c>
      <c r="AJ2739" s="93">
        <f>IF(AN2739=0,L2739,0)</f>
        <v>0</v>
      </c>
      <c r="AK2739" s="93">
        <f>IF(AN2739=12,L2739,0)</f>
        <v>0</v>
      </c>
      <c r="AL2739" s="93">
        <f>IF(AN2739=21,L2739,0)</f>
        <v>0</v>
      </c>
      <c r="AN2739" s="93">
        <v>21</v>
      </c>
      <c r="AO2739" s="93">
        <f>H2739*0.329042921</f>
        <v>0</v>
      </c>
      <c r="AP2739" s="93">
        <f>H2739*(1-0.329042921)</f>
        <v>0</v>
      </c>
      <c r="AQ2739" s="94" t="s">
        <v>148</v>
      </c>
      <c r="AV2739" s="93">
        <f>AW2739+AX2739</f>
        <v>0</v>
      </c>
      <c r="AW2739" s="93">
        <f>G2739*AO2739</f>
        <v>0</v>
      </c>
      <c r="AX2739" s="93">
        <f>G2739*AP2739</f>
        <v>0</v>
      </c>
      <c r="AY2739" s="94" t="s">
        <v>2515</v>
      </c>
      <c r="AZ2739" s="94" t="s">
        <v>4074</v>
      </c>
      <c r="BA2739" s="88" t="s">
        <v>4033</v>
      </c>
      <c r="BC2739" s="93">
        <f>AW2739+AX2739</f>
        <v>0</v>
      </c>
      <c r="BD2739" s="93">
        <f>H2739/(100-BE2739)*100</f>
        <v>0</v>
      </c>
      <c r="BE2739" s="93">
        <v>0</v>
      </c>
      <c r="BF2739" s="93">
        <f>O2739</f>
        <v>0</v>
      </c>
      <c r="BH2739" s="93">
        <f>G2739*AO2739</f>
        <v>0</v>
      </c>
      <c r="BI2739" s="93">
        <f>G2739*AP2739</f>
        <v>0</v>
      </c>
      <c r="BJ2739" s="93">
        <f>G2739*H2739</f>
        <v>0</v>
      </c>
      <c r="BK2739" s="93"/>
      <c r="BL2739" s="93">
        <v>767</v>
      </c>
      <c r="BW2739" s="93" t="str">
        <f>I2739</f>
        <v>21</v>
      </c>
      <c r="BX2739" s="2" t="s">
        <v>4077</v>
      </c>
    </row>
    <row r="2740" spans="1:76" s="81" customFormat="1" ht="13.5" customHeight="1" x14ac:dyDescent="0.25">
      <c r="A2740" s="95"/>
      <c r="B2740" s="95"/>
      <c r="C2740" s="95"/>
      <c r="D2740" s="182" t="s">
        <v>4075</v>
      </c>
      <c r="E2740" s="182"/>
      <c r="F2740" s="182"/>
      <c r="G2740" s="182"/>
      <c r="H2740" s="182"/>
      <c r="I2740" s="182"/>
      <c r="J2740" s="182"/>
      <c r="K2740" s="182"/>
      <c r="L2740" s="182"/>
      <c r="M2740" s="182"/>
      <c r="N2740" s="182"/>
      <c r="O2740" s="182"/>
      <c r="P2740" s="182"/>
    </row>
    <row r="2741" spans="1:76" s="81" customFormat="1" ht="25.5" x14ac:dyDescent="0.25">
      <c r="A2741" s="72" t="s">
        <v>4078</v>
      </c>
      <c r="B2741" s="72" t="s">
        <v>4027</v>
      </c>
      <c r="C2741" s="72" t="s">
        <v>4079</v>
      </c>
      <c r="D2741" s="175" t="s">
        <v>4080</v>
      </c>
      <c r="E2741" s="175"/>
      <c r="F2741" s="72" t="s">
        <v>1449</v>
      </c>
      <c r="G2741" s="91"/>
      <c r="H2741" s="91"/>
      <c r="I2741" s="92" t="s">
        <v>63</v>
      </c>
      <c r="J2741" s="90">
        <f>G2741*AO2741</f>
        <v>0</v>
      </c>
      <c r="K2741" s="90">
        <f>G2741*AP2741</f>
        <v>0</v>
      </c>
      <c r="L2741" s="90">
        <f>G2741*H2741</f>
        <v>0</v>
      </c>
      <c r="M2741" s="90">
        <f>L2741*(1+BW2741/100)</f>
        <v>0</v>
      </c>
      <c r="N2741" s="90">
        <v>0</v>
      </c>
      <c r="O2741" s="90">
        <f>G2741*N2741</f>
        <v>0</v>
      </c>
      <c r="P2741" s="92" t="s">
        <v>64</v>
      </c>
      <c r="Z2741" s="93">
        <f>IF(AQ2741="5",BJ2741,0)</f>
        <v>0</v>
      </c>
      <c r="AB2741" s="93">
        <f>IF(AQ2741="1",BH2741,0)</f>
        <v>0</v>
      </c>
      <c r="AC2741" s="93">
        <f>IF(AQ2741="1",BI2741,0)</f>
        <v>0</v>
      </c>
      <c r="AD2741" s="93">
        <f>IF(AQ2741="7",BH2741,0)</f>
        <v>0</v>
      </c>
      <c r="AE2741" s="93">
        <f>IF(AQ2741="7",BI2741,0)</f>
        <v>0</v>
      </c>
      <c r="AF2741" s="93">
        <f>IF(AQ2741="2",BH2741,0)</f>
        <v>0</v>
      </c>
      <c r="AG2741" s="93">
        <f>IF(AQ2741="2",BI2741,0)</f>
        <v>0</v>
      </c>
      <c r="AH2741" s="93">
        <f>IF(AQ2741="0",BJ2741,0)</f>
        <v>0</v>
      </c>
      <c r="AI2741" s="88" t="s">
        <v>4027</v>
      </c>
      <c r="AJ2741" s="93">
        <f>IF(AN2741=0,L2741,0)</f>
        <v>0</v>
      </c>
      <c r="AK2741" s="93">
        <f>IF(AN2741=12,L2741,0)</f>
        <v>0</v>
      </c>
      <c r="AL2741" s="93">
        <f>IF(AN2741=21,L2741,0)</f>
        <v>0</v>
      </c>
      <c r="AN2741" s="93">
        <v>21</v>
      </c>
      <c r="AO2741" s="93">
        <f>H2741*0</f>
        <v>0</v>
      </c>
      <c r="AP2741" s="93">
        <f>H2741*(1-0)</f>
        <v>0</v>
      </c>
      <c r="AQ2741" s="94" t="s">
        <v>136</v>
      </c>
      <c r="AV2741" s="93">
        <f>AW2741+AX2741</f>
        <v>0</v>
      </c>
      <c r="AW2741" s="93">
        <f>G2741*AO2741</f>
        <v>0</v>
      </c>
      <c r="AX2741" s="93">
        <f>G2741*AP2741</f>
        <v>0</v>
      </c>
      <c r="AY2741" s="94" t="s">
        <v>2515</v>
      </c>
      <c r="AZ2741" s="94" t="s">
        <v>4074</v>
      </c>
      <c r="BA2741" s="88" t="s">
        <v>4033</v>
      </c>
      <c r="BC2741" s="93">
        <f>AW2741+AX2741</f>
        <v>0</v>
      </c>
      <c r="BD2741" s="93">
        <f>H2741/(100-BE2741)*100</f>
        <v>0</v>
      </c>
      <c r="BE2741" s="93">
        <v>0</v>
      </c>
      <c r="BF2741" s="93">
        <f>O2741</f>
        <v>0</v>
      </c>
      <c r="BH2741" s="93">
        <f>G2741*AO2741</f>
        <v>0</v>
      </c>
      <c r="BI2741" s="93">
        <f>G2741*AP2741</f>
        <v>0</v>
      </c>
      <c r="BJ2741" s="93">
        <f>G2741*H2741</f>
        <v>0</v>
      </c>
      <c r="BK2741" s="93"/>
      <c r="BL2741" s="93">
        <v>767</v>
      </c>
      <c r="BW2741" s="93" t="str">
        <f>I2741</f>
        <v>21</v>
      </c>
      <c r="BX2741" s="2" t="s">
        <v>4080</v>
      </c>
    </row>
    <row r="2742" spans="1:76" s="81" customFormat="1" x14ac:dyDescent="0.25">
      <c r="A2742" s="85" t="s">
        <v>54</v>
      </c>
      <c r="B2742" s="74" t="s">
        <v>4081</v>
      </c>
      <c r="C2742" s="74" t="s">
        <v>54</v>
      </c>
      <c r="D2742" s="176" t="s">
        <v>4082</v>
      </c>
      <c r="E2742" s="176"/>
      <c r="F2742" s="85" t="s">
        <v>4</v>
      </c>
      <c r="G2742" s="85" t="s">
        <v>4</v>
      </c>
      <c r="H2742" s="85" t="s">
        <v>4</v>
      </c>
      <c r="I2742" s="85" t="s">
        <v>4</v>
      </c>
      <c r="J2742" s="86">
        <f>J2744+J2748+J2756+J2774+J2778+J2780+J2791+J2808+J2811+J2814+J2817+J2819+J2822+J2824+J2827+J2830</f>
        <v>0</v>
      </c>
      <c r="K2742" s="86">
        <f>K2744+K2748+K2756+K2774+K2778+K2780+K2791+K2808+K2811+K2814+K2817+K2819+K2822+K2824+K2827+K2830</f>
        <v>0</v>
      </c>
      <c r="L2742" s="86">
        <f>L2744+L2748+L2756+L2774+L2778+L2780+L2791+L2808+L2811+L2814+L2817+L2819+L2822+L2824+L2827+L2830</f>
        <v>0</v>
      </c>
      <c r="M2742" s="86">
        <f>M2744+M2748+M2756+M2774+M2778+M2780+M2791+M2808+M2811+M2814+M2817+M2819+M2822+M2824+M2827+M2830</f>
        <v>0</v>
      </c>
      <c r="N2742" s="87" t="s">
        <v>54</v>
      </c>
      <c r="O2742" s="86">
        <f>O2744+O2748+O2756+O2774+O2778+O2780+O2791+O2808+O2811+O2814+O2817+O2819+O2822+O2824+O2827+O2830</f>
        <v>4000.1700064269999</v>
      </c>
      <c r="P2742" s="87" t="s">
        <v>54</v>
      </c>
    </row>
    <row r="2743" spans="1:76" s="81" customFormat="1" x14ac:dyDescent="0.25">
      <c r="A2743" s="82" t="s">
        <v>54</v>
      </c>
      <c r="B2743" s="73" t="s">
        <v>4081</v>
      </c>
      <c r="C2743" s="73" t="s">
        <v>54</v>
      </c>
      <c r="D2743" s="168" t="s">
        <v>56</v>
      </c>
      <c r="E2743" s="168"/>
      <c r="F2743" s="82" t="s">
        <v>4</v>
      </c>
      <c r="G2743" s="82" t="s">
        <v>4</v>
      </c>
      <c r="H2743" s="82" t="s">
        <v>4</v>
      </c>
      <c r="I2743" s="82" t="s">
        <v>4</v>
      </c>
      <c r="J2743" s="83">
        <f>J2744+J2748+J2756+J2774+J2778+J2780+J2791+J2808+J2811+J2814+J2817+J2819+J2822+J2824</f>
        <v>0</v>
      </c>
      <c r="K2743" s="83">
        <f>K2744+K2748+K2756+K2774+K2778+K2780+K2791+K2808+K2811+K2814+K2817+K2819+K2822+K2824</f>
        <v>0</v>
      </c>
      <c r="L2743" s="83">
        <f>L2744+L2748+L2756+L2774+L2778+L2780+L2791+L2808+L2811+L2814+L2817+L2819+L2822+L2824</f>
        <v>0</v>
      </c>
      <c r="M2743" s="83">
        <f>M2744+M2748+M2756+M2774+M2778+M2780+M2791+M2808+M2811+M2814+M2817+M2819+M2822+M2824</f>
        <v>0</v>
      </c>
      <c r="N2743" s="84" t="s">
        <v>54</v>
      </c>
      <c r="O2743" s="83">
        <f>O2744+O2748+O2756+O2774+O2778+O2780+O2791+O2808+O2811+O2814+O2817+O2819+O2822+O2824</f>
        <v>4000.1700064269999</v>
      </c>
      <c r="P2743" s="84" t="s">
        <v>54</v>
      </c>
    </row>
    <row r="2744" spans="1:76" s="81" customFormat="1" x14ac:dyDescent="0.25">
      <c r="A2744" s="85" t="s">
        <v>54</v>
      </c>
      <c r="B2744" s="74" t="s">
        <v>4081</v>
      </c>
      <c r="C2744" s="74" t="s">
        <v>502</v>
      </c>
      <c r="D2744" s="176" t="s">
        <v>4083</v>
      </c>
      <c r="E2744" s="176"/>
      <c r="F2744" s="85" t="s">
        <v>4</v>
      </c>
      <c r="G2744" s="85" t="s">
        <v>4</v>
      </c>
      <c r="H2744" s="85" t="s">
        <v>4</v>
      </c>
      <c r="I2744" s="85" t="s">
        <v>4</v>
      </c>
      <c r="J2744" s="86">
        <f>SUM(J2745:J2745)</f>
        <v>0</v>
      </c>
      <c r="K2744" s="86">
        <f>SUM(K2745:K2745)</f>
        <v>0</v>
      </c>
      <c r="L2744" s="86">
        <f>SUM(L2745:L2745)</f>
        <v>0</v>
      </c>
      <c r="M2744" s="86">
        <f>SUM(M2745:M2745)</f>
        <v>0</v>
      </c>
      <c r="N2744" s="87" t="s">
        <v>54</v>
      </c>
      <c r="O2744" s="86">
        <f>SUM(O2745:O2745)</f>
        <v>563.01864</v>
      </c>
      <c r="P2744" s="87" t="s">
        <v>54</v>
      </c>
      <c r="AI2744" s="88" t="s">
        <v>4081</v>
      </c>
      <c r="AS2744" s="89">
        <f>SUM(AJ2745:AJ2745)</f>
        <v>0</v>
      </c>
      <c r="AT2744" s="89">
        <f>SUM(AK2745:AK2745)</f>
        <v>0</v>
      </c>
      <c r="AU2744" s="89">
        <f>SUM(AL2745:AL2745)</f>
        <v>0</v>
      </c>
    </row>
    <row r="2745" spans="1:76" s="81" customFormat="1" x14ac:dyDescent="0.25">
      <c r="A2745" s="72" t="s">
        <v>4084</v>
      </c>
      <c r="B2745" s="72" t="s">
        <v>4081</v>
      </c>
      <c r="C2745" s="72" t="s">
        <v>4085</v>
      </c>
      <c r="D2745" s="175" t="s">
        <v>4086</v>
      </c>
      <c r="E2745" s="175"/>
      <c r="F2745" s="72" t="s">
        <v>192</v>
      </c>
      <c r="G2745" s="90">
        <v>888</v>
      </c>
      <c r="H2745" s="91"/>
      <c r="I2745" s="92" t="s">
        <v>63</v>
      </c>
      <c r="J2745" s="90">
        <f>G2745*AO2745</f>
        <v>0</v>
      </c>
      <c r="K2745" s="90">
        <f>G2745*AP2745</f>
        <v>0</v>
      </c>
      <c r="L2745" s="90">
        <f>G2745*H2745</f>
        <v>0</v>
      </c>
      <c r="M2745" s="90">
        <f>L2745*(1+BW2745/100)</f>
        <v>0</v>
      </c>
      <c r="N2745" s="90">
        <v>0.63402999999999998</v>
      </c>
      <c r="O2745" s="90">
        <f>G2745*N2745</f>
        <v>563.01864</v>
      </c>
      <c r="P2745" s="92" t="s">
        <v>371</v>
      </c>
      <c r="Z2745" s="93">
        <f>IF(AQ2745="5",BJ2745,0)</f>
        <v>0</v>
      </c>
      <c r="AB2745" s="93">
        <f>IF(AQ2745="1",BH2745,0)</f>
        <v>0</v>
      </c>
      <c r="AC2745" s="93">
        <f>IF(AQ2745="1",BI2745,0)</f>
        <v>0</v>
      </c>
      <c r="AD2745" s="93">
        <f>IF(AQ2745="7",BH2745,0)</f>
        <v>0</v>
      </c>
      <c r="AE2745" s="93">
        <f>IF(AQ2745="7",BI2745,0)</f>
        <v>0</v>
      </c>
      <c r="AF2745" s="93">
        <f>IF(AQ2745="2",BH2745,0)</f>
        <v>0</v>
      </c>
      <c r="AG2745" s="93">
        <f>IF(AQ2745="2",BI2745,0)</f>
        <v>0</v>
      </c>
      <c r="AH2745" s="93">
        <f>IF(AQ2745="0",BJ2745,0)</f>
        <v>0</v>
      </c>
      <c r="AI2745" s="88" t="s">
        <v>4081</v>
      </c>
      <c r="AJ2745" s="93">
        <f>IF(AN2745=0,L2745,0)</f>
        <v>0</v>
      </c>
      <c r="AK2745" s="93">
        <f>IF(AN2745=12,L2745,0)</f>
        <v>0</v>
      </c>
      <c r="AL2745" s="93">
        <f>IF(AN2745=21,L2745,0)</f>
        <v>0</v>
      </c>
      <c r="AN2745" s="93">
        <v>21</v>
      </c>
      <c r="AO2745" s="93">
        <f>H2745*0.703909854</f>
        <v>0</v>
      </c>
      <c r="AP2745" s="93">
        <f>H2745*(1-0.703909854)</f>
        <v>0</v>
      </c>
      <c r="AQ2745" s="94" t="s">
        <v>59</v>
      </c>
      <c r="AV2745" s="93">
        <f>AW2745+AX2745</f>
        <v>0</v>
      </c>
      <c r="AW2745" s="93">
        <f>G2745*AO2745</f>
        <v>0</v>
      </c>
      <c r="AX2745" s="93">
        <f>G2745*AP2745</f>
        <v>0</v>
      </c>
      <c r="AY2745" s="94" t="s">
        <v>4087</v>
      </c>
      <c r="AZ2745" s="94" t="s">
        <v>4088</v>
      </c>
      <c r="BA2745" s="88" t="s">
        <v>4089</v>
      </c>
      <c r="BC2745" s="93">
        <f>AW2745+AX2745</f>
        <v>0</v>
      </c>
      <c r="BD2745" s="93">
        <f>H2745/(100-BE2745)*100</f>
        <v>0</v>
      </c>
      <c r="BE2745" s="93">
        <v>0</v>
      </c>
      <c r="BF2745" s="93">
        <f>O2745</f>
        <v>563.01864</v>
      </c>
      <c r="BH2745" s="93">
        <f>G2745*AO2745</f>
        <v>0</v>
      </c>
      <c r="BI2745" s="93">
        <f>G2745*AP2745</f>
        <v>0</v>
      </c>
      <c r="BJ2745" s="93">
        <f>G2745*H2745</f>
        <v>0</v>
      </c>
      <c r="BK2745" s="93"/>
      <c r="BL2745" s="93">
        <v>57</v>
      </c>
      <c r="BW2745" s="93" t="str">
        <f>I2745</f>
        <v>21</v>
      </c>
      <c r="BX2745" s="2" t="s">
        <v>4086</v>
      </c>
    </row>
    <row r="2746" spans="1:76" s="81" customFormat="1" x14ac:dyDescent="0.25">
      <c r="A2746" s="95"/>
      <c r="B2746" s="95"/>
      <c r="C2746" s="95"/>
      <c r="D2746" s="76" t="s">
        <v>54</v>
      </c>
      <c r="E2746" s="76" t="s">
        <v>4090</v>
      </c>
      <c r="F2746" s="95"/>
      <c r="G2746" s="96">
        <v>0</v>
      </c>
      <c r="H2746" s="95"/>
      <c r="I2746" s="95"/>
      <c r="J2746" s="95"/>
      <c r="K2746" s="95"/>
      <c r="L2746" s="95"/>
      <c r="M2746" s="95"/>
      <c r="N2746" s="95"/>
      <c r="O2746" s="95"/>
      <c r="P2746" s="95"/>
    </row>
    <row r="2747" spans="1:76" s="81" customFormat="1" x14ac:dyDescent="0.25">
      <c r="A2747" s="95"/>
      <c r="B2747" s="95"/>
      <c r="C2747" s="95"/>
      <c r="D2747" s="76" t="s">
        <v>3922</v>
      </c>
      <c r="E2747" s="76" t="s">
        <v>54</v>
      </c>
      <c r="F2747" s="95"/>
      <c r="G2747" s="96">
        <v>888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85" t="s">
        <v>54</v>
      </c>
      <c r="B2748" s="74" t="s">
        <v>4081</v>
      </c>
      <c r="C2748" s="74" t="s">
        <v>521</v>
      </c>
      <c r="D2748" s="176" t="s">
        <v>4059</v>
      </c>
      <c r="E2748" s="176"/>
      <c r="F2748" s="85" t="s">
        <v>4</v>
      </c>
      <c r="G2748" s="85" t="s">
        <v>4</v>
      </c>
      <c r="H2748" s="85" t="s">
        <v>4</v>
      </c>
      <c r="I2748" s="85" t="s">
        <v>4</v>
      </c>
      <c r="J2748" s="86">
        <f>SUM(J2749:J2749)</f>
        <v>0</v>
      </c>
      <c r="K2748" s="86">
        <f>SUM(K2749:K2749)</f>
        <v>0</v>
      </c>
      <c r="L2748" s="86">
        <f>SUM(L2749:L2749)</f>
        <v>0</v>
      </c>
      <c r="M2748" s="86">
        <f>SUM(M2749:M2749)</f>
        <v>0</v>
      </c>
      <c r="N2748" s="87" t="s">
        <v>54</v>
      </c>
      <c r="O2748" s="86">
        <f>SUM(O2749:O2749)</f>
        <v>1091.6435424440001</v>
      </c>
      <c r="P2748" s="87" t="s">
        <v>54</v>
      </c>
      <c r="AI2748" s="88" t="s">
        <v>4081</v>
      </c>
      <c r="AS2748" s="89">
        <f>SUM(AJ2749:AJ2749)</f>
        <v>0</v>
      </c>
      <c r="AT2748" s="89">
        <f>SUM(AK2749:AK2749)</f>
        <v>0</v>
      </c>
      <c r="AU2748" s="89">
        <f>SUM(AL2749:AL2749)</f>
        <v>0</v>
      </c>
    </row>
    <row r="2749" spans="1:76" s="81" customFormat="1" ht="25.5" x14ac:dyDescent="0.25">
      <c r="A2749" s="72" t="s">
        <v>4091</v>
      </c>
      <c r="B2749" s="72" t="s">
        <v>4081</v>
      </c>
      <c r="C2749" s="72" t="s">
        <v>4061</v>
      </c>
      <c r="D2749" s="175" t="s">
        <v>4092</v>
      </c>
      <c r="E2749" s="175"/>
      <c r="F2749" s="72" t="s">
        <v>192</v>
      </c>
      <c r="G2749" s="90">
        <v>953.23397</v>
      </c>
      <c r="H2749" s="91"/>
      <c r="I2749" s="92" t="s">
        <v>63</v>
      </c>
      <c r="J2749" s="90">
        <f>G2749*AO2749</f>
        <v>0</v>
      </c>
      <c r="K2749" s="90">
        <f>G2749*AP2749</f>
        <v>0</v>
      </c>
      <c r="L2749" s="90">
        <f>G2749*H2749</f>
        <v>0</v>
      </c>
      <c r="M2749" s="90">
        <f>L2749*(1+BW2749/100)</f>
        <v>0</v>
      </c>
      <c r="N2749" s="90">
        <v>1.1452</v>
      </c>
      <c r="O2749" s="90">
        <f>G2749*N2749</f>
        <v>1091.6435424440001</v>
      </c>
      <c r="P2749" s="92" t="s">
        <v>64</v>
      </c>
      <c r="Z2749" s="93">
        <f>IF(AQ2749="5",BJ2749,0)</f>
        <v>0</v>
      </c>
      <c r="AB2749" s="93">
        <f>IF(AQ2749="1",BH2749,0)</f>
        <v>0</v>
      </c>
      <c r="AC2749" s="93">
        <f>IF(AQ2749="1",BI2749,0)</f>
        <v>0</v>
      </c>
      <c r="AD2749" s="93">
        <f>IF(AQ2749="7",BH2749,0)</f>
        <v>0</v>
      </c>
      <c r="AE2749" s="93">
        <f>IF(AQ2749="7",BI2749,0)</f>
        <v>0</v>
      </c>
      <c r="AF2749" s="93">
        <f>IF(AQ2749="2",BH2749,0)</f>
        <v>0</v>
      </c>
      <c r="AG2749" s="93">
        <f>IF(AQ2749="2",BI2749,0)</f>
        <v>0</v>
      </c>
      <c r="AH2749" s="93">
        <f>IF(AQ2749="0",BJ2749,0)</f>
        <v>0</v>
      </c>
      <c r="AI2749" s="88" t="s">
        <v>4081</v>
      </c>
      <c r="AJ2749" s="93">
        <f>IF(AN2749=0,L2749,0)</f>
        <v>0</v>
      </c>
      <c r="AK2749" s="93">
        <f>IF(AN2749=12,L2749,0)</f>
        <v>0</v>
      </c>
      <c r="AL2749" s="93">
        <f>IF(AN2749=21,L2749,0)</f>
        <v>0</v>
      </c>
      <c r="AN2749" s="93">
        <v>21</v>
      </c>
      <c r="AO2749" s="93">
        <f>H2749*0.751832363</f>
        <v>0</v>
      </c>
      <c r="AP2749" s="93">
        <f>H2749*(1-0.751832363)</f>
        <v>0</v>
      </c>
      <c r="AQ2749" s="94" t="s">
        <v>59</v>
      </c>
      <c r="AV2749" s="93">
        <f>AW2749+AX2749</f>
        <v>0</v>
      </c>
      <c r="AW2749" s="93">
        <f>G2749*AO2749</f>
        <v>0</v>
      </c>
      <c r="AX2749" s="93">
        <f>G2749*AP2749</f>
        <v>0</v>
      </c>
      <c r="AY2749" s="94" t="s">
        <v>4063</v>
      </c>
      <c r="AZ2749" s="94" t="s">
        <v>4088</v>
      </c>
      <c r="BA2749" s="88" t="s">
        <v>4089</v>
      </c>
      <c r="BC2749" s="93">
        <f>AW2749+AX2749</f>
        <v>0</v>
      </c>
      <c r="BD2749" s="93">
        <f>H2749/(100-BE2749)*100</f>
        <v>0</v>
      </c>
      <c r="BE2749" s="93">
        <v>0</v>
      </c>
      <c r="BF2749" s="93">
        <f>O2749</f>
        <v>1091.6435424440001</v>
      </c>
      <c r="BH2749" s="93">
        <f>G2749*AO2749</f>
        <v>0</v>
      </c>
      <c r="BI2749" s="93">
        <f>G2749*AP2749</f>
        <v>0</v>
      </c>
      <c r="BJ2749" s="93">
        <f>G2749*H2749</f>
        <v>0</v>
      </c>
      <c r="BK2749" s="93"/>
      <c r="BL2749" s="93">
        <v>58</v>
      </c>
      <c r="BW2749" s="93" t="str">
        <f>I2749</f>
        <v>21</v>
      </c>
      <c r="BX2749" s="2" t="s">
        <v>4092</v>
      </c>
    </row>
    <row r="2750" spans="1:76" s="81" customFormat="1" x14ac:dyDescent="0.25">
      <c r="A2750" s="95"/>
      <c r="B2750" s="95"/>
      <c r="C2750" s="95"/>
      <c r="D2750" s="76" t="s">
        <v>54</v>
      </c>
      <c r="E2750" s="76" t="s">
        <v>215</v>
      </c>
      <c r="F2750" s="95"/>
      <c r="G2750" s="96">
        <v>0</v>
      </c>
      <c r="H2750" s="95"/>
      <c r="I2750" s="95"/>
      <c r="J2750" s="95"/>
      <c r="K2750" s="95"/>
      <c r="L2750" s="95"/>
      <c r="M2750" s="95"/>
      <c r="N2750" s="95"/>
      <c r="O2750" s="95"/>
      <c r="P2750" s="95"/>
    </row>
    <row r="2751" spans="1:76" s="81" customFormat="1" x14ac:dyDescent="0.25">
      <c r="A2751" s="95"/>
      <c r="B2751" s="95"/>
      <c r="C2751" s="95"/>
      <c r="D2751" s="76" t="s">
        <v>4093</v>
      </c>
      <c r="E2751" s="76" t="s">
        <v>54</v>
      </c>
      <c r="F2751" s="95"/>
      <c r="G2751" s="96">
        <v>42.898119999999999</v>
      </c>
      <c r="H2751" s="95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95"/>
      <c r="B2752" s="95"/>
      <c r="C2752" s="95"/>
      <c r="D2752" s="76" t="s">
        <v>4094</v>
      </c>
      <c r="E2752" s="76" t="s">
        <v>54</v>
      </c>
      <c r="F2752" s="95"/>
      <c r="G2752" s="96">
        <v>19.630649999999999</v>
      </c>
      <c r="H2752" s="95"/>
      <c r="I2752" s="95"/>
      <c r="J2752" s="95"/>
      <c r="K2752" s="95"/>
      <c r="L2752" s="95"/>
      <c r="M2752" s="95"/>
      <c r="N2752" s="95"/>
      <c r="O2752" s="95"/>
      <c r="P2752" s="95"/>
    </row>
    <row r="2753" spans="1:76" s="81" customFormat="1" x14ac:dyDescent="0.25">
      <c r="A2753" s="95"/>
      <c r="B2753" s="95"/>
      <c r="C2753" s="95"/>
      <c r="D2753" s="76" t="s">
        <v>54</v>
      </c>
      <c r="E2753" s="76" t="s">
        <v>4090</v>
      </c>
      <c r="F2753" s="95"/>
      <c r="G2753" s="96">
        <v>0</v>
      </c>
      <c r="H2753" s="95"/>
      <c r="I2753" s="95"/>
      <c r="J2753" s="95"/>
      <c r="K2753" s="95"/>
      <c r="L2753" s="95"/>
      <c r="M2753" s="95"/>
      <c r="N2753" s="95"/>
      <c r="O2753" s="95"/>
      <c r="P2753" s="95"/>
    </row>
    <row r="2754" spans="1:76" s="81" customFormat="1" ht="38.25" x14ac:dyDescent="0.25">
      <c r="A2754" s="95"/>
      <c r="B2754" s="95"/>
      <c r="C2754" s="95"/>
      <c r="D2754" s="76" t="s">
        <v>4095</v>
      </c>
      <c r="E2754" s="76" t="s">
        <v>54</v>
      </c>
      <c r="F2754" s="95"/>
      <c r="G2754" s="96">
        <v>228.9402</v>
      </c>
      <c r="H2754" s="95"/>
      <c r="I2754" s="95"/>
      <c r="J2754" s="95"/>
      <c r="K2754" s="95"/>
      <c r="L2754" s="95"/>
      <c r="M2754" s="95"/>
      <c r="N2754" s="95"/>
      <c r="O2754" s="95"/>
      <c r="P2754" s="95"/>
    </row>
    <row r="2755" spans="1:76" s="81" customFormat="1" x14ac:dyDescent="0.25">
      <c r="A2755" s="95"/>
      <c r="B2755" s="95"/>
      <c r="C2755" s="95"/>
      <c r="D2755" s="76" t="s">
        <v>4096</v>
      </c>
      <c r="E2755" s="76" t="s">
        <v>54</v>
      </c>
      <c r="F2755" s="95"/>
      <c r="G2755" s="96">
        <v>661.76499999999999</v>
      </c>
      <c r="H2755" s="95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85" t="s">
        <v>54</v>
      </c>
      <c r="B2756" s="74" t="s">
        <v>4081</v>
      </c>
      <c r="C2756" s="74" t="s">
        <v>525</v>
      </c>
      <c r="D2756" s="176" t="s">
        <v>855</v>
      </c>
      <c r="E2756" s="176"/>
      <c r="F2756" s="85" t="s">
        <v>4</v>
      </c>
      <c r="G2756" s="85" t="s">
        <v>4</v>
      </c>
      <c r="H2756" s="85" t="s">
        <v>4</v>
      </c>
      <c r="I2756" s="85" t="s">
        <v>4</v>
      </c>
      <c r="J2756" s="86">
        <f>SUM(J2757:J2770)</f>
        <v>0</v>
      </c>
      <c r="K2756" s="86">
        <f>SUM(K2757:K2770)</f>
        <v>0</v>
      </c>
      <c r="L2756" s="86">
        <f>SUM(L2757:L2770)</f>
        <v>0</v>
      </c>
      <c r="M2756" s="86">
        <f>SUM(M2757:M2770)</f>
        <v>0</v>
      </c>
      <c r="N2756" s="87" t="s">
        <v>54</v>
      </c>
      <c r="O2756" s="86">
        <f>SUM(O2757:O2770)</f>
        <v>648.33508518300005</v>
      </c>
      <c r="P2756" s="87" t="s">
        <v>54</v>
      </c>
      <c r="AI2756" s="88" t="s">
        <v>4081</v>
      </c>
      <c r="AS2756" s="89">
        <f>SUM(AJ2757:AJ2770)</f>
        <v>0</v>
      </c>
      <c r="AT2756" s="89">
        <f>SUM(AK2757:AK2770)</f>
        <v>0</v>
      </c>
      <c r="AU2756" s="89">
        <f>SUM(AL2757:AL2770)</f>
        <v>0</v>
      </c>
    </row>
    <row r="2757" spans="1:76" s="81" customFormat="1" ht="25.5" x14ac:dyDescent="0.25">
      <c r="A2757" s="72" t="s">
        <v>4097</v>
      </c>
      <c r="B2757" s="72" t="s">
        <v>4081</v>
      </c>
      <c r="C2757" s="72" t="s">
        <v>4098</v>
      </c>
      <c r="D2757" s="175" t="s">
        <v>4099</v>
      </c>
      <c r="E2757" s="175"/>
      <c r="F2757" s="72" t="s">
        <v>192</v>
      </c>
      <c r="G2757" s="90">
        <v>41.403030000000001</v>
      </c>
      <c r="H2757" s="91"/>
      <c r="I2757" s="92" t="s">
        <v>63</v>
      </c>
      <c r="J2757" s="90">
        <f>G2757*AO2757</f>
        <v>0</v>
      </c>
      <c r="K2757" s="90">
        <f>G2757*AP2757</f>
        <v>0</v>
      </c>
      <c r="L2757" s="90">
        <f>G2757*H2757</f>
        <v>0</v>
      </c>
      <c r="M2757" s="90">
        <f>L2757*(1+BW2757/100)</f>
        <v>0</v>
      </c>
      <c r="N2757" s="90">
        <v>1.3681000000000001</v>
      </c>
      <c r="O2757" s="90">
        <f>G2757*N2757</f>
        <v>56.643485343000009</v>
      </c>
      <c r="P2757" s="92" t="s">
        <v>64</v>
      </c>
      <c r="Z2757" s="93">
        <f>IF(AQ2757="5",BJ2757,0)</f>
        <v>0</v>
      </c>
      <c r="AB2757" s="93">
        <f>IF(AQ2757="1",BH2757,0)</f>
        <v>0</v>
      </c>
      <c r="AC2757" s="93">
        <f>IF(AQ2757="1",BI2757,0)</f>
        <v>0</v>
      </c>
      <c r="AD2757" s="93">
        <f>IF(AQ2757="7",BH2757,0)</f>
        <v>0</v>
      </c>
      <c r="AE2757" s="93">
        <f>IF(AQ2757="7",BI2757,0)</f>
        <v>0</v>
      </c>
      <c r="AF2757" s="93">
        <f>IF(AQ2757="2",BH2757,0)</f>
        <v>0</v>
      </c>
      <c r="AG2757" s="93">
        <f>IF(AQ2757="2",BI2757,0)</f>
        <v>0</v>
      </c>
      <c r="AH2757" s="93">
        <f>IF(AQ2757="0",BJ2757,0)</f>
        <v>0</v>
      </c>
      <c r="AI2757" s="88" t="s">
        <v>4081</v>
      </c>
      <c r="AJ2757" s="93">
        <f>IF(AN2757=0,L2757,0)</f>
        <v>0</v>
      </c>
      <c r="AK2757" s="93">
        <f>IF(AN2757=12,L2757,0)</f>
        <v>0</v>
      </c>
      <c r="AL2757" s="93">
        <f>IF(AN2757=21,L2757,0)</f>
        <v>0</v>
      </c>
      <c r="AN2757" s="93">
        <v>21</v>
      </c>
      <c r="AO2757" s="93">
        <f>H2757*0.591532987</f>
        <v>0</v>
      </c>
      <c r="AP2757" s="93">
        <f>H2757*(1-0.591532987)</f>
        <v>0</v>
      </c>
      <c r="AQ2757" s="94" t="s">
        <v>59</v>
      </c>
      <c r="AV2757" s="93">
        <f>AW2757+AX2757</f>
        <v>0</v>
      </c>
      <c r="AW2757" s="93">
        <f>G2757*AO2757</f>
        <v>0</v>
      </c>
      <c r="AX2757" s="93">
        <f>G2757*AP2757</f>
        <v>0</v>
      </c>
      <c r="AY2757" s="94" t="s">
        <v>859</v>
      </c>
      <c r="AZ2757" s="94" t="s">
        <v>4088</v>
      </c>
      <c r="BA2757" s="88" t="s">
        <v>4089</v>
      </c>
      <c r="BC2757" s="93">
        <f>AW2757+AX2757</f>
        <v>0</v>
      </c>
      <c r="BD2757" s="93">
        <f>H2757/(100-BE2757)*100</f>
        <v>0</v>
      </c>
      <c r="BE2757" s="93">
        <v>0</v>
      </c>
      <c r="BF2757" s="93">
        <f>O2757</f>
        <v>56.643485343000009</v>
      </c>
      <c r="BH2757" s="93">
        <f>G2757*AO2757</f>
        <v>0</v>
      </c>
      <c r="BI2757" s="93">
        <f>G2757*AP2757</f>
        <v>0</v>
      </c>
      <c r="BJ2757" s="93">
        <f>G2757*H2757</f>
        <v>0</v>
      </c>
      <c r="BK2757" s="93"/>
      <c r="BL2757" s="93">
        <v>59</v>
      </c>
      <c r="BW2757" s="93" t="str">
        <f>I2757</f>
        <v>21</v>
      </c>
      <c r="BX2757" s="2" t="s">
        <v>4099</v>
      </c>
    </row>
    <row r="2758" spans="1:76" s="81" customFormat="1" ht="13.5" customHeight="1" x14ac:dyDescent="0.25">
      <c r="A2758" s="95"/>
      <c r="B2758" s="95"/>
      <c r="C2758" s="95"/>
      <c r="D2758" s="182" t="s">
        <v>4100</v>
      </c>
      <c r="E2758" s="182"/>
      <c r="F2758" s="182"/>
      <c r="G2758" s="182"/>
      <c r="H2758" s="182"/>
      <c r="I2758" s="182"/>
      <c r="J2758" s="182"/>
      <c r="K2758" s="182"/>
      <c r="L2758" s="182"/>
      <c r="M2758" s="182"/>
      <c r="N2758" s="182"/>
      <c r="O2758" s="182"/>
      <c r="P2758" s="182"/>
    </row>
    <row r="2759" spans="1:76" s="81" customFormat="1" x14ac:dyDescent="0.25">
      <c r="A2759" s="95"/>
      <c r="B2759" s="95"/>
      <c r="C2759" s="95"/>
      <c r="D2759" s="76" t="s">
        <v>54</v>
      </c>
      <c r="E2759" s="76" t="s">
        <v>215</v>
      </c>
      <c r="F2759" s="95"/>
      <c r="G2759" s="96">
        <v>0</v>
      </c>
      <c r="H2759" s="95"/>
      <c r="I2759" s="95"/>
      <c r="J2759" s="95"/>
      <c r="K2759" s="95"/>
      <c r="L2759" s="95"/>
      <c r="M2759" s="95"/>
      <c r="N2759" s="95"/>
      <c r="O2759" s="95"/>
      <c r="P2759" s="95"/>
    </row>
    <row r="2760" spans="1:76" s="81" customFormat="1" x14ac:dyDescent="0.25">
      <c r="A2760" s="95"/>
      <c r="B2760" s="95"/>
      <c r="C2760" s="95"/>
      <c r="D2760" s="76" t="s">
        <v>4101</v>
      </c>
      <c r="E2760" s="76" t="s">
        <v>54</v>
      </c>
      <c r="F2760" s="95"/>
      <c r="G2760" s="96">
        <v>5.9318799999999996</v>
      </c>
      <c r="H2760" s="95"/>
      <c r="I2760" s="95"/>
      <c r="J2760" s="95"/>
      <c r="K2760" s="95"/>
      <c r="L2760" s="95"/>
      <c r="M2760" s="95"/>
      <c r="N2760" s="95"/>
      <c r="O2760" s="95"/>
      <c r="P2760" s="95"/>
    </row>
    <row r="2761" spans="1:76" s="81" customFormat="1" x14ac:dyDescent="0.25">
      <c r="A2761" s="95"/>
      <c r="B2761" s="95"/>
      <c r="C2761" s="95"/>
      <c r="D2761" s="76" t="s">
        <v>4102</v>
      </c>
      <c r="E2761" s="76" t="s">
        <v>54</v>
      </c>
      <c r="F2761" s="95"/>
      <c r="G2761" s="96">
        <v>3.1713499999999999</v>
      </c>
      <c r="H2761" s="95"/>
      <c r="I2761" s="95"/>
      <c r="J2761" s="95"/>
      <c r="K2761" s="95"/>
      <c r="L2761" s="95"/>
      <c r="M2761" s="95"/>
      <c r="N2761" s="95"/>
      <c r="O2761" s="95"/>
      <c r="P2761" s="95"/>
    </row>
    <row r="2762" spans="1:76" s="81" customFormat="1" ht="25.5" x14ac:dyDescent="0.25">
      <c r="A2762" s="95"/>
      <c r="B2762" s="95"/>
      <c r="C2762" s="95"/>
      <c r="D2762" s="76" t="s">
        <v>4103</v>
      </c>
      <c r="E2762" s="76" t="s">
        <v>4104</v>
      </c>
      <c r="F2762" s="95"/>
      <c r="G2762" s="96">
        <v>32.299799999999998</v>
      </c>
      <c r="H2762" s="95"/>
      <c r="I2762" s="95"/>
      <c r="J2762" s="95"/>
      <c r="K2762" s="95"/>
      <c r="L2762" s="95"/>
      <c r="M2762" s="95"/>
      <c r="N2762" s="95"/>
      <c r="O2762" s="95"/>
      <c r="P2762" s="95"/>
    </row>
    <row r="2763" spans="1:76" s="81" customFormat="1" ht="25.5" x14ac:dyDescent="0.25">
      <c r="A2763" s="72" t="s">
        <v>4105</v>
      </c>
      <c r="B2763" s="72" t="s">
        <v>4081</v>
      </c>
      <c r="C2763" s="72" t="s">
        <v>863</v>
      </c>
      <c r="D2763" s="175" t="s">
        <v>4106</v>
      </c>
      <c r="E2763" s="175"/>
      <c r="F2763" s="72" t="s">
        <v>213</v>
      </c>
      <c r="G2763" s="90">
        <v>42.371000000000002</v>
      </c>
      <c r="H2763" s="91"/>
      <c r="I2763" s="92" t="s">
        <v>63</v>
      </c>
      <c r="J2763" s="90">
        <f>G2763*AO2763</f>
        <v>0</v>
      </c>
      <c r="K2763" s="90">
        <f>G2763*AP2763</f>
        <v>0</v>
      </c>
      <c r="L2763" s="90">
        <f>G2763*H2763</f>
        <v>0</v>
      </c>
      <c r="M2763" s="90">
        <f>L2763*(1+BW2763/100)</f>
        <v>0</v>
      </c>
      <c r="N2763" s="90">
        <v>0.24754000000000001</v>
      </c>
      <c r="O2763" s="90">
        <f>G2763*N2763</f>
        <v>10.488517340000001</v>
      </c>
      <c r="P2763" s="92" t="s">
        <v>371</v>
      </c>
      <c r="Z2763" s="93">
        <f>IF(AQ2763="5",BJ2763,0)</f>
        <v>0</v>
      </c>
      <c r="AB2763" s="93">
        <f>IF(AQ2763="1",BH2763,0)</f>
        <v>0</v>
      </c>
      <c r="AC2763" s="93">
        <f>IF(AQ2763="1",BI2763,0)</f>
        <v>0</v>
      </c>
      <c r="AD2763" s="93">
        <f>IF(AQ2763="7",BH2763,0)</f>
        <v>0</v>
      </c>
      <c r="AE2763" s="93">
        <f>IF(AQ2763="7",BI2763,0)</f>
        <v>0</v>
      </c>
      <c r="AF2763" s="93">
        <f>IF(AQ2763="2",BH2763,0)</f>
        <v>0</v>
      </c>
      <c r="AG2763" s="93">
        <f>IF(AQ2763="2",BI2763,0)</f>
        <v>0</v>
      </c>
      <c r="AH2763" s="93">
        <f>IF(AQ2763="0",BJ2763,0)</f>
        <v>0</v>
      </c>
      <c r="AI2763" s="88" t="s">
        <v>4081</v>
      </c>
      <c r="AJ2763" s="93">
        <f>IF(AN2763=0,L2763,0)</f>
        <v>0</v>
      </c>
      <c r="AK2763" s="93">
        <f>IF(AN2763=12,L2763,0)</f>
        <v>0</v>
      </c>
      <c r="AL2763" s="93">
        <f>IF(AN2763=21,L2763,0)</f>
        <v>0</v>
      </c>
      <c r="AN2763" s="93">
        <v>21</v>
      </c>
      <c r="AO2763" s="93">
        <f>H2763*0.955623286</f>
        <v>0</v>
      </c>
      <c r="AP2763" s="93">
        <f>H2763*(1-0.955623286)</f>
        <v>0</v>
      </c>
      <c r="AQ2763" s="94" t="s">
        <v>59</v>
      </c>
      <c r="AV2763" s="93">
        <f>AW2763+AX2763</f>
        <v>0</v>
      </c>
      <c r="AW2763" s="93">
        <f>G2763*AO2763</f>
        <v>0</v>
      </c>
      <c r="AX2763" s="93">
        <f>G2763*AP2763</f>
        <v>0</v>
      </c>
      <c r="AY2763" s="94" t="s">
        <v>859</v>
      </c>
      <c r="AZ2763" s="94" t="s">
        <v>4088</v>
      </c>
      <c r="BA2763" s="88" t="s">
        <v>4089</v>
      </c>
      <c r="BC2763" s="93">
        <f>AW2763+AX2763</f>
        <v>0</v>
      </c>
      <c r="BD2763" s="93">
        <f>H2763/(100-BE2763)*100</f>
        <v>0</v>
      </c>
      <c r="BE2763" s="93">
        <v>0</v>
      </c>
      <c r="BF2763" s="93">
        <f>O2763</f>
        <v>10.488517340000001</v>
      </c>
      <c r="BH2763" s="93">
        <f>G2763*AO2763</f>
        <v>0</v>
      </c>
      <c r="BI2763" s="93">
        <f>G2763*AP2763</f>
        <v>0</v>
      </c>
      <c r="BJ2763" s="93">
        <f>G2763*H2763</f>
        <v>0</v>
      </c>
      <c r="BK2763" s="93"/>
      <c r="BL2763" s="93">
        <v>59</v>
      </c>
      <c r="BW2763" s="93" t="str">
        <f>I2763</f>
        <v>21</v>
      </c>
      <c r="BX2763" s="2" t="s">
        <v>4106</v>
      </c>
    </row>
    <row r="2764" spans="1:76" s="81" customFormat="1" x14ac:dyDescent="0.25">
      <c r="A2764" s="95"/>
      <c r="B2764" s="95"/>
      <c r="C2764" s="95"/>
      <c r="D2764" s="76" t="s">
        <v>54</v>
      </c>
      <c r="E2764" s="76" t="s">
        <v>4090</v>
      </c>
      <c r="F2764" s="95"/>
      <c r="G2764" s="96">
        <v>0</v>
      </c>
      <c r="H2764" s="95"/>
      <c r="I2764" s="95"/>
      <c r="J2764" s="95"/>
      <c r="K2764" s="95"/>
      <c r="L2764" s="95"/>
      <c r="M2764" s="95"/>
      <c r="N2764" s="95"/>
      <c r="O2764" s="95"/>
      <c r="P2764" s="95"/>
    </row>
    <row r="2765" spans="1:76" s="81" customFormat="1" x14ac:dyDescent="0.25">
      <c r="A2765" s="95"/>
      <c r="B2765" s="95"/>
      <c r="C2765" s="95"/>
      <c r="D2765" s="76" t="s">
        <v>4107</v>
      </c>
      <c r="E2765" s="76" t="s">
        <v>54</v>
      </c>
      <c r="F2765" s="95"/>
      <c r="G2765" s="96">
        <v>42.371000000000002</v>
      </c>
      <c r="H2765" s="95"/>
      <c r="I2765" s="95"/>
      <c r="J2765" s="95"/>
      <c r="K2765" s="95"/>
      <c r="L2765" s="95"/>
      <c r="M2765" s="95"/>
      <c r="N2765" s="95"/>
      <c r="O2765" s="95"/>
      <c r="P2765" s="95"/>
    </row>
    <row r="2766" spans="1:76" s="81" customFormat="1" ht="25.5" x14ac:dyDescent="0.25">
      <c r="A2766" s="72" t="s">
        <v>4108</v>
      </c>
      <c r="B2766" s="72" t="s">
        <v>4081</v>
      </c>
      <c r="C2766" s="72" t="s">
        <v>4109</v>
      </c>
      <c r="D2766" s="175" t="s">
        <v>4110</v>
      </c>
      <c r="E2766" s="175"/>
      <c r="F2766" s="72" t="s">
        <v>192</v>
      </c>
      <c r="G2766" s="90">
        <v>327.82499999999999</v>
      </c>
      <c r="H2766" s="91"/>
      <c r="I2766" s="92" t="s">
        <v>63</v>
      </c>
      <c r="J2766" s="90">
        <f>G2766*AO2766</f>
        <v>0</v>
      </c>
      <c r="K2766" s="90">
        <f>G2766*AP2766</f>
        <v>0</v>
      </c>
      <c r="L2766" s="90">
        <f>G2766*H2766</f>
        <v>0</v>
      </c>
      <c r="M2766" s="90">
        <f>L2766*(1+BW2766/100)</f>
        <v>0</v>
      </c>
      <c r="N2766" s="90">
        <v>1.3681000000000001</v>
      </c>
      <c r="O2766" s="90">
        <f>G2766*N2766</f>
        <v>448.49738250000001</v>
      </c>
      <c r="P2766" s="92" t="s">
        <v>371</v>
      </c>
      <c r="Z2766" s="93">
        <f>IF(AQ2766="5",BJ2766,0)</f>
        <v>0</v>
      </c>
      <c r="AB2766" s="93">
        <f>IF(AQ2766="1",BH2766,0)</f>
        <v>0</v>
      </c>
      <c r="AC2766" s="93">
        <f>IF(AQ2766="1",BI2766,0)</f>
        <v>0</v>
      </c>
      <c r="AD2766" s="93">
        <f>IF(AQ2766="7",BH2766,0)</f>
        <v>0</v>
      </c>
      <c r="AE2766" s="93">
        <f>IF(AQ2766="7",BI2766,0)</f>
        <v>0</v>
      </c>
      <c r="AF2766" s="93">
        <f>IF(AQ2766="2",BH2766,0)</f>
        <v>0</v>
      </c>
      <c r="AG2766" s="93">
        <f>IF(AQ2766="2",BI2766,0)</f>
        <v>0</v>
      </c>
      <c r="AH2766" s="93">
        <f>IF(AQ2766="0",BJ2766,0)</f>
        <v>0</v>
      </c>
      <c r="AI2766" s="88" t="s">
        <v>4081</v>
      </c>
      <c r="AJ2766" s="93">
        <f>IF(AN2766=0,L2766,0)</f>
        <v>0</v>
      </c>
      <c r="AK2766" s="93">
        <f>IF(AN2766=12,L2766,0)</f>
        <v>0</v>
      </c>
      <c r="AL2766" s="93">
        <f>IF(AN2766=21,L2766,0)</f>
        <v>0</v>
      </c>
      <c r="AN2766" s="93">
        <v>21</v>
      </c>
      <c r="AO2766" s="93">
        <f>H2766*0.591531901</f>
        <v>0</v>
      </c>
      <c r="AP2766" s="93">
        <f>H2766*(1-0.591531901)</f>
        <v>0</v>
      </c>
      <c r="AQ2766" s="94" t="s">
        <v>59</v>
      </c>
      <c r="AV2766" s="93">
        <f>AW2766+AX2766</f>
        <v>0</v>
      </c>
      <c r="AW2766" s="93">
        <f>G2766*AO2766</f>
        <v>0</v>
      </c>
      <c r="AX2766" s="93">
        <f>G2766*AP2766</f>
        <v>0</v>
      </c>
      <c r="AY2766" s="94" t="s">
        <v>859</v>
      </c>
      <c r="AZ2766" s="94" t="s">
        <v>4088</v>
      </c>
      <c r="BA2766" s="88" t="s">
        <v>4089</v>
      </c>
      <c r="BC2766" s="93">
        <f>AW2766+AX2766</f>
        <v>0</v>
      </c>
      <c r="BD2766" s="93">
        <f>H2766/(100-BE2766)*100</f>
        <v>0</v>
      </c>
      <c r="BE2766" s="93">
        <v>0</v>
      </c>
      <c r="BF2766" s="93">
        <f>O2766</f>
        <v>448.49738250000001</v>
      </c>
      <c r="BH2766" s="93">
        <f>G2766*AO2766</f>
        <v>0</v>
      </c>
      <c r="BI2766" s="93">
        <f>G2766*AP2766</f>
        <v>0</v>
      </c>
      <c r="BJ2766" s="93">
        <f>G2766*H2766</f>
        <v>0</v>
      </c>
      <c r="BK2766" s="93"/>
      <c r="BL2766" s="93">
        <v>59</v>
      </c>
      <c r="BW2766" s="93" t="str">
        <f>I2766</f>
        <v>21</v>
      </c>
      <c r="BX2766" s="2" t="s">
        <v>4110</v>
      </c>
    </row>
    <row r="2767" spans="1:76" s="81" customFormat="1" x14ac:dyDescent="0.25">
      <c r="A2767" s="95"/>
      <c r="B2767" s="95"/>
      <c r="C2767" s="95"/>
      <c r="D2767" s="76" t="s">
        <v>54</v>
      </c>
      <c r="E2767" s="76" t="s">
        <v>4104</v>
      </c>
      <c r="F2767" s="95"/>
      <c r="G2767" s="96">
        <v>0</v>
      </c>
      <c r="H2767" s="95"/>
      <c r="I2767" s="95"/>
      <c r="J2767" s="95"/>
      <c r="K2767" s="95"/>
      <c r="L2767" s="95"/>
      <c r="M2767" s="95"/>
      <c r="N2767" s="95"/>
      <c r="O2767" s="95"/>
      <c r="P2767" s="95"/>
    </row>
    <row r="2768" spans="1:76" s="81" customFormat="1" x14ac:dyDescent="0.25">
      <c r="A2768" s="95"/>
      <c r="B2768" s="95"/>
      <c r="C2768" s="95"/>
      <c r="D2768" s="76" t="s">
        <v>4111</v>
      </c>
      <c r="E2768" s="76" t="s">
        <v>54</v>
      </c>
      <c r="F2768" s="95"/>
      <c r="G2768" s="96">
        <v>96.525000000000006</v>
      </c>
      <c r="H2768" s="95"/>
      <c r="I2768" s="95"/>
      <c r="J2768" s="95"/>
      <c r="K2768" s="95"/>
      <c r="L2768" s="95"/>
      <c r="M2768" s="95"/>
      <c r="N2768" s="95"/>
      <c r="O2768" s="95"/>
      <c r="P2768" s="95"/>
    </row>
    <row r="2769" spans="1:76" s="81" customFormat="1" x14ac:dyDescent="0.25">
      <c r="A2769" s="95"/>
      <c r="B2769" s="95"/>
      <c r="C2769" s="95"/>
      <c r="D2769" s="76" t="s">
        <v>4112</v>
      </c>
      <c r="E2769" s="76" t="s">
        <v>54</v>
      </c>
      <c r="F2769" s="95"/>
      <c r="G2769" s="96">
        <v>231.3</v>
      </c>
      <c r="H2769" s="95"/>
      <c r="I2769" s="95"/>
      <c r="J2769" s="95"/>
      <c r="K2769" s="95"/>
      <c r="L2769" s="95"/>
      <c r="M2769" s="95"/>
      <c r="N2769" s="95"/>
      <c r="O2769" s="95"/>
      <c r="P2769" s="95"/>
    </row>
    <row r="2770" spans="1:76" s="81" customFormat="1" ht="25.5" x14ac:dyDescent="0.25">
      <c r="A2770" s="72" t="s">
        <v>4113</v>
      </c>
      <c r="B2770" s="72" t="s">
        <v>4081</v>
      </c>
      <c r="C2770" s="72" t="s">
        <v>4114</v>
      </c>
      <c r="D2770" s="175" t="s">
        <v>4115</v>
      </c>
      <c r="E2770" s="175"/>
      <c r="F2770" s="72" t="s">
        <v>192</v>
      </c>
      <c r="G2770" s="90">
        <v>97</v>
      </c>
      <c r="H2770" s="91"/>
      <c r="I2770" s="92" t="s">
        <v>63</v>
      </c>
      <c r="J2770" s="90">
        <f>G2770*AO2770</f>
        <v>0</v>
      </c>
      <c r="K2770" s="90">
        <f>G2770*AP2770</f>
        <v>0</v>
      </c>
      <c r="L2770" s="90">
        <f>G2770*H2770</f>
        <v>0</v>
      </c>
      <c r="M2770" s="90">
        <f>L2770*(1+BW2770/100)</f>
        <v>0</v>
      </c>
      <c r="N2770" s="90">
        <v>1.3681000000000001</v>
      </c>
      <c r="O2770" s="90">
        <f>G2770*N2770</f>
        <v>132.70570000000001</v>
      </c>
      <c r="P2770" s="92" t="s">
        <v>371</v>
      </c>
      <c r="Z2770" s="93">
        <f>IF(AQ2770="5",BJ2770,0)</f>
        <v>0</v>
      </c>
      <c r="AB2770" s="93">
        <f>IF(AQ2770="1",BH2770,0)</f>
        <v>0</v>
      </c>
      <c r="AC2770" s="93">
        <f>IF(AQ2770="1",BI2770,0)</f>
        <v>0</v>
      </c>
      <c r="AD2770" s="93">
        <f>IF(AQ2770="7",BH2770,0)</f>
        <v>0</v>
      </c>
      <c r="AE2770" s="93">
        <f>IF(AQ2770="7",BI2770,0)</f>
        <v>0</v>
      </c>
      <c r="AF2770" s="93">
        <f>IF(AQ2770="2",BH2770,0)</f>
        <v>0</v>
      </c>
      <c r="AG2770" s="93">
        <f>IF(AQ2770="2",BI2770,0)</f>
        <v>0</v>
      </c>
      <c r="AH2770" s="93">
        <f>IF(AQ2770="0",BJ2770,0)</f>
        <v>0</v>
      </c>
      <c r="AI2770" s="88" t="s">
        <v>4081</v>
      </c>
      <c r="AJ2770" s="93">
        <f>IF(AN2770=0,L2770,0)</f>
        <v>0</v>
      </c>
      <c r="AK2770" s="93">
        <f>IF(AN2770=12,L2770,0)</f>
        <v>0</v>
      </c>
      <c r="AL2770" s="93">
        <f>IF(AN2770=21,L2770,0)</f>
        <v>0</v>
      </c>
      <c r="AN2770" s="93">
        <v>21</v>
      </c>
      <c r="AO2770" s="93">
        <f>H2770*0.591533127</f>
        <v>0</v>
      </c>
      <c r="AP2770" s="93">
        <f>H2770*(1-0.591533127)</f>
        <v>0</v>
      </c>
      <c r="AQ2770" s="94" t="s">
        <v>59</v>
      </c>
      <c r="AV2770" s="93">
        <f>AW2770+AX2770</f>
        <v>0</v>
      </c>
      <c r="AW2770" s="93">
        <f>G2770*AO2770</f>
        <v>0</v>
      </c>
      <c r="AX2770" s="93">
        <f>G2770*AP2770</f>
        <v>0</v>
      </c>
      <c r="AY2770" s="94" t="s">
        <v>859</v>
      </c>
      <c r="AZ2770" s="94" t="s">
        <v>4088</v>
      </c>
      <c r="BA2770" s="88" t="s">
        <v>4089</v>
      </c>
      <c r="BC2770" s="93">
        <f>AW2770+AX2770</f>
        <v>0</v>
      </c>
      <c r="BD2770" s="93">
        <f>H2770/(100-BE2770)*100</f>
        <v>0</v>
      </c>
      <c r="BE2770" s="93">
        <v>0</v>
      </c>
      <c r="BF2770" s="93">
        <f>O2770</f>
        <v>132.70570000000001</v>
      </c>
      <c r="BH2770" s="93">
        <f>G2770*AO2770</f>
        <v>0</v>
      </c>
      <c r="BI2770" s="93">
        <f>G2770*AP2770</f>
        <v>0</v>
      </c>
      <c r="BJ2770" s="93">
        <f>G2770*H2770</f>
        <v>0</v>
      </c>
      <c r="BK2770" s="93"/>
      <c r="BL2770" s="93">
        <v>59</v>
      </c>
      <c r="BW2770" s="93" t="str">
        <f>I2770</f>
        <v>21</v>
      </c>
      <c r="BX2770" s="2" t="s">
        <v>4115</v>
      </c>
    </row>
    <row r="2771" spans="1:76" s="81" customFormat="1" ht="13.5" customHeight="1" x14ac:dyDescent="0.25">
      <c r="A2771" s="95"/>
      <c r="B2771" s="95"/>
      <c r="C2771" s="95"/>
      <c r="D2771" s="182" t="s">
        <v>4116</v>
      </c>
      <c r="E2771" s="182"/>
      <c r="F2771" s="182"/>
      <c r="G2771" s="182"/>
      <c r="H2771" s="182"/>
      <c r="I2771" s="182"/>
      <c r="J2771" s="182"/>
      <c r="K2771" s="182"/>
      <c r="L2771" s="182"/>
      <c r="M2771" s="182"/>
      <c r="N2771" s="182"/>
      <c r="O2771" s="182"/>
      <c r="P2771" s="182"/>
    </row>
    <row r="2772" spans="1:76" s="81" customFormat="1" x14ac:dyDescent="0.25">
      <c r="A2772" s="95"/>
      <c r="B2772" s="95"/>
      <c r="C2772" s="95"/>
      <c r="D2772" s="76" t="s">
        <v>54</v>
      </c>
      <c r="E2772" s="76" t="s">
        <v>4104</v>
      </c>
      <c r="F2772" s="95"/>
      <c r="G2772" s="96">
        <v>0</v>
      </c>
      <c r="H2772" s="95"/>
      <c r="I2772" s="95"/>
      <c r="J2772" s="95"/>
      <c r="K2772" s="95"/>
      <c r="L2772" s="95"/>
      <c r="M2772" s="95"/>
      <c r="N2772" s="95"/>
      <c r="O2772" s="95"/>
      <c r="P2772" s="95"/>
    </row>
    <row r="2773" spans="1:76" s="81" customFormat="1" x14ac:dyDescent="0.25">
      <c r="A2773" s="95"/>
      <c r="B2773" s="95"/>
      <c r="C2773" s="95"/>
      <c r="D2773" s="76" t="s">
        <v>826</v>
      </c>
      <c r="E2773" s="76" t="s">
        <v>54</v>
      </c>
      <c r="F2773" s="95"/>
      <c r="G2773" s="96">
        <v>97</v>
      </c>
      <c r="H2773" s="95"/>
      <c r="I2773" s="95"/>
      <c r="J2773" s="95"/>
      <c r="K2773" s="95"/>
      <c r="L2773" s="95"/>
      <c r="M2773" s="95"/>
      <c r="N2773" s="95"/>
      <c r="O2773" s="95"/>
      <c r="P2773" s="95"/>
    </row>
    <row r="2774" spans="1:76" s="81" customFormat="1" x14ac:dyDescent="0.25">
      <c r="A2774" s="85" t="s">
        <v>54</v>
      </c>
      <c r="B2774" s="74" t="s">
        <v>4081</v>
      </c>
      <c r="C2774" s="74" t="s">
        <v>781</v>
      </c>
      <c r="D2774" s="176" t="s">
        <v>4117</v>
      </c>
      <c r="E2774" s="176"/>
      <c r="F2774" s="85" t="s">
        <v>4</v>
      </c>
      <c r="G2774" s="85" t="s">
        <v>4</v>
      </c>
      <c r="H2774" s="85" t="s">
        <v>4</v>
      </c>
      <c r="I2774" s="85" t="s">
        <v>4</v>
      </c>
      <c r="J2774" s="86">
        <f>SUM(J2775:J2777)</f>
        <v>0</v>
      </c>
      <c r="K2774" s="86">
        <f>SUM(K2775:K2777)</f>
        <v>0</v>
      </c>
      <c r="L2774" s="86">
        <f>SUM(L2775:L2777)</f>
        <v>0</v>
      </c>
      <c r="M2774" s="86">
        <f>SUM(M2775:M2777)</f>
        <v>0</v>
      </c>
      <c r="N2774" s="87" t="s">
        <v>54</v>
      </c>
      <c r="O2774" s="86">
        <f>SUM(O2775:O2777)</f>
        <v>0</v>
      </c>
      <c r="P2774" s="87" t="s">
        <v>54</v>
      </c>
      <c r="AI2774" s="88" t="s">
        <v>4081</v>
      </c>
      <c r="AS2774" s="89">
        <f>SUM(AJ2775:AJ2777)</f>
        <v>0</v>
      </c>
      <c r="AT2774" s="89">
        <f>SUM(AK2775:AK2777)</f>
        <v>0</v>
      </c>
      <c r="AU2774" s="89">
        <f>SUM(AL2775:AL2777)</f>
        <v>0</v>
      </c>
    </row>
    <row r="2775" spans="1:76" s="81" customFormat="1" x14ac:dyDescent="0.25">
      <c r="A2775" s="72" t="s">
        <v>4118</v>
      </c>
      <c r="B2775" s="72" t="s">
        <v>4081</v>
      </c>
      <c r="C2775" s="72" t="s">
        <v>4119</v>
      </c>
      <c r="D2775" s="175" t="s">
        <v>4120</v>
      </c>
      <c r="E2775" s="175"/>
      <c r="F2775" s="72" t="s">
        <v>4121</v>
      </c>
      <c r="G2775" s="90">
        <v>24</v>
      </c>
      <c r="H2775" s="91"/>
      <c r="I2775" s="92" t="s">
        <v>63</v>
      </c>
      <c r="J2775" s="90">
        <f>G2775*AO2775</f>
        <v>0</v>
      </c>
      <c r="K2775" s="90">
        <f>G2775*AP2775</f>
        <v>0</v>
      </c>
      <c r="L2775" s="90">
        <f>G2775*H2775</f>
        <v>0</v>
      </c>
      <c r="M2775" s="90">
        <f>L2775*(1+BW2775/100)</f>
        <v>0</v>
      </c>
      <c r="N2775" s="90">
        <v>0</v>
      </c>
      <c r="O2775" s="90">
        <f>G2775*N2775</f>
        <v>0</v>
      </c>
      <c r="P2775" s="92" t="s">
        <v>64</v>
      </c>
      <c r="Z2775" s="93">
        <f>IF(AQ2775="5",BJ2775,0)</f>
        <v>0</v>
      </c>
      <c r="AB2775" s="93">
        <f>IF(AQ2775="1",BH2775,0)</f>
        <v>0</v>
      </c>
      <c r="AC2775" s="93">
        <f>IF(AQ2775="1",BI2775,0)</f>
        <v>0</v>
      </c>
      <c r="AD2775" s="93">
        <f>IF(AQ2775="7",BH2775,0)</f>
        <v>0</v>
      </c>
      <c r="AE2775" s="93">
        <f>IF(AQ2775="7",BI2775,0)</f>
        <v>0</v>
      </c>
      <c r="AF2775" s="93">
        <f>IF(AQ2775="2",BH2775,0)</f>
        <v>0</v>
      </c>
      <c r="AG2775" s="93">
        <f>IF(AQ2775="2",BI2775,0)</f>
        <v>0</v>
      </c>
      <c r="AH2775" s="93">
        <f>IF(AQ2775="0",BJ2775,0)</f>
        <v>0</v>
      </c>
      <c r="AI2775" s="88" t="s">
        <v>4081</v>
      </c>
      <c r="AJ2775" s="93">
        <f>IF(AN2775=0,L2775,0)</f>
        <v>0</v>
      </c>
      <c r="AK2775" s="93">
        <f>IF(AN2775=12,L2775,0)</f>
        <v>0</v>
      </c>
      <c r="AL2775" s="93">
        <f>IF(AN2775=21,L2775,0)</f>
        <v>0</v>
      </c>
      <c r="AN2775" s="93">
        <v>21</v>
      </c>
      <c r="AO2775" s="93">
        <f>H2775*0</f>
        <v>0</v>
      </c>
      <c r="AP2775" s="93">
        <f>H2775*(1-0)</f>
        <v>0</v>
      </c>
      <c r="AQ2775" s="94" t="s">
        <v>59</v>
      </c>
      <c r="AV2775" s="93">
        <f>AW2775+AX2775</f>
        <v>0</v>
      </c>
      <c r="AW2775" s="93">
        <f>G2775*AO2775</f>
        <v>0</v>
      </c>
      <c r="AX2775" s="93">
        <f>G2775*AP2775</f>
        <v>0</v>
      </c>
      <c r="AY2775" s="94" t="s">
        <v>4122</v>
      </c>
      <c r="AZ2775" s="94" t="s">
        <v>4123</v>
      </c>
      <c r="BA2775" s="88" t="s">
        <v>4089</v>
      </c>
      <c r="BC2775" s="93">
        <f>AW2775+AX2775</f>
        <v>0</v>
      </c>
      <c r="BD2775" s="93">
        <f>H2775/(100-BE2775)*100</f>
        <v>0</v>
      </c>
      <c r="BE2775" s="93">
        <v>0</v>
      </c>
      <c r="BF2775" s="93">
        <f>O2775</f>
        <v>0</v>
      </c>
      <c r="BH2775" s="93">
        <f>G2775*AO2775</f>
        <v>0</v>
      </c>
      <c r="BI2775" s="93">
        <f>G2775*AP2775</f>
        <v>0</v>
      </c>
      <c r="BJ2775" s="93">
        <f>G2775*H2775</f>
        <v>0</v>
      </c>
      <c r="BK2775" s="93"/>
      <c r="BL2775" s="93">
        <v>90</v>
      </c>
      <c r="BW2775" s="93" t="str">
        <f>I2775</f>
        <v>21</v>
      </c>
      <c r="BX2775" s="2" t="s">
        <v>4120</v>
      </c>
    </row>
    <row r="2776" spans="1:76" s="81" customFormat="1" ht="13.5" customHeight="1" x14ac:dyDescent="0.25">
      <c r="A2776" s="95"/>
      <c r="B2776" s="95"/>
      <c r="C2776" s="95"/>
      <c r="D2776" s="182" t="s">
        <v>4124</v>
      </c>
      <c r="E2776" s="182"/>
      <c r="F2776" s="182"/>
      <c r="G2776" s="182"/>
      <c r="H2776" s="182"/>
      <c r="I2776" s="182"/>
      <c r="J2776" s="182"/>
      <c r="K2776" s="182"/>
      <c r="L2776" s="182"/>
      <c r="M2776" s="182"/>
      <c r="N2776" s="182"/>
      <c r="O2776" s="182"/>
      <c r="P2776" s="182"/>
    </row>
    <row r="2777" spans="1:76" s="81" customFormat="1" x14ac:dyDescent="0.25">
      <c r="A2777" s="72" t="s">
        <v>4125</v>
      </c>
      <c r="B2777" s="72" t="s">
        <v>4081</v>
      </c>
      <c r="C2777" s="72" t="s">
        <v>4126</v>
      </c>
      <c r="D2777" s="175" t="s">
        <v>4127</v>
      </c>
      <c r="E2777" s="175"/>
      <c r="F2777" s="72" t="s">
        <v>1334</v>
      </c>
      <c r="G2777" s="90">
        <v>1</v>
      </c>
      <c r="H2777" s="91"/>
      <c r="I2777" s="92" t="s">
        <v>63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0</v>
      </c>
      <c r="O2777" s="90">
        <f>G2777*N2777</f>
        <v>0</v>
      </c>
      <c r="P2777" s="92" t="s">
        <v>371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4081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</f>
        <v>0</v>
      </c>
      <c r="AP2777" s="93">
        <f>H2777*(1-0)</f>
        <v>0</v>
      </c>
      <c r="AQ2777" s="94" t="s">
        <v>59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4122</v>
      </c>
      <c r="AZ2777" s="94" t="s">
        <v>4123</v>
      </c>
      <c r="BA2777" s="88" t="s">
        <v>4089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0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90</v>
      </c>
      <c r="BW2777" s="93" t="str">
        <f>I2777</f>
        <v>21</v>
      </c>
      <c r="BX2777" s="2" t="s">
        <v>4127</v>
      </c>
    </row>
    <row r="2778" spans="1:76" s="81" customFormat="1" x14ac:dyDescent="0.25">
      <c r="A2778" s="85" t="s">
        <v>54</v>
      </c>
      <c r="B2778" s="74" t="s">
        <v>4081</v>
      </c>
      <c r="C2778" s="74" t="s">
        <v>791</v>
      </c>
      <c r="D2778" s="176" t="s">
        <v>4128</v>
      </c>
      <c r="E2778" s="176"/>
      <c r="F2778" s="85" t="s">
        <v>4</v>
      </c>
      <c r="G2778" s="85" t="s">
        <v>4</v>
      </c>
      <c r="H2778" s="85" t="s">
        <v>4</v>
      </c>
      <c r="I2778" s="85" t="s">
        <v>4</v>
      </c>
      <c r="J2778" s="86">
        <f>SUM(J2779:J2779)</f>
        <v>0</v>
      </c>
      <c r="K2778" s="86">
        <f>SUM(K2779:K2779)</f>
        <v>0</v>
      </c>
      <c r="L2778" s="86">
        <f>SUM(L2779:L2779)</f>
        <v>0</v>
      </c>
      <c r="M2778" s="86">
        <f>SUM(M2779:M2779)</f>
        <v>0</v>
      </c>
      <c r="N2778" s="87" t="s">
        <v>54</v>
      </c>
      <c r="O2778" s="86">
        <f>SUM(O2779:O2779)</f>
        <v>0</v>
      </c>
      <c r="P2778" s="87" t="s">
        <v>54</v>
      </c>
      <c r="AI2778" s="88" t="s">
        <v>4081</v>
      </c>
      <c r="AS2778" s="89">
        <f>SUM(AJ2779:AJ2779)</f>
        <v>0</v>
      </c>
      <c r="AT2778" s="89">
        <f>SUM(AK2779:AK2779)</f>
        <v>0</v>
      </c>
      <c r="AU2778" s="89">
        <f>SUM(AL2779:AL2779)</f>
        <v>0</v>
      </c>
    </row>
    <row r="2779" spans="1:76" s="81" customFormat="1" x14ac:dyDescent="0.25">
      <c r="A2779" s="72" t="s">
        <v>4129</v>
      </c>
      <c r="B2779" s="72" t="s">
        <v>4081</v>
      </c>
      <c r="C2779" s="72" t="s">
        <v>4130</v>
      </c>
      <c r="D2779" s="175" t="s">
        <v>4131</v>
      </c>
      <c r="E2779" s="175"/>
      <c r="F2779" s="72" t="s">
        <v>1334</v>
      </c>
      <c r="G2779" s="90">
        <v>1</v>
      </c>
      <c r="H2779" s="91"/>
      <c r="I2779" s="92" t="s">
        <v>63</v>
      </c>
      <c r="J2779" s="90">
        <f>G2779*AO2779</f>
        <v>0</v>
      </c>
      <c r="K2779" s="90">
        <f>G2779*AP2779</f>
        <v>0</v>
      </c>
      <c r="L2779" s="90">
        <f>G2779*H2779</f>
        <v>0</v>
      </c>
      <c r="M2779" s="90">
        <f>L2779*(1+BW2779/100)</f>
        <v>0</v>
      </c>
      <c r="N2779" s="90">
        <v>0</v>
      </c>
      <c r="O2779" s="90">
        <f>G2779*N2779</f>
        <v>0</v>
      </c>
      <c r="P2779" s="92" t="s">
        <v>371</v>
      </c>
      <c r="Z2779" s="93">
        <f>IF(AQ2779="5",BJ2779,0)</f>
        <v>0</v>
      </c>
      <c r="AB2779" s="93">
        <f>IF(AQ2779="1",BH2779,0)</f>
        <v>0</v>
      </c>
      <c r="AC2779" s="93">
        <f>IF(AQ2779="1",BI2779,0)</f>
        <v>0</v>
      </c>
      <c r="AD2779" s="93">
        <f>IF(AQ2779="7",BH2779,0)</f>
        <v>0</v>
      </c>
      <c r="AE2779" s="93">
        <f>IF(AQ2779="7",BI2779,0)</f>
        <v>0</v>
      </c>
      <c r="AF2779" s="93">
        <f>IF(AQ2779="2",BH2779,0)</f>
        <v>0</v>
      </c>
      <c r="AG2779" s="93">
        <f>IF(AQ2779="2",BI2779,0)</f>
        <v>0</v>
      </c>
      <c r="AH2779" s="93">
        <f>IF(AQ2779="0",BJ2779,0)</f>
        <v>0</v>
      </c>
      <c r="AI2779" s="88" t="s">
        <v>4081</v>
      </c>
      <c r="AJ2779" s="93">
        <f>IF(AN2779=0,L2779,0)</f>
        <v>0</v>
      </c>
      <c r="AK2779" s="93">
        <f>IF(AN2779=12,L2779,0)</f>
        <v>0</v>
      </c>
      <c r="AL2779" s="93">
        <f>IF(AN2779=21,L2779,0)</f>
        <v>0</v>
      </c>
      <c r="AN2779" s="93">
        <v>21</v>
      </c>
      <c r="AO2779" s="93">
        <f>H2779*0.638533</f>
        <v>0</v>
      </c>
      <c r="AP2779" s="93">
        <f>H2779*(1-0.638533)</f>
        <v>0</v>
      </c>
      <c r="AQ2779" s="94" t="s">
        <v>59</v>
      </c>
      <c r="AV2779" s="93">
        <f>AW2779+AX2779</f>
        <v>0</v>
      </c>
      <c r="AW2779" s="93">
        <f>G2779*AO2779</f>
        <v>0</v>
      </c>
      <c r="AX2779" s="93">
        <f>G2779*AP2779</f>
        <v>0</v>
      </c>
      <c r="AY2779" s="94" t="s">
        <v>4132</v>
      </c>
      <c r="AZ2779" s="94" t="s">
        <v>4123</v>
      </c>
      <c r="BA2779" s="88" t="s">
        <v>4089</v>
      </c>
      <c r="BC2779" s="93">
        <f>AW2779+AX2779</f>
        <v>0</v>
      </c>
      <c r="BD2779" s="93">
        <f>H2779/(100-BE2779)*100</f>
        <v>0</v>
      </c>
      <c r="BE2779" s="93">
        <v>0</v>
      </c>
      <c r="BF2779" s="93">
        <f>O2779</f>
        <v>0</v>
      </c>
      <c r="BH2779" s="93">
        <f>G2779*AO2779</f>
        <v>0</v>
      </c>
      <c r="BI2779" s="93">
        <f>G2779*AP2779</f>
        <v>0</v>
      </c>
      <c r="BJ2779" s="93">
        <f>G2779*H2779</f>
        <v>0</v>
      </c>
      <c r="BK2779" s="93"/>
      <c r="BL2779" s="93">
        <v>91</v>
      </c>
      <c r="BW2779" s="93" t="str">
        <f>I2779</f>
        <v>21</v>
      </c>
      <c r="BX2779" s="2" t="s">
        <v>4131</v>
      </c>
    </row>
    <row r="2780" spans="1:76" s="81" customFormat="1" x14ac:dyDescent="0.25">
      <c r="A2780" s="85" t="s">
        <v>54</v>
      </c>
      <c r="B2780" s="74" t="s">
        <v>4081</v>
      </c>
      <c r="C2780" s="74" t="s">
        <v>811</v>
      </c>
      <c r="D2780" s="176" t="s">
        <v>1318</v>
      </c>
      <c r="E2780" s="176"/>
      <c r="F2780" s="85" t="s">
        <v>4</v>
      </c>
      <c r="G2780" s="85" t="s">
        <v>4</v>
      </c>
      <c r="H2780" s="85" t="s">
        <v>4</v>
      </c>
      <c r="I2780" s="85" t="s">
        <v>4</v>
      </c>
      <c r="J2780" s="86">
        <f>SUM(J2781:J2790)</f>
        <v>0</v>
      </c>
      <c r="K2780" s="86">
        <f>SUM(K2781:K2790)</f>
        <v>0</v>
      </c>
      <c r="L2780" s="86">
        <f>SUM(L2781:L2790)</f>
        <v>0</v>
      </c>
      <c r="M2780" s="86">
        <f>SUM(M2781:M2790)</f>
        <v>0</v>
      </c>
      <c r="N2780" s="86"/>
      <c r="O2780" s="86">
        <f>SUM(O2781:O2790)</f>
        <v>2.4000000000000001E-4</v>
      </c>
      <c r="P2780" s="87" t="s">
        <v>54</v>
      </c>
      <c r="AI2780" s="88" t="s">
        <v>4081</v>
      </c>
      <c r="AS2780" s="89" t="e">
        <f>SUM(#REF!)</f>
        <v>#REF!</v>
      </c>
      <c r="AT2780" s="89" t="e">
        <f>SUM(#REF!)</f>
        <v>#REF!</v>
      </c>
      <c r="AU2780" s="89" t="e">
        <f>SUM(#REF!)</f>
        <v>#REF!</v>
      </c>
    </row>
    <row r="2781" spans="1:76" s="81" customFormat="1" ht="25.5" x14ac:dyDescent="0.25">
      <c r="A2781" s="72" t="s">
        <v>4133</v>
      </c>
      <c r="B2781" s="72" t="s">
        <v>4081</v>
      </c>
      <c r="C2781" s="72" t="s">
        <v>4293</v>
      </c>
      <c r="D2781" s="175" t="s">
        <v>4294</v>
      </c>
      <c r="E2781" s="175"/>
      <c r="F2781" s="72" t="s">
        <v>1334</v>
      </c>
      <c r="G2781" s="90">
        <v>1</v>
      </c>
      <c r="H2781" s="91"/>
      <c r="I2781" s="92" t="s">
        <v>63</v>
      </c>
      <c r="J2781" s="90">
        <f>G2781*AO2781</f>
        <v>0</v>
      </c>
      <c r="K2781" s="90">
        <f>G2781*AP2781</f>
        <v>0</v>
      </c>
      <c r="L2781" s="90">
        <f>G2781*H2781</f>
        <v>0</v>
      </c>
      <c r="M2781" s="90">
        <f>L2781*(1+BW2781/100)</f>
        <v>0</v>
      </c>
      <c r="N2781" s="90">
        <v>4.0000000000000003E-5</v>
      </c>
      <c r="O2781" s="90">
        <f>G2781*N2781</f>
        <v>4.0000000000000003E-5</v>
      </c>
      <c r="P2781" s="92" t="s">
        <v>578</v>
      </c>
      <c r="Z2781" s="93">
        <f>IF(AQ2781="5",BJ2781,0)</f>
        <v>0</v>
      </c>
      <c r="AB2781" s="93">
        <f>IF(AQ2781="1",BH2781,0)</f>
        <v>0</v>
      </c>
      <c r="AC2781" s="93">
        <f>IF(AQ2781="1",BI2781,0)</f>
        <v>0</v>
      </c>
      <c r="AD2781" s="93">
        <f>IF(AQ2781="7",BH2781,0)</f>
        <v>0</v>
      </c>
      <c r="AE2781" s="93">
        <f>IF(AQ2781="7",BI2781,0)</f>
        <v>0</v>
      </c>
      <c r="AF2781" s="93">
        <f>IF(AQ2781="2",BH2781,0)</f>
        <v>0</v>
      </c>
      <c r="AG2781" s="93">
        <f>IF(AQ2781="2",BI2781,0)</f>
        <v>0</v>
      </c>
      <c r="AH2781" s="93">
        <f>IF(AQ2781="0",BJ2781,0)</f>
        <v>0</v>
      </c>
      <c r="AI2781" s="88" t="s">
        <v>4081</v>
      </c>
      <c r="AJ2781" s="93">
        <f>IF(AN2781=0,L2781,0)</f>
        <v>0</v>
      </c>
      <c r="AK2781" s="93">
        <f>IF(AN2781=12,L2781,0)</f>
        <v>0</v>
      </c>
      <c r="AL2781" s="93">
        <f>IF(AN2781=21,L2781,0)</f>
        <v>0</v>
      </c>
      <c r="AN2781" s="93">
        <v>21</v>
      </c>
      <c r="AO2781" s="93">
        <f>H2781*0.23</f>
        <v>0</v>
      </c>
      <c r="AP2781" s="93">
        <f>H2781*(1-0.23)</f>
        <v>0</v>
      </c>
      <c r="AQ2781" s="94" t="s">
        <v>59</v>
      </c>
      <c r="AV2781" s="93">
        <f>AW2781+AX2781</f>
        <v>0</v>
      </c>
      <c r="AW2781" s="93">
        <f>G2781*AO2781</f>
        <v>0</v>
      </c>
      <c r="AX2781" s="93">
        <f>G2781*AP2781</f>
        <v>0</v>
      </c>
      <c r="AY2781" s="94" t="s">
        <v>1322</v>
      </c>
      <c r="AZ2781" s="94" t="s">
        <v>4123</v>
      </c>
      <c r="BA2781" s="88" t="s">
        <v>4089</v>
      </c>
      <c r="BC2781" s="93">
        <f>AW2781+AX2781</f>
        <v>0</v>
      </c>
      <c r="BD2781" s="93">
        <f>H2781/(100-BE2781)*100</f>
        <v>0</v>
      </c>
      <c r="BE2781" s="93">
        <v>0</v>
      </c>
      <c r="BF2781" s="93">
        <f>O2781</f>
        <v>4.0000000000000003E-5</v>
      </c>
      <c r="BH2781" s="93">
        <f>G2781*AO2781</f>
        <v>0</v>
      </c>
      <c r="BI2781" s="93">
        <f>G2781*AP2781</f>
        <v>0</v>
      </c>
      <c r="BJ2781" s="93">
        <f>G2781*H2781</f>
        <v>0</v>
      </c>
      <c r="BK2781" s="93"/>
      <c r="BL2781" s="93">
        <v>95</v>
      </c>
      <c r="BW2781" s="93" t="str">
        <f>I2781</f>
        <v>21</v>
      </c>
      <c r="BX2781" s="2" t="s">
        <v>4294</v>
      </c>
    </row>
    <row r="2782" spans="1:76" s="81" customFormat="1" ht="13.5" customHeight="1" x14ac:dyDescent="0.25">
      <c r="A2782" s="95"/>
      <c r="B2782" s="95"/>
      <c r="C2782" s="95"/>
      <c r="D2782" s="182" t="s">
        <v>4295</v>
      </c>
      <c r="E2782" s="182"/>
      <c r="F2782" s="182"/>
      <c r="G2782" s="182"/>
      <c r="H2782" s="182"/>
      <c r="I2782" s="182"/>
      <c r="J2782" s="182"/>
      <c r="K2782" s="182"/>
      <c r="L2782" s="182"/>
      <c r="M2782" s="182"/>
      <c r="N2782" s="182"/>
      <c r="O2782" s="182"/>
      <c r="P2782" s="182"/>
    </row>
    <row r="2783" spans="1:76" s="81" customFormat="1" x14ac:dyDescent="0.25">
      <c r="A2783" s="72" t="s">
        <v>4135</v>
      </c>
      <c r="B2783" s="72" t="s">
        <v>4081</v>
      </c>
      <c r="C2783" s="72" t="s">
        <v>4296</v>
      </c>
      <c r="D2783" s="175" t="s">
        <v>4311</v>
      </c>
      <c r="E2783" s="175"/>
      <c r="F2783" s="72" t="s">
        <v>1334</v>
      </c>
      <c r="G2783" s="90">
        <v>1</v>
      </c>
      <c r="H2783" s="91"/>
      <c r="I2783" s="92" t="s">
        <v>63</v>
      </c>
      <c r="J2783" s="90">
        <f>G2783*AO2783</f>
        <v>0</v>
      </c>
      <c r="K2783" s="90">
        <f>G2783*AP2783</f>
        <v>0</v>
      </c>
      <c r="L2783" s="90">
        <f>G2783*H2783</f>
        <v>0</v>
      </c>
      <c r="M2783" s="90">
        <f>L2783*(1+BW2783/100)</f>
        <v>0</v>
      </c>
      <c r="N2783" s="90">
        <v>4.0000000000000003E-5</v>
      </c>
      <c r="O2783" s="90">
        <f>G2783*N2783</f>
        <v>4.0000000000000003E-5</v>
      </c>
      <c r="P2783" s="92" t="s">
        <v>578</v>
      </c>
      <c r="Z2783" s="93">
        <f>IF(AQ2783="5",BJ2783,0)</f>
        <v>0</v>
      </c>
      <c r="AB2783" s="93">
        <f>IF(AQ2783="1",BH2783,0)</f>
        <v>0</v>
      </c>
      <c r="AC2783" s="93">
        <f>IF(AQ2783="1",BI2783,0)</f>
        <v>0</v>
      </c>
      <c r="AD2783" s="93">
        <f>IF(AQ2783="7",BH2783,0)</f>
        <v>0</v>
      </c>
      <c r="AE2783" s="93">
        <f>IF(AQ2783="7",BI2783,0)</f>
        <v>0</v>
      </c>
      <c r="AF2783" s="93">
        <f>IF(AQ2783="2",BH2783,0)</f>
        <v>0</v>
      </c>
      <c r="AG2783" s="93">
        <f>IF(AQ2783="2",BI2783,0)</f>
        <v>0</v>
      </c>
      <c r="AH2783" s="93">
        <f>IF(AQ2783="0",BJ2783,0)</f>
        <v>0</v>
      </c>
      <c r="AI2783" s="88" t="s">
        <v>4081</v>
      </c>
      <c r="AJ2783" s="93">
        <f>IF(AN2783=0,L2783,0)</f>
        <v>0</v>
      </c>
      <c r="AK2783" s="93">
        <f>IF(AN2783=12,L2783,0)</f>
        <v>0</v>
      </c>
      <c r="AL2783" s="93">
        <f>IF(AN2783=21,L2783,0)</f>
        <v>0</v>
      </c>
      <c r="AN2783" s="93">
        <v>21</v>
      </c>
      <c r="AO2783" s="93">
        <f>H2783*0.4</f>
        <v>0</v>
      </c>
      <c r="AP2783" s="93">
        <f>H2783*(1-0.4)</f>
        <v>0</v>
      </c>
      <c r="AQ2783" s="94" t="s">
        <v>59</v>
      </c>
      <c r="AV2783" s="93">
        <f>AW2783+AX2783</f>
        <v>0</v>
      </c>
      <c r="AW2783" s="93">
        <f>G2783*AO2783</f>
        <v>0</v>
      </c>
      <c r="AX2783" s="93">
        <f>G2783*AP2783</f>
        <v>0</v>
      </c>
      <c r="AY2783" s="94" t="s">
        <v>1322</v>
      </c>
      <c r="AZ2783" s="94" t="s">
        <v>4123</v>
      </c>
      <c r="BA2783" s="88" t="s">
        <v>4089</v>
      </c>
      <c r="BC2783" s="93">
        <f>AW2783+AX2783</f>
        <v>0</v>
      </c>
      <c r="BD2783" s="93">
        <f>H2783/(100-BE2783)*100</f>
        <v>0</v>
      </c>
      <c r="BE2783" s="93">
        <v>0</v>
      </c>
      <c r="BF2783" s="93">
        <f>O2783</f>
        <v>4.0000000000000003E-5</v>
      </c>
      <c r="BH2783" s="93">
        <f>G2783*AO2783</f>
        <v>0</v>
      </c>
      <c r="BI2783" s="93">
        <f>G2783*AP2783</f>
        <v>0</v>
      </c>
      <c r="BJ2783" s="93">
        <f>G2783*H2783</f>
        <v>0</v>
      </c>
      <c r="BK2783" s="93"/>
      <c r="BL2783" s="93">
        <v>95</v>
      </c>
      <c r="BW2783" s="93" t="str">
        <f>I2783</f>
        <v>21</v>
      </c>
      <c r="BX2783" s="2" t="s">
        <v>4297</v>
      </c>
    </row>
    <row r="2784" spans="1:76" s="81" customFormat="1" ht="13.5" customHeight="1" x14ac:dyDescent="0.25">
      <c r="A2784" s="95"/>
      <c r="B2784" s="95"/>
      <c r="C2784" s="95"/>
      <c r="D2784" s="182" t="s">
        <v>4298</v>
      </c>
      <c r="E2784" s="182"/>
      <c r="F2784" s="182"/>
      <c r="G2784" s="182"/>
      <c r="H2784" s="182"/>
      <c r="I2784" s="182"/>
      <c r="J2784" s="182"/>
      <c r="K2784" s="182"/>
      <c r="L2784" s="182"/>
      <c r="M2784" s="182"/>
      <c r="N2784" s="182"/>
      <c r="O2784" s="182"/>
      <c r="P2784" s="182"/>
    </row>
    <row r="2785" spans="1:76" s="81" customFormat="1" x14ac:dyDescent="0.25">
      <c r="A2785" s="72" t="s">
        <v>4141</v>
      </c>
      <c r="B2785" s="72" t="s">
        <v>4081</v>
      </c>
      <c r="C2785" s="72" t="s">
        <v>4299</v>
      </c>
      <c r="D2785" s="175" t="s">
        <v>4300</v>
      </c>
      <c r="E2785" s="175"/>
      <c r="F2785" s="72" t="s">
        <v>203</v>
      </c>
      <c r="G2785" s="90">
        <v>2</v>
      </c>
      <c r="H2785" s="91"/>
      <c r="I2785" s="92" t="s">
        <v>63</v>
      </c>
      <c r="J2785" s="90">
        <f>G2785*AO2785</f>
        <v>0</v>
      </c>
      <c r="K2785" s="90">
        <f>G2785*AP2785</f>
        <v>0</v>
      </c>
      <c r="L2785" s="90">
        <f>G2785*H2785</f>
        <v>0</v>
      </c>
      <c r="M2785" s="90">
        <f>L2785*(1+BW2785/100)</f>
        <v>0</v>
      </c>
      <c r="N2785" s="90">
        <v>4.0000000000000003E-5</v>
      </c>
      <c r="O2785" s="90">
        <f>G2785*N2785</f>
        <v>8.0000000000000007E-5</v>
      </c>
      <c r="P2785" s="92" t="s">
        <v>578</v>
      </c>
      <c r="Z2785" s="93">
        <f>IF(AQ2785="5",BJ2785,0)</f>
        <v>0</v>
      </c>
      <c r="AB2785" s="93">
        <f>IF(AQ2785="1",BH2785,0)</f>
        <v>0</v>
      </c>
      <c r="AC2785" s="93">
        <f>IF(AQ2785="1",BI2785,0)</f>
        <v>0</v>
      </c>
      <c r="AD2785" s="93">
        <f>IF(AQ2785="7",BH2785,0)</f>
        <v>0</v>
      </c>
      <c r="AE2785" s="93">
        <f>IF(AQ2785="7",BI2785,0)</f>
        <v>0</v>
      </c>
      <c r="AF2785" s="93">
        <f>IF(AQ2785="2",BH2785,0)</f>
        <v>0</v>
      </c>
      <c r="AG2785" s="93">
        <f>IF(AQ2785="2",BI2785,0)</f>
        <v>0</v>
      </c>
      <c r="AH2785" s="93">
        <f>IF(AQ2785="0",BJ2785,0)</f>
        <v>0</v>
      </c>
      <c r="AI2785" s="88" t="s">
        <v>4081</v>
      </c>
      <c r="AJ2785" s="93">
        <f>IF(AN2785=0,L2785,0)</f>
        <v>0</v>
      </c>
      <c r="AK2785" s="93">
        <f>IF(AN2785=12,L2785,0)</f>
        <v>0</v>
      </c>
      <c r="AL2785" s="93">
        <f>IF(AN2785=21,L2785,0)</f>
        <v>0</v>
      </c>
      <c r="AN2785" s="93">
        <v>21</v>
      </c>
      <c r="AO2785" s="93">
        <f>H2785*0.75</f>
        <v>0</v>
      </c>
      <c r="AP2785" s="93">
        <f>H2785*(1-0.75)</f>
        <v>0</v>
      </c>
      <c r="AQ2785" s="94" t="s">
        <v>59</v>
      </c>
      <c r="AV2785" s="93">
        <f>AW2785+AX2785</f>
        <v>0</v>
      </c>
      <c r="AW2785" s="93">
        <f>G2785*AO2785</f>
        <v>0</v>
      </c>
      <c r="AX2785" s="93">
        <f>G2785*AP2785</f>
        <v>0</v>
      </c>
      <c r="AY2785" s="94" t="s">
        <v>1322</v>
      </c>
      <c r="AZ2785" s="94" t="s">
        <v>4123</v>
      </c>
      <c r="BA2785" s="88" t="s">
        <v>4089</v>
      </c>
      <c r="BC2785" s="93">
        <f>AW2785+AX2785</f>
        <v>0</v>
      </c>
      <c r="BD2785" s="93">
        <f>H2785/(100-BE2785)*100</f>
        <v>0</v>
      </c>
      <c r="BE2785" s="93">
        <v>0</v>
      </c>
      <c r="BF2785" s="93">
        <f>O2785</f>
        <v>8.0000000000000007E-5</v>
      </c>
      <c r="BH2785" s="93">
        <f>G2785*AO2785</f>
        <v>0</v>
      </c>
      <c r="BI2785" s="93">
        <f>G2785*AP2785</f>
        <v>0</v>
      </c>
      <c r="BJ2785" s="93">
        <f>G2785*H2785</f>
        <v>0</v>
      </c>
      <c r="BK2785" s="93"/>
      <c r="BL2785" s="93">
        <v>95</v>
      </c>
      <c r="BW2785" s="93" t="str">
        <f>I2785</f>
        <v>21</v>
      </c>
      <c r="BX2785" s="2" t="s">
        <v>4300</v>
      </c>
    </row>
    <row r="2786" spans="1:76" s="81" customFormat="1" ht="13.5" customHeight="1" x14ac:dyDescent="0.25">
      <c r="A2786" s="95"/>
      <c r="B2786" s="95"/>
      <c r="C2786" s="95"/>
      <c r="D2786" s="182" t="s">
        <v>4301</v>
      </c>
      <c r="E2786" s="182"/>
      <c r="F2786" s="182"/>
      <c r="G2786" s="182"/>
      <c r="H2786" s="182"/>
      <c r="I2786" s="182"/>
      <c r="J2786" s="182"/>
      <c r="K2786" s="182"/>
      <c r="L2786" s="182"/>
      <c r="M2786" s="182"/>
      <c r="N2786" s="182"/>
      <c r="O2786" s="182"/>
      <c r="P2786" s="182"/>
    </row>
    <row r="2787" spans="1:76" s="81" customFormat="1" x14ac:dyDescent="0.25">
      <c r="A2787" s="72" t="s">
        <v>4145</v>
      </c>
      <c r="B2787" s="72" t="s">
        <v>4081</v>
      </c>
      <c r="C2787" s="72" t="s">
        <v>4134</v>
      </c>
      <c r="D2787" s="175" t="s">
        <v>4302</v>
      </c>
      <c r="E2787" s="175"/>
      <c r="F2787" s="72" t="s">
        <v>1334</v>
      </c>
      <c r="G2787" s="90">
        <v>1</v>
      </c>
      <c r="H2787" s="91"/>
      <c r="I2787" s="92" t="s">
        <v>63</v>
      </c>
      <c r="J2787" s="90">
        <f>G2787*AO2787</f>
        <v>0</v>
      </c>
      <c r="K2787" s="90">
        <f>G2787*AP2787</f>
        <v>0</v>
      </c>
      <c r="L2787" s="90">
        <f>G2787*H2787</f>
        <v>0</v>
      </c>
      <c r="M2787" s="90">
        <f>L2787*(1+BW2787/100)</f>
        <v>0</v>
      </c>
      <c r="N2787" s="90">
        <v>4.0000000000000003E-5</v>
      </c>
      <c r="O2787" s="90">
        <f>G2787*N2787</f>
        <v>4.0000000000000003E-5</v>
      </c>
      <c r="P2787" s="92" t="s">
        <v>578</v>
      </c>
      <c r="Z2787" s="93">
        <f>IF(AQ2787="5",BJ2787,0)</f>
        <v>0</v>
      </c>
      <c r="AB2787" s="93">
        <f>IF(AQ2787="1",BH2787,0)</f>
        <v>0</v>
      </c>
      <c r="AC2787" s="93">
        <f>IF(AQ2787="1",BI2787,0)</f>
        <v>0</v>
      </c>
      <c r="AD2787" s="93">
        <f>IF(AQ2787="7",BH2787,0)</f>
        <v>0</v>
      </c>
      <c r="AE2787" s="93">
        <f>IF(AQ2787="7",BI2787,0)</f>
        <v>0</v>
      </c>
      <c r="AF2787" s="93">
        <f>IF(AQ2787="2",BH2787,0)</f>
        <v>0</v>
      </c>
      <c r="AG2787" s="93">
        <f>IF(AQ2787="2",BI2787,0)</f>
        <v>0</v>
      </c>
      <c r="AH2787" s="93">
        <f>IF(AQ2787="0",BJ2787,0)</f>
        <v>0</v>
      </c>
      <c r="AI2787" s="88" t="s">
        <v>4081</v>
      </c>
      <c r="AJ2787" s="93">
        <f>IF(AN2787=0,L2787,0)</f>
        <v>0</v>
      </c>
      <c r="AK2787" s="93">
        <f>IF(AN2787=12,L2787,0)</f>
        <v>0</v>
      </c>
      <c r="AL2787" s="93">
        <f>IF(AN2787=21,L2787,0)</f>
        <v>0</v>
      </c>
      <c r="AN2787" s="93">
        <v>21</v>
      </c>
      <c r="AO2787" s="93">
        <f>H2787*0.6</f>
        <v>0</v>
      </c>
      <c r="AP2787" s="93">
        <f>H2787*(1-0.6)</f>
        <v>0</v>
      </c>
      <c r="AQ2787" s="94" t="s">
        <v>59</v>
      </c>
      <c r="AV2787" s="93">
        <f>AW2787+AX2787</f>
        <v>0</v>
      </c>
      <c r="AW2787" s="93">
        <f>G2787*AO2787</f>
        <v>0</v>
      </c>
      <c r="AX2787" s="93">
        <f>G2787*AP2787</f>
        <v>0</v>
      </c>
      <c r="AY2787" s="94" t="s">
        <v>1322</v>
      </c>
      <c r="AZ2787" s="94" t="s">
        <v>4123</v>
      </c>
      <c r="BA2787" s="88" t="s">
        <v>4089</v>
      </c>
      <c r="BC2787" s="93">
        <f>AW2787+AX2787</f>
        <v>0</v>
      </c>
      <c r="BD2787" s="93">
        <f>H2787/(100-BE2787)*100</f>
        <v>0</v>
      </c>
      <c r="BE2787" s="93">
        <v>0</v>
      </c>
      <c r="BF2787" s="93">
        <f>O2787</f>
        <v>4.0000000000000003E-5</v>
      </c>
      <c r="BH2787" s="93">
        <f>G2787*AO2787</f>
        <v>0</v>
      </c>
      <c r="BI2787" s="93">
        <f>G2787*AP2787</f>
        <v>0</v>
      </c>
      <c r="BJ2787" s="93">
        <f>G2787*H2787</f>
        <v>0</v>
      </c>
      <c r="BK2787" s="93"/>
      <c r="BL2787" s="93">
        <v>95</v>
      </c>
      <c r="BW2787" s="93" t="str">
        <f>I2787</f>
        <v>21</v>
      </c>
      <c r="BX2787" s="2" t="s">
        <v>4302</v>
      </c>
    </row>
    <row r="2788" spans="1:76" s="81" customFormat="1" ht="13.5" customHeight="1" x14ac:dyDescent="0.25">
      <c r="A2788" s="95"/>
      <c r="B2788" s="95"/>
      <c r="C2788" s="95"/>
      <c r="D2788" s="182" t="s">
        <v>4303</v>
      </c>
      <c r="E2788" s="182"/>
      <c r="F2788" s="182"/>
      <c r="G2788" s="182"/>
      <c r="H2788" s="182"/>
      <c r="I2788" s="182"/>
      <c r="J2788" s="182"/>
      <c r="K2788" s="182"/>
      <c r="L2788" s="182"/>
      <c r="M2788" s="182"/>
      <c r="N2788" s="182"/>
      <c r="O2788" s="182"/>
      <c r="P2788" s="182"/>
    </row>
    <row r="2789" spans="1:76" s="81" customFormat="1" x14ac:dyDescent="0.25">
      <c r="A2789" s="72" t="s">
        <v>4148</v>
      </c>
      <c r="B2789" s="72" t="s">
        <v>4081</v>
      </c>
      <c r="C2789" s="72" t="s">
        <v>4304</v>
      </c>
      <c r="D2789" s="175" t="s">
        <v>4305</v>
      </c>
      <c r="E2789" s="175"/>
      <c r="F2789" s="72" t="s">
        <v>1334</v>
      </c>
      <c r="G2789" s="90">
        <v>1</v>
      </c>
      <c r="H2789" s="91"/>
      <c r="I2789" s="92" t="s">
        <v>63</v>
      </c>
      <c r="J2789" s="90">
        <f>G2789*AO2789</f>
        <v>0</v>
      </c>
      <c r="K2789" s="90">
        <f>G2789*AP2789</f>
        <v>0</v>
      </c>
      <c r="L2789" s="90">
        <f>G2789*H2789</f>
        <v>0</v>
      </c>
      <c r="M2789" s="90">
        <f>L2789*(1+BW2789/100)</f>
        <v>0</v>
      </c>
      <c r="N2789" s="90">
        <v>4.0000000000000003E-5</v>
      </c>
      <c r="O2789" s="90">
        <f>G2789*N2789</f>
        <v>4.0000000000000003E-5</v>
      </c>
      <c r="P2789" s="92" t="s">
        <v>578</v>
      </c>
      <c r="Z2789" s="93">
        <f>IF(AQ2789="5",BJ2789,0)</f>
        <v>0</v>
      </c>
      <c r="AB2789" s="93">
        <f>IF(AQ2789="1",BH2789,0)</f>
        <v>0</v>
      </c>
      <c r="AC2789" s="93">
        <f>IF(AQ2789="1",BI2789,0)</f>
        <v>0</v>
      </c>
      <c r="AD2789" s="93">
        <f>IF(AQ2789="7",BH2789,0)</f>
        <v>0</v>
      </c>
      <c r="AE2789" s="93">
        <f>IF(AQ2789="7",BI2789,0)</f>
        <v>0</v>
      </c>
      <c r="AF2789" s="93">
        <f>IF(AQ2789="2",BH2789,0)</f>
        <v>0</v>
      </c>
      <c r="AG2789" s="93">
        <f>IF(AQ2789="2",BI2789,0)</f>
        <v>0</v>
      </c>
      <c r="AH2789" s="93">
        <f>IF(AQ2789="0",BJ2789,0)</f>
        <v>0</v>
      </c>
      <c r="AI2789" s="88" t="s">
        <v>4081</v>
      </c>
      <c r="AJ2789" s="93">
        <f>IF(AN2789=0,L2789,0)</f>
        <v>0</v>
      </c>
      <c r="AK2789" s="93">
        <f>IF(AN2789=12,L2789,0)</f>
        <v>0</v>
      </c>
      <c r="AL2789" s="93">
        <f>IF(AN2789=21,L2789,0)</f>
        <v>0</v>
      </c>
      <c r="AN2789" s="93">
        <v>21</v>
      </c>
      <c r="AO2789" s="93">
        <f>H2789*0.23</f>
        <v>0</v>
      </c>
      <c r="AP2789" s="93">
        <f>H2789*(1-0.23)</f>
        <v>0</v>
      </c>
      <c r="AQ2789" s="94" t="s">
        <v>59</v>
      </c>
      <c r="AV2789" s="93">
        <f>AW2789+AX2789</f>
        <v>0</v>
      </c>
      <c r="AW2789" s="93">
        <f>G2789*AO2789</f>
        <v>0</v>
      </c>
      <c r="AX2789" s="93">
        <f>G2789*AP2789</f>
        <v>0</v>
      </c>
      <c r="AY2789" s="94" t="s">
        <v>1322</v>
      </c>
      <c r="AZ2789" s="94" t="s">
        <v>4123</v>
      </c>
      <c r="BA2789" s="88" t="s">
        <v>4089</v>
      </c>
      <c r="BC2789" s="93">
        <f>AW2789+AX2789</f>
        <v>0</v>
      </c>
      <c r="BD2789" s="93">
        <f>H2789/(100-BE2789)*100</f>
        <v>0</v>
      </c>
      <c r="BE2789" s="93">
        <v>0</v>
      </c>
      <c r="BF2789" s="93">
        <f>O2789</f>
        <v>4.0000000000000003E-5</v>
      </c>
      <c r="BH2789" s="93">
        <f>G2789*AO2789</f>
        <v>0</v>
      </c>
      <c r="BI2789" s="93">
        <f>G2789*AP2789</f>
        <v>0</v>
      </c>
      <c r="BJ2789" s="93">
        <f>G2789*H2789</f>
        <v>0</v>
      </c>
      <c r="BK2789" s="93"/>
      <c r="BL2789" s="93">
        <v>95</v>
      </c>
      <c r="BW2789" s="93" t="str">
        <f>I2789</f>
        <v>21</v>
      </c>
      <c r="BX2789" s="2" t="s">
        <v>4305</v>
      </c>
    </row>
    <row r="2790" spans="1:76" s="81" customFormat="1" ht="13.5" customHeight="1" x14ac:dyDescent="0.25">
      <c r="A2790" s="95"/>
      <c r="B2790" s="95"/>
      <c r="C2790" s="95"/>
      <c r="D2790" s="182" t="s">
        <v>4306</v>
      </c>
      <c r="E2790" s="182"/>
      <c r="F2790" s="182"/>
      <c r="G2790" s="182"/>
      <c r="H2790" s="182"/>
      <c r="I2790" s="182"/>
      <c r="J2790" s="182"/>
      <c r="K2790" s="182"/>
      <c r="L2790" s="182"/>
      <c r="M2790" s="182"/>
      <c r="N2790" s="182"/>
      <c r="O2790" s="182"/>
      <c r="P2790" s="182"/>
    </row>
    <row r="2791" spans="1:76" s="81" customFormat="1" x14ac:dyDescent="0.25">
      <c r="A2791" s="85" t="s">
        <v>54</v>
      </c>
      <c r="B2791" s="74" t="s">
        <v>4081</v>
      </c>
      <c r="C2791" s="74" t="s">
        <v>845</v>
      </c>
      <c r="D2791" s="176" t="s">
        <v>1336</v>
      </c>
      <c r="E2791" s="176"/>
      <c r="F2791" s="85" t="s">
        <v>4</v>
      </c>
      <c r="G2791" s="85" t="s">
        <v>4</v>
      </c>
      <c r="H2791" s="85" t="s">
        <v>4</v>
      </c>
      <c r="I2791" s="85" t="s">
        <v>4</v>
      </c>
      <c r="J2791" s="86">
        <f>SUM(J2792:J2806)</f>
        <v>0</v>
      </c>
      <c r="K2791" s="86">
        <f>SUM(K2792:K2806)</f>
        <v>0</v>
      </c>
      <c r="L2791" s="86">
        <f>SUM(L2792:L2806)</f>
        <v>0</v>
      </c>
      <c r="M2791" s="86">
        <f>SUM(M2792:M2806)</f>
        <v>0</v>
      </c>
      <c r="N2791" s="87" t="s">
        <v>54</v>
      </c>
      <c r="O2791" s="86">
        <f>SUM(O2792:O2806)</f>
        <v>1697.1724988000001</v>
      </c>
      <c r="P2791" s="87" t="s">
        <v>54</v>
      </c>
      <c r="AI2791" s="88" t="s">
        <v>4081</v>
      </c>
      <c r="AS2791" s="89">
        <f>SUM(AJ2792:AJ2806)</f>
        <v>0</v>
      </c>
      <c r="AT2791" s="89">
        <f>SUM(AK2792:AK2806)</f>
        <v>0</v>
      </c>
      <c r="AU2791" s="89">
        <f>SUM(AL2792:AL2806)</f>
        <v>0</v>
      </c>
    </row>
    <row r="2792" spans="1:76" s="81" customFormat="1" x14ac:dyDescent="0.25">
      <c r="A2792" s="72" t="s">
        <v>4152</v>
      </c>
      <c r="B2792" s="72" t="s">
        <v>4081</v>
      </c>
      <c r="C2792" s="72" t="s">
        <v>4136</v>
      </c>
      <c r="D2792" s="175" t="s">
        <v>4137</v>
      </c>
      <c r="E2792" s="175"/>
      <c r="F2792" s="72" t="s">
        <v>62</v>
      </c>
      <c r="G2792" s="90">
        <v>2879.34</v>
      </c>
      <c r="H2792" s="91"/>
      <c r="I2792" s="92" t="s">
        <v>63</v>
      </c>
      <c r="J2792" s="90">
        <f>G2792*AO2792</f>
        <v>0</v>
      </c>
      <c r="K2792" s="90">
        <f>G2792*AP2792</f>
        <v>0</v>
      </c>
      <c r="L2792" s="90">
        <f>G2792*H2792</f>
        <v>0</v>
      </c>
      <c r="M2792" s="90">
        <f>L2792*(1+BW2792/100)</f>
        <v>0</v>
      </c>
      <c r="N2792" s="90">
        <v>0.35082000000000002</v>
      </c>
      <c r="O2792" s="90">
        <f>G2792*N2792</f>
        <v>1010.1300588000001</v>
      </c>
      <c r="P2792" s="92" t="s">
        <v>578</v>
      </c>
      <c r="Z2792" s="93">
        <f>IF(AQ2792="5",BJ2792,0)</f>
        <v>0</v>
      </c>
      <c r="AB2792" s="93">
        <f>IF(AQ2792="1",BH2792,0)</f>
        <v>0</v>
      </c>
      <c r="AC2792" s="93">
        <f>IF(AQ2792="1",BI2792,0)</f>
        <v>0</v>
      </c>
      <c r="AD2792" s="93">
        <f>IF(AQ2792="7",BH2792,0)</f>
        <v>0</v>
      </c>
      <c r="AE2792" s="93">
        <f>IF(AQ2792="7",BI2792,0)</f>
        <v>0</v>
      </c>
      <c r="AF2792" s="93">
        <f>IF(AQ2792="2",BH2792,0)</f>
        <v>0</v>
      </c>
      <c r="AG2792" s="93">
        <f>IF(AQ2792="2",BI2792,0)</f>
        <v>0</v>
      </c>
      <c r="AH2792" s="93">
        <f>IF(AQ2792="0",BJ2792,0)</f>
        <v>0</v>
      </c>
      <c r="AI2792" s="88" t="s">
        <v>4081</v>
      </c>
      <c r="AJ2792" s="93">
        <f>IF(AN2792=0,L2792,0)</f>
        <v>0</v>
      </c>
      <c r="AK2792" s="93">
        <f>IF(AN2792=12,L2792,0)</f>
        <v>0</v>
      </c>
      <c r="AL2792" s="93">
        <f>IF(AN2792=21,L2792,0)</f>
        <v>0</v>
      </c>
      <c r="AN2792" s="93">
        <v>21</v>
      </c>
      <c r="AO2792" s="93">
        <f>H2792*0.028156621</f>
        <v>0</v>
      </c>
      <c r="AP2792" s="93">
        <f>H2792*(1-0.028156621)</f>
        <v>0</v>
      </c>
      <c r="AQ2792" s="94" t="s">
        <v>59</v>
      </c>
      <c r="AV2792" s="93">
        <f>AW2792+AX2792</f>
        <v>0</v>
      </c>
      <c r="AW2792" s="93">
        <f>G2792*AO2792</f>
        <v>0</v>
      </c>
      <c r="AX2792" s="93">
        <f>G2792*AP2792</f>
        <v>0</v>
      </c>
      <c r="AY2792" s="94" t="s">
        <v>1340</v>
      </c>
      <c r="AZ2792" s="94" t="s">
        <v>4123</v>
      </c>
      <c r="BA2792" s="88" t="s">
        <v>4089</v>
      </c>
      <c r="BC2792" s="93">
        <f>AW2792+AX2792</f>
        <v>0</v>
      </c>
      <c r="BD2792" s="93">
        <f>H2792/(100-BE2792)*100</f>
        <v>0</v>
      </c>
      <c r="BE2792" s="93">
        <v>0</v>
      </c>
      <c r="BF2792" s="93">
        <f>O2792</f>
        <v>1010.1300588000001</v>
      </c>
      <c r="BH2792" s="93">
        <f>G2792*AO2792</f>
        <v>0</v>
      </c>
      <c r="BI2792" s="93">
        <f>G2792*AP2792</f>
        <v>0</v>
      </c>
      <c r="BJ2792" s="93">
        <f>G2792*H2792</f>
        <v>0</v>
      </c>
      <c r="BK2792" s="93"/>
      <c r="BL2792" s="93">
        <v>98</v>
      </c>
      <c r="BW2792" s="93" t="str">
        <f>I2792</f>
        <v>21</v>
      </c>
      <c r="BX2792" s="2" t="s">
        <v>4137</v>
      </c>
    </row>
    <row r="2793" spans="1:76" s="81" customFormat="1" ht="27" customHeight="1" x14ac:dyDescent="0.25">
      <c r="A2793" s="95"/>
      <c r="B2793" s="95"/>
      <c r="C2793" s="95"/>
      <c r="D2793" s="182" t="s">
        <v>4138</v>
      </c>
      <c r="E2793" s="182"/>
      <c r="F2793" s="182"/>
      <c r="G2793" s="182"/>
      <c r="H2793" s="182"/>
      <c r="I2793" s="182"/>
      <c r="J2793" s="182"/>
      <c r="K2793" s="182"/>
      <c r="L2793" s="182"/>
      <c r="M2793" s="182"/>
      <c r="N2793" s="182"/>
      <c r="O2793" s="182"/>
      <c r="P2793" s="182"/>
    </row>
    <row r="2794" spans="1:76" s="81" customFormat="1" x14ac:dyDescent="0.25">
      <c r="A2794" s="95"/>
      <c r="B2794" s="95"/>
      <c r="C2794" s="95"/>
      <c r="D2794" s="76" t="s">
        <v>54</v>
      </c>
      <c r="E2794" s="76" t="s">
        <v>4139</v>
      </c>
      <c r="F2794" s="95"/>
      <c r="G2794" s="96">
        <v>0</v>
      </c>
      <c r="H2794" s="95"/>
      <c r="I2794" s="95"/>
      <c r="J2794" s="95"/>
      <c r="K2794" s="95"/>
      <c r="L2794" s="95"/>
      <c r="M2794" s="95"/>
      <c r="N2794" s="95"/>
      <c r="O2794" s="95"/>
      <c r="P2794" s="95"/>
    </row>
    <row r="2795" spans="1:76" s="81" customFormat="1" x14ac:dyDescent="0.25">
      <c r="A2795" s="95"/>
      <c r="B2795" s="95"/>
      <c r="C2795" s="95"/>
      <c r="D2795" s="76" t="s">
        <v>4140</v>
      </c>
      <c r="E2795" s="76" t="s">
        <v>54</v>
      </c>
      <c r="F2795" s="95"/>
      <c r="G2795" s="96">
        <v>2879.34</v>
      </c>
      <c r="H2795" s="95"/>
      <c r="I2795" s="95"/>
      <c r="J2795" s="95"/>
      <c r="K2795" s="95"/>
      <c r="L2795" s="95"/>
      <c r="M2795" s="95"/>
      <c r="N2795" s="95"/>
      <c r="O2795" s="95"/>
      <c r="P2795" s="95"/>
    </row>
    <row r="2796" spans="1:76" s="81" customFormat="1" x14ac:dyDescent="0.25">
      <c r="A2796" s="72" t="s">
        <v>4155</v>
      </c>
      <c r="B2796" s="72" t="s">
        <v>4081</v>
      </c>
      <c r="C2796" s="72" t="s">
        <v>4142</v>
      </c>
      <c r="D2796" s="175" t="s">
        <v>4143</v>
      </c>
      <c r="E2796" s="175"/>
      <c r="F2796" s="72" t="s">
        <v>62</v>
      </c>
      <c r="G2796" s="90">
        <v>1631</v>
      </c>
      <c r="H2796" s="91"/>
      <c r="I2796" s="92" t="s">
        <v>63</v>
      </c>
      <c r="J2796" s="90">
        <f>G2796*AO2796</f>
        <v>0</v>
      </c>
      <c r="K2796" s="90">
        <f>G2796*AP2796</f>
        <v>0</v>
      </c>
      <c r="L2796" s="90">
        <f>G2796*H2796</f>
        <v>0</v>
      </c>
      <c r="M2796" s="90">
        <f>L2796*(1+BW2796/100)</f>
        <v>0</v>
      </c>
      <c r="N2796" s="90">
        <v>0.42124</v>
      </c>
      <c r="O2796" s="90">
        <f>G2796*N2796</f>
        <v>687.04244000000006</v>
      </c>
      <c r="P2796" s="92" t="s">
        <v>578</v>
      </c>
      <c r="Z2796" s="93">
        <f>IF(AQ2796="5",BJ2796,0)</f>
        <v>0</v>
      </c>
      <c r="AB2796" s="93">
        <f>IF(AQ2796="1",BH2796,0)</f>
        <v>0</v>
      </c>
      <c r="AC2796" s="93">
        <f>IF(AQ2796="1",BI2796,0)</f>
        <v>0</v>
      </c>
      <c r="AD2796" s="93">
        <f>IF(AQ2796="7",BH2796,0)</f>
        <v>0</v>
      </c>
      <c r="AE2796" s="93">
        <f>IF(AQ2796="7",BI2796,0)</f>
        <v>0</v>
      </c>
      <c r="AF2796" s="93">
        <f>IF(AQ2796="2",BH2796,0)</f>
        <v>0</v>
      </c>
      <c r="AG2796" s="93">
        <f>IF(AQ2796="2",BI2796,0)</f>
        <v>0</v>
      </c>
      <c r="AH2796" s="93">
        <f>IF(AQ2796="0",BJ2796,0)</f>
        <v>0</v>
      </c>
      <c r="AI2796" s="88" t="s">
        <v>4081</v>
      </c>
      <c r="AJ2796" s="93">
        <f>IF(AN2796=0,L2796,0)</f>
        <v>0</v>
      </c>
      <c r="AK2796" s="93">
        <f>IF(AN2796=12,L2796,0)</f>
        <v>0</v>
      </c>
      <c r="AL2796" s="93">
        <f>IF(AN2796=21,L2796,0)</f>
        <v>0</v>
      </c>
      <c r="AN2796" s="93">
        <v>21</v>
      </c>
      <c r="AO2796" s="93">
        <f>H2796*0.022789641</f>
        <v>0</v>
      </c>
      <c r="AP2796" s="93">
        <f>H2796*(1-0.022789641)</f>
        <v>0</v>
      </c>
      <c r="AQ2796" s="94" t="s">
        <v>59</v>
      </c>
      <c r="AV2796" s="93">
        <f>AW2796+AX2796</f>
        <v>0</v>
      </c>
      <c r="AW2796" s="93">
        <f>G2796*AO2796</f>
        <v>0</v>
      </c>
      <c r="AX2796" s="93">
        <f>G2796*AP2796</f>
        <v>0</v>
      </c>
      <c r="AY2796" s="94" t="s">
        <v>1340</v>
      </c>
      <c r="AZ2796" s="94" t="s">
        <v>4123</v>
      </c>
      <c r="BA2796" s="88" t="s">
        <v>4089</v>
      </c>
      <c r="BC2796" s="93">
        <f>AW2796+AX2796</f>
        <v>0</v>
      </c>
      <c r="BD2796" s="93">
        <f>H2796/(100-BE2796)*100</f>
        <v>0</v>
      </c>
      <c r="BE2796" s="93">
        <v>0</v>
      </c>
      <c r="BF2796" s="93">
        <f>O2796</f>
        <v>687.04244000000006</v>
      </c>
      <c r="BH2796" s="93">
        <f>G2796*AO2796</f>
        <v>0</v>
      </c>
      <c r="BI2796" s="93">
        <f>G2796*AP2796</f>
        <v>0</v>
      </c>
      <c r="BJ2796" s="93">
        <f>G2796*H2796</f>
        <v>0</v>
      </c>
      <c r="BK2796" s="93"/>
      <c r="BL2796" s="93">
        <v>98</v>
      </c>
      <c r="BW2796" s="93" t="str">
        <f>I2796</f>
        <v>21</v>
      </c>
      <c r="BX2796" s="2" t="s">
        <v>4143</v>
      </c>
    </row>
    <row r="2797" spans="1:76" s="81" customFormat="1" ht="31.5" customHeight="1" x14ac:dyDescent="0.25">
      <c r="A2797" s="95"/>
      <c r="B2797" s="95"/>
      <c r="C2797" s="95"/>
      <c r="D2797" s="182" t="s">
        <v>4138</v>
      </c>
      <c r="E2797" s="182"/>
      <c r="F2797" s="182"/>
      <c r="G2797" s="182"/>
      <c r="H2797" s="182"/>
      <c r="I2797" s="182"/>
      <c r="J2797" s="182"/>
      <c r="K2797" s="182"/>
      <c r="L2797" s="182"/>
      <c r="M2797" s="182"/>
      <c r="N2797" s="182"/>
      <c r="O2797" s="182"/>
      <c r="P2797" s="182"/>
    </row>
    <row r="2798" spans="1:76" s="81" customFormat="1" x14ac:dyDescent="0.25">
      <c r="A2798" s="95"/>
      <c r="B2798" s="95"/>
      <c r="C2798" s="95"/>
      <c r="D2798" s="76" t="s">
        <v>54</v>
      </c>
      <c r="E2798" s="76" t="s">
        <v>4139</v>
      </c>
      <c r="F2798" s="95"/>
      <c r="G2798" s="96">
        <v>0</v>
      </c>
      <c r="H2798" s="97"/>
      <c r="I2798" s="95"/>
      <c r="J2798" s="95"/>
      <c r="K2798" s="95"/>
      <c r="L2798" s="95"/>
      <c r="M2798" s="95"/>
      <c r="N2798" s="95"/>
      <c r="O2798" s="95"/>
      <c r="P2798" s="95"/>
    </row>
    <row r="2799" spans="1:76" s="81" customFormat="1" x14ac:dyDescent="0.25">
      <c r="A2799" s="95"/>
      <c r="B2799" s="95"/>
      <c r="C2799" s="95"/>
      <c r="D2799" s="76" t="s">
        <v>4144</v>
      </c>
      <c r="E2799" s="76" t="s">
        <v>54</v>
      </c>
      <c r="F2799" s="95"/>
      <c r="G2799" s="96">
        <v>1631</v>
      </c>
      <c r="H2799" s="97"/>
      <c r="I2799" s="95"/>
      <c r="J2799" s="95"/>
      <c r="K2799" s="95"/>
      <c r="L2799" s="95"/>
      <c r="M2799" s="95"/>
      <c r="N2799" s="95"/>
      <c r="O2799" s="95"/>
      <c r="P2799" s="95"/>
    </row>
    <row r="2800" spans="1:76" s="81" customFormat="1" x14ac:dyDescent="0.25">
      <c r="A2800" s="72" t="s">
        <v>4159</v>
      </c>
      <c r="B2800" s="72" t="s">
        <v>4081</v>
      </c>
      <c r="C2800" s="72" t="s">
        <v>4146</v>
      </c>
      <c r="D2800" s="175" t="s">
        <v>4147</v>
      </c>
      <c r="E2800" s="175"/>
      <c r="F2800" s="72" t="s">
        <v>222</v>
      </c>
      <c r="G2800" s="90">
        <v>1692.789</v>
      </c>
      <c r="H2800" s="91"/>
      <c r="I2800" s="92" t="s">
        <v>63</v>
      </c>
      <c r="J2800" s="90">
        <f>G2800*AO2800</f>
        <v>0</v>
      </c>
      <c r="K2800" s="90">
        <f>G2800*AP2800</f>
        <v>0</v>
      </c>
      <c r="L2800" s="90">
        <f>G2800*H2800</f>
        <v>0</v>
      </c>
      <c r="M2800" s="90">
        <f>L2800*(1+BW2800/100)</f>
        <v>0</v>
      </c>
      <c r="N2800" s="90">
        <v>0</v>
      </c>
      <c r="O2800" s="90">
        <f>G2800*N2800</f>
        <v>0</v>
      </c>
      <c r="P2800" s="92" t="s">
        <v>64</v>
      </c>
      <c r="Z2800" s="93">
        <f>IF(AQ2800="5",BJ2800,0)</f>
        <v>0</v>
      </c>
      <c r="AB2800" s="93">
        <f>IF(AQ2800="1",BH2800,0)</f>
        <v>0</v>
      </c>
      <c r="AC2800" s="93">
        <f>IF(AQ2800="1",BI2800,0)</f>
        <v>0</v>
      </c>
      <c r="AD2800" s="93">
        <f>IF(AQ2800="7",BH2800,0)</f>
        <v>0</v>
      </c>
      <c r="AE2800" s="93">
        <f>IF(AQ2800="7",BI2800,0)</f>
        <v>0</v>
      </c>
      <c r="AF2800" s="93">
        <f>IF(AQ2800="2",BH2800,0)</f>
        <v>0</v>
      </c>
      <c r="AG2800" s="93">
        <f>IF(AQ2800="2",BI2800,0)</f>
        <v>0</v>
      </c>
      <c r="AH2800" s="93">
        <f>IF(AQ2800="0",BJ2800,0)</f>
        <v>0</v>
      </c>
      <c r="AI2800" s="88" t="s">
        <v>4081</v>
      </c>
      <c r="AJ2800" s="93">
        <f>IF(AN2800=0,L2800,0)</f>
        <v>0</v>
      </c>
      <c r="AK2800" s="93">
        <f>IF(AN2800=12,L2800,0)</f>
        <v>0</v>
      </c>
      <c r="AL2800" s="93">
        <f>IF(AN2800=21,L2800,0)</f>
        <v>0</v>
      </c>
      <c r="AN2800" s="93">
        <v>21</v>
      </c>
      <c r="AO2800" s="93">
        <f>H2800*0</f>
        <v>0</v>
      </c>
      <c r="AP2800" s="93">
        <f>H2800*(1-0)</f>
        <v>0</v>
      </c>
      <c r="AQ2800" s="94" t="s">
        <v>136</v>
      </c>
      <c r="AV2800" s="93">
        <f>AW2800+AX2800</f>
        <v>0</v>
      </c>
      <c r="AW2800" s="93">
        <f>G2800*AO2800</f>
        <v>0</v>
      </c>
      <c r="AX2800" s="93">
        <f>G2800*AP2800</f>
        <v>0</v>
      </c>
      <c r="AY2800" s="94" t="s">
        <v>1340</v>
      </c>
      <c r="AZ2800" s="94" t="s">
        <v>4123</v>
      </c>
      <c r="BA2800" s="88" t="s">
        <v>4089</v>
      </c>
      <c r="BC2800" s="93">
        <f>AW2800+AX2800</f>
        <v>0</v>
      </c>
      <c r="BD2800" s="93">
        <f>H2800/(100-BE2800)*100</f>
        <v>0</v>
      </c>
      <c r="BE2800" s="93">
        <v>0</v>
      </c>
      <c r="BF2800" s="93">
        <f>O2800</f>
        <v>0</v>
      </c>
      <c r="BH2800" s="93">
        <f>G2800*AO2800</f>
        <v>0</v>
      </c>
      <c r="BI2800" s="93">
        <f>G2800*AP2800</f>
        <v>0</v>
      </c>
      <c r="BJ2800" s="93">
        <f>G2800*H2800</f>
        <v>0</v>
      </c>
      <c r="BK2800" s="93"/>
      <c r="BL2800" s="93">
        <v>98</v>
      </c>
      <c r="BW2800" s="93" t="str">
        <f>I2800</f>
        <v>21</v>
      </c>
      <c r="BX2800" s="2" t="s">
        <v>4147</v>
      </c>
    </row>
    <row r="2801" spans="1:76" s="81" customFormat="1" x14ac:dyDescent="0.25">
      <c r="A2801" s="72" t="s">
        <v>4166</v>
      </c>
      <c r="B2801" s="72" t="s">
        <v>4081</v>
      </c>
      <c r="C2801" s="72" t="s">
        <v>4149</v>
      </c>
      <c r="D2801" s="175" t="s">
        <v>4150</v>
      </c>
      <c r="E2801" s="175"/>
      <c r="F2801" s="72" t="s">
        <v>222</v>
      </c>
      <c r="G2801" s="90">
        <v>32162.991000000002</v>
      </c>
      <c r="H2801" s="91"/>
      <c r="I2801" s="92" t="s">
        <v>63</v>
      </c>
      <c r="J2801" s="90">
        <f>G2801*AO2801</f>
        <v>0</v>
      </c>
      <c r="K2801" s="90">
        <f>G2801*AP2801</f>
        <v>0</v>
      </c>
      <c r="L2801" s="90">
        <f>G2801*H2801</f>
        <v>0</v>
      </c>
      <c r="M2801" s="90">
        <f>L2801*(1+BW2801/100)</f>
        <v>0</v>
      </c>
      <c r="N2801" s="90">
        <v>0</v>
      </c>
      <c r="O2801" s="90">
        <f>G2801*N2801</f>
        <v>0</v>
      </c>
      <c r="P2801" s="92" t="s">
        <v>64</v>
      </c>
      <c r="Z2801" s="93">
        <f>IF(AQ2801="5",BJ2801,0)</f>
        <v>0</v>
      </c>
      <c r="AB2801" s="93">
        <f>IF(AQ2801="1",BH2801,0)</f>
        <v>0</v>
      </c>
      <c r="AC2801" s="93">
        <f>IF(AQ2801="1",BI2801,0)</f>
        <v>0</v>
      </c>
      <c r="AD2801" s="93">
        <f>IF(AQ2801="7",BH2801,0)</f>
        <v>0</v>
      </c>
      <c r="AE2801" s="93">
        <f>IF(AQ2801="7",BI2801,0)</f>
        <v>0</v>
      </c>
      <c r="AF2801" s="93">
        <f>IF(AQ2801="2",BH2801,0)</f>
        <v>0</v>
      </c>
      <c r="AG2801" s="93">
        <f>IF(AQ2801="2",BI2801,0)</f>
        <v>0</v>
      </c>
      <c r="AH2801" s="93">
        <f>IF(AQ2801="0",BJ2801,0)</f>
        <v>0</v>
      </c>
      <c r="AI2801" s="88" t="s">
        <v>4081</v>
      </c>
      <c r="AJ2801" s="93">
        <f>IF(AN2801=0,L2801,0)</f>
        <v>0</v>
      </c>
      <c r="AK2801" s="93">
        <f>IF(AN2801=12,L2801,0)</f>
        <v>0</v>
      </c>
      <c r="AL2801" s="93">
        <f>IF(AN2801=21,L2801,0)</f>
        <v>0</v>
      </c>
      <c r="AN2801" s="93">
        <v>21</v>
      </c>
      <c r="AO2801" s="93">
        <f>H2801*0</f>
        <v>0</v>
      </c>
      <c r="AP2801" s="93">
        <f>H2801*(1-0)</f>
        <v>0</v>
      </c>
      <c r="AQ2801" s="94" t="s">
        <v>136</v>
      </c>
      <c r="AV2801" s="93">
        <f>AW2801+AX2801</f>
        <v>0</v>
      </c>
      <c r="AW2801" s="93">
        <f>G2801*AO2801</f>
        <v>0</v>
      </c>
      <c r="AX2801" s="93">
        <f>G2801*AP2801</f>
        <v>0</v>
      </c>
      <c r="AY2801" s="94" t="s">
        <v>1340</v>
      </c>
      <c r="AZ2801" s="94" t="s">
        <v>4123</v>
      </c>
      <c r="BA2801" s="88" t="s">
        <v>4089</v>
      </c>
      <c r="BC2801" s="93">
        <f>AW2801+AX2801</f>
        <v>0</v>
      </c>
      <c r="BD2801" s="93">
        <f>H2801/(100-BE2801)*100</f>
        <v>0</v>
      </c>
      <c r="BE2801" s="93">
        <v>0</v>
      </c>
      <c r="BF2801" s="93">
        <f>O2801</f>
        <v>0</v>
      </c>
      <c r="BH2801" s="93">
        <f>G2801*AO2801</f>
        <v>0</v>
      </c>
      <c r="BI2801" s="93">
        <f>G2801*AP2801</f>
        <v>0</v>
      </c>
      <c r="BJ2801" s="93">
        <f>G2801*H2801</f>
        <v>0</v>
      </c>
      <c r="BK2801" s="93"/>
      <c r="BL2801" s="93">
        <v>98</v>
      </c>
      <c r="BW2801" s="93" t="str">
        <f>I2801</f>
        <v>21</v>
      </c>
      <c r="BX2801" s="2" t="s">
        <v>4150</v>
      </c>
    </row>
    <row r="2802" spans="1:76" s="81" customFormat="1" x14ac:dyDescent="0.25">
      <c r="A2802" s="95"/>
      <c r="B2802" s="95"/>
      <c r="C2802" s="95"/>
      <c r="D2802" s="76" t="s">
        <v>4151</v>
      </c>
      <c r="E2802" s="76" t="s">
        <v>54</v>
      </c>
      <c r="F2802" s="95"/>
      <c r="G2802" s="96">
        <v>32162.991000000002</v>
      </c>
      <c r="H2802" s="97"/>
      <c r="I2802" s="95"/>
      <c r="J2802" s="95"/>
      <c r="K2802" s="95"/>
      <c r="L2802" s="95"/>
      <c r="M2802" s="95"/>
      <c r="N2802" s="95"/>
      <c r="O2802" s="95"/>
      <c r="P2802" s="95"/>
    </row>
    <row r="2803" spans="1:76" s="81" customFormat="1" x14ac:dyDescent="0.25">
      <c r="A2803" s="72" t="s">
        <v>4172</v>
      </c>
      <c r="B2803" s="72" t="s">
        <v>4081</v>
      </c>
      <c r="C2803" s="72" t="s">
        <v>4153</v>
      </c>
      <c r="D2803" s="175" t="s">
        <v>4154</v>
      </c>
      <c r="E2803" s="175"/>
      <c r="F2803" s="72" t="s">
        <v>222</v>
      </c>
      <c r="G2803" s="90">
        <v>1184.9522999999999</v>
      </c>
      <c r="H2803" s="91"/>
      <c r="I2803" s="92" t="s">
        <v>63</v>
      </c>
      <c r="J2803" s="90">
        <f>G2803*AO2803</f>
        <v>0</v>
      </c>
      <c r="K2803" s="90">
        <f>G2803*AP2803</f>
        <v>0</v>
      </c>
      <c r="L2803" s="90">
        <f>G2803*H2803</f>
        <v>0</v>
      </c>
      <c r="M2803" s="90">
        <f>L2803*(1+BW2803/100)</f>
        <v>0</v>
      </c>
      <c r="N2803" s="90">
        <v>0</v>
      </c>
      <c r="O2803" s="90">
        <f>G2803*N2803</f>
        <v>0</v>
      </c>
      <c r="P2803" s="92" t="s">
        <v>64</v>
      </c>
      <c r="Z2803" s="93">
        <f>IF(AQ2803="5",BJ2803,0)</f>
        <v>0</v>
      </c>
      <c r="AB2803" s="93">
        <f>IF(AQ2803="1",BH2803,0)</f>
        <v>0</v>
      </c>
      <c r="AC2803" s="93">
        <f>IF(AQ2803="1",BI2803,0)</f>
        <v>0</v>
      </c>
      <c r="AD2803" s="93">
        <f>IF(AQ2803="7",BH2803,0)</f>
        <v>0</v>
      </c>
      <c r="AE2803" s="93">
        <f>IF(AQ2803="7",BI2803,0)</f>
        <v>0</v>
      </c>
      <c r="AF2803" s="93">
        <f>IF(AQ2803="2",BH2803,0)</f>
        <v>0</v>
      </c>
      <c r="AG2803" s="93">
        <f>IF(AQ2803="2",BI2803,0)</f>
        <v>0</v>
      </c>
      <c r="AH2803" s="93">
        <f>IF(AQ2803="0",BJ2803,0)</f>
        <v>0</v>
      </c>
      <c r="AI2803" s="88" t="s">
        <v>4081</v>
      </c>
      <c r="AJ2803" s="93">
        <f>IF(AN2803=0,L2803,0)</f>
        <v>0</v>
      </c>
      <c r="AK2803" s="93">
        <f>IF(AN2803=12,L2803,0)</f>
        <v>0</v>
      </c>
      <c r="AL2803" s="93">
        <f>IF(AN2803=21,L2803,0)</f>
        <v>0</v>
      </c>
      <c r="AN2803" s="93">
        <v>21</v>
      </c>
      <c r="AO2803" s="93">
        <f>H2803*0</f>
        <v>0</v>
      </c>
      <c r="AP2803" s="93">
        <f>H2803*(1-0)</f>
        <v>0</v>
      </c>
      <c r="AQ2803" s="94" t="s">
        <v>136</v>
      </c>
      <c r="AV2803" s="93">
        <f>AW2803+AX2803</f>
        <v>0</v>
      </c>
      <c r="AW2803" s="93">
        <f>G2803*AO2803</f>
        <v>0</v>
      </c>
      <c r="AX2803" s="93">
        <f>G2803*AP2803</f>
        <v>0</v>
      </c>
      <c r="AY2803" s="94" t="s">
        <v>1340</v>
      </c>
      <c r="AZ2803" s="94" t="s">
        <v>4123</v>
      </c>
      <c r="BA2803" s="88" t="s">
        <v>4089</v>
      </c>
      <c r="BC2803" s="93">
        <f>AW2803+AX2803</f>
        <v>0</v>
      </c>
      <c r="BD2803" s="93">
        <f>H2803/(100-BE2803)*100</f>
        <v>0</v>
      </c>
      <c r="BE2803" s="93">
        <v>0</v>
      </c>
      <c r="BF2803" s="93">
        <f>O2803</f>
        <v>0</v>
      </c>
      <c r="BH2803" s="93">
        <f>G2803*AO2803</f>
        <v>0</v>
      </c>
      <c r="BI2803" s="93">
        <f>G2803*AP2803</f>
        <v>0</v>
      </c>
      <c r="BJ2803" s="93">
        <f>G2803*H2803</f>
        <v>0</v>
      </c>
      <c r="BK2803" s="93"/>
      <c r="BL2803" s="93">
        <v>98</v>
      </c>
      <c r="BW2803" s="93" t="str">
        <f>I2803</f>
        <v>21</v>
      </c>
      <c r="BX2803" s="2" t="s">
        <v>4154</v>
      </c>
    </row>
    <row r="2804" spans="1:76" s="81" customFormat="1" x14ac:dyDescent="0.25">
      <c r="A2804" s="72" t="s">
        <v>4177</v>
      </c>
      <c r="B2804" s="72" t="s">
        <v>4081</v>
      </c>
      <c r="C2804" s="72" t="s">
        <v>4156</v>
      </c>
      <c r="D2804" s="175" t="s">
        <v>4157</v>
      </c>
      <c r="E2804" s="175"/>
      <c r="F2804" s="72" t="s">
        <v>222</v>
      </c>
      <c r="G2804" s="90">
        <v>449.91635000000002</v>
      </c>
      <c r="H2804" s="91"/>
      <c r="I2804" s="92" t="s">
        <v>63</v>
      </c>
      <c r="J2804" s="90">
        <f>G2804*AO2804</f>
        <v>0</v>
      </c>
      <c r="K2804" s="90">
        <f>G2804*AP2804</f>
        <v>0</v>
      </c>
      <c r="L2804" s="90">
        <f>G2804*H2804</f>
        <v>0</v>
      </c>
      <c r="M2804" s="90">
        <f>L2804*(1+BW2804/100)</f>
        <v>0</v>
      </c>
      <c r="N2804" s="90">
        <v>0</v>
      </c>
      <c r="O2804" s="90">
        <f>G2804*N2804</f>
        <v>0</v>
      </c>
      <c r="P2804" s="92" t="s">
        <v>64</v>
      </c>
      <c r="Z2804" s="93">
        <f>IF(AQ2804="5",BJ2804,0)</f>
        <v>0</v>
      </c>
      <c r="AB2804" s="93">
        <f>IF(AQ2804="1",BH2804,0)</f>
        <v>0</v>
      </c>
      <c r="AC2804" s="93">
        <f>IF(AQ2804="1",BI2804,0)</f>
        <v>0</v>
      </c>
      <c r="AD2804" s="93">
        <f>IF(AQ2804="7",BH2804,0)</f>
        <v>0</v>
      </c>
      <c r="AE2804" s="93">
        <f>IF(AQ2804="7",BI2804,0)</f>
        <v>0</v>
      </c>
      <c r="AF2804" s="93">
        <f>IF(AQ2804="2",BH2804,0)</f>
        <v>0</v>
      </c>
      <c r="AG2804" s="93">
        <f>IF(AQ2804="2",BI2804,0)</f>
        <v>0</v>
      </c>
      <c r="AH2804" s="93">
        <f>IF(AQ2804="0",BJ2804,0)</f>
        <v>0</v>
      </c>
      <c r="AI2804" s="88" t="s">
        <v>4081</v>
      </c>
      <c r="AJ2804" s="93">
        <f>IF(AN2804=0,L2804,0)</f>
        <v>0</v>
      </c>
      <c r="AK2804" s="93">
        <f>IF(AN2804=12,L2804,0)</f>
        <v>0</v>
      </c>
      <c r="AL2804" s="93">
        <f>IF(AN2804=21,L2804,0)</f>
        <v>0</v>
      </c>
      <c r="AN2804" s="93">
        <v>21</v>
      </c>
      <c r="AO2804" s="93">
        <f>H2804*0</f>
        <v>0</v>
      </c>
      <c r="AP2804" s="93">
        <f>H2804*(1-0)</f>
        <v>0</v>
      </c>
      <c r="AQ2804" s="94" t="s">
        <v>136</v>
      </c>
      <c r="AV2804" s="93">
        <f>AW2804+AX2804</f>
        <v>0</v>
      </c>
      <c r="AW2804" s="93">
        <f>G2804*AO2804</f>
        <v>0</v>
      </c>
      <c r="AX2804" s="93">
        <f>G2804*AP2804</f>
        <v>0</v>
      </c>
      <c r="AY2804" s="94" t="s">
        <v>1340</v>
      </c>
      <c r="AZ2804" s="94" t="s">
        <v>4123</v>
      </c>
      <c r="BA2804" s="88" t="s">
        <v>4089</v>
      </c>
      <c r="BC2804" s="93">
        <f>AW2804+AX2804</f>
        <v>0</v>
      </c>
      <c r="BD2804" s="93">
        <f>H2804/(100-BE2804)*100</f>
        <v>0</v>
      </c>
      <c r="BE2804" s="93">
        <v>0</v>
      </c>
      <c r="BF2804" s="93">
        <f>O2804</f>
        <v>0</v>
      </c>
      <c r="BH2804" s="93">
        <f>G2804*AO2804</f>
        <v>0</v>
      </c>
      <c r="BI2804" s="93">
        <f>G2804*AP2804</f>
        <v>0</v>
      </c>
      <c r="BJ2804" s="93">
        <f>G2804*H2804</f>
        <v>0</v>
      </c>
      <c r="BK2804" s="93"/>
      <c r="BL2804" s="93">
        <v>98</v>
      </c>
      <c r="BW2804" s="93" t="str">
        <f>I2804</f>
        <v>21</v>
      </c>
      <c r="BX2804" s="2" t="s">
        <v>4157</v>
      </c>
    </row>
    <row r="2805" spans="1:76" s="81" customFormat="1" ht="25.5" x14ac:dyDescent="0.25">
      <c r="A2805" s="95"/>
      <c r="B2805" s="95"/>
      <c r="C2805" s="95"/>
      <c r="D2805" s="76" t="s">
        <v>4158</v>
      </c>
      <c r="E2805" s="76" t="s">
        <v>54</v>
      </c>
      <c r="F2805" s="95"/>
      <c r="G2805" s="96">
        <v>449.91635000000002</v>
      </c>
      <c r="H2805" s="97"/>
      <c r="I2805" s="95"/>
      <c r="J2805" s="95"/>
      <c r="K2805" s="95"/>
      <c r="L2805" s="95"/>
      <c r="M2805" s="95"/>
      <c r="N2805" s="95"/>
      <c r="O2805" s="95"/>
      <c r="P2805" s="95"/>
    </row>
    <row r="2806" spans="1:76" s="81" customFormat="1" x14ac:dyDescent="0.25">
      <c r="A2806" s="72" t="s">
        <v>4184</v>
      </c>
      <c r="B2806" s="72" t="s">
        <v>4081</v>
      </c>
      <c r="C2806" s="72" t="s">
        <v>4160</v>
      </c>
      <c r="D2806" s="175" t="s">
        <v>4161</v>
      </c>
      <c r="E2806" s="175"/>
      <c r="F2806" s="72" t="s">
        <v>222</v>
      </c>
      <c r="G2806" s="90">
        <v>32.445500000000003</v>
      </c>
      <c r="H2806" s="91"/>
      <c r="I2806" s="92" t="s">
        <v>63</v>
      </c>
      <c r="J2806" s="90">
        <f>G2806*AO2806</f>
        <v>0</v>
      </c>
      <c r="K2806" s="90">
        <f>G2806*AP2806</f>
        <v>0</v>
      </c>
      <c r="L2806" s="90">
        <f>G2806*H2806</f>
        <v>0</v>
      </c>
      <c r="M2806" s="90">
        <f>L2806*(1+BW2806/100)</f>
        <v>0</v>
      </c>
      <c r="N2806" s="90">
        <v>0</v>
      </c>
      <c r="O2806" s="90">
        <f>G2806*N2806</f>
        <v>0</v>
      </c>
      <c r="P2806" s="92" t="s">
        <v>64</v>
      </c>
      <c r="Z2806" s="93">
        <f>IF(AQ2806="5",BJ2806,0)</f>
        <v>0</v>
      </c>
      <c r="AB2806" s="93">
        <f>IF(AQ2806="1",BH2806,0)</f>
        <v>0</v>
      </c>
      <c r="AC2806" s="93">
        <f>IF(AQ2806="1",BI2806,0)</f>
        <v>0</v>
      </c>
      <c r="AD2806" s="93">
        <f>IF(AQ2806="7",BH2806,0)</f>
        <v>0</v>
      </c>
      <c r="AE2806" s="93">
        <f>IF(AQ2806="7",BI2806,0)</f>
        <v>0</v>
      </c>
      <c r="AF2806" s="93">
        <f>IF(AQ2806="2",BH2806,0)</f>
        <v>0</v>
      </c>
      <c r="AG2806" s="93">
        <f>IF(AQ2806="2",BI2806,0)</f>
        <v>0</v>
      </c>
      <c r="AH2806" s="93">
        <f>IF(AQ2806="0",BJ2806,0)</f>
        <v>0</v>
      </c>
      <c r="AI2806" s="88" t="s">
        <v>4081</v>
      </c>
      <c r="AJ2806" s="93">
        <f>IF(AN2806=0,L2806,0)</f>
        <v>0</v>
      </c>
      <c r="AK2806" s="93">
        <f>IF(AN2806=12,L2806,0)</f>
        <v>0</v>
      </c>
      <c r="AL2806" s="93">
        <f>IF(AN2806=21,L2806,0)</f>
        <v>0</v>
      </c>
      <c r="AN2806" s="93">
        <v>21</v>
      </c>
      <c r="AO2806" s="93">
        <f>H2806*0</f>
        <v>0</v>
      </c>
      <c r="AP2806" s="93">
        <f>H2806*(1-0)</f>
        <v>0</v>
      </c>
      <c r="AQ2806" s="94" t="s">
        <v>136</v>
      </c>
      <c r="AV2806" s="93">
        <f>AW2806+AX2806</f>
        <v>0</v>
      </c>
      <c r="AW2806" s="93">
        <f>G2806*AO2806</f>
        <v>0</v>
      </c>
      <c r="AX2806" s="93">
        <f>G2806*AP2806</f>
        <v>0</v>
      </c>
      <c r="AY2806" s="94" t="s">
        <v>1340</v>
      </c>
      <c r="AZ2806" s="94" t="s">
        <v>4123</v>
      </c>
      <c r="BA2806" s="88" t="s">
        <v>4089</v>
      </c>
      <c r="BC2806" s="93">
        <f>AW2806+AX2806</f>
        <v>0</v>
      </c>
      <c r="BD2806" s="93">
        <f>H2806/(100-BE2806)*100</f>
        <v>0</v>
      </c>
      <c r="BE2806" s="93">
        <v>0</v>
      </c>
      <c r="BF2806" s="93">
        <f>O2806</f>
        <v>0</v>
      </c>
      <c r="BH2806" s="93">
        <f>G2806*AO2806</f>
        <v>0</v>
      </c>
      <c r="BI2806" s="93">
        <f>G2806*AP2806</f>
        <v>0</v>
      </c>
      <c r="BJ2806" s="93">
        <f>G2806*H2806</f>
        <v>0</v>
      </c>
      <c r="BK2806" s="93"/>
      <c r="BL2806" s="93">
        <v>98</v>
      </c>
      <c r="BW2806" s="93" t="str">
        <f>I2806</f>
        <v>21</v>
      </c>
      <c r="BX2806" s="2" t="s">
        <v>4161</v>
      </c>
    </row>
    <row r="2807" spans="1:76" s="81" customFormat="1" x14ac:dyDescent="0.25">
      <c r="A2807" s="85" t="s">
        <v>54</v>
      </c>
      <c r="B2807" s="74" t="s">
        <v>4081</v>
      </c>
      <c r="C2807" s="74" t="s">
        <v>4162</v>
      </c>
      <c r="D2807" s="176" t="s">
        <v>4163</v>
      </c>
      <c r="E2807" s="176"/>
      <c r="F2807" s="85" t="s">
        <v>4</v>
      </c>
      <c r="G2807" s="85" t="s">
        <v>4</v>
      </c>
      <c r="H2807" s="98" t="s">
        <v>4</v>
      </c>
      <c r="I2807" s="85" t="s">
        <v>4</v>
      </c>
      <c r="J2807" s="86">
        <f>J2808+J2811+J2814+J2817+J2819+J2822+J2824</f>
        <v>0</v>
      </c>
      <c r="K2807" s="86">
        <f>K2808+K2811+K2814+K2817+K2819+K2822+K2824</f>
        <v>0</v>
      </c>
      <c r="L2807" s="86">
        <f>L2808+L2811+L2814+L2817+L2819+L2822+L2824</f>
        <v>0</v>
      </c>
      <c r="M2807" s="86">
        <f>M2808+M2811+M2814+M2817+M2819+M2822+M2824</f>
        <v>0</v>
      </c>
      <c r="N2807" s="87" t="s">
        <v>54</v>
      </c>
      <c r="O2807" s="86">
        <f>O2808+O2811+O2814+O2817+O2819+O2822+O2824</f>
        <v>0</v>
      </c>
      <c r="P2807" s="87" t="s">
        <v>54</v>
      </c>
      <c r="AI2807" s="88" t="s">
        <v>4081</v>
      </c>
    </row>
    <row r="2808" spans="1:76" s="81" customFormat="1" x14ac:dyDescent="0.25">
      <c r="A2808" s="85" t="s">
        <v>54</v>
      </c>
      <c r="B2808" s="74" t="s">
        <v>4081</v>
      </c>
      <c r="C2808" s="74" t="s">
        <v>4164</v>
      </c>
      <c r="D2808" s="176" t="s">
        <v>4165</v>
      </c>
      <c r="E2808" s="176"/>
      <c r="F2808" s="85" t="s">
        <v>4</v>
      </c>
      <c r="G2808" s="85" t="s">
        <v>4</v>
      </c>
      <c r="H2808" s="98" t="s">
        <v>4</v>
      </c>
      <c r="I2808" s="85" t="s">
        <v>4</v>
      </c>
      <c r="J2808" s="86">
        <f>SUM(J2809:J2810)</f>
        <v>0</v>
      </c>
      <c r="K2808" s="86">
        <f>SUM(K2809:K2810)</f>
        <v>0</v>
      </c>
      <c r="L2808" s="86">
        <f>SUM(L2809:L2810)</f>
        <v>0</v>
      </c>
      <c r="M2808" s="86">
        <f>SUM(M2809:M2810)</f>
        <v>0</v>
      </c>
      <c r="N2808" s="87" t="s">
        <v>54</v>
      </c>
      <c r="O2808" s="86">
        <f>SUM(O2809:O2810)</f>
        <v>0</v>
      </c>
      <c r="P2808" s="87" t="s">
        <v>54</v>
      </c>
      <c r="AI2808" s="88" t="s">
        <v>4081</v>
      </c>
      <c r="AS2808" s="89">
        <f>SUM(AJ2809:AJ2810)</f>
        <v>0</v>
      </c>
      <c r="AT2808" s="89">
        <f>SUM(AK2809:AK2810)</f>
        <v>0</v>
      </c>
      <c r="AU2808" s="89">
        <f>SUM(AL2809:AL2810)</f>
        <v>0</v>
      </c>
    </row>
    <row r="2809" spans="1:76" s="81" customFormat="1" ht="13.5" customHeight="1" x14ac:dyDescent="0.25">
      <c r="A2809" s="72" t="s">
        <v>4188</v>
      </c>
      <c r="B2809" s="72" t="s">
        <v>4081</v>
      </c>
      <c r="C2809" s="72" t="s">
        <v>4167</v>
      </c>
      <c r="D2809" s="175" t="s">
        <v>4168</v>
      </c>
      <c r="E2809" s="175"/>
      <c r="F2809" s="72" t="s">
        <v>4169</v>
      </c>
      <c r="G2809" s="90">
        <v>1</v>
      </c>
      <c r="H2809" s="91"/>
      <c r="I2809" s="92" t="s">
        <v>63</v>
      </c>
      <c r="J2809" s="90">
        <f>G2809*AO2809</f>
        <v>0</v>
      </c>
      <c r="K2809" s="90">
        <f>G2809*AP2809</f>
        <v>0</v>
      </c>
      <c r="L2809" s="90">
        <f>G2809*H2809</f>
        <v>0</v>
      </c>
      <c r="M2809" s="90">
        <f>L2809*(1+BW2809/100)</f>
        <v>0</v>
      </c>
      <c r="N2809" s="90">
        <v>0</v>
      </c>
      <c r="O2809" s="90">
        <f>G2809*N2809</f>
        <v>0</v>
      </c>
      <c r="P2809" s="92" t="s">
        <v>64</v>
      </c>
      <c r="Z2809" s="93">
        <f>IF(AQ2809="5",BJ2809,0)</f>
        <v>0</v>
      </c>
      <c r="AB2809" s="93">
        <f>IF(AQ2809="1",BH2809,0)</f>
        <v>0</v>
      </c>
      <c r="AC2809" s="93">
        <f>IF(AQ2809="1",BI2809,0)</f>
        <v>0</v>
      </c>
      <c r="AD2809" s="93">
        <f>IF(AQ2809="7",BH2809,0)</f>
        <v>0</v>
      </c>
      <c r="AE2809" s="93">
        <f>IF(AQ2809="7",BI2809,0)</f>
        <v>0</v>
      </c>
      <c r="AF2809" s="93">
        <f>IF(AQ2809="2",BH2809,0)</f>
        <v>0</v>
      </c>
      <c r="AG2809" s="93">
        <f>IF(AQ2809="2",BI2809,0)</f>
        <v>0</v>
      </c>
      <c r="AH2809" s="93">
        <f>IF(AQ2809="0",BJ2809,0)</f>
        <v>0</v>
      </c>
      <c r="AI2809" s="88" t="s">
        <v>4081</v>
      </c>
      <c r="AJ2809" s="93">
        <f>IF(AN2809=0,L2809,0)</f>
        <v>0</v>
      </c>
      <c r="AK2809" s="93">
        <f>IF(AN2809=12,L2809,0)</f>
        <v>0</v>
      </c>
      <c r="AL2809" s="93">
        <f>IF(AN2809=21,L2809,0)</f>
        <v>0</v>
      </c>
      <c r="AN2809" s="93">
        <v>21</v>
      </c>
      <c r="AO2809" s="93">
        <f>H2809*0</f>
        <v>0</v>
      </c>
      <c r="AP2809" s="93">
        <f>H2809*(1-0)</f>
        <v>0</v>
      </c>
      <c r="AQ2809" s="94" t="s">
        <v>852</v>
      </c>
      <c r="AV2809" s="93">
        <f>AW2809+AX2809</f>
        <v>0</v>
      </c>
      <c r="AW2809" s="93">
        <f>G2809*AO2809</f>
        <v>0</v>
      </c>
      <c r="AX2809" s="93">
        <f>G2809*AP2809</f>
        <v>0</v>
      </c>
      <c r="AY2809" s="94" t="s">
        <v>4170</v>
      </c>
      <c r="AZ2809" s="94" t="s">
        <v>4171</v>
      </c>
      <c r="BA2809" s="88" t="s">
        <v>4089</v>
      </c>
      <c r="BC2809" s="93">
        <f>AW2809+AX2809</f>
        <v>0</v>
      </c>
      <c r="BD2809" s="93">
        <f>H2809/(100-BE2809)*100</f>
        <v>0</v>
      </c>
      <c r="BE2809" s="93">
        <v>0</v>
      </c>
      <c r="BF2809" s="93">
        <f>O2809</f>
        <v>0</v>
      </c>
      <c r="BH2809" s="93">
        <f>G2809*AO2809</f>
        <v>0</v>
      </c>
      <c r="BI2809" s="93">
        <f>G2809*AP2809</f>
        <v>0</v>
      </c>
      <c r="BJ2809" s="93">
        <f>G2809*H2809</f>
        <v>0</v>
      </c>
      <c r="BK2809" s="93"/>
      <c r="BL2809" s="93"/>
      <c r="BM2809" s="93">
        <f>G2809*H2809</f>
        <v>0</v>
      </c>
      <c r="BW2809" s="93" t="str">
        <f>I2809</f>
        <v>21</v>
      </c>
      <c r="BX2809" s="2" t="s">
        <v>4168</v>
      </c>
    </row>
    <row r="2810" spans="1:76" s="81" customFormat="1" ht="13.5" customHeight="1" x14ac:dyDescent="0.25">
      <c r="A2810" s="72" t="s">
        <v>4193</v>
      </c>
      <c r="B2810" s="72" t="s">
        <v>4081</v>
      </c>
      <c r="C2810" s="72" t="s">
        <v>4173</v>
      </c>
      <c r="D2810" s="175" t="s">
        <v>4174</v>
      </c>
      <c r="E2810" s="175"/>
      <c r="F2810" s="72" t="s">
        <v>4169</v>
      </c>
      <c r="G2810" s="90">
        <v>1</v>
      </c>
      <c r="H2810" s="91"/>
      <c r="I2810" s="92" t="s">
        <v>63</v>
      </c>
      <c r="J2810" s="90">
        <f>G2810*AO2810</f>
        <v>0</v>
      </c>
      <c r="K2810" s="90">
        <f>G2810*AP2810</f>
        <v>0</v>
      </c>
      <c r="L2810" s="90">
        <f>G2810*H2810</f>
        <v>0</v>
      </c>
      <c r="M2810" s="90">
        <f>L2810*(1+BW2810/100)</f>
        <v>0</v>
      </c>
      <c r="N2810" s="90">
        <v>0</v>
      </c>
      <c r="O2810" s="90">
        <f>G2810*N2810</f>
        <v>0</v>
      </c>
      <c r="P2810" s="92" t="s">
        <v>64</v>
      </c>
      <c r="Z2810" s="93">
        <f>IF(AQ2810="5",BJ2810,0)</f>
        <v>0</v>
      </c>
      <c r="AB2810" s="93">
        <f>IF(AQ2810="1",BH2810,0)</f>
        <v>0</v>
      </c>
      <c r="AC2810" s="93">
        <f>IF(AQ2810="1",BI2810,0)</f>
        <v>0</v>
      </c>
      <c r="AD2810" s="93">
        <f>IF(AQ2810="7",BH2810,0)</f>
        <v>0</v>
      </c>
      <c r="AE2810" s="93">
        <f>IF(AQ2810="7",BI2810,0)</f>
        <v>0</v>
      </c>
      <c r="AF2810" s="93">
        <f>IF(AQ2810="2",BH2810,0)</f>
        <v>0</v>
      </c>
      <c r="AG2810" s="93">
        <f>IF(AQ2810="2",BI2810,0)</f>
        <v>0</v>
      </c>
      <c r="AH2810" s="93">
        <f>IF(AQ2810="0",BJ2810,0)</f>
        <v>0</v>
      </c>
      <c r="AI2810" s="88" t="s">
        <v>4081</v>
      </c>
      <c r="AJ2810" s="93">
        <f>IF(AN2810=0,L2810,0)</f>
        <v>0</v>
      </c>
      <c r="AK2810" s="93">
        <f>IF(AN2810=12,L2810,0)</f>
        <v>0</v>
      </c>
      <c r="AL2810" s="93">
        <f>IF(AN2810=21,L2810,0)</f>
        <v>0</v>
      </c>
      <c r="AN2810" s="93">
        <v>21</v>
      </c>
      <c r="AO2810" s="93">
        <f>H2810*0</f>
        <v>0</v>
      </c>
      <c r="AP2810" s="93">
        <f>H2810*(1-0)</f>
        <v>0</v>
      </c>
      <c r="AQ2810" s="94" t="s">
        <v>852</v>
      </c>
      <c r="AV2810" s="93">
        <f>AW2810+AX2810</f>
        <v>0</v>
      </c>
      <c r="AW2810" s="93">
        <f>G2810*AO2810</f>
        <v>0</v>
      </c>
      <c r="AX2810" s="93">
        <f>G2810*AP2810</f>
        <v>0</v>
      </c>
      <c r="AY2810" s="94" t="s">
        <v>4170</v>
      </c>
      <c r="AZ2810" s="94" t="s">
        <v>4171</v>
      </c>
      <c r="BA2810" s="88" t="s">
        <v>4089</v>
      </c>
      <c r="BC2810" s="93">
        <f>AW2810+AX2810</f>
        <v>0</v>
      </c>
      <c r="BD2810" s="93">
        <f>H2810/(100-BE2810)*100</f>
        <v>0</v>
      </c>
      <c r="BE2810" s="93">
        <v>0</v>
      </c>
      <c r="BF2810" s="93">
        <f>O2810</f>
        <v>0</v>
      </c>
      <c r="BH2810" s="93">
        <f>G2810*AO2810</f>
        <v>0</v>
      </c>
      <c r="BI2810" s="93">
        <f>G2810*AP2810</f>
        <v>0</v>
      </c>
      <c r="BJ2810" s="93">
        <f>G2810*H2810</f>
        <v>0</v>
      </c>
      <c r="BK2810" s="93"/>
      <c r="BL2810" s="93"/>
      <c r="BM2810" s="93">
        <f>G2810*H2810</f>
        <v>0</v>
      </c>
      <c r="BW2810" s="93" t="str">
        <f>I2810</f>
        <v>21</v>
      </c>
      <c r="BX2810" s="2" t="s">
        <v>4174</v>
      </c>
    </row>
    <row r="2811" spans="1:76" s="81" customFormat="1" ht="13.5" customHeight="1" x14ac:dyDescent="0.25">
      <c r="A2811" s="85" t="s">
        <v>54</v>
      </c>
      <c r="B2811" s="74" t="s">
        <v>4081</v>
      </c>
      <c r="C2811" s="74" t="s">
        <v>4175</v>
      </c>
      <c r="D2811" s="176" t="s">
        <v>4176</v>
      </c>
      <c r="E2811" s="176"/>
      <c r="F2811" s="85" t="s">
        <v>4</v>
      </c>
      <c r="G2811" s="85" t="s">
        <v>4</v>
      </c>
      <c r="H2811" s="98" t="s">
        <v>4</v>
      </c>
      <c r="I2811" s="85" t="s">
        <v>4</v>
      </c>
      <c r="J2811" s="86">
        <f>SUM(J2812:J2812)</f>
        <v>0</v>
      </c>
      <c r="K2811" s="86">
        <f>SUM(K2812:K2812)</f>
        <v>0</v>
      </c>
      <c r="L2811" s="86">
        <f>SUM(L2812:L2812)</f>
        <v>0</v>
      </c>
      <c r="M2811" s="86">
        <f>SUM(M2812:M2812)</f>
        <v>0</v>
      </c>
      <c r="N2811" s="87" t="s">
        <v>54</v>
      </c>
      <c r="O2811" s="86">
        <f>SUM(O2812:O2812)</f>
        <v>0</v>
      </c>
      <c r="P2811" s="87" t="s">
        <v>54</v>
      </c>
      <c r="AI2811" s="88" t="s">
        <v>4081</v>
      </c>
      <c r="AS2811" s="89">
        <f>SUM(AJ2812:AJ2812)</f>
        <v>0</v>
      </c>
      <c r="AT2811" s="89">
        <f>SUM(AK2812:AK2812)</f>
        <v>0</v>
      </c>
      <c r="AU2811" s="89">
        <f>SUM(AL2812:AL2812)</f>
        <v>0</v>
      </c>
    </row>
    <row r="2812" spans="1:76" s="81" customFormat="1" ht="13.5" customHeight="1" x14ac:dyDescent="0.25">
      <c r="A2812" s="72" t="s">
        <v>4199</v>
      </c>
      <c r="B2812" s="72" t="s">
        <v>4081</v>
      </c>
      <c r="C2812" s="72" t="s">
        <v>4178</v>
      </c>
      <c r="D2812" s="175" t="s">
        <v>4179</v>
      </c>
      <c r="E2812" s="175"/>
      <c r="F2812" s="72" t="s">
        <v>4169</v>
      </c>
      <c r="G2812" s="90">
        <v>1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</v>
      </c>
      <c r="O2812" s="90">
        <f>G2812*N2812</f>
        <v>0</v>
      </c>
      <c r="P2812" s="92" t="s">
        <v>64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4081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</f>
        <v>0</v>
      </c>
      <c r="AP2812" s="93">
        <f>H2812*(1-0)</f>
        <v>0</v>
      </c>
      <c r="AQ2812" s="94" t="s">
        <v>852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4180</v>
      </c>
      <c r="AZ2812" s="94" t="s">
        <v>4171</v>
      </c>
      <c r="BA2812" s="88" t="s">
        <v>4089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0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/>
      <c r="BO2812" s="93">
        <f>G2812*H2812</f>
        <v>0</v>
      </c>
      <c r="BW2812" s="93" t="str">
        <f>I2812</f>
        <v>21</v>
      </c>
      <c r="BX2812" s="2" t="s">
        <v>4179</v>
      </c>
    </row>
    <row r="2813" spans="1:76" s="81" customFormat="1" ht="13.5" customHeight="1" x14ac:dyDescent="0.25">
      <c r="A2813" s="95"/>
      <c r="B2813" s="95"/>
      <c r="C2813" s="95"/>
      <c r="D2813" s="182" t="s">
        <v>4181</v>
      </c>
      <c r="E2813" s="182"/>
      <c r="F2813" s="182"/>
      <c r="G2813" s="182"/>
      <c r="H2813" s="182"/>
      <c r="I2813" s="182"/>
      <c r="J2813" s="182"/>
      <c r="K2813" s="182"/>
      <c r="L2813" s="182"/>
      <c r="M2813" s="182"/>
      <c r="N2813" s="182"/>
      <c r="O2813" s="182"/>
      <c r="P2813" s="182"/>
    </row>
    <row r="2814" spans="1:76" s="81" customFormat="1" ht="13.5" customHeight="1" x14ac:dyDescent="0.25">
      <c r="A2814" s="85" t="s">
        <v>54</v>
      </c>
      <c r="B2814" s="74" t="s">
        <v>4081</v>
      </c>
      <c r="C2814" s="74" t="s">
        <v>4182</v>
      </c>
      <c r="D2814" s="176" t="s">
        <v>4183</v>
      </c>
      <c r="E2814" s="176"/>
      <c r="F2814" s="85" t="s">
        <v>4</v>
      </c>
      <c r="G2814" s="85" t="s">
        <v>4</v>
      </c>
      <c r="H2814" s="85" t="s">
        <v>4</v>
      </c>
      <c r="I2814" s="85" t="s">
        <v>4</v>
      </c>
      <c r="J2814" s="86">
        <f>SUM(J2815:J2816)</f>
        <v>0</v>
      </c>
      <c r="K2814" s="86">
        <f>SUM(K2815:K2816)</f>
        <v>0</v>
      </c>
      <c r="L2814" s="86">
        <f>SUM(L2815:L2816)</f>
        <v>0</v>
      </c>
      <c r="M2814" s="86">
        <f>SUM(M2815:M2816)</f>
        <v>0</v>
      </c>
      <c r="N2814" s="87" t="s">
        <v>54</v>
      </c>
      <c r="O2814" s="86">
        <f>SUM(O2815:O2816)</f>
        <v>0</v>
      </c>
      <c r="P2814" s="87" t="s">
        <v>54</v>
      </c>
      <c r="AI2814" s="88" t="s">
        <v>4081</v>
      </c>
      <c r="AS2814" s="89">
        <f>SUM(AJ2815:AJ2816)</f>
        <v>0</v>
      </c>
      <c r="AT2814" s="89">
        <f>SUM(AK2815:AK2816)</f>
        <v>0</v>
      </c>
      <c r="AU2814" s="89">
        <f>SUM(AL2815:AL2816)</f>
        <v>0</v>
      </c>
    </row>
    <row r="2815" spans="1:76" s="81" customFormat="1" ht="13.5" customHeight="1" x14ac:dyDescent="0.25">
      <c r="A2815" s="72" t="s">
        <v>4202</v>
      </c>
      <c r="B2815" s="72" t="s">
        <v>4081</v>
      </c>
      <c r="C2815" s="72" t="s">
        <v>4185</v>
      </c>
      <c r="D2815" s="175" t="s">
        <v>4186</v>
      </c>
      <c r="E2815" s="175"/>
      <c r="F2815" s="72" t="s">
        <v>4169</v>
      </c>
      <c r="G2815" s="90">
        <v>1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0</v>
      </c>
      <c r="O2815" s="90">
        <f>G2815*N2815</f>
        <v>0</v>
      </c>
      <c r="P2815" s="92" t="s">
        <v>64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4081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</f>
        <v>0</v>
      </c>
      <c r="AP2815" s="93">
        <f>H2815*(1-0)</f>
        <v>0</v>
      </c>
      <c r="AQ2815" s="94" t="s">
        <v>852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4187</v>
      </c>
      <c r="AZ2815" s="94" t="s">
        <v>4171</v>
      </c>
      <c r="BA2815" s="88" t="s">
        <v>4089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0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/>
      <c r="BP2815" s="93">
        <f>G2815*H2815</f>
        <v>0</v>
      </c>
      <c r="BW2815" s="93" t="str">
        <f>I2815</f>
        <v>21</v>
      </c>
      <c r="BX2815" s="2" t="s">
        <v>4186</v>
      </c>
    </row>
    <row r="2816" spans="1:76" s="81" customFormat="1" ht="13.5" customHeight="1" x14ac:dyDescent="0.25">
      <c r="A2816" s="72" t="s">
        <v>4207</v>
      </c>
      <c r="B2816" s="72" t="s">
        <v>4081</v>
      </c>
      <c r="C2816" s="72" t="s">
        <v>4189</v>
      </c>
      <c r="D2816" s="175" t="s">
        <v>4190</v>
      </c>
      <c r="E2816" s="175"/>
      <c r="F2816" s="72" t="s">
        <v>4169</v>
      </c>
      <c r="G2816" s="90">
        <v>1</v>
      </c>
      <c r="H2816" s="91"/>
      <c r="I2816" s="92" t="s">
        <v>63</v>
      </c>
      <c r="J2816" s="90">
        <f>G2816*AO2816</f>
        <v>0</v>
      </c>
      <c r="K2816" s="90">
        <f>G2816*AP2816</f>
        <v>0</v>
      </c>
      <c r="L2816" s="90">
        <f>G2816*H2816</f>
        <v>0</v>
      </c>
      <c r="M2816" s="90">
        <f>L2816*(1+BW2816/100)</f>
        <v>0</v>
      </c>
      <c r="N2816" s="90">
        <v>0</v>
      </c>
      <c r="O2816" s="90">
        <f>G2816*N2816</f>
        <v>0</v>
      </c>
      <c r="P2816" s="92" t="s">
        <v>64</v>
      </c>
      <c r="Z2816" s="93">
        <f>IF(AQ2816="5",BJ2816,0)</f>
        <v>0</v>
      </c>
      <c r="AB2816" s="93">
        <f>IF(AQ2816="1",BH2816,0)</f>
        <v>0</v>
      </c>
      <c r="AC2816" s="93">
        <f>IF(AQ2816="1",BI2816,0)</f>
        <v>0</v>
      </c>
      <c r="AD2816" s="93">
        <f>IF(AQ2816="7",BH2816,0)</f>
        <v>0</v>
      </c>
      <c r="AE2816" s="93">
        <f>IF(AQ2816="7",BI2816,0)</f>
        <v>0</v>
      </c>
      <c r="AF2816" s="93">
        <f>IF(AQ2816="2",BH2816,0)</f>
        <v>0</v>
      </c>
      <c r="AG2816" s="93">
        <f>IF(AQ2816="2",BI2816,0)</f>
        <v>0</v>
      </c>
      <c r="AH2816" s="93">
        <f>IF(AQ2816="0",BJ2816,0)</f>
        <v>0</v>
      </c>
      <c r="AI2816" s="88" t="s">
        <v>4081</v>
      </c>
      <c r="AJ2816" s="93">
        <f>IF(AN2816=0,L2816,0)</f>
        <v>0</v>
      </c>
      <c r="AK2816" s="93">
        <f>IF(AN2816=12,L2816,0)</f>
        <v>0</v>
      </c>
      <c r="AL2816" s="93">
        <f>IF(AN2816=21,L2816,0)</f>
        <v>0</v>
      </c>
      <c r="AN2816" s="93">
        <v>21</v>
      </c>
      <c r="AO2816" s="93">
        <f>H2816*0</f>
        <v>0</v>
      </c>
      <c r="AP2816" s="93">
        <f>H2816*(1-0)</f>
        <v>0</v>
      </c>
      <c r="AQ2816" s="94" t="s">
        <v>852</v>
      </c>
      <c r="AV2816" s="93">
        <f>AW2816+AX2816</f>
        <v>0</v>
      </c>
      <c r="AW2816" s="93">
        <f>G2816*AO2816</f>
        <v>0</v>
      </c>
      <c r="AX2816" s="93">
        <f>G2816*AP2816</f>
        <v>0</v>
      </c>
      <c r="AY2816" s="94" t="s">
        <v>4187</v>
      </c>
      <c r="AZ2816" s="94" t="s">
        <v>4171</v>
      </c>
      <c r="BA2816" s="88" t="s">
        <v>4089</v>
      </c>
      <c r="BC2816" s="93">
        <f>AW2816+AX2816</f>
        <v>0</v>
      </c>
      <c r="BD2816" s="93">
        <f>H2816/(100-BE2816)*100</f>
        <v>0</v>
      </c>
      <c r="BE2816" s="93">
        <v>0</v>
      </c>
      <c r="BF2816" s="93">
        <f>O2816</f>
        <v>0</v>
      </c>
      <c r="BH2816" s="93">
        <f>G2816*AO2816</f>
        <v>0</v>
      </c>
      <c r="BI2816" s="93">
        <f>G2816*AP2816</f>
        <v>0</v>
      </c>
      <c r="BJ2816" s="93">
        <f>G2816*H2816</f>
        <v>0</v>
      </c>
      <c r="BK2816" s="93"/>
      <c r="BL2816" s="93"/>
      <c r="BP2816" s="93">
        <f>G2816*H2816</f>
        <v>0</v>
      </c>
      <c r="BW2816" s="93" t="str">
        <f>I2816</f>
        <v>21</v>
      </c>
      <c r="BX2816" s="2" t="s">
        <v>4190</v>
      </c>
    </row>
    <row r="2817" spans="1:76" s="81" customFormat="1" ht="13.5" customHeight="1" x14ac:dyDescent="0.25">
      <c r="A2817" s="85" t="s">
        <v>54</v>
      </c>
      <c r="B2817" s="74" t="s">
        <v>4081</v>
      </c>
      <c r="C2817" s="74" t="s">
        <v>4191</v>
      </c>
      <c r="D2817" s="176" t="s">
        <v>4192</v>
      </c>
      <c r="E2817" s="176"/>
      <c r="F2817" s="85" t="s">
        <v>4</v>
      </c>
      <c r="G2817" s="85" t="s">
        <v>4</v>
      </c>
      <c r="H2817" s="98" t="s">
        <v>4</v>
      </c>
      <c r="I2817" s="85" t="s">
        <v>4</v>
      </c>
      <c r="J2817" s="86">
        <f>SUM(J2818:J2818)</f>
        <v>0</v>
      </c>
      <c r="K2817" s="86">
        <f>SUM(K2818:K2818)</f>
        <v>0</v>
      </c>
      <c r="L2817" s="86">
        <f>SUM(L2818:L2818)</f>
        <v>0</v>
      </c>
      <c r="M2817" s="86">
        <f>SUM(M2818:M2818)</f>
        <v>0</v>
      </c>
      <c r="N2817" s="87" t="s">
        <v>54</v>
      </c>
      <c r="O2817" s="86">
        <f>SUM(O2818:O2818)</f>
        <v>0</v>
      </c>
      <c r="P2817" s="87" t="s">
        <v>54</v>
      </c>
      <c r="AI2817" s="88" t="s">
        <v>4081</v>
      </c>
      <c r="AS2817" s="89">
        <f>SUM(AJ2818:AJ2818)</f>
        <v>0</v>
      </c>
      <c r="AT2817" s="89">
        <f>SUM(AK2818:AK2818)</f>
        <v>0</v>
      </c>
      <c r="AU2817" s="89">
        <f>SUM(AL2818:AL2818)</f>
        <v>0</v>
      </c>
    </row>
    <row r="2818" spans="1:76" s="81" customFormat="1" ht="13.5" customHeight="1" x14ac:dyDescent="0.25">
      <c r="A2818" s="72" t="s">
        <v>4212</v>
      </c>
      <c r="B2818" s="72" t="s">
        <v>4081</v>
      </c>
      <c r="C2818" s="72" t="s">
        <v>4194</v>
      </c>
      <c r="D2818" s="175" t="s">
        <v>4195</v>
      </c>
      <c r="E2818" s="175"/>
      <c r="F2818" s="72" t="s">
        <v>4169</v>
      </c>
      <c r="G2818" s="90">
        <v>1</v>
      </c>
      <c r="H2818" s="91"/>
      <c r="I2818" s="92" t="s">
        <v>63</v>
      </c>
      <c r="J2818" s="90">
        <f>G2818*AO2818</f>
        <v>0</v>
      </c>
      <c r="K2818" s="90">
        <f>G2818*AP2818</f>
        <v>0</v>
      </c>
      <c r="L2818" s="90">
        <f>G2818*H2818</f>
        <v>0</v>
      </c>
      <c r="M2818" s="90">
        <f>L2818*(1+BW2818/100)</f>
        <v>0</v>
      </c>
      <c r="N2818" s="90">
        <v>0</v>
      </c>
      <c r="O2818" s="90">
        <f>G2818*N2818</f>
        <v>0</v>
      </c>
      <c r="P2818" s="92" t="s">
        <v>64</v>
      </c>
      <c r="Z2818" s="93">
        <f>IF(AQ2818="5",BJ2818,0)</f>
        <v>0</v>
      </c>
      <c r="AB2818" s="93">
        <f>IF(AQ2818="1",BH2818,0)</f>
        <v>0</v>
      </c>
      <c r="AC2818" s="93">
        <f>IF(AQ2818="1",BI2818,0)</f>
        <v>0</v>
      </c>
      <c r="AD2818" s="93">
        <f>IF(AQ2818="7",BH2818,0)</f>
        <v>0</v>
      </c>
      <c r="AE2818" s="93">
        <f>IF(AQ2818="7",BI2818,0)</f>
        <v>0</v>
      </c>
      <c r="AF2818" s="93">
        <f>IF(AQ2818="2",BH2818,0)</f>
        <v>0</v>
      </c>
      <c r="AG2818" s="93">
        <f>IF(AQ2818="2",BI2818,0)</f>
        <v>0</v>
      </c>
      <c r="AH2818" s="93">
        <f>IF(AQ2818="0",BJ2818,0)</f>
        <v>0</v>
      </c>
      <c r="AI2818" s="88" t="s">
        <v>4081</v>
      </c>
      <c r="AJ2818" s="93">
        <f>IF(AN2818=0,L2818,0)</f>
        <v>0</v>
      </c>
      <c r="AK2818" s="93">
        <f>IF(AN2818=12,L2818,0)</f>
        <v>0</v>
      </c>
      <c r="AL2818" s="93">
        <f>IF(AN2818=21,L2818,0)</f>
        <v>0</v>
      </c>
      <c r="AN2818" s="93">
        <v>21</v>
      </c>
      <c r="AO2818" s="93">
        <f>H2818*0</f>
        <v>0</v>
      </c>
      <c r="AP2818" s="93">
        <f>H2818*(1-0)</f>
        <v>0</v>
      </c>
      <c r="AQ2818" s="94" t="s">
        <v>852</v>
      </c>
      <c r="AV2818" s="93">
        <f>AW2818+AX2818</f>
        <v>0</v>
      </c>
      <c r="AW2818" s="93">
        <f>G2818*AO2818</f>
        <v>0</v>
      </c>
      <c r="AX2818" s="93">
        <f>G2818*AP2818</f>
        <v>0</v>
      </c>
      <c r="AY2818" s="94" t="s">
        <v>4196</v>
      </c>
      <c r="AZ2818" s="94" t="s">
        <v>4171</v>
      </c>
      <c r="BA2818" s="88" t="s">
        <v>4089</v>
      </c>
      <c r="BC2818" s="93">
        <f>AW2818+AX2818</f>
        <v>0</v>
      </c>
      <c r="BD2818" s="93">
        <f>H2818/(100-BE2818)*100</f>
        <v>0</v>
      </c>
      <c r="BE2818" s="93">
        <v>0</v>
      </c>
      <c r="BF2818" s="93">
        <f>O2818</f>
        <v>0</v>
      </c>
      <c r="BH2818" s="93">
        <f>G2818*AO2818</f>
        <v>0</v>
      </c>
      <c r="BI2818" s="93">
        <f>G2818*AP2818</f>
        <v>0</v>
      </c>
      <c r="BJ2818" s="93">
        <f>G2818*H2818</f>
        <v>0</v>
      </c>
      <c r="BK2818" s="93"/>
      <c r="BL2818" s="93"/>
      <c r="BQ2818" s="93">
        <f>G2818*H2818</f>
        <v>0</v>
      </c>
      <c r="BW2818" s="93" t="str">
        <f>I2818</f>
        <v>21</v>
      </c>
      <c r="BX2818" s="2" t="s">
        <v>4195</v>
      </c>
    </row>
    <row r="2819" spans="1:76" s="81" customFormat="1" ht="13.5" customHeight="1" x14ac:dyDescent="0.25">
      <c r="A2819" s="85" t="s">
        <v>54</v>
      </c>
      <c r="B2819" s="74" t="s">
        <v>4081</v>
      </c>
      <c r="C2819" s="74" t="s">
        <v>4197</v>
      </c>
      <c r="D2819" s="176" t="s">
        <v>4198</v>
      </c>
      <c r="E2819" s="176"/>
      <c r="F2819" s="85" t="s">
        <v>4</v>
      </c>
      <c r="G2819" s="85" t="s">
        <v>4</v>
      </c>
      <c r="H2819" s="98" t="s">
        <v>4</v>
      </c>
      <c r="I2819" s="85" t="s">
        <v>4</v>
      </c>
      <c r="J2819" s="86">
        <f>SUM(J2820:J2821)</f>
        <v>0</v>
      </c>
      <c r="K2819" s="86">
        <f>SUM(K2820:K2821)</f>
        <v>0</v>
      </c>
      <c r="L2819" s="86">
        <f>SUM(L2820:L2821)</f>
        <v>0</v>
      </c>
      <c r="M2819" s="86">
        <f>SUM(M2820:M2821)</f>
        <v>0</v>
      </c>
      <c r="N2819" s="87" t="s">
        <v>54</v>
      </c>
      <c r="O2819" s="86">
        <f>SUM(O2820:O2821)</f>
        <v>0</v>
      </c>
      <c r="P2819" s="87" t="s">
        <v>54</v>
      </c>
      <c r="AI2819" s="88" t="s">
        <v>4081</v>
      </c>
      <c r="AS2819" s="89">
        <f>SUM(AJ2820:AJ2821)</f>
        <v>0</v>
      </c>
      <c r="AT2819" s="89">
        <f>SUM(AK2820:AK2821)</f>
        <v>0</v>
      </c>
      <c r="AU2819" s="89">
        <f>SUM(AL2820:AL2821)</f>
        <v>0</v>
      </c>
    </row>
    <row r="2820" spans="1:76" s="81" customFormat="1" ht="13.5" customHeight="1" x14ac:dyDescent="0.25">
      <c r="A2820" s="72" t="s">
        <v>4216</v>
      </c>
      <c r="B2820" s="72" t="s">
        <v>4081</v>
      </c>
      <c r="C2820" s="72" t="s">
        <v>4200</v>
      </c>
      <c r="D2820" s="175" t="s">
        <v>4198</v>
      </c>
      <c r="E2820" s="175"/>
      <c r="F2820" s="72" t="s">
        <v>4169</v>
      </c>
      <c r="G2820" s="90">
        <v>1</v>
      </c>
      <c r="H2820" s="91"/>
      <c r="I2820" s="92" t="s">
        <v>63</v>
      </c>
      <c r="J2820" s="90">
        <f>G2820*AO2820</f>
        <v>0</v>
      </c>
      <c r="K2820" s="90">
        <f>G2820*AP2820</f>
        <v>0</v>
      </c>
      <c r="L2820" s="90">
        <f>G2820*H2820</f>
        <v>0</v>
      </c>
      <c r="M2820" s="90">
        <f>L2820*(1+BW2820/100)</f>
        <v>0</v>
      </c>
      <c r="N2820" s="90">
        <v>0</v>
      </c>
      <c r="O2820" s="90">
        <f>G2820*N2820</f>
        <v>0</v>
      </c>
      <c r="P2820" s="92" t="s">
        <v>64</v>
      </c>
      <c r="Z2820" s="93">
        <f>IF(AQ2820="5",BJ2820,0)</f>
        <v>0</v>
      </c>
      <c r="AB2820" s="93">
        <f>IF(AQ2820="1",BH2820,0)</f>
        <v>0</v>
      </c>
      <c r="AC2820" s="93">
        <f>IF(AQ2820="1",BI2820,0)</f>
        <v>0</v>
      </c>
      <c r="AD2820" s="93">
        <f>IF(AQ2820="7",BH2820,0)</f>
        <v>0</v>
      </c>
      <c r="AE2820" s="93">
        <f>IF(AQ2820="7",BI2820,0)</f>
        <v>0</v>
      </c>
      <c r="AF2820" s="93">
        <f>IF(AQ2820="2",BH2820,0)</f>
        <v>0</v>
      </c>
      <c r="AG2820" s="93">
        <f>IF(AQ2820="2",BI2820,0)</f>
        <v>0</v>
      </c>
      <c r="AH2820" s="93">
        <f>IF(AQ2820="0",BJ2820,0)</f>
        <v>0</v>
      </c>
      <c r="AI2820" s="88" t="s">
        <v>4081</v>
      </c>
      <c r="AJ2820" s="93">
        <f>IF(AN2820=0,L2820,0)</f>
        <v>0</v>
      </c>
      <c r="AK2820" s="93">
        <f>IF(AN2820=12,L2820,0)</f>
        <v>0</v>
      </c>
      <c r="AL2820" s="93">
        <f>IF(AN2820=21,L2820,0)</f>
        <v>0</v>
      </c>
      <c r="AN2820" s="93">
        <v>21</v>
      </c>
      <c r="AO2820" s="93">
        <f>H2820*0</f>
        <v>0</v>
      </c>
      <c r="AP2820" s="93">
        <f>H2820*(1-0)</f>
        <v>0</v>
      </c>
      <c r="AQ2820" s="94" t="s">
        <v>852</v>
      </c>
      <c r="AV2820" s="93">
        <f>AW2820+AX2820</f>
        <v>0</v>
      </c>
      <c r="AW2820" s="93">
        <f>G2820*AO2820</f>
        <v>0</v>
      </c>
      <c r="AX2820" s="93">
        <f>G2820*AP2820</f>
        <v>0</v>
      </c>
      <c r="AY2820" s="94" t="s">
        <v>4201</v>
      </c>
      <c r="AZ2820" s="94" t="s">
        <v>4171</v>
      </c>
      <c r="BA2820" s="88" t="s">
        <v>4089</v>
      </c>
      <c r="BC2820" s="93">
        <f>AW2820+AX2820</f>
        <v>0</v>
      </c>
      <c r="BD2820" s="93">
        <f>H2820/(100-BE2820)*100</f>
        <v>0</v>
      </c>
      <c r="BE2820" s="93">
        <v>0</v>
      </c>
      <c r="BF2820" s="93">
        <f>O2820</f>
        <v>0</v>
      </c>
      <c r="BH2820" s="93">
        <f>G2820*AO2820</f>
        <v>0</v>
      </c>
      <c r="BI2820" s="93">
        <f>G2820*AP2820</f>
        <v>0</v>
      </c>
      <c r="BJ2820" s="93">
        <f>G2820*H2820</f>
        <v>0</v>
      </c>
      <c r="BK2820" s="93"/>
      <c r="BL2820" s="93"/>
      <c r="BR2820" s="93">
        <f>G2820*H2820</f>
        <v>0</v>
      </c>
      <c r="BW2820" s="93" t="str">
        <f>I2820</f>
        <v>21</v>
      </c>
      <c r="BX2820" s="2" t="s">
        <v>4198</v>
      </c>
    </row>
    <row r="2821" spans="1:76" s="81" customFormat="1" ht="13.5" customHeight="1" x14ac:dyDescent="0.25">
      <c r="A2821" s="72" t="s">
        <v>4218</v>
      </c>
      <c r="B2821" s="72" t="s">
        <v>4081</v>
      </c>
      <c r="C2821" s="72" t="s">
        <v>4203</v>
      </c>
      <c r="D2821" s="175" t="s">
        <v>4204</v>
      </c>
      <c r="E2821" s="175"/>
      <c r="F2821" s="72" t="s">
        <v>4169</v>
      </c>
      <c r="G2821" s="90">
        <v>1</v>
      </c>
      <c r="H2821" s="91"/>
      <c r="I2821" s="92" t="s">
        <v>63</v>
      </c>
      <c r="J2821" s="90">
        <f>G2821*AO2821</f>
        <v>0</v>
      </c>
      <c r="K2821" s="90">
        <f>G2821*AP2821</f>
        <v>0</v>
      </c>
      <c r="L2821" s="90">
        <f>G2821*H2821</f>
        <v>0</v>
      </c>
      <c r="M2821" s="90">
        <f>L2821*(1+BW2821/100)</f>
        <v>0</v>
      </c>
      <c r="N2821" s="90">
        <v>0</v>
      </c>
      <c r="O2821" s="90">
        <f>G2821*N2821</f>
        <v>0</v>
      </c>
      <c r="P2821" s="92" t="s">
        <v>64</v>
      </c>
      <c r="Z2821" s="93">
        <f>IF(AQ2821="5",BJ2821,0)</f>
        <v>0</v>
      </c>
      <c r="AB2821" s="93">
        <f>IF(AQ2821="1",BH2821,0)</f>
        <v>0</v>
      </c>
      <c r="AC2821" s="93">
        <f>IF(AQ2821="1",BI2821,0)</f>
        <v>0</v>
      </c>
      <c r="AD2821" s="93">
        <f>IF(AQ2821="7",BH2821,0)</f>
        <v>0</v>
      </c>
      <c r="AE2821" s="93">
        <f>IF(AQ2821="7",BI2821,0)</f>
        <v>0</v>
      </c>
      <c r="AF2821" s="93">
        <f>IF(AQ2821="2",BH2821,0)</f>
        <v>0</v>
      </c>
      <c r="AG2821" s="93">
        <f>IF(AQ2821="2",BI2821,0)</f>
        <v>0</v>
      </c>
      <c r="AH2821" s="93">
        <f>IF(AQ2821="0",BJ2821,0)</f>
        <v>0</v>
      </c>
      <c r="AI2821" s="88" t="s">
        <v>4081</v>
      </c>
      <c r="AJ2821" s="93">
        <f>IF(AN2821=0,L2821,0)</f>
        <v>0</v>
      </c>
      <c r="AK2821" s="93">
        <f>IF(AN2821=12,L2821,0)</f>
        <v>0</v>
      </c>
      <c r="AL2821" s="93">
        <f>IF(AN2821=21,L2821,0)</f>
        <v>0</v>
      </c>
      <c r="AN2821" s="93">
        <v>21</v>
      </c>
      <c r="AO2821" s="93">
        <f>H2821*0</f>
        <v>0</v>
      </c>
      <c r="AP2821" s="93">
        <f>H2821*(1-0)</f>
        <v>0</v>
      </c>
      <c r="AQ2821" s="94" t="s">
        <v>852</v>
      </c>
      <c r="AV2821" s="93">
        <f>AW2821+AX2821</f>
        <v>0</v>
      </c>
      <c r="AW2821" s="93">
        <f>G2821*AO2821</f>
        <v>0</v>
      </c>
      <c r="AX2821" s="93">
        <f>G2821*AP2821</f>
        <v>0</v>
      </c>
      <c r="AY2821" s="94" t="s">
        <v>4201</v>
      </c>
      <c r="AZ2821" s="94" t="s">
        <v>4171</v>
      </c>
      <c r="BA2821" s="88" t="s">
        <v>4089</v>
      </c>
      <c r="BC2821" s="93">
        <f>AW2821+AX2821</f>
        <v>0</v>
      </c>
      <c r="BD2821" s="93">
        <f>H2821/(100-BE2821)*100</f>
        <v>0</v>
      </c>
      <c r="BE2821" s="93">
        <v>0</v>
      </c>
      <c r="BF2821" s="93">
        <f>O2821</f>
        <v>0</v>
      </c>
      <c r="BH2821" s="93">
        <f>G2821*AO2821</f>
        <v>0</v>
      </c>
      <c r="BI2821" s="93">
        <f>G2821*AP2821</f>
        <v>0</v>
      </c>
      <c r="BJ2821" s="93">
        <f>G2821*H2821</f>
        <v>0</v>
      </c>
      <c r="BK2821" s="93"/>
      <c r="BL2821" s="93"/>
      <c r="BR2821" s="93">
        <f>G2821*H2821</f>
        <v>0</v>
      </c>
      <c r="BW2821" s="93" t="str">
        <f>I2821</f>
        <v>21</v>
      </c>
      <c r="BX2821" s="2" t="s">
        <v>4204</v>
      </c>
    </row>
    <row r="2822" spans="1:76" s="81" customFormat="1" ht="13.5" customHeight="1" x14ac:dyDescent="0.25">
      <c r="A2822" s="85" t="s">
        <v>54</v>
      </c>
      <c r="B2822" s="74" t="s">
        <v>4081</v>
      </c>
      <c r="C2822" s="74" t="s">
        <v>4205</v>
      </c>
      <c r="D2822" s="176" t="s">
        <v>4206</v>
      </c>
      <c r="E2822" s="176"/>
      <c r="F2822" s="85" t="s">
        <v>4</v>
      </c>
      <c r="G2822" s="85" t="s">
        <v>4</v>
      </c>
      <c r="H2822" s="98"/>
      <c r="I2822" s="85" t="s">
        <v>4</v>
      </c>
      <c r="J2822" s="86">
        <f>SUM(J2823:J2823)</f>
        <v>0</v>
      </c>
      <c r="K2822" s="86">
        <f>SUM(K2823:K2823)</f>
        <v>0</v>
      </c>
      <c r="L2822" s="86">
        <f>SUM(L2823:L2823)</f>
        <v>0</v>
      </c>
      <c r="M2822" s="86">
        <f>SUM(M2823:M2823)</f>
        <v>0</v>
      </c>
      <c r="N2822" s="87" t="s">
        <v>54</v>
      </c>
      <c r="O2822" s="86">
        <f>SUM(O2823:O2823)</f>
        <v>0</v>
      </c>
      <c r="P2822" s="87" t="s">
        <v>54</v>
      </c>
      <c r="AI2822" s="88" t="s">
        <v>4081</v>
      </c>
      <c r="AS2822" s="89">
        <f>SUM(AJ2823:AJ2823)</f>
        <v>0</v>
      </c>
      <c r="AT2822" s="89">
        <f>SUM(AK2823:AK2823)</f>
        <v>0</v>
      </c>
      <c r="AU2822" s="89">
        <f>SUM(AL2823:AL2823)</f>
        <v>0</v>
      </c>
    </row>
    <row r="2823" spans="1:76" s="81" customFormat="1" ht="13.5" customHeight="1" x14ac:dyDescent="0.25">
      <c r="A2823" s="72" t="s">
        <v>4222</v>
      </c>
      <c r="B2823" s="72" t="s">
        <v>4081</v>
      </c>
      <c r="C2823" s="72" t="s">
        <v>4208</v>
      </c>
      <c r="D2823" s="175" t="s">
        <v>4206</v>
      </c>
      <c r="E2823" s="175"/>
      <c r="F2823" s="72" t="s">
        <v>4169</v>
      </c>
      <c r="G2823" s="90">
        <v>1</v>
      </c>
      <c r="H2823" s="91"/>
      <c r="I2823" s="92" t="s">
        <v>63</v>
      </c>
      <c r="J2823" s="90">
        <f>G2823*AO2823</f>
        <v>0</v>
      </c>
      <c r="K2823" s="90">
        <f>G2823*AP2823</f>
        <v>0</v>
      </c>
      <c r="L2823" s="90">
        <f>G2823*H2823</f>
        <v>0</v>
      </c>
      <c r="M2823" s="90">
        <f>L2823*(1+BW2823/100)</f>
        <v>0</v>
      </c>
      <c r="N2823" s="90">
        <v>0</v>
      </c>
      <c r="O2823" s="90">
        <f>G2823*N2823</f>
        <v>0</v>
      </c>
      <c r="P2823" s="92" t="s">
        <v>64</v>
      </c>
      <c r="Z2823" s="93">
        <f>IF(AQ2823="5",BJ2823,0)</f>
        <v>0</v>
      </c>
      <c r="AB2823" s="93">
        <f>IF(AQ2823="1",BH2823,0)</f>
        <v>0</v>
      </c>
      <c r="AC2823" s="93">
        <f>IF(AQ2823="1",BI2823,0)</f>
        <v>0</v>
      </c>
      <c r="AD2823" s="93">
        <f>IF(AQ2823="7",BH2823,0)</f>
        <v>0</v>
      </c>
      <c r="AE2823" s="93">
        <f>IF(AQ2823="7",BI2823,0)</f>
        <v>0</v>
      </c>
      <c r="AF2823" s="93">
        <f>IF(AQ2823="2",BH2823,0)</f>
        <v>0</v>
      </c>
      <c r="AG2823" s="93">
        <f>IF(AQ2823="2",BI2823,0)</f>
        <v>0</v>
      </c>
      <c r="AH2823" s="93">
        <f>IF(AQ2823="0",BJ2823,0)</f>
        <v>0</v>
      </c>
      <c r="AI2823" s="88" t="s">
        <v>4081</v>
      </c>
      <c r="AJ2823" s="93">
        <f>IF(AN2823=0,L2823,0)</f>
        <v>0</v>
      </c>
      <c r="AK2823" s="93">
        <f>IF(AN2823=12,L2823,0)</f>
        <v>0</v>
      </c>
      <c r="AL2823" s="93">
        <f>IF(AN2823=21,L2823,0)</f>
        <v>0</v>
      </c>
      <c r="AN2823" s="93">
        <v>21</v>
      </c>
      <c r="AO2823" s="93">
        <f>H2823*0</f>
        <v>0</v>
      </c>
      <c r="AP2823" s="93">
        <f>H2823*(1-0)</f>
        <v>0</v>
      </c>
      <c r="AQ2823" s="94" t="s">
        <v>852</v>
      </c>
      <c r="AV2823" s="93">
        <f>AW2823+AX2823</f>
        <v>0</v>
      </c>
      <c r="AW2823" s="93">
        <f>G2823*AO2823</f>
        <v>0</v>
      </c>
      <c r="AX2823" s="93">
        <f>G2823*AP2823</f>
        <v>0</v>
      </c>
      <c r="AY2823" s="94" t="s">
        <v>4209</v>
      </c>
      <c r="AZ2823" s="94" t="s">
        <v>4171</v>
      </c>
      <c r="BA2823" s="88" t="s">
        <v>4089</v>
      </c>
      <c r="BC2823" s="93">
        <f>AW2823+AX2823</f>
        <v>0</v>
      </c>
      <c r="BD2823" s="93">
        <f>H2823/(100-BE2823)*100</f>
        <v>0</v>
      </c>
      <c r="BE2823" s="93">
        <v>0</v>
      </c>
      <c r="BF2823" s="93">
        <f>O2823</f>
        <v>0</v>
      </c>
      <c r="BH2823" s="93">
        <f>G2823*AO2823</f>
        <v>0</v>
      </c>
      <c r="BI2823" s="93">
        <f>G2823*AP2823</f>
        <v>0</v>
      </c>
      <c r="BJ2823" s="93">
        <f>G2823*H2823</f>
        <v>0</v>
      </c>
      <c r="BK2823" s="93"/>
      <c r="BL2823" s="93"/>
      <c r="BS2823" s="93">
        <f>G2823*H2823</f>
        <v>0</v>
      </c>
      <c r="BW2823" s="93" t="str">
        <f>I2823</f>
        <v>21</v>
      </c>
      <c r="BX2823" s="2" t="s">
        <v>4206</v>
      </c>
    </row>
    <row r="2824" spans="1:76" s="81" customFormat="1" ht="13.5" customHeight="1" x14ac:dyDescent="0.25">
      <c r="A2824" s="85" t="s">
        <v>54</v>
      </c>
      <c r="B2824" s="74" t="s">
        <v>4081</v>
      </c>
      <c r="C2824" s="74" t="s">
        <v>4210</v>
      </c>
      <c r="D2824" s="176" t="s">
        <v>4211</v>
      </c>
      <c r="E2824" s="176"/>
      <c r="F2824" s="85" t="s">
        <v>4</v>
      </c>
      <c r="G2824" s="85" t="s">
        <v>4</v>
      </c>
      <c r="H2824" s="98"/>
      <c r="I2824" s="85" t="s">
        <v>4</v>
      </c>
      <c r="J2824" s="86">
        <f>SUM(J2825:J2825)</f>
        <v>0</v>
      </c>
      <c r="K2824" s="86">
        <f>SUM(K2825:K2825)</f>
        <v>0</v>
      </c>
      <c r="L2824" s="86">
        <f>SUM(L2825:L2825)</f>
        <v>0</v>
      </c>
      <c r="M2824" s="86">
        <f>SUM(M2825:M2825)</f>
        <v>0</v>
      </c>
      <c r="N2824" s="87" t="s">
        <v>54</v>
      </c>
      <c r="O2824" s="86">
        <f>SUM(O2825:O2825)</f>
        <v>0</v>
      </c>
      <c r="P2824" s="87" t="s">
        <v>54</v>
      </c>
      <c r="AI2824" s="88" t="s">
        <v>4081</v>
      </c>
      <c r="AS2824" s="89">
        <f>SUM(AJ2825:AJ2825)</f>
        <v>0</v>
      </c>
      <c r="AT2824" s="89">
        <f>SUM(AK2825:AK2825)</f>
        <v>0</v>
      </c>
      <c r="AU2824" s="89">
        <f>SUM(AL2825:AL2825)</f>
        <v>0</v>
      </c>
    </row>
    <row r="2825" spans="1:76" s="81" customFormat="1" ht="13.5" customHeight="1" x14ac:dyDescent="0.25">
      <c r="A2825" s="72" t="s">
        <v>4307</v>
      </c>
      <c r="B2825" s="72" t="s">
        <v>4081</v>
      </c>
      <c r="C2825" s="72" t="s">
        <v>4213</v>
      </c>
      <c r="D2825" s="175" t="s">
        <v>4214</v>
      </c>
      <c r="E2825" s="175"/>
      <c r="F2825" s="72" t="s">
        <v>4169</v>
      </c>
      <c r="G2825" s="90">
        <v>1</v>
      </c>
      <c r="H2825" s="91"/>
      <c r="I2825" s="92" t="s">
        <v>63</v>
      </c>
      <c r="J2825" s="90">
        <f>G2825*AO2825</f>
        <v>0</v>
      </c>
      <c r="K2825" s="90">
        <f>G2825*AP2825</f>
        <v>0</v>
      </c>
      <c r="L2825" s="90">
        <f>G2825*H2825</f>
        <v>0</v>
      </c>
      <c r="M2825" s="90">
        <f>L2825*(1+BW2825/100)</f>
        <v>0</v>
      </c>
      <c r="N2825" s="90">
        <v>0</v>
      </c>
      <c r="O2825" s="90">
        <f>G2825*N2825</f>
        <v>0</v>
      </c>
      <c r="P2825" s="92" t="s">
        <v>64</v>
      </c>
      <c r="Z2825" s="93">
        <f>IF(AQ2825="5",BJ2825,0)</f>
        <v>0</v>
      </c>
      <c r="AB2825" s="93">
        <f>IF(AQ2825="1",BH2825,0)</f>
        <v>0</v>
      </c>
      <c r="AC2825" s="93">
        <f>IF(AQ2825="1",BI2825,0)</f>
        <v>0</v>
      </c>
      <c r="AD2825" s="93">
        <f>IF(AQ2825="7",BH2825,0)</f>
        <v>0</v>
      </c>
      <c r="AE2825" s="93">
        <f>IF(AQ2825="7",BI2825,0)</f>
        <v>0</v>
      </c>
      <c r="AF2825" s="93">
        <f>IF(AQ2825="2",BH2825,0)</f>
        <v>0</v>
      </c>
      <c r="AG2825" s="93">
        <f>IF(AQ2825="2",BI2825,0)</f>
        <v>0</v>
      </c>
      <c r="AH2825" s="93">
        <f>IF(AQ2825="0",BJ2825,0)</f>
        <v>0</v>
      </c>
      <c r="AI2825" s="88" t="s">
        <v>4081</v>
      </c>
      <c r="AJ2825" s="93">
        <f>IF(AN2825=0,L2825,0)</f>
        <v>0</v>
      </c>
      <c r="AK2825" s="93">
        <f>IF(AN2825=12,L2825,0)</f>
        <v>0</v>
      </c>
      <c r="AL2825" s="93">
        <f>IF(AN2825=21,L2825,0)</f>
        <v>0</v>
      </c>
      <c r="AN2825" s="93">
        <v>21</v>
      </c>
      <c r="AO2825" s="93">
        <f>H2825*0</f>
        <v>0</v>
      </c>
      <c r="AP2825" s="93">
        <f>H2825*(1-0)</f>
        <v>0</v>
      </c>
      <c r="AQ2825" s="94" t="s">
        <v>852</v>
      </c>
      <c r="AV2825" s="93">
        <f>AW2825+AX2825</f>
        <v>0</v>
      </c>
      <c r="AW2825" s="93">
        <f>G2825*AO2825</f>
        <v>0</v>
      </c>
      <c r="AX2825" s="93">
        <f>G2825*AP2825</f>
        <v>0</v>
      </c>
      <c r="AY2825" s="94" t="s">
        <v>4215</v>
      </c>
      <c r="AZ2825" s="94" t="s">
        <v>4171</v>
      </c>
      <c r="BA2825" s="88" t="s">
        <v>4089</v>
      </c>
      <c r="BC2825" s="93">
        <f>AW2825+AX2825</f>
        <v>0</v>
      </c>
      <c r="BD2825" s="93">
        <f>H2825/(100-BE2825)*100</f>
        <v>0</v>
      </c>
      <c r="BE2825" s="93">
        <v>0</v>
      </c>
      <c r="BF2825" s="93">
        <f>O2825</f>
        <v>0</v>
      </c>
      <c r="BH2825" s="93">
        <f>G2825*AO2825</f>
        <v>0</v>
      </c>
      <c r="BI2825" s="93">
        <f>G2825*AP2825</f>
        <v>0</v>
      </c>
      <c r="BJ2825" s="93">
        <f>G2825*H2825</f>
        <v>0</v>
      </c>
      <c r="BK2825" s="93"/>
      <c r="BL2825" s="93"/>
      <c r="BU2825" s="93">
        <f>G2825*H2825</f>
        <v>0</v>
      </c>
      <c r="BW2825" s="93" t="str">
        <f>I2825</f>
        <v>21</v>
      </c>
      <c r="BX2825" s="2" t="s">
        <v>4214</v>
      </c>
    </row>
    <row r="2826" spans="1:76" s="81" customFormat="1" ht="13.5" customHeight="1" x14ac:dyDescent="0.25">
      <c r="A2826" s="82" t="s">
        <v>54</v>
      </c>
      <c r="B2826" s="73" t="s">
        <v>4081</v>
      </c>
      <c r="C2826" s="73" t="s">
        <v>54</v>
      </c>
      <c r="D2826" s="168" t="s">
        <v>1355</v>
      </c>
      <c r="E2826" s="168"/>
      <c r="F2826" s="82" t="s">
        <v>4</v>
      </c>
      <c r="G2826" s="82" t="s">
        <v>4</v>
      </c>
      <c r="H2826" s="99" t="s">
        <v>4</v>
      </c>
      <c r="I2826" s="82" t="s">
        <v>4</v>
      </c>
      <c r="J2826" s="83">
        <f>J2827</f>
        <v>0</v>
      </c>
      <c r="K2826" s="83">
        <f>K2827</f>
        <v>0</v>
      </c>
      <c r="L2826" s="83">
        <f>L2827</f>
        <v>0</v>
      </c>
      <c r="M2826" s="83">
        <f>M2827</f>
        <v>0</v>
      </c>
      <c r="N2826" s="84" t="s">
        <v>54</v>
      </c>
      <c r="O2826" s="83">
        <f>O2827</f>
        <v>0</v>
      </c>
      <c r="P2826" s="84" t="s">
        <v>54</v>
      </c>
    </row>
    <row r="2827" spans="1:76" s="81" customFormat="1" ht="13.5" customHeight="1" x14ac:dyDescent="0.25">
      <c r="A2827" s="85" t="s">
        <v>54</v>
      </c>
      <c r="B2827" s="74" t="s">
        <v>4081</v>
      </c>
      <c r="C2827" s="74" t="s">
        <v>2930</v>
      </c>
      <c r="D2827" s="176" t="s">
        <v>2931</v>
      </c>
      <c r="E2827" s="176"/>
      <c r="F2827" s="85" t="s">
        <v>4</v>
      </c>
      <c r="G2827" s="85" t="s">
        <v>4</v>
      </c>
      <c r="H2827" s="98" t="s">
        <v>4</v>
      </c>
      <c r="I2827" s="85" t="s">
        <v>4</v>
      </c>
      <c r="J2827" s="86">
        <f>SUM(J2828:J2828)</f>
        <v>0</v>
      </c>
      <c r="K2827" s="86">
        <f>SUM(K2828:K2828)</f>
        <v>0</v>
      </c>
      <c r="L2827" s="86">
        <f>SUM(L2828:L2828)</f>
        <v>0</v>
      </c>
      <c r="M2827" s="86">
        <f>SUM(M2828:M2828)</f>
        <v>0</v>
      </c>
      <c r="N2827" s="87" t="s">
        <v>54</v>
      </c>
      <c r="O2827" s="86">
        <f>SUM(O2828:O2828)</f>
        <v>0</v>
      </c>
      <c r="P2827" s="87" t="s">
        <v>54</v>
      </c>
      <c r="AI2827" s="88" t="s">
        <v>4081</v>
      </c>
      <c r="AS2827" s="89">
        <f>SUM(AJ2828:AJ2828)</f>
        <v>0</v>
      </c>
      <c r="AT2827" s="89">
        <f>SUM(AK2828:AK2828)</f>
        <v>0</v>
      </c>
      <c r="AU2827" s="89">
        <f>SUM(AL2828:AL2828)</f>
        <v>0</v>
      </c>
    </row>
    <row r="2828" spans="1:76" s="81" customFormat="1" ht="13.5" customHeight="1" x14ac:dyDescent="0.25">
      <c r="A2828" s="72" t="s">
        <v>4308</v>
      </c>
      <c r="B2828" s="72" t="s">
        <v>4081</v>
      </c>
      <c r="C2828" s="72" t="s">
        <v>3193</v>
      </c>
      <c r="D2828" s="175" t="s">
        <v>3194</v>
      </c>
      <c r="E2828" s="175"/>
      <c r="F2828" s="72" t="s">
        <v>203</v>
      </c>
      <c r="G2828" s="90">
        <v>1</v>
      </c>
      <c r="H2828" s="91"/>
      <c r="I2828" s="92" t="s">
        <v>63</v>
      </c>
      <c r="J2828" s="90">
        <f>G2828*AO2828</f>
        <v>0</v>
      </c>
      <c r="K2828" s="90">
        <f>G2828*AP2828</f>
        <v>0</v>
      </c>
      <c r="L2828" s="90">
        <f>G2828*H2828</f>
        <v>0</v>
      </c>
      <c r="M2828" s="90">
        <f>L2828*(1+BW2828/100)</f>
        <v>0</v>
      </c>
      <c r="N2828" s="90">
        <v>0</v>
      </c>
      <c r="O2828" s="90">
        <f>G2828*N2828</f>
        <v>0</v>
      </c>
      <c r="P2828" s="92" t="s">
        <v>578</v>
      </c>
      <c r="Z2828" s="93">
        <f>IF(AQ2828="5",BJ2828,0)</f>
        <v>0</v>
      </c>
      <c r="AB2828" s="93">
        <f>IF(AQ2828="1",BH2828,0)</f>
        <v>0</v>
      </c>
      <c r="AC2828" s="93">
        <f>IF(AQ2828="1",BI2828,0)</f>
        <v>0</v>
      </c>
      <c r="AD2828" s="93">
        <f>IF(AQ2828="7",BH2828,0)</f>
        <v>0</v>
      </c>
      <c r="AE2828" s="93">
        <f>IF(AQ2828="7",BI2828,0)</f>
        <v>0</v>
      </c>
      <c r="AF2828" s="93">
        <f>IF(AQ2828="2",BH2828,0)</f>
        <v>0</v>
      </c>
      <c r="AG2828" s="93">
        <f>IF(AQ2828="2",BI2828,0)</f>
        <v>0</v>
      </c>
      <c r="AH2828" s="93">
        <f>IF(AQ2828="0",BJ2828,0)</f>
        <v>0</v>
      </c>
      <c r="AI2828" s="88" t="s">
        <v>4081</v>
      </c>
      <c r="AJ2828" s="93">
        <f>IF(AN2828=0,L2828,0)</f>
        <v>0</v>
      </c>
      <c r="AK2828" s="93">
        <f>IF(AN2828=12,L2828,0)</f>
        <v>0</v>
      </c>
      <c r="AL2828" s="93">
        <f>IF(AN2828=21,L2828,0)</f>
        <v>0</v>
      </c>
      <c r="AN2828" s="93">
        <v>21</v>
      </c>
      <c r="AO2828" s="93">
        <f>H2828*0</f>
        <v>0</v>
      </c>
      <c r="AP2828" s="93">
        <f>H2828*(1-0)</f>
        <v>0</v>
      </c>
      <c r="AQ2828" s="94" t="s">
        <v>148</v>
      </c>
      <c r="AV2828" s="93">
        <f>AW2828+AX2828</f>
        <v>0</v>
      </c>
      <c r="AW2828" s="93">
        <f>G2828*AO2828</f>
        <v>0</v>
      </c>
      <c r="AX2828" s="93">
        <f>G2828*AP2828</f>
        <v>0</v>
      </c>
      <c r="AY2828" s="94" t="s">
        <v>2935</v>
      </c>
      <c r="AZ2828" s="94" t="s">
        <v>4217</v>
      </c>
      <c r="BA2828" s="88" t="s">
        <v>4089</v>
      </c>
      <c r="BC2828" s="93">
        <f>AW2828+AX2828</f>
        <v>0</v>
      </c>
      <c r="BD2828" s="93">
        <f>H2828/(100-BE2828)*100</f>
        <v>0</v>
      </c>
      <c r="BE2828" s="93">
        <v>0</v>
      </c>
      <c r="BF2828" s="93">
        <f>O2828</f>
        <v>0</v>
      </c>
      <c r="BH2828" s="93">
        <f>G2828*AO2828</f>
        <v>0</v>
      </c>
      <c r="BI2828" s="93">
        <f>G2828*AP2828</f>
        <v>0</v>
      </c>
      <c r="BJ2828" s="93">
        <f>G2828*H2828</f>
        <v>0</v>
      </c>
      <c r="BK2828" s="93"/>
      <c r="BL2828" s="93"/>
      <c r="BW2828" s="93" t="str">
        <f>I2828</f>
        <v>21</v>
      </c>
      <c r="BX2828" s="2" t="s">
        <v>3194</v>
      </c>
    </row>
    <row r="2829" spans="1:76" s="81" customFormat="1" x14ac:dyDescent="0.25">
      <c r="A2829" s="82" t="s">
        <v>54</v>
      </c>
      <c r="B2829" s="73" t="s">
        <v>4081</v>
      </c>
      <c r="C2829" s="73" t="s">
        <v>54</v>
      </c>
      <c r="D2829" s="168" t="s">
        <v>3497</v>
      </c>
      <c r="E2829" s="168"/>
      <c r="F2829" s="82" t="s">
        <v>4</v>
      </c>
      <c r="G2829" s="82" t="s">
        <v>4</v>
      </c>
      <c r="H2829" s="99" t="s">
        <v>4</v>
      </c>
      <c r="I2829" s="82" t="s">
        <v>4</v>
      </c>
      <c r="J2829" s="83">
        <f>J2830</f>
        <v>0</v>
      </c>
      <c r="K2829" s="83">
        <f>K2830</f>
        <v>0</v>
      </c>
      <c r="L2829" s="83">
        <f>L2830</f>
        <v>0</v>
      </c>
      <c r="M2829" s="83">
        <f>M2830</f>
        <v>0</v>
      </c>
      <c r="N2829" s="84" t="s">
        <v>54</v>
      </c>
      <c r="O2829" s="83">
        <f>O2830</f>
        <v>0</v>
      </c>
      <c r="P2829" s="84" t="s">
        <v>54</v>
      </c>
    </row>
    <row r="2830" spans="1:76" s="81" customFormat="1" x14ac:dyDescent="0.25">
      <c r="A2830" s="85" t="s">
        <v>54</v>
      </c>
      <c r="B2830" s="74" t="s">
        <v>4081</v>
      </c>
      <c r="C2830" s="74" t="s">
        <v>3498</v>
      </c>
      <c r="D2830" s="176" t="s">
        <v>3499</v>
      </c>
      <c r="E2830" s="176"/>
      <c r="F2830" s="85" t="s">
        <v>4</v>
      </c>
      <c r="G2830" s="85" t="s">
        <v>4</v>
      </c>
      <c r="H2830" s="98" t="s">
        <v>4</v>
      </c>
      <c r="I2830" s="85" t="s">
        <v>4</v>
      </c>
      <c r="J2830" s="86">
        <f>SUM(J2831:J2832)</f>
        <v>0</v>
      </c>
      <c r="K2830" s="86">
        <f>SUM(K2831:K2832)</f>
        <v>0</v>
      </c>
      <c r="L2830" s="86">
        <f>SUM(L2831:L2832)</f>
        <v>0</v>
      </c>
      <c r="M2830" s="86">
        <f>SUM(M2831:M2832)</f>
        <v>0</v>
      </c>
      <c r="N2830" s="87" t="s">
        <v>54</v>
      </c>
      <c r="O2830" s="86">
        <f>SUM(O2831:O2832)</f>
        <v>0</v>
      </c>
      <c r="P2830" s="87" t="s">
        <v>54</v>
      </c>
      <c r="AI2830" s="88" t="s">
        <v>4081</v>
      </c>
      <c r="AS2830" s="89">
        <f>SUM(AJ2831:AJ2832)</f>
        <v>0</v>
      </c>
      <c r="AT2830" s="89">
        <f>SUM(AK2831:AK2832)</f>
        <v>0</v>
      </c>
      <c r="AU2830" s="89">
        <f>SUM(AL2831:AL2832)</f>
        <v>0</v>
      </c>
    </row>
    <row r="2831" spans="1:76" s="81" customFormat="1" x14ac:dyDescent="0.25">
      <c r="A2831" s="72" t="s">
        <v>4309</v>
      </c>
      <c r="B2831" s="72" t="s">
        <v>4081</v>
      </c>
      <c r="C2831" s="72" t="s">
        <v>4219</v>
      </c>
      <c r="D2831" s="175" t="s">
        <v>4220</v>
      </c>
      <c r="E2831" s="175"/>
      <c r="F2831" s="72" t="s">
        <v>3605</v>
      </c>
      <c r="G2831" s="90">
        <v>19</v>
      </c>
      <c r="H2831" s="91"/>
      <c r="I2831" s="92" t="s">
        <v>63</v>
      </c>
      <c r="J2831" s="90">
        <f>G2831*AO2831</f>
        <v>0</v>
      </c>
      <c r="K2831" s="90">
        <f>G2831*AP2831</f>
        <v>0</v>
      </c>
      <c r="L2831" s="90">
        <f>G2831*H2831</f>
        <v>0</v>
      </c>
      <c r="M2831" s="90">
        <f>L2831*(1+BW2831/100)</f>
        <v>0</v>
      </c>
      <c r="N2831" s="90">
        <v>0</v>
      </c>
      <c r="O2831" s="90">
        <f>G2831*N2831</f>
        <v>0</v>
      </c>
      <c r="P2831" s="92" t="s">
        <v>1652</v>
      </c>
      <c r="Z2831" s="93">
        <f>IF(AQ2831="5",BJ2831,0)</f>
        <v>0</v>
      </c>
      <c r="AB2831" s="93">
        <f>IF(AQ2831="1",BH2831,0)</f>
        <v>0</v>
      </c>
      <c r="AC2831" s="93">
        <f>IF(AQ2831="1",BI2831,0)</f>
        <v>0</v>
      </c>
      <c r="AD2831" s="93">
        <f>IF(AQ2831="7",BH2831,0)</f>
        <v>0</v>
      </c>
      <c r="AE2831" s="93">
        <f>IF(AQ2831="7",BI2831,0)</f>
        <v>0</v>
      </c>
      <c r="AF2831" s="93">
        <f>IF(AQ2831="2",BH2831,0)</f>
        <v>0</v>
      </c>
      <c r="AG2831" s="93">
        <f>IF(AQ2831="2",BI2831,0)</f>
        <v>0</v>
      </c>
      <c r="AH2831" s="93">
        <f>IF(AQ2831="0",BJ2831,0)</f>
        <v>0</v>
      </c>
      <c r="AI2831" s="88" t="s">
        <v>4081</v>
      </c>
      <c r="AJ2831" s="93">
        <f>IF(AN2831=0,L2831,0)</f>
        <v>0</v>
      </c>
      <c r="AK2831" s="93">
        <f>IF(AN2831=12,L2831,0)</f>
        <v>0</v>
      </c>
      <c r="AL2831" s="93">
        <f>IF(AN2831=21,L2831,0)</f>
        <v>0</v>
      </c>
      <c r="AN2831" s="93">
        <v>21</v>
      </c>
      <c r="AO2831" s="93">
        <f>H2831*0</f>
        <v>0</v>
      </c>
      <c r="AP2831" s="93">
        <f>H2831*(1-0)</f>
        <v>0</v>
      </c>
      <c r="AQ2831" s="94" t="s">
        <v>118</v>
      </c>
      <c r="AV2831" s="93">
        <f>AW2831+AX2831</f>
        <v>0</v>
      </c>
      <c r="AW2831" s="93">
        <f>G2831*AO2831</f>
        <v>0</v>
      </c>
      <c r="AX2831" s="93">
        <f>G2831*AP2831</f>
        <v>0</v>
      </c>
      <c r="AY2831" s="94" t="s">
        <v>3503</v>
      </c>
      <c r="AZ2831" s="94" t="s">
        <v>4221</v>
      </c>
      <c r="BA2831" s="88" t="s">
        <v>4089</v>
      </c>
      <c r="BC2831" s="93">
        <f>AW2831+AX2831</f>
        <v>0</v>
      </c>
      <c r="BD2831" s="93">
        <f>H2831/(100-BE2831)*100</f>
        <v>0</v>
      </c>
      <c r="BE2831" s="93">
        <v>0</v>
      </c>
      <c r="BF2831" s="93">
        <f>O2831</f>
        <v>0</v>
      </c>
      <c r="BH2831" s="93">
        <f>G2831*AO2831</f>
        <v>0</v>
      </c>
      <c r="BI2831" s="93">
        <f>G2831*AP2831</f>
        <v>0</v>
      </c>
      <c r="BJ2831" s="93">
        <f>G2831*H2831</f>
        <v>0</v>
      </c>
      <c r="BK2831" s="93"/>
      <c r="BL2831" s="93"/>
      <c r="BW2831" s="93" t="str">
        <f>I2831</f>
        <v>21</v>
      </c>
      <c r="BX2831" s="2" t="s">
        <v>4220</v>
      </c>
    </row>
    <row r="2832" spans="1:76" s="81" customFormat="1" x14ac:dyDescent="0.25">
      <c r="A2832" s="75" t="s">
        <v>4310</v>
      </c>
      <c r="B2832" s="75" t="s">
        <v>4081</v>
      </c>
      <c r="C2832" s="75" t="s">
        <v>4223</v>
      </c>
      <c r="D2832" s="184" t="s">
        <v>4224</v>
      </c>
      <c r="E2832" s="184"/>
      <c r="F2832" s="75" t="s">
        <v>3605</v>
      </c>
      <c r="G2832" s="100">
        <v>20</v>
      </c>
      <c r="H2832" s="101"/>
      <c r="I2832" s="102" t="s">
        <v>63</v>
      </c>
      <c r="J2832" s="100">
        <f>G2832*AO2832</f>
        <v>0</v>
      </c>
      <c r="K2832" s="100">
        <f>G2832*AP2832</f>
        <v>0</v>
      </c>
      <c r="L2832" s="100">
        <f>G2832*H2832</f>
        <v>0</v>
      </c>
      <c r="M2832" s="100">
        <f>L2832*(1+BW2832/100)</f>
        <v>0</v>
      </c>
      <c r="N2832" s="100">
        <v>0</v>
      </c>
      <c r="O2832" s="100">
        <f>G2832*N2832</f>
        <v>0</v>
      </c>
      <c r="P2832" s="102" t="s">
        <v>1652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4081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</f>
        <v>0</v>
      </c>
      <c r="AP2832" s="93">
        <f>H2832*(1-0)</f>
        <v>0</v>
      </c>
      <c r="AQ2832" s="94" t="s">
        <v>118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3503</v>
      </c>
      <c r="AZ2832" s="94" t="s">
        <v>4221</v>
      </c>
      <c r="BA2832" s="88" t="s">
        <v>4089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0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/>
      <c r="BW2832" s="93" t="str">
        <f>I2832</f>
        <v>21</v>
      </c>
      <c r="BX2832" s="2" t="s">
        <v>4224</v>
      </c>
    </row>
    <row r="2833" spans="1:16" x14ac:dyDescent="0.25">
      <c r="J2833" s="183" t="s">
        <v>4225</v>
      </c>
      <c r="K2833" s="183"/>
      <c r="L2833" s="25">
        <f>L14+L75+L90+L111+L120+L127+L209+L361+L405+L468+L657+L664+L677+L684+L690+L861+L998+L1101+L1129+L1157+L1166+L1171+L1174+L1265+L1383+L1548+L1570+L1587+L1599+L1607+L1616+L1630+L1637+L1645+L1669+L1696+L1725+L1767+L1777+L1813+L1889+L1992+L2025+L2089+L2136+L2212+L2216+L2221+L2225+L2345+L2517+L2699+L2705+L2710+L2715+L2725+L2729+L2732+L2735+L2744+L2748+L2756+L2774+L2778+L2780+L2791+L2808+L2811+L2814+L2817+L2819+L2822+L2824+L2827+L2830</f>
        <v>0</v>
      </c>
      <c r="M2833" s="25">
        <f>M14+M75+M90+M111+M120+M127+M209+M361+M405+M468+M657+M664+M677+M684+M690+M861+M998+M1101+M1129+M1157+M1166+M1171+M1174+M1265+M1383+M1548+M1570+M1587+M1599+M1607+M1616+M1630+M1637+M1645+M1669+M1696+M1725+M1767+M1777+M1813+M1889+M1992+M2025+M2089+M2136+M2212+M2216+M2221+M2225+M2345+M2517+M2699+M2705+M2710+M2715+M2725+M2729+M2732+M2735+M2744+M2748+M2756+M2774+M2778+M2780+M2791+M2808+M2811+M2814+M2817+M2819+M2822+M2824+M2827+M2830</f>
        <v>0</v>
      </c>
    </row>
    <row r="2834" spans="1:16" x14ac:dyDescent="0.25">
      <c r="A2834" s="26" t="s">
        <v>4226</v>
      </c>
    </row>
    <row r="2835" spans="1:16" ht="409.6" customHeight="1" x14ac:dyDescent="0.25">
      <c r="A2835" s="111" t="s">
        <v>4313</v>
      </c>
      <c r="B2835" s="108"/>
      <c r="C2835" s="108"/>
      <c r="D2835" s="108"/>
      <c r="E2835" s="108"/>
      <c r="F2835" s="108"/>
      <c r="G2835" s="108"/>
      <c r="H2835" s="108"/>
      <c r="I2835" s="108"/>
      <c r="J2835" s="108"/>
      <c r="K2835" s="108"/>
      <c r="L2835" s="108"/>
      <c r="M2835" s="108"/>
      <c r="N2835" s="108"/>
      <c r="O2835" s="108"/>
      <c r="P2835" s="108"/>
    </row>
  </sheetData>
  <sheetProtection algorithmName="SHA-512" hashValue="I8SIawkZE0dAJAxU2kIkB+owtRfkYflVZRqeM5EWJz28L2r0O/stf1m7hf3qnH+NWmGY2cB/g7K1WuIK6cscQA==" saltValue="LYnZNyw6tKVX9FVG0EQsxA==" spinCount="100000" sheet="1" objects="1" scenarios="1"/>
  <mergeCells count="1252">
    <mergeCell ref="J2833:K2833"/>
    <mergeCell ref="A2835:P2835"/>
    <mergeCell ref="D2828:E2828"/>
    <mergeCell ref="D2829:E2829"/>
    <mergeCell ref="D2830:E2830"/>
    <mergeCell ref="D2831:E2831"/>
    <mergeCell ref="D2832:E2832"/>
    <mergeCell ref="D2823:E2823"/>
    <mergeCell ref="D2824:E2824"/>
    <mergeCell ref="D2825:E2825"/>
    <mergeCell ref="D2826:E2826"/>
    <mergeCell ref="D2827:E2827"/>
    <mergeCell ref="D2818:E2818"/>
    <mergeCell ref="D2819:E2819"/>
    <mergeCell ref="D2820:E2820"/>
    <mergeCell ref="D2821:E2821"/>
    <mergeCell ref="D2822:E2822"/>
    <mergeCell ref="D2813:P2813"/>
    <mergeCell ref="D2814:E2814"/>
    <mergeCell ref="D2815:E2815"/>
    <mergeCell ref="D2816:E2816"/>
    <mergeCell ref="D2817:E2817"/>
    <mergeCell ref="D2808:E2808"/>
    <mergeCell ref="D2809:E2809"/>
    <mergeCell ref="D2810:E2810"/>
    <mergeCell ref="D2811:E2811"/>
    <mergeCell ref="D2812:E2812"/>
    <mergeCell ref="D2801:E2801"/>
    <mergeCell ref="D2803:E2803"/>
    <mergeCell ref="D2804:E2804"/>
    <mergeCell ref="D2806:E2806"/>
    <mergeCell ref="D2807:E2807"/>
    <mergeCell ref="D2792:E2792"/>
    <mergeCell ref="D2793:P2793"/>
    <mergeCell ref="D2796:E2796"/>
    <mergeCell ref="D2797:P2797"/>
    <mergeCell ref="D2800:E2800"/>
    <mergeCell ref="D2778:E2778"/>
    <mergeCell ref="D2779:E2779"/>
    <mergeCell ref="D2780:E2780"/>
    <mergeCell ref="D2791:E2791"/>
    <mergeCell ref="D2771:P2771"/>
    <mergeCell ref="D2774:E2774"/>
    <mergeCell ref="D2775:E2775"/>
    <mergeCell ref="D2776:P2776"/>
    <mergeCell ref="D2777:E2777"/>
    <mergeCell ref="D2757:E2757"/>
    <mergeCell ref="D2758:P2758"/>
    <mergeCell ref="D2763:E2763"/>
    <mergeCell ref="D2766:E2766"/>
    <mergeCell ref="D2770:E2770"/>
    <mergeCell ref="D2744:E2744"/>
    <mergeCell ref="D2745:E2745"/>
    <mergeCell ref="D2748:E2748"/>
    <mergeCell ref="D2749:E2749"/>
    <mergeCell ref="D2756:E2756"/>
    <mergeCell ref="D2781:E2781"/>
    <mergeCell ref="D2782:P2782"/>
    <mergeCell ref="D2783:E2783"/>
    <mergeCell ref="D2784:P2784"/>
    <mergeCell ref="D2785:E2785"/>
    <mergeCell ref="D2786:P2786"/>
    <mergeCell ref="D2787:E2787"/>
    <mergeCell ref="D2788:P2788"/>
    <mergeCell ref="D2789:E2789"/>
    <mergeCell ref="D2790:P2790"/>
    <mergeCell ref="D2739:E2739"/>
    <mergeCell ref="D2740:P2740"/>
    <mergeCell ref="D2741:E2741"/>
    <mergeCell ref="D2742:E2742"/>
    <mergeCell ref="D2743:E2743"/>
    <mergeCell ref="D2733:E2733"/>
    <mergeCell ref="D2734:E2734"/>
    <mergeCell ref="D2735:E2735"/>
    <mergeCell ref="D2736:E2736"/>
    <mergeCell ref="D2737:P2737"/>
    <mergeCell ref="D2725:E2725"/>
    <mergeCell ref="D2726:E2726"/>
    <mergeCell ref="D2729:E2729"/>
    <mergeCell ref="D2730:E2730"/>
    <mergeCell ref="D2732:E2732"/>
    <mergeCell ref="D2712:P2712"/>
    <mergeCell ref="D2715:E2715"/>
    <mergeCell ref="D2716:E2716"/>
    <mergeCell ref="D2720:E2720"/>
    <mergeCell ref="D2724:E2724"/>
    <mergeCell ref="D2706:E2706"/>
    <mergeCell ref="D2707:E2707"/>
    <mergeCell ref="D2709:E2709"/>
    <mergeCell ref="D2710:E2710"/>
    <mergeCell ref="D2711:E2711"/>
    <mergeCell ref="D2698:E2698"/>
    <mergeCell ref="D2699:E2699"/>
    <mergeCell ref="D2700:E2700"/>
    <mergeCell ref="D2703:E2703"/>
    <mergeCell ref="D2705:E2705"/>
    <mergeCell ref="D2693:E2693"/>
    <mergeCell ref="D2694:E2694"/>
    <mergeCell ref="D2695:E2695"/>
    <mergeCell ref="D2696:E2696"/>
    <mergeCell ref="D2697:E2697"/>
    <mergeCell ref="D2688:E2688"/>
    <mergeCell ref="D2689:E2689"/>
    <mergeCell ref="D2690:E2690"/>
    <mergeCell ref="D2691:E2691"/>
    <mergeCell ref="D2692:E2692"/>
    <mergeCell ref="D2683:E2683"/>
    <mergeCell ref="D2684:E2684"/>
    <mergeCell ref="D2685:E2685"/>
    <mergeCell ref="D2686:E2686"/>
    <mergeCell ref="D2687:E2687"/>
    <mergeCell ref="D2678:E2678"/>
    <mergeCell ref="D2679:E2679"/>
    <mergeCell ref="D2680:E2680"/>
    <mergeCell ref="D2681:E2681"/>
    <mergeCell ref="D2682:E2682"/>
    <mergeCell ref="D2673:E2673"/>
    <mergeCell ref="D2674:E2674"/>
    <mergeCell ref="D2675:E2675"/>
    <mergeCell ref="D2676:E2676"/>
    <mergeCell ref="D2677:E2677"/>
    <mergeCell ref="D2668:E2668"/>
    <mergeCell ref="D2669:E2669"/>
    <mergeCell ref="D2670:E2670"/>
    <mergeCell ref="D2671:E2671"/>
    <mergeCell ref="D2672:E2672"/>
    <mergeCell ref="D2663:E2663"/>
    <mergeCell ref="D2664:E2664"/>
    <mergeCell ref="D2665:E2665"/>
    <mergeCell ref="D2666:E2666"/>
    <mergeCell ref="D2667:E2667"/>
    <mergeCell ref="D2658:E2658"/>
    <mergeCell ref="D2659:E2659"/>
    <mergeCell ref="D2660:E2660"/>
    <mergeCell ref="D2661:E2661"/>
    <mergeCell ref="D2662:E2662"/>
    <mergeCell ref="D2653:E2653"/>
    <mergeCell ref="D2654:E2654"/>
    <mergeCell ref="D2655:E2655"/>
    <mergeCell ref="D2656:E2656"/>
    <mergeCell ref="D2657:E2657"/>
    <mergeCell ref="D2648:E2648"/>
    <mergeCell ref="D2649:E2649"/>
    <mergeCell ref="D2650:E2650"/>
    <mergeCell ref="D2651:E2651"/>
    <mergeCell ref="D2652:E2652"/>
    <mergeCell ref="D2643:E2643"/>
    <mergeCell ref="D2644:E2644"/>
    <mergeCell ref="D2645:E2645"/>
    <mergeCell ref="D2646:E2646"/>
    <mergeCell ref="D2647:E2647"/>
    <mergeCell ref="D2638:E2638"/>
    <mergeCell ref="D2639:E2639"/>
    <mergeCell ref="D2640:E2640"/>
    <mergeCell ref="D2641:E2641"/>
    <mergeCell ref="D2642:E2642"/>
    <mergeCell ref="D2633:E2633"/>
    <mergeCell ref="D2634:E2634"/>
    <mergeCell ref="D2635:E2635"/>
    <mergeCell ref="D2636:E2636"/>
    <mergeCell ref="D2637:E2637"/>
    <mergeCell ref="D2628:E2628"/>
    <mergeCell ref="D2629:E2629"/>
    <mergeCell ref="D2630:E2630"/>
    <mergeCell ref="D2631:E2631"/>
    <mergeCell ref="D2632:E2632"/>
    <mergeCell ref="D2623:E2623"/>
    <mergeCell ref="D2624:E2624"/>
    <mergeCell ref="D2625:E2625"/>
    <mergeCell ref="D2626:E2626"/>
    <mergeCell ref="D2627:E2627"/>
    <mergeCell ref="D2618:E2618"/>
    <mergeCell ref="D2619:E2619"/>
    <mergeCell ref="D2620:E2620"/>
    <mergeCell ref="D2621:E2621"/>
    <mergeCell ref="D2622:E2622"/>
    <mergeCell ref="D2613:E2613"/>
    <mergeCell ref="D2614:E2614"/>
    <mergeCell ref="D2615:E2615"/>
    <mergeCell ref="D2616:E2616"/>
    <mergeCell ref="D2617:E2617"/>
    <mergeCell ref="D2608:E2608"/>
    <mergeCell ref="D2609:E2609"/>
    <mergeCell ref="D2610:E2610"/>
    <mergeCell ref="D2611:E2611"/>
    <mergeCell ref="D2612:E2612"/>
    <mergeCell ref="D2603:E2603"/>
    <mergeCell ref="D2604:E2604"/>
    <mergeCell ref="D2605:E2605"/>
    <mergeCell ref="D2606:E2606"/>
    <mergeCell ref="D2607:E2607"/>
    <mergeCell ref="D2598:E2598"/>
    <mergeCell ref="D2599:E2599"/>
    <mergeCell ref="D2600:E2600"/>
    <mergeCell ref="D2601:E2601"/>
    <mergeCell ref="D2602:E2602"/>
    <mergeCell ref="D2593:E2593"/>
    <mergeCell ref="D2594:E2594"/>
    <mergeCell ref="D2595:E2595"/>
    <mergeCell ref="D2596:E2596"/>
    <mergeCell ref="D2597:E2597"/>
    <mergeCell ref="D2588:E2588"/>
    <mergeCell ref="D2589:E2589"/>
    <mergeCell ref="D2590:E2590"/>
    <mergeCell ref="D2591:E2591"/>
    <mergeCell ref="D2592:E2592"/>
    <mergeCell ref="D2583:E2583"/>
    <mergeCell ref="D2584:E2584"/>
    <mergeCell ref="D2585:E2585"/>
    <mergeCell ref="D2586:E2586"/>
    <mergeCell ref="D2587:E2587"/>
    <mergeCell ref="D2578:E2578"/>
    <mergeCell ref="D2579:E2579"/>
    <mergeCell ref="D2580:E2580"/>
    <mergeCell ref="D2581:E2581"/>
    <mergeCell ref="D2582:E2582"/>
    <mergeCell ref="D2573:E2573"/>
    <mergeCell ref="D2574:E2574"/>
    <mergeCell ref="D2575:E2575"/>
    <mergeCell ref="D2576:E2576"/>
    <mergeCell ref="D2577:E2577"/>
    <mergeCell ref="D2568:E2568"/>
    <mergeCell ref="D2569:E2569"/>
    <mergeCell ref="D2570:E2570"/>
    <mergeCell ref="D2571:E2571"/>
    <mergeCell ref="D2572:E2572"/>
    <mergeCell ref="D2563:E2563"/>
    <mergeCell ref="D2564:E2564"/>
    <mergeCell ref="D2565:E2565"/>
    <mergeCell ref="D2566:E2566"/>
    <mergeCell ref="D2567:E2567"/>
    <mergeCell ref="D2558:E2558"/>
    <mergeCell ref="D2559:E2559"/>
    <mergeCell ref="D2560:E2560"/>
    <mergeCell ref="D2561:E2561"/>
    <mergeCell ref="D2562:E2562"/>
    <mergeCell ref="D2553:E2553"/>
    <mergeCell ref="D2554:E2554"/>
    <mergeCell ref="D2555:E2555"/>
    <mergeCell ref="D2556:E2556"/>
    <mergeCell ref="D2557:E2557"/>
    <mergeCell ref="D2548:E2548"/>
    <mergeCell ref="D2549:E2549"/>
    <mergeCell ref="D2550:E2550"/>
    <mergeCell ref="D2551:E2551"/>
    <mergeCell ref="D2552:E2552"/>
    <mergeCell ref="D2543:E2543"/>
    <mergeCell ref="D2544:E2544"/>
    <mergeCell ref="D2545:E2545"/>
    <mergeCell ref="D2546:E2546"/>
    <mergeCell ref="D2547:E2547"/>
    <mergeCell ref="D2538:E2538"/>
    <mergeCell ref="D2539:E2539"/>
    <mergeCell ref="D2540:E2540"/>
    <mergeCell ref="D2541:E2541"/>
    <mergeCell ref="D2542:E2542"/>
    <mergeCell ref="D2533:E2533"/>
    <mergeCell ref="D2534:E2534"/>
    <mergeCell ref="D2535:E2535"/>
    <mergeCell ref="D2536:E2536"/>
    <mergeCell ref="D2537:E2537"/>
    <mergeCell ref="D2528:E2528"/>
    <mergeCell ref="D2529:E2529"/>
    <mergeCell ref="D2530:E2530"/>
    <mergeCell ref="D2531:E2531"/>
    <mergeCell ref="D2532:E2532"/>
    <mergeCell ref="D2523:E2523"/>
    <mergeCell ref="D2524:E2524"/>
    <mergeCell ref="D2525:E2525"/>
    <mergeCell ref="D2526:E2526"/>
    <mergeCell ref="D2527:E2527"/>
    <mergeCell ref="D2518:E2518"/>
    <mergeCell ref="D2519:E2519"/>
    <mergeCell ref="D2520:E2520"/>
    <mergeCell ref="D2521:E2521"/>
    <mergeCell ref="D2522:E2522"/>
    <mergeCell ref="D2513:P2513"/>
    <mergeCell ref="D2514:E2514"/>
    <mergeCell ref="D2515:E2515"/>
    <mergeCell ref="D2516:E2516"/>
    <mergeCell ref="D2517:E2517"/>
    <mergeCell ref="D2508:P2508"/>
    <mergeCell ref="D2509:E2509"/>
    <mergeCell ref="D2510:E2510"/>
    <mergeCell ref="D2511:E2511"/>
    <mergeCell ref="D2512:E2512"/>
    <mergeCell ref="D2503:E2503"/>
    <mergeCell ref="D2504:P2504"/>
    <mergeCell ref="D2505:E2505"/>
    <mergeCell ref="D2506:E2506"/>
    <mergeCell ref="D2507:E2507"/>
    <mergeCell ref="D2497:E2497"/>
    <mergeCell ref="D2499:E2499"/>
    <mergeCell ref="D2500:E2500"/>
    <mergeCell ref="D2501:E2501"/>
    <mergeCell ref="D2502:E2502"/>
    <mergeCell ref="D2492:E2492"/>
    <mergeCell ref="D2493:E2493"/>
    <mergeCell ref="D2494:E2494"/>
    <mergeCell ref="D2495:E2495"/>
    <mergeCell ref="D2496:E2496"/>
    <mergeCell ref="D2487:E2487"/>
    <mergeCell ref="D2488:E2488"/>
    <mergeCell ref="D2489:E2489"/>
    <mergeCell ref="D2490:E2490"/>
    <mergeCell ref="D2491:E2491"/>
    <mergeCell ref="D2481:E2481"/>
    <mergeCell ref="D2482:P2482"/>
    <mergeCell ref="D2483:E2483"/>
    <mergeCell ref="D2484:P2484"/>
    <mergeCell ref="D2485:E2485"/>
    <mergeCell ref="D2474:E2474"/>
    <mergeCell ref="D2476:E2476"/>
    <mergeCell ref="D2477:E2477"/>
    <mergeCell ref="D2479:E2479"/>
    <mergeCell ref="D2480:P2480"/>
    <mergeCell ref="D2469:E2469"/>
    <mergeCell ref="D2470:E2470"/>
    <mergeCell ref="D2471:E2471"/>
    <mergeCell ref="D2472:E2472"/>
    <mergeCell ref="D2473:E2473"/>
    <mergeCell ref="D2464:E2464"/>
    <mergeCell ref="D2465:P2465"/>
    <mergeCell ref="D2466:E2466"/>
    <mergeCell ref="D2467:E2467"/>
    <mergeCell ref="D2468:P2468"/>
    <mergeCell ref="D2459:E2459"/>
    <mergeCell ref="D2460:E2460"/>
    <mergeCell ref="D2461:E2461"/>
    <mergeCell ref="D2462:E2462"/>
    <mergeCell ref="D2463:E2463"/>
    <mergeCell ref="D2454:E2454"/>
    <mergeCell ref="D2455:E2455"/>
    <mergeCell ref="D2456:E2456"/>
    <mergeCell ref="D2457:E2457"/>
    <mergeCell ref="D2458:E2458"/>
    <mergeCell ref="D2447:E2447"/>
    <mergeCell ref="D2449:E2449"/>
    <mergeCell ref="D2451:E2451"/>
    <mergeCell ref="D2452:E2452"/>
    <mergeCell ref="D2453:E2453"/>
    <mergeCell ref="D2442:E2442"/>
    <mergeCell ref="D2443:E2443"/>
    <mergeCell ref="D2444:E2444"/>
    <mergeCell ref="D2445:E2445"/>
    <mergeCell ref="D2446:E2446"/>
    <mergeCell ref="D2436:P2436"/>
    <mergeCell ref="D2437:E2437"/>
    <mergeCell ref="D2438:P2438"/>
    <mergeCell ref="D2439:E2439"/>
    <mergeCell ref="D2440:E2440"/>
    <mergeCell ref="D2430:P2430"/>
    <mergeCell ref="D2431:E2431"/>
    <mergeCell ref="D2432:P2432"/>
    <mergeCell ref="D2433:E2433"/>
    <mergeCell ref="D2435:E2435"/>
    <mergeCell ref="D2425:E2425"/>
    <mergeCell ref="D2426:P2426"/>
    <mergeCell ref="D2427:E2427"/>
    <mergeCell ref="D2428:P2428"/>
    <mergeCell ref="D2429:E2429"/>
    <mergeCell ref="D2418:P2418"/>
    <mergeCell ref="D2419:E2419"/>
    <mergeCell ref="D2420:E2420"/>
    <mergeCell ref="D2421:E2421"/>
    <mergeCell ref="D2423:E2423"/>
    <mergeCell ref="D2413:P2413"/>
    <mergeCell ref="D2414:E2414"/>
    <mergeCell ref="D2415:E2415"/>
    <mergeCell ref="D2416:E2416"/>
    <mergeCell ref="D2417:E2417"/>
    <mergeCell ref="D2408:E2408"/>
    <mergeCell ref="D2409:P2409"/>
    <mergeCell ref="D2410:E2410"/>
    <mergeCell ref="D2411:P2411"/>
    <mergeCell ref="D2412:E2412"/>
    <mergeCell ref="D2403:E2403"/>
    <mergeCell ref="D2404:E2404"/>
    <mergeCell ref="D2405:P2405"/>
    <mergeCell ref="D2406:E2406"/>
    <mergeCell ref="D2407:P2407"/>
    <mergeCell ref="D2398:E2398"/>
    <mergeCell ref="D2399:P2399"/>
    <mergeCell ref="D2400:E2400"/>
    <mergeCell ref="D2401:E2401"/>
    <mergeCell ref="D2402:E2402"/>
    <mergeCell ref="D2393:P2393"/>
    <mergeCell ref="D2394:E2394"/>
    <mergeCell ref="D2395:E2395"/>
    <mergeCell ref="D2396:E2396"/>
    <mergeCell ref="D2397:E2397"/>
    <mergeCell ref="D2388:E2388"/>
    <mergeCell ref="D2389:P2389"/>
    <mergeCell ref="D2390:E2390"/>
    <mergeCell ref="D2391:P2391"/>
    <mergeCell ref="D2392:E2392"/>
    <mergeCell ref="D2383:E2383"/>
    <mergeCell ref="D2384:E2384"/>
    <mergeCell ref="D2385:E2385"/>
    <mergeCell ref="D2386:E2386"/>
    <mergeCell ref="D2387:P2387"/>
    <mergeCell ref="D2376:E2376"/>
    <mergeCell ref="D2377:E2377"/>
    <mergeCell ref="D2379:E2379"/>
    <mergeCell ref="D2381:E2381"/>
    <mergeCell ref="D2382:E2382"/>
    <mergeCell ref="D2371:E2371"/>
    <mergeCell ref="D2372:E2372"/>
    <mergeCell ref="D2373:E2373"/>
    <mergeCell ref="D2374:E2374"/>
    <mergeCell ref="D2375:E2375"/>
    <mergeCell ref="D2361:E2361"/>
    <mergeCell ref="D2364:E2364"/>
    <mergeCell ref="D2365:P2365"/>
    <mergeCell ref="D2367:E2367"/>
    <mergeCell ref="D2369:E2369"/>
    <mergeCell ref="D2352:E2352"/>
    <mergeCell ref="D2353:E2353"/>
    <mergeCell ref="D2355:E2355"/>
    <mergeCell ref="D2357:E2357"/>
    <mergeCell ref="D2359:E2359"/>
    <mergeCell ref="D2345:E2345"/>
    <mergeCell ref="D2346:E2346"/>
    <mergeCell ref="D2348:E2348"/>
    <mergeCell ref="D2350:E2350"/>
    <mergeCell ref="D2351:E2351"/>
    <mergeCell ref="D2340:P2340"/>
    <mergeCell ref="D2341:E2341"/>
    <mergeCell ref="D2342:E2342"/>
    <mergeCell ref="D2343:E2343"/>
    <mergeCell ref="D2344:E2344"/>
    <mergeCell ref="D2335:P2335"/>
    <mergeCell ref="D2336:E2336"/>
    <mergeCell ref="D2337:P2337"/>
    <mergeCell ref="D2338:E2338"/>
    <mergeCell ref="D2339:E2339"/>
    <mergeCell ref="D2330:E2330"/>
    <mergeCell ref="D2331:P2331"/>
    <mergeCell ref="D2332:E2332"/>
    <mergeCell ref="D2333:P2333"/>
    <mergeCell ref="D2334:E2334"/>
    <mergeCell ref="D2323:P2323"/>
    <mergeCell ref="D2324:E2324"/>
    <mergeCell ref="D2325:P2325"/>
    <mergeCell ref="D2326:E2326"/>
    <mergeCell ref="D2329:E2329"/>
    <mergeCell ref="D2318:E2318"/>
    <mergeCell ref="D2319:E2319"/>
    <mergeCell ref="D2320:E2320"/>
    <mergeCell ref="D2321:P2321"/>
    <mergeCell ref="D2322:E2322"/>
    <mergeCell ref="D2313:P2313"/>
    <mergeCell ref="D2314:E2314"/>
    <mergeCell ref="D2315:P2315"/>
    <mergeCell ref="D2316:E2316"/>
    <mergeCell ref="D2317:E2317"/>
    <mergeCell ref="D2308:E2308"/>
    <mergeCell ref="D2309:P2309"/>
    <mergeCell ref="D2310:E2310"/>
    <mergeCell ref="D2311:P2311"/>
    <mergeCell ref="D2312:E2312"/>
    <mergeCell ref="D2303:E2303"/>
    <mergeCell ref="D2304:E2304"/>
    <mergeCell ref="D2305:E2305"/>
    <mergeCell ref="D2306:E2306"/>
    <mergeCell ref="D2307:P2307"/>
    <mergeCell ref="D2295:E2295"/>
    <mergeCell ref="D2296:P2296"/>
    <mergeCell ref="D2297:E2297"/>
    <mergeCell ref="D2300:E2300"/>
    <mergeCell ref="D2301:E2301"/>
    <mergeCell ref="D2288:E2288"/>
    <mergeCell ref="D2289:E2289"/>
    <mergeCell ref="D2290:E2290"/>
    <mergeCell ref="D2291:P2291"/>
    <mergeCell ref="D2292:E2292"/>
    <mergeCell ref="D2274:E2274"/>
    <mergeCell ref="D2276:E2276"/>
    <mergeCell ref="D2278:E2278"/>
    <mergeCell ref="D2281:E2281"/>
    <mergeCell ref="D2287:E2287"/>
    <mergeCell ref="D2257:E2257"/>
    <mergeCell ref="D2266:E2266"/>
    <mergeCell ref="D2271:E2271"/>
    <mergeCell ref="D2272:E2272"/>
    <mergeCell ref="D2273:P2273"/>
    <mergeCell ref="D2246:E2246"/>
    <mergeCell ref="D2248:E2248"/>
    <mergeCell ref="D2250:E2250"/>
    <mergeCell ref="D2252:E2252"/>
    <mergeCell ref="D2254:E2254"/>
    <mergeCell ref="D2240:E2240"/>
    <mergeCell ref="D2242:E2242"/>
    <mergeCell ref="D2243:E2243"/>
    <mergeCell ref="D2244:E2244"/>
    <mergeCell ref="D2245:E2245"/>
    <mergeCell ref="D2225:E2225"/>
    <mergeCell ref="D2226:E2226"/>
    <mergeCell ref="D2228:E2228"/>
    <mergeCell ref="D2233:E2233"/>
    <mergeCell ref="D2235:E2235"/>
    <mergeCell ref="D2220:E2220"/>
    <mergeCell ref="D2221:E2221"/>
    <mergeCell ref="D2222:E2222"/>
    <mergeCell ref="D2223:E2223"/>
    <mergeCell ref="D2224:E2224"/>
    <mergeCell ref="D2214:E2214"/>
    <mergeCell ref="D2215:E2215"/>
    <mergeCell ref="D2216:E2216"/>
    <mergeCell ref="D2217:E2217"/>
    <mergeCell ref="D2218:P2218"/>
    <mergeCell ref="D2137:E2137"/>
    <mergeCell ref="D2207:E2207"/>
    <mergeCell ref="D2209:E2209"/>
    <mergeCell ref="D2212:E2212"/>
    <mergeCell ref="D2213:E2213"/>
    <mergeCell ref="D2110:E2110"/>
    <mergeCell ref="D2130:E2130"/>
    <mergeCell ref="D2132:E2132"/>
    <mergeCell ref="D2135:E2135"/>
    <mergeCell ref="D2136:E2136"/>
    <mergeCell ref="D2084:E2084"/>
    <mergeCell ref="D2086:E2086"/>
    <mergeCell ref="D2088:E2088"/>
    <mergeCell ref="D2089:E2089"/>
    <mergeCell ref="D2090:E2090"/>
    <mergeCell ref="D2058:E2058"/>
    <mergeCell ref="D2061:E2061"/>
    <mergeCell ref="D2062:P2062"/>
    <mergeCell ref="D2079:E2079"/>
    <mergeCell ref="D2082:E2082"/>
    <mergeCell ref="D2036:E2036"/>
    <mergeCell ref="D2044:E2044"/>
    <mergeCell ref="D2047:E2047"/>
    <mergeCell ref="D2051:E2051"/>
    <mergeCell ref="D2055:E2055"/>
    <mergeCell ref="D2013:E2013"/>
    <mergeCell ref="D2021:E2021"/>
    <mergeCell ref="D2024:E2024"/>
    <mergeCell ref="D2025:E2025"/>
    <mergeCell ref="D2026:E2026"/>
    <mergeCell ref="D1992:E1992"/>
    <mergeCell ref="D1993:E1993"/>
    <mergeCell ref="D1995:E1995"/>
    <mergeCell ref="D2003:E2003"/>
    <mergeCell ref="D2010:E2010"/>
    <mergeCell ref="D1979:E1979"/>
    <mergeCell ref="D1982:E1982"/>
    <mergeCell ref="D1985:E1985"/>
    <mergeCell ref="D1988:E1988"/>
    <mergeCell ref="D1991:E1991"/>
    <mergeCell ref="D1963:E1963"/>
    <mergeCell ref="D1967:E1967"/>
    <mergeCell ref="D1970:E1970"/>
    <mergeCell ref="D1973:E1973"/>
    <mergeCell ref="D1976:E1976"/>
    <mergeCell ref="D1948:E1948"/>
    <mergeCell ref="D1950:E1950"/>
    <mergeCell ref="D1951:E1951"/>
    <mergeCell ref="D1956:E1956"/>
    <mergeCell ref="D1960:E1960"/>
    <mergeCell ref="D1932:E1932"/>
    <mergeCell ref="D1933:P1933"/>
    <mergeCell ref="D1942:E1942"/>
    <mergeCell ref="D1944:E1944"/>
    <mergeCell ref="D1946:E1946"/>
    <mergeCell ref="D1927:P1927"/>
    <mergeCell ref="D1928:E1928"/>
    <mergeCell ref="D1929:P1929"/>
    <mergeCell ref="D1930:E1930"/>
    <mergeCell ref="D1931:P1931"/>
    <mergeCell ref="D1922:E1922"/>
    <mergeCell ref="D1923:P1923"/>
    <mergeCell ref="D1924:E1924"/>
    <mergeCell ref="D1925:P1925"/>
    <mergeCell ref="D1926:E1926"/>
    <mergeCell ref="D1917:E1917"/>
    <mergeCell ref="D1918:E1918"/>
    <mergeCell ref="D1919:P1919"/>
    <mergeCell ref="D1920:E1920"/>
    <mergeCell ref="D1921:P1921"/>
    <mergeCell ref="D1912:P1912"/>
    <mergeCell ref="D1913:E1913"/>
    <mergeCell ref="D1914:P1914"/>
    <mergeCell ref="D1915:E1915"/>
    <mergeCell ref="D1916:P1916"/>
    <mergeCell ref="D1907:E1907"/>
    <mergeCell ref="D1908:E1908"/>
    <mergeCell ref="D1909:E1909"/>
    <mergeCell ref="D1910:E1910"/>
    <mergeCell ref="D1911:E1911"/>
    <mergeCell ref="D1902:E1902"/>
    <mergeCell ref="D1903:E1903"/>
    <mergeCell ref="D1904:E1904"/>
    <mergeCell ref="D1905:E1905"/>
    <mergeCell ref="D1906:E1906"/>
    <mergeCell ref="D1897:E1897"/>
    <mergeCell ref="D1898:E1898"/>
    <mergeCell ref="D1899:E1899"/>
    <mergeCell ref="D1900:E1900"/>
    <mergeCell ref="D1901:E1901"/>
    <mergeCell ref="D1892:E1892"/>
    <mergeCell ref="D1893:E1893"/>
    <mergeCell ref="D1894:E1894"/>
    <mergeCell ref="D1895:E1895"/>
    <mergeCell ref="D1896:E1896"/>
    <mergeCell ref="D1887:E1887"/>
    <mergeCell ref="D1888:E1888"/>
    <mergeCell ref="D1889:E1889"/>
    <mergeCell ref="D1890:E1890"/>
    <mergeCell ref="D1891:E1891"/>
    <mergeCell ref="D1882:P1882"/>
    <mergeCell ref="D1883:E1883"/>
    <mergeCell ref="D1884:P1884"/>
    <mergeCell ref="D1885:E1885"/>
    <mergeCell ref="D1886:P1886"/>
    <mergeCell ref="D1877:E1877"/>
    <mergeCell ref="D1878:P1878"/>
    <mergeCell ref="D1879:E1879"/>
    <mergeCell ref="D1880:P1880"/>
    <mergeCell ref="D1881:E1881"/>
    <mergeCell ref="D1872:P1872"/>
    <mergeCell ref="D1873:E1873"/>
    <mergeCell ref="D1874:P1874"/>
    <mergeCell ref="D1875:E1875"/>
    <mergeCell ref="D1876:P1876"/>
    <mergeCell ref="D1867:E1867"/>
    <mergeCell ref="D1868:P1868"/>
    <mergeCell ref="D1869:E1869"/>
    <mergeCell ref="D1870:P1870"/>
    <mergeCell ref="D1871:E1871"/>
    <mergeCell ref="D1862:P1862"/>
    <mergeCell ref="D1863:E1863"/>
    <mergeCell ref="D1864:P1864"/>
    <mergeCell ref="D1865:E1865"/>
    <mergeCell ref="D1866:P1866"/>
    <mergeCell ref="D1857:E1857"/>
    <mergeCell ref="D1858:E1858"/>
    <mergeCell ref="D1859:E1859"/>
    <mergeCell ref="D1860:P1860"/>
    <mergeCell ref="D1861:E1861"/>
    <mergeCell ref="D1852:E1852"/>
    <mergeCell ref="D1853:E1853"/>
    <mergeCell ref="D1854:E1854"/>
    <mergeCell ref="D1855:E1855"/>
    <mergeCell ref="D1856:E1856"/>
    <mergeCell ref="D1847:E1847"/>
    <mergeCell ref="D1848:E1848"/>
    <mergeCell ref="D1849:E1849"/>
    <mergeCell ref="D1850:E1850"/>
    <mergeCell ref="D1851:E1851"/>
    <mergeCell ref="D1842:E1842"/>
    <mergeCell ref="D1843:E1843"/>
    <mergeCell ref="D1844:E1844"/>
    <mergeCell ref="D1845:E1845"/>
    <mergeCell ref="D1846:E1846"/>
    <mergeCell ref="D1837:E1837"/>
    <mergeCell ref="D1838:E1838"/>
    <mergeCell ref="D1839:E1839"/>
    <mergeCell ref="D1840:E1840"/>
    <mergeCell ref="D1841:E1841"/>
    <mergeCell ref="D1832:E1832"/>
    <mergeCell ref="D1833:E1833"/>
    <mergeCell ref="D1834:E1834"/>
    <mergeCell ref="D1835:E1835"/>
    <mergeCell ref="D1836:E1836"/>
    <mergeCell ref="D1827:E1827"/>
    <mergeCell ref="D1828:E1828"/>
    <mergeCell ref="D1829:E1829"/>
    <mergeCell ref="D1830:E1830"/>
    <mergeCell ref="D1831:E1831"/>
    <mergeCell ref="D1822:E1822"/>
    <mergeCell ref="D1823:E1823"/>
    <mergeCell ref="D1824:E1824"/>
    <mergeCell ref="D1825:E1825"/>
    <mergeCell ref="D1826:E1826"/>
    <mergeCell ref="D1817:E1817"/>
    <mergeCell ref="D1818:E1818"/>
    <mergeCell ref="D1819:E1819"/>
    <mergeCell ref="D1820:E1820"/>
    <mergeCell ref="D1821:E1821"/>
    <mergeCell ref="D1812:E1812"/>
    <mergeCell ref="D1813:E1813"/>
    <mergeCell ref="D1814:E1814"/>
    <mergeCell ref="D1815:E1815"/>
    <mergeCell ref="D1816:E1816"/>
    <mergeCell ref="D1797:E1797"/>
    <mergeCell ref="D1800:E1800"/>
    <mergeCell ref="D1803:E1803"/>
    <mergeCell ref="D1806:E1806"/>
    <mergeCell ref="D1809:E1809"/>
    <mergeCell ref="D1769:P1769"/>
    <mergeCell ref="D1776:E1776"/>
    <mergeCell ref="D1777:E1777"/>
    <mergeCell ref="D1778:E1778"/>
    <mergeCell ref="D1794:E1794"/>
    <mergeCell ref="D1764:E1764"/>
    <mergeCell ref="D1765:E1765"/>
    <mergeCell ref="D1766:E1766"/>
    <mergeCell ref="D1767:E1767"/>
    <mergeCell ref="D1768:E1768"/>
    <mergeCell ref="D1759:E1759"/>
    <mergeCell ref="D1760:E1760"/>
    <mergeCell ref="D1761:E1761"/>
    <mergeCell ref="D1762:E1762"/>
    <mergeCell ref="D1763:E1763"/>
    <mergeCell ref="D1754:E1754"/>
    <mergeCell ref="D1755:E1755"/>
    <mergeCell ref="D1756:E1756"/>
    <mergeCell ref="D1757:E1757"/>
    <mergeCell ref="D1758:E1758"/>
    <mergeCell ref="D1749:E1749"/>
    <mergeCell ref="D1750:E1750"/>
    <mergeCell ref="D1751:E1751"/>
    <mergeCell ref="D1752:E1752"/>
    <mergeCell ref="D1753:E1753"/>
    <mergeCell ref="D1744:E1744"/>
    <mergeCell ref="D1745:E1745"/>
    <mergeCell ref="D1746:E1746"/>
    <mergeCell ref="D1747:E1747"/>
    <mergeCell ref="D1748:E1748"/>
    <mergeCell ref="D1738:E1738"/>
    <mergeCell ref="D1740:E1740"/>
    <mergeCell ref="D1741:E1741"/>
    <mergeCell ref="D1742:E1742"/>
    <mergeCell ref="D1743:E1743"/>
    <mergeCell ref="D1726:E1726"/>
    <mergeCell ref="D1731:E1731"/>
    <mergeCell ref="D1732:E1732"/>
    <mergeCell ref="D1734:E1734"/>
    <mergeCell ref="D1736:E1736"/>
    <mergeCell ref="D1721:E1721"/>
    <mergeCell ref="D1722:E1722"/>
    <mergeCell ref="D1723:E1723"/>
    <mergeCell ref="D1724:E1724"/>
    <mergeCell ref="D1725:E1725"/>
    <mergeCell ref="D1716:E1716"/>
    <mergeCell ref="D1717:E1717"/>
    <mergeCell ref="D1718:E1718"/>
    <mergeCell ref="D1719:E1719"/>
    <mergeCell ref="D1720:E1720"/>
    <mergeCell ref="D1711:E1711"/>
    <mergeCell ref="D1712:E1712"/>
    <mergeCell ref="D1713:E1713"/>
    <mergeCell ref="D1714:E1714"/>
    <mergeCell ref="D1715:E1715"/>
    <mergeCell ref="D1706:E1706"/>
    <mergeCell ref="D1707:E1707"/>
    <mergeCell ref="D1708:E1708"/>
    <mergeCell ref="D1709:E1709"/>
    <mergeCell ref="D1710:E1710"/>
    <mergeCell ref="D1701:E1701"/>
    <mergeCell ref="D1702:E1702"/>
    <mergeCell ref="D1703:E1703"/>
    <mergeCell ref="D1704:E1704"/>
    <mergeCell ref="D1705:E1705"/>
    <mergeCell ref="D1696:E1696"/>
    <mergeCell ref="D1697:E1697"/>
    <mergeCell ref="D1698:E1698"/>
    <mergeCell ref="D1699:E1699"/>
    <mergeCell ref="D1700:E1700"/>
    <mergeCell ref="D1689:E1689"/>
    <mergeCell ref="D1691:E1691"/>
    <mergeCell ref="D1693:E1693"/>
    <mergeCell ref="D1694:E1694"/>
    <mergeCell ref="D1695:E1695"/>
    <mergeCell ref="D1683:E1683"/>
    <mergeCell ref="D1684:P1684"/>
    <mergeCell ref="D1685:E1685"/>
    <mergeCell ref="D1686:P1686"/>
    <mergeCell ref="D1687:E1687"/>
    <mergeCell ref="D1678:P1678"/>
    <mergeCell ref="D1679:E1679"/>
    <mergeCell ref="D1680:P1680"/>
    <mergeCell ref="D1681:E1681"/>
    <mergeCell ref="D1682:P1682"/>
    <mergeCell ref="D1673:E1673"/>
    <mergeCell ref="D1674:E1674"/>
    <mergeCell ref="D1675:E1675"/>
    <mergeCell ref="D1676:E1676"/>
    <mergeCell ref="D1677:E1677"/>
    <mergeCell ref="D1668:E1668"/>
    <mergeCell ref="D1669:E1669"/>
    <mergeCell ref="D1670:E1670"/>
    <mergeCell ref="D1671:E1671"/>
    <mergeCell ref="D1672:E1672"/>
    <mergeCell ref="D1663:E1663"/>
    <mergeCell ref="D1664:E1664"/>
    <mergeCell ref="D1665:P1665"/>
    <mergeCell ref="D1666:E1666"/>
    <mergeCell ref="D1667:E1667"/>
    <mergeCell ref="D1658:E1658"/>
    <mergeCell ref="D1659:E1659"/>
    <mergeCell ref="D1660:E1660"/>
    <mergeCell ref="D1661:E1661"/>
    <mergeCell ref="D1662:E1662"/>
    <mergeCell ref="D1653:E1653"/>
    <mergeCell ref="D1654:E1654"/>
    <mergeCell ref="D1655:E1655"/>
    <mergeCell ref="D1656:E1656"/>
    <mergeCell ref="D1657:E1657"/>
    <mergeCell ref="D1648:E1648"/>
    <mergeCell ref="D1649:E1649"/>
    <mergeCell ref="D1650:E1650"/>
    <mergeCell ref="D1651:E1651"/>
    <mergeCell ref="D1652:E1652"/>
    <mergeCell ref="D1643:E1643"/>
    <mergeCell ref="D1644:E1644"/>
    <mergeCell ref="D1645:E1645"/>
    <mergeCell ref="D1646:E1646"/>
    <mergeCell ref="D1647:E1647"/>
    <mergeCell ref="D1638:E1638"/>
    <mergeCell ref="D1639:E1639"/>
    <mergeCell ref="D1640:E1640"/>
    <mergeCell ref="D1641:E1641"/>
    <mergeCell ref="D1642:E1642"/>
    <mergeCell ref="D1633:E1633"/>
    <mergeCell ref="D1634:E1634"/>
    <mergeCell ref="D1635:E1635"/>
    <mergeCell ref="D1636:E1636"/>
    <mergeCell ref="D1637:E1637"/>
    <mergeCell ref="D1628:E1628"/>
    <mergeCell ref="D1629:E1629"/>
    <mergeCell ref="D1630:E1630"/>
    <mergeCell ref="D1631:E1631"/>
    <mergeCell ref="D1632:E1632"/>
    <mergeCell ref="D1623:E1623"/>
    <mergeCell ref="D1624:E1624"/>
    <mergeCell ref="D1625:E1625"/>
    <mergeCell ref="D1626:E1626"/>
    <mergeCell ref="D1627:E1627"/>
    <mergeCell ref="D1618:E1618"/>
    <mergeCell ref="D1619:E1619"/>
    <mergeCell ref="D1620:E1620"/>
    <mergeCell ref="D1621:E1621"/>
    <mergeCell ref="D1622:E1622"/>
    <mergeCell ref="D1613:E1613"/>
    <mergeCell ref="D1614:E1614"/>
    <mergeCell ref="D1615:E1615"/>
    <mergeCell ref="D1616:E1616"/>
    <mergeCell ref="D1617:E1617"/>
    <mergeCell ref="D1608:E1608"/>
    <mergeCell ref="D1609:E1609"/>
    <mergeCell ref="D1610:E1610"/>
    <mergeCell ref="D1611:E1611"/>
    <mergeCell ref="D1612:E1612"/>
    <mergeCell ref="D1603:E1603"/>
    <mergeCell ref="D1604:E1604"/>
    <mergeCell ref="D1605:E1605"/>
    <mergeCell ref="D1606:E1606"/>
    <mergeCell ref="D1607:E1607"/>
    <mergeCell ref="D1598:E1598"/>
    <mergeCell ref="D1599:E1599"/>
    <mergeCell ref="D1600:E1600"/>
    <mergeCell ref="D1601:E1601"/>
    <mergeCell ref="D1602:E1602"/>
    <mergeCell ref="D1593:E1593"/>
    <mergeCell ref="D1594:E1594"/>
    <mergeCell ref="D1595:E1595"/>
    <mergeCell ref="D1596:E1596"/>
    <mergeCell ref="D1597:E1597"/>
    <mergeCell ref="D1588:E1588"/>
    <mergeCell ref="D1589:E1589"/>
    <mergeCell ref="D1590:E1590"/>
    <mergeCell ref="D1591:E1591"/>
    <mergeCell ref="D1592:E1592"/>
    <mergeCell ref="D1583:E1583"/>
    <mergeCell ref="D1584:E1584"/>
    <mergeCell ref="D1585:E1585"/>
    <mergeCell ref="D1586:E1586"/>
    <mergeCell ref="D1587:E1587"/>
    <mergeCell ref="D1578:E1578"/>
    <mergeCell ref="D1579:E1579"/>
    <mergeCell ref="D1580:E1580"/>
    <mergeCell ref="D1581:E1581"/>
    <mergeCell ref="D1582:E1582"/>
    <mergeCell ref="D1573:E1573"/>
    <mergeCell ref="D1574:E1574"/>
    <mergeCell ref="D1575:E1575"/>
    <mergeCell ref="D1576:E1576"/>
    <mergeCell ref="D1577:E1577"/>
    <mergeCell ref="D1568:E1568"/>
    <mergeCell ref="D1569:E1569"/>
    <mergeCell ref="D1570:E1570"/>
    <mergeCell ref="D1571:E1571"/>
    <mergeCell ref="D1572:E1572"/>
    <mergeCell ref="D1563:E1563"/>
    <mergeCell ref="D1564:E1564"/>
    <mergeCell ref="D1565:E1565"/>
    <mergeCell ref="D1566:E1566"/>
    <mergeCell ref="D1567:E1567"/>
    <mergeCell ref="D1558:E1558"/>
    <mergeCell ref="D1559:E1559"/>
    <mergeCell ref="D1560:E1560"/>
    <mergeCell ref="D1561:E1561"/>
    <mergeCell ref="D1562:E1562"/>
    <mergeCell ref="D1553:E1553"/>
    <mergeCell ref="D1554:E1554"/>
    <mergeCell ref="D1555:E1555"/>
    <mergeCell ref="D1556:E1556"/>
    <mergeCell ref="D1557:E1557"/>
    <mergeCell ref="D1548:E1548"/>
    <mergeCell ref="D1549:E1549"/>
    <mergeCell ref="D1550:E1550"/>
    <mergeCell ref="D1551:E1551"/>
    <mergeCell ref="D1552:E1552"/>
    <mergeCell ref="D1500:E1500"/>
    <mergeCell ref="D1512:E1512"/>
    <mergeCell ref="D1524:E1524"/>
    <mergeCell ref="D1525:P1525"/>
    <mergeCell ref="D1547:E1547"/>
    <mergeCell ref="D1468:E1468"/>
    <mergeCell ref="D1483:E1483"/>
    <mergeCell ref="D1487:E1487"/>
    <mergeCell ref="D1492:E1492"/>
    <mergeCell ref="D1493:P1493"/>
    <mergeCell ref="D1434:E1434"/>
    <mergeCell ref="D1442:E1442"/>
    <mergeCell ref="D1447:E1447"/>
    <mergeCell ref="D1450:E1450"/>
    <mergeCell ref="D1453:E1453"/>
    <mergeCell ref="D1391:E1391"/>
    <mergeCell ref="D1392:P1392"/>
    <mergeCell ref="D1410:E1410"/>
    <mergeCell ref="D1418:E1418"/>
    <mergeCell ref="D1425:E1425"/>
    <mergeCell ref="D1379:P1379"/>
    <mergeCell ref="D1382:E1382"/>
    <mergeCell ref="D1383:E1383"/>
    <mergeCell ref="D1384:E1384"/>
    <mergeCell ref="D1388:E1388"/>
    <mergeCell ref="D1372:E1372"/>
    <mergeCell ref="D1373:E1373"/>
    <mergeCell ref="D1376:E1376"/>
    <mergeCell ref="D1377:P1377"/>
    <mergeCell ref="D1378:E1378"/>
    <mergeCell ref="D1340:E1340"/>
    <mergeCell ref="D1351:E1351"/>
    <mergeCell ref="D1352:P1352"/>
    <mergeCell ref="D1356:E1356"/>
    <mergeCell ref="D1357:P1357"/>
    <mergeCell ref="D1311:P1311"/>
    <mergeCell ref="D1323:E1323"/>
    <mergeCell ref="D1324:P1324"/>
    <mergeCell ref="D1335:E1335"/>
    <mergeCell ref="D1336:P1336"/>
    <mergeCell ref="D1278:E1278"/>
    <mergeCell ref="D1279:P1279"/>
    <mergeCell ref="D1293:E1293"/>
    <mergeCell ref="D1307:E1307"/>
    <mergeCell ref="D1310:E1310"/>
    <mergeCell ref="D1262:E1262"/>
    <mergeCell ref="D1264:E1264"/>
    <mergeCell ref="D1265:E1265"/>
    <mergeCell ref="D1266:E1266"/>
    <mergeCell ref="D1267:P1267"/>
    <mergeCell ref="D1255:E1255"/>
    <mergeCell ref="D1258:E1258"/>
    <mergeCell ref="D1259:P1259"/>
    <mergeCell ref="D1260:E1260"/>
    <mergeCell ref="D1261:P1261"/>
    <mergeCell ref="D1238:E1238"/>
    <mergeCell ref="D1239:P1239"/>
    <mergeCell ref="D1250:E1250"/>
    <mergeCell ref="D1251:P1251"/>
    <mergeCell ref="D1252:E1252"/>
    <mergeCell ref="D1202:P1202"/>
    <mergeCell ref="D1212:E1212"/>
    <mergeCell ref="D1213:P1213"/>
    <mergeCell ref="D1224:E1224"/>
    <mergeCell ref="D1235:E1235"/>
    <mergeCell ref="D1188:E1188"/>
    <mergeCell ref="D1189:P1189"/>
    <mergeCell ref="D1195:E1195"/>
    <mergeCell ref="D1198:E1198"/>
    <mergeCell ref="D1201:E1201"/>
    <mergeCell ref="D1174:E1174"/>
    <mergeCell ref="D1175:E1175"/>
    <mergeCell ref="D1176:P1176"/>
    <mergeCell ref="D1181:E1181"/>
    <mergeCell ref="D1182:P1182"/>
    <mergeCell ref="D1169:E1169"/>
    <mergeCell ref="D1170:E1170"/>
    <mergeCell ref="D1171:E1171"/>
    <mergeCell ref="D1172:E1172"/>
    <mergeCell ref="D1173:E1173"/>
    <mergeCell ref="D1164:E1164"/>
    <mergeCell ref="D1165:P1165"/>
    <mergeCell ref="D1166:E1166"/>
    <mergeCell ref="D1167:E1167"/>
    <mergeCell ref="D1168:E1168"/>
    <mergeCell ref="D1154:E1154"/>
    <mergeCell ref="D1156:E1156"/>
    <mergeCell ref="D1157:E1157"/>
    <mergeCell ref="D1158:E1158"/>
    <mergeCell ref="D1161:E1161"/>
    <mergeCell ref="D1134:E1134"/>
    <mergeCell ref="D1141:E1141"/>
    <mergeCell ref="D1144:E1144"/>
    <mergeCell ref="D1147:E1147"/>
    <mergeCell ref="D1150:E1150"/>
    <mergeCell ref="D1118:P1118"/>
    <mergeCell ref="D1129:E1129"/>
    <mergeCell ref="D1130:E1130"/>
    <mergeCell ref="D1132:E1132"/>
    <mergeCell ref="D1133:E1133"/>
    <mergeCell ref="D1097:E1097"/>
    <mergeCell ref="D1101:E1101"/>
    <mergeCell ref="D1102:E1102"/>
    <mergeCell ref="D1103:P1103"/>
    <mergeCell ref="D1117:E1117"/>
    <mergeCell ref="D1061:E1061"/>
    <mergeCell ref="D1070:E1070"/>
    <mergeCell ref="D1072:E1072"/>
    <mergeCell ref="D1079:E1079"/>
    <mergeCell ref="D1090:E1090"/>
    <mergeCell ref="D1046:E1046"/>
    <mergeCell ref="D1047:E1047"/>
    <mergeCell ref="D1048:E1048"/>
    <mergeCell ref="D1056:E1056"/>
    <mergeCell ref="D1060:E1060"/>
    <mergeCell ref="D998:E998"/>
    <mergeCell ref="D999:E999"/>
    <mergeCell ref="D1007:E1007"/>
    <mergeCell ref="D1021:E1021"/>
    <mergeCell ref="D1035:E1035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180:E18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86:E86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3" t="s">
        <v>4163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5">
      <c r="A2" s="105" t="s">
        <v>1</v>
      </c>
      <c r="B2" s="106"/>
      <c r="C2" s="116" t="str">
        <f>'Soupis dodávek a prací'!D2</f>
        <v>Nové stanovište ZZS SK Benešov</v>
      </c>
      <c r="D2" s="117"/>
      <c r="E2" s="110" t="s">
        <v>5</v>
      </c>
      <c r="F2" s="110" t="str">
        <f>'Soupis dodávek a prací'!J2</f>
        <v>Zdravotnická záchraná služba Stredoceského kraje</v>
      </c>
      <c r="G2" s="106"/>
      <c r="H2" s="110" t="s">
        <v>4235</v>
      </c>
      <c r="I2" s="169" t="s">
        <v>54</v>
      </c>
    </row>
    <row r="3" spans="1:9" ht="15" customHeight="1" x14ac:dyDescent="0.25">
      <c r="A3" s="107"/>
      <c r="B3" s="108"/>
      <c r="C3" s="118"/>
      <c r="D3" s="118"/>
      <c r="E3" s="108"/>
      <c r="F3" s="108"/>
      <c r="G3" s="108"/>
      <c r="H3" s="108"/>
      <c r="I3" s="115"/>
    </row>
    <row r="4" spans="1:9" x14ac:dyDescent="0.25">
      <c r="A4" s="109" t="s">
        <v>7</v>
      </c>
      <c r="B4" s="108"/>
      <c r="C4" s="111" t="str">
        <f>'Soupis dodávek a prací'!D4</f>
        <v xml:space="preserve"> </v>
      </c>
      <c r="D4" s="108"/>
      <c r="E4" s="111" t="s">
        <v>9</v>
      </c>
      <c r="F4" s="111" t="str">
        <f>'Soupis dodávek a prací'!J4</f>
        <v>Mag. Arch. Jaroslav Trávnícek</v>
      </c>
      <c r="G4" s="108"/>
      <c r="H4" s="111" t="s">
        <v>4235</v>
      </c>
      <c r="I4" s="115" t="s">
        <v>54</v>
      </c>
    </row>
    <row r="5" spans="1:9" ht="15" customHeight="1" x14ac:dyDescent="0.25">
      <c r="A5" s="107"/>
      <c r="B5" s="108"/>
      <c r="C5" s="108"/>
      <c r="D5" s="108"/>
      <c r="E5" s="108"/>
      <c r="F5" s="108"/>
      <c r="G5" s="108"/>
      <c r="H5" s="108"/>
      <c r="I5" s="115"/>
    </row>
    <row r="6" spans="1:9" x14ac:dyDescent="0.25">
      <c r="A6" s="109" t="s">
        <v>11</v>
      </c>
      <c r="B6" s="108"/>
      <c r="C6" s="111" t="str">
        <f>'Soupis dodávek a prací'!D6</f>
        <v>na parc. c. 1833/1, 1833/2, 1833/4, 1833/9, 1833/10, 1834/2, 1834/4, 1834/7, 1838 v k.ú. Benešov u P</v>
      </c>
      <c r="D6" s="108"/>
      <c r="E6" s="111" t="s">
        <v>14</v>
      </c>
      <c r="F6" s="111" t="str">
        <f>'Soupis dodávek a prací'!J6</f>
        <v>dle výberového rízení</v>
      </c>
      <c r="G6" s="108"/>
      <c r="H6" s="111" t="s">
        <v>4235</v>
      </c>
      <c r="I6" s="115" t="s">
        <v>54</v>
      </c>
    </row>
    <row r="7" spans="1:9" ht="25.5" customHeight="1" x14ac:dyDescent="0.25">
      <c r="A7" s="107"/>
      <c r="B7" s="108"/>
      <c r="C7" s="108"/>
      <c r="D7" s="108"/>
      <c r="E7" s="108"/>
      <c r="F7" s="108"/>
      <c r="G7" s="108"/>
      <c r="H7" s="108"/>
      <c r="I7" s="115"/>
    </row>
    <row r="8" spans="1:9" x14ac:dyDescent="0.25">
      <c r="A8" s="109" t="s">
        <v>8</v>
      </c>
      <c r="B8" s="108"/>
      <c r="C8" s="111" t="str">
        <f>'Soupis dodávek a prací'!H4</f>
        <v xml:space="preserve"> </v>
      </c>
      <c r="D8" s="108"/>
      <c r="E8" s="111" t="s">
        <v>13</v>
      </c>
      <c r="F8" s="111" t="str">
        <f>'Soupis dodávek a prací'!H6</f>
        <v xml:space="preserve"> </v>
      </c>
      <c r="G8" s="108"/>
      <c r="H8" s="108" t="s">
        <v>4236</v>
      </c>
      <c r="I8" s="114">
        <v>968</v>
      </c>
    </row>
    <row r="9" spans="1:9" x14ac:dyDescent="0.25">
      <c r="A9" s="107"/>
      <c r="B9" s="108"/>
      <c r="C9" s="108"/>
      <c r="D9" s="108"/>
      <c r="E9" s="108"/>
      <c r="F9" s="108"/>
      <c r="G9" s="108"/>
      <c r="H9" s="108"/>
      <c r="I9" s="115"/>
    </row>
    <row r="10" spans="1:9" x14ac:dyDescent="0.25">
      <c r="A10" s="109" t="s">
        <v>16</v>
      </c>
      <c r="B10" s="108"/>
      <c r="C10" s="111" t="str">
        <f>'Soupis dodávek a prací'!D8</f>
        <v xml:space="preserve"> </v>
      </c>
      <c r="D10" s="108"/>
      <c r="E10" s="111" t="s">
        <v>19</v>
      </c>
      <c r="F10" s="111" t="str">
        <f>'Soupis dodávek a prací'!J8</f>
        <v> </v>
      </c>
      <c r="G10" s="108"/>
      <c r="H10" s="108" t="s">
        <v>4237</v>
      </c>
      <c r="I10" s="120">
        <f>'Soupis dodávek a prací'!H8</f>
        <v>45389</v>
      </c>
    </row>
    <row r="11" spans="1:9" x14ac:dyDescent="0.25">
      <c r="A11" s="125"/>
      <c r="B11" s="119"/>
      <c r="C11" s="119"/>
      <c r="D11" s="119"/>
      <c r="E11" s="119"/>
      <c r="F11" s="119"/>
      <c r="G11" s="119"/>
      <c r="H11" s="119"/>
      <c r="I11" s="121"/>
    </row>
    <row r="13" spans="1:9" ht="15.75" x14ac:dyDescent="0.25">
      <c r="A13" s="185" t="s">
        <v>4275</v>
      </c>
      <c r="B13" s="185"/>
      <c r="C13" s="185"/>
      <c r="D13" s="185"/>
      <c r="E13" s="185"/>
    </row>
    <row r="14" spans="1:9" x14ac:dyDescent="0.25">
      <c r="A14" s="186" t="s">
        <v>4276</v>
      </c>
      <c r="B14" s="187"/>
      <c r="C14" s="187"/>
      <c r="D14" s="187"/>
      <c r="E14" s="188"/>
      <c r="F14" s="48" t="s">
        <v>4277</v>
      </c>
      <c r="G14" s="48" t="s">
        <v>1449</v>
      </c>
      <c r="H14" s="48" t="s">
        <v>4278</v>
      </c>
      <c r="I14" s="48" t="s">
        <v>4277</v>
      </c>
    </row>
    <row r="15" spans="1:9" x14ac:dyDescent="0.25">
      <c r="A15" s="189" t="s">
        <v>4246</v>
      </c>
      <c r="B15" s="190"/>
      <c r="C15" s="190"/>
      <c r="D15" s="190"/>
      <c r="E15" s="191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189" t="s">
        <v>4248</v>
      </c>
      <c r="B16" s="190"/>
      <c r="C16" s="190"/>
      <c r="D16" s="190"/>
      <c r="E16" s="191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192" t="s">
        <v>4250</v>
      </c>
      <c r="B17" s="193"/>
      <c r="C17" s="193"/>
      <c r="D17" s="193"/>
      <c r="E17" s="194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195" t="s">
        <v>4279</v>
      </c>
      <c r="B18" s="196"/>
      <c r="C18" s="196"/>
      <c r="D18" s="196"/>
      <c r="E18" s="197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186" t="s">
        <v>4244</v>
      </c>
      <c r="B20" s="187"/>
      <c r="C20" s="187"/>
      <c r="D20" s="187"/>
      <c r="E20" s="188"/>
      <c r="F20" s="48" t="s">
        <v>4277</v>
      </c>
      <c r="G20" s="48" t="s">
        <v>1449</v>
      </c>
      <c r="H20" s="48" t="s">
        <v>4278</v>
      </c>
      <c r="I20" s="48" t="s">
        <v>4277</v>
      </c>
    </row>
    <row r="21" spans="1:9" x14ac:dyDescent="0.25">
      <c r="A21" s="189" t="s">
        <v>4176</v>
      </c>
      <c r="B21" s="190"/>
      <c r="C21" s="190"/>
      <c r="D21" s="190"/>
      <c r="E21" s="191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189" t="s">
        <v>4249</v>
      </c>
      <c r="B22" s="190"/>
      <c r="C22" s="190"/>
      <c r="D22" s="190"/>
      <c r="E22" s="191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189" t="s">
        <v>4198</v>
      </c>
      <c r="B23" s="190"/>
      <c r="C23" s="190"/>
      <c r="D23" s="190"/>
      <c r="E23" s="191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189" t="s">
        <v>4206</v>
      </c>
      <c r="B24" s="190"/>
      <c r="C24" s="190"/>
      <c r="D24" s="190"/>
      <c r="E24" s="191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189" t="s">
        <v>4252</v>
      </c>
      <c r="B25" s="190"/>
      <c r="C25" s="190"/>
      <c r="D25" s="190"/>
      <c r="E25" s="191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192" t="s">
        <v>4280</v>
      </c>
      <c r="B26" s="193"/>
      <c r="C26" s="193"/>
      <c r="D26" s="193"/>
      <c r="E26" s="194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195" t="s">
        <v>4281</v>
      </c>
      <c r="B27" s="196"/>
      <c r="C27" s="196"/>
      <c r="D27" s="196"/>
      <c r="E27" s="197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198" t="s">
        <v>4282</v>
      </c>
      <c r="B29" s="199"/>
      <c r="C29" s="199"/>
      <c r="D29" s="199"/>
      <c r="E29" s="200"/>
      <c r="F29" s="201">
        <f>I18+I27</f>
        <v>0</v>
      </c>
      <c r="G29" s="202"/>
      <c r="H29" s="202"/>
      <c r="I29" s="203"/>
    </row>
    <row r="33" spans="1:9" ht="15.75" x14ac:dyDescent="0.25">
      <c r="A33" s="185" t="s">
        <v>4283</v>
      </c>
      <c r="B33" s="185"/>
      <c r="C33" s="185"/>
      <c r="D33" s="185"/>
      <c r="E33" s="185"/>
    </row>
    <row r="34" spans="1:9" x14ac:dyDescent="0.25">
      <c r="A34" s="186" t="s">
        <v>4284</v>
      </c>
      <c r="B34" s="187"/>
      <c r="C34" s="187"/>
      <c r="D34" s="187"/>
      <c r="E34" s="188"/>
      <c r="F34" s="48" t="s">
        <v>4277</v>
      </c>
      <c r="G34" s="48" t="s">
        <v>1449</v>
      </c>
      <c r="H34" s="48" t="s">
        <v>4278</v>
      </c>
      <c r="I34" s="48" t="s">
        <v>4277</v>
      </c>
    </row>
    <row r="35" spans="1:9" x14ac:dyDescent="0.25">
      <c r="A35" s="189" t="s">
        <v>4285</v>
      </c>
      <c r="B35" s="190"/>
      <c r="C35" s="190"/>
      <c r="D35" s="190"/>
      <c r="E35" s="191"/>
      <c r="F35" s="49">
        <f>SUM('Soupis dodávek a prací'!BM12:BM2832)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189" t="s">
        <v>4286</v>
      </c>
      <c r="B36" s="190"/>
      <c r="C36" s="190"/>
      <c r="D36" s="190"/>
      <c r="E36" s="191"/>
      <c r="F36" s="49">
        <f>SUM('Soupis dodávek a prací'!BN12:BN2832)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189" t="s">
        <v>4176</v>
      </c>
      <c r="B37" s="190"/>
      <c r="C37" s="190"/>
      <c r="D37" s="190"/>
      <c r="E37" s="191"/>
      <c r="F37" s="49">
        <f>SUM('Soupis dodávek a prací'!BO12:BO2832)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189" t="s">
        <v>4183</v>
      </c>
      <c r="B38" s="190"/>
      <c r="C38" s="190"/>
      <c r="D38" s="190"/>
      <c r="E38" s="191"/>
      <c r="F38" s="49">
        <f>SUM('Soupis dodávek a prací'!BP12:BP2832)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189" t="s">
        <v>4192</v>
      </c>
      <c r="B39" s="190"/>
      <c r="C39" s="190"/>
      <c r="D39" s="190"/>
      <c r="E39" s="191"/>
      <c r="F39" s="49">
        <f>SUM('Soupis dodávek a prací'!BQ12:BQ2832)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189" t="s">
        <v>4198</v>
      </c>
      <c r="B40" s="190"/>
      <c r="C40" s="190"/>
      <c r="D40" s="190"/>
      <c r="E40" s="191"/>
      <c r="F40" s="49">
        <f>SUM('Soupis dodávek a prací'!BR12:BR2832)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189" t="s">
        <v>4206</v>
      </c>
      <c r="B41" s="190"/>
      <c r="C41" s="190"/>
      <c r="D41" s="190"/>
      <c r="E41" s="191"/>
      <c r="F41" s="49">
        <f>SUM('Soupis dodávek a prací'!BS12:BS2832)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189" t="s">
        <v>4287</v>
      </c>
      <c r="B42" s="190"/>
      <c r="C42" s="190"/>
      <c r="D42" s="190"/>
      <c r="E42" s="191"/>
      <c r="F42" s="49">
        <f>SUM('Soupis dodávek a prací'!BT12:BT2832)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189" t="s">
        <v>4211</v>
      </c>
      <c r="B43" s="190"/>
      <c r="C43" s="190"/>
      <c r="D43" s="190"/>
      <c r="E43" s="191"/>
      <c r="F43" s="49">
        <f>SUM('Soupis dodávek a prací'!BU12:BU2832)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192" t="s">
        <v>4288</v>
      </c>
      <c r="B44" s="193"/>
      <c r="C44" s="193"/>
      <c r="D44" s="193"/>
      <c r="E44" s="194"/>
      <c r="F44" s="51">
        <f>SUM('Soupis dodávek a prací'!BV12:BV2832)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195" t="s">
        <v>4289</v>
      </c>
      <c r="B45" s="196"/>
      <c r="C45" s="196"/>
      <c r="D45" s="196"/>
      <c r="E45" s="197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06AD7251-69F6-44B9-B7A9-023B0CEE62AC}"/>
</file>

<file path=customXml/itemProps2.xml><?xml version="1.0" encoding="utf-8"?>
<ds:datastoreItem xmlns:ds="http://schemas.openxmlformats.org/officeDocument/2006/customXml" ds:itemID="{C30A6248-EBE6-4226-A018-6DC44C0B1FA4}"/>
</file>

<file path=customXml/itemProps3.xml><?xml version="1.0" encoding="utf-8"?>
<ds:datastoreItem xmlns:ds="http://schemas.openxmlformats.org/officeDocument/2006/customXml" ds:itemID="{BB9B9156-CC04-4939-BBD6-2154FD17B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2025-03-03T08:20:20Z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