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 - součet" sheetId="1" r:id="rId1"/>
    <sheet name="Výkaz výměr" sheetId="2" r:id="rId2"/>
    <sheet name="Harmonogram" sheetId="3" r:id="rId3"/>
    <sheet name="Čerpání rozpočtu a fakturace" sheetId="4" r:id="rId4"/>
    <sheet name="Krycí list rozpočtu" sheetId="5" r:id="rId5"/>
    <sheet name="Stavební rozpočet" sheetId="6" state="veryHidden" r:id="rId6"/>
  </sheets>
  <definedNames/>
  <calcPr fullCalcOnLoad="1"/>
</workbook>
</file>

<file path=xl/sharedStrings.xml><?xml version="1.0" encoding="utf-8"?>
<sst xmlns="http://schemas.openxmlformats.org/spreadsheetml/2006/main" count="921" uniqueCount="262">
  <si>
    <t>Slepý stavební rozpočet - rekapitulace</t>
  </si>
  <si>
    <t>Název stavby:</t>
  </si>
  <si>
    <t>Druh stavby:</t>
  </si>
  <si>
    <t>Lokalita:</t>
  </si>
  <si>
    <t>Zpracoval:</t>
  </si>
  <si>
    <t>Objekt</t>
  </si>
  <si>
    <t>Kód</t>
  </si>
  <si>
    <t>44</t>
  </si>
  <si>
    <t>111VD</t>
  </si>
  <si>
    <t>762</t>
  </si>
  <si>
    <t>764</t>
  </si>
  <si>
    <t>765</t>
  </si>
  <si>
    <t>783</t>
  </si>
  <si>
    <t>H762</t>
  </si>
  <si>
    <t>H764</t>
  </si>
  <si>
    <t>H765</t>
  </si>
  <si>
    <t>M21</t>
  </si>
  <si>
    <t>Zkrácený popis</t>
  </si>
  <si>
    <t>Zastřešení</t>
  </si>
  <si>
    <t>Záchytný systém střechy 13 bodů</t>
  </si>
  <si>
    <t>Konstrukce tesařské</t>
  </si>
  <si>
    <t>Konstrukce klempířské</t>
  </si>
  <si>
    <t>Krytina tvrdá</t>
  </si>
  <si>
    <t>Nátěry</t>
  </si>
  <si>
    <t>Elektromontáže</t>
  </si>
  <si>
    <t>Ostatní materiál</t>
  </si>
  <si>
    <t>Objednatel:</t>
  </si>
  <si>
    <t>Projektant:</t>
  </si>
  <si>
    <t>Zhotovitel:</t>
  </si>
  <si>
    <t>Zpracováno dne:</t>
  </si>
  <si>
    <t>Náklady (Kč) - dodávka</t>
  </si>
  <si>
    <t>Náklady (Kč) - Montáž</t>
  </si>
  <si>
    <t>Celkem:</t>
  </si>
  <si>
    <t>Náklady (Kč) - celkem</t>
  </si>
  <si>
    <t>Celková hmotnost (t)</t>
  </si>
  <si>
    <t>T</t>
  </si>
  <si>
    <t>Výkaz výměr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</si>
  <si>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</si>
  <si>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</si>
  <si>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</si>
  <si>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</si>
  <si>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</si>
  <si>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</si>
  <si>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</si>
  <si>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</si>
  <si>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</si>
  <si>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</si>
  <si>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</si>
  <si>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</si>
  <si>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</si>
  <si>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</si>
  <si>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</si>
  <si>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</si>
  <si>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</si>
  <si>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</si>
  <si>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</si>
  <si>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</si>
  <si>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</si>
  <si>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</si>
  <si>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</si>
  <si>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</si>
  <si>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</si>
  <si>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</si>
  <si>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</si>
  <si>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</si>
  <si>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</si>
  <si>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</si>
  <si>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</si>
  <si>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</si>
  <si>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</si>
  <si>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Poznámka:</t>
  </si>
  <si>
    <t>440351202R00</t>
  </si>
  <si>
    <t>762340132RA0</t>
  </si>
  <si>
    <t>762711830R00</t>
  </si>
  <si>
    <t>762711850R00</t>
  </si>
  <si>
    <t>762711840R00</t>
  </si>
  <si>
    <t>762795000R00</t>
  </si>
  <si>
    <t>762111811R00</t>
  </si>
  <si>
    <t>762712130RT3</t>
  </si>
  <si>
    <t>762712140RT3</t>
  </si>
  <si>
    <t>762712150RT2</t>
  </si>
  <si>
    <t>764322831R00</t>
  </si>
  <si>
    <t>764367801R00</t>
  </si>
  <si>
    <t>764321220R00</t>
  </si>
  <si>
    <t>764919104R00</t>
  </si>
  <si>
    <t>764919107R00</t>
  </si>
  <si>
    <t>764918925R00</t>
  </si>
  <si>
    <t>764918934R00</t>
  </si>
  <si>
    <t>764319010RAB</t>
  </si>
  <si>
    <t>764903323RT1</t>
  </si>
  <si>
    <t>764367201R00</t>
  </si>
  <si>
    <t>764255292R00</t>
  </si>
  <si>
    <t>764819213R00</t>
  </si>
  <si>
    <t>765361810R00</t>
  </si>
  <si>
    <t>765799311RK3</t>
  </si>
  <si>
    <t>783782211R00</t>
  </si>
  <si>
    <t>998762103R00</t>
  </si>
  <si>
    <t>998764103R00</t>
  </si>
  <si>
    <t>998765103R00</t>
  </si>
  <si>
    <t>210200020RAB</t>
  </si>
  <si>
    <t>553523033</t>
  </si>
  <si>
    <t>55341585</t>
  </si>
  <si>
    <t>Bednění střešní konstr. šířky do 25 cm -odstranění</t>
  </si>
  <si>
    <t>záchytný systém střechy 13 bodů</t>
  </si>
  <si>
    <t>Laťování střech rozteč 36 cm, impregnace</t>
  </si>
  <si>
    <t>Demontáž vázaných konstrukcí hraněných do 288 cm2</t>
  </si>
  <si>
    <t>Demontáž vázaných konstrukcí hraněných nad 450 cm2</t>
  </si>
  <si>
    <t>Demontáž vázaných konstrukcí hraněných do 450 cm2</t>
  </si>
  <si>
    <t>Spojovací prostředky pro vázané konstrukce</t>
  </si>
  <si>
    <t>Demontáž stěn z hranolků, fošen nebo latí</t>
  </si>
  <si>
    <t>Montáž vázaných konstrukcí hraněných do 288 cm2</t>
  </si>
  <si>
    <t>Montáž vázaných konstrukcí hraněných do 450 cm2</t>
  </si>
  <si>
    <t>Montáž vázaných konstrukcí hraněných do 600 cm2</t>
  </si>
  <si>
    <t>Demontáž oplechování okapů, TK, rš 400 mm, do 45°</t>
  </si>
  <si>
    <t>Demontáž oplechování střešního vikýře, do 45°</t>
  </si>
  <si>
    <t>Oplechování Pz říms pod nadříms. žlabem, rš 500 mm</t>
  </si>
  <si>
    <t>M.krytiny z tašk.tabulí z lak.plech.na ocel do 30°</t>
  </si>
  <si>
    <t>M.tašková tabule, lak.pl.,příplatek nad 30° do 45°</t>
  </si>
  <si>
    <t>Z+M úžlabí z ocel.lak. plechu do rš 1000 mm</t>
  </si>
  <si>
    <t>Z+M hřebene střechy z ocel. lak. plechu rš 500mm</t>
  </si>
  <si>
    <t>Krytina  taškové tabule, na dřevo</t>
  </si>
  <si>
    <t xml:space="preserve"> Safety, sněhové zábrany trubkové. l= 3,0 m</t>
  </si>
  <si>
    <t>Oplechování vikýře z Pz, plochy do 6 m2, do 45°</t>
  </si>
  <si>
    <t>Montáž háků žlabů nástřešních oblých</t>
  </si>
  <si>
    <t>Odpadní trouby kruhové z lak.Pz plechu, D 120 mm</t>
  </si>
  <si>
    <t>Demontáž šindelové krytiny, do suti s uložením na skládku</t>
  </si>
  <si>
    <t>Montáž fólie na krokve přibitím se slepením spojů</t>
  </si>
  <si>
    <t>Nátěr tesařských konstrukcí proti hmyzu,houbám 2x</t>
  </si>
  <si>
    <t>Přesun hmot pro tesařské konstrukce, výšky do 24 m</t>
  </si>
  <si>
    <t>Přesun hmot pro klempířské konstr., výšky do 24 m</t>
  </si>
  <si>
    <t>Přesun hmot pro krytiny tvrdé, výšky do 24 m</t>
  </si>
  <si>
    <t>Hromosvod včetně revize</t>
  </si>
  <si>
    <t>Hák pro žlab půlkruhový rš 330 pozink-lak</t>
  </si>
  <si>
    <t>Vikýř střešní  SVI 60x60 cm</t>
  </si>
  <si>
    <t>M.j.</t>
  </si>
  <si>
    <t>m2</t>
  </si>
  <si>
    <t>m</t>
  </si>
  <si>
    <t>m3</t>
  </si>
  <si>
    <t>kus</t>
  </si>
  <si>
    <t>t</t>
  </si>
  <si>
    <t>kompl</t>
  </si>
  <si>
    <t>Rozměry</t>
  </si>
  <si>
    <t>10*4,39/2*2</t>
  </si>
  <si>
    <t>Množství</t>
  </si>
  <si>
    <t>Cenová soustava</t>
  </si>
  <si>
    <t>RTS I / 2018</t>
  </si>
  <si>
    <t>Harmonogram</t>
  </si>
  <si>
    <t>JKSO:</t>
  </si>
  <si>
    <t>Doba výstavby:</t>
  </si>
  <si>
    <t>Začátek výstavby:</t>
  </si>
  <si>
    <t>Konec výstavby:</t>
  </si>
  <si>
    <t>Nh</t>
  </si>
  <si>
    <t>Zdroje</t>
  </si>
  <si>
    <t>Trvání</t>
  </si>
  <si>
    <t>37</t>
  </si>
  <si>
    <t>Rozpočet (Kč)</t>
  </si>
  <si>
    <t>Čerpání rozpočtu a fakturace</t>
  </si>
  <si>
    <t>Rozpočtové náklady (Kč)</t>
  </si>
  <si>
    <t>Fakturovaná cena (Kč)</t>
  </si>
  <si>
    <t>Rozdíl v Kč</t>
  </si>
  <si>
    <t>Rozdíl v %</t>
  </si>
  <si>
    <t>Fakturované množství</t>
  </si>
  <si>
    <t>Rozdíl</t>
  </si>
  <si>
    <t>Uhrazená cena (Kč)</t>
  </si>
  <si>
    <t>Rozdíl úhrady v Kč</t>
  </si>
  <si>
    <t>Rozdíl úhrady v %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</si>
  <si>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</si>
  <si>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</si>
  <si>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</si>
  <si>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</si>
  <si>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</si>
  <si>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</si>
  <si>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</si>
  <si>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</si>
  <si>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</si>
  <si>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</si>
  <si>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</si>
  <si>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</si>
  <si>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</si>
  <si>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</si>
  <si>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</si>
  <si>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</si>
  <si>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</si>
  <si>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</si>
  <si>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</si>
  <si>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</si>
  <si>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Provoz investora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</si>
  <si>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</si>
  <si>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</si>
  <si>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</si>
  <si>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</si>
  <si>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</si>
  <si>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</si>
  <si>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</si>
  <si>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</si>
  <si>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</si>
  <si>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</si>
  <si>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</si>
  <si>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</si>
  <si>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</si>
  <si>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</si>
  <si>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</si>
  <si>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</si>
  <si>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</si>
  <si>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</si>
  <si>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</si>
  <si>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</si>
  <si>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</si>
  <si>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</si>
  <si>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</si>
  <si>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</si>
  <si>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Slepý stavební rozpočet</t>
  </si>
  <si>
    <t xml:space="preserve"> </t>
  </si>
  <si>
    <t>ISŠ Jesenice, Žatecká 1</t>
  </si>
  <si>
    <t>Oprava střechy a okapů</t>
  </si>
  <si>
    <t>26.07.2018</t>
  </si>
  <si>
    <t>Jednot.</t>
  </si>
  <si>
    <t>cena (Kč)</t>
  </si>
  <si>
    <t>Náklady (Kč)</t>
  </si>
  <si>
    <t>Dodávka</t>
  </si>
  <si>
    <t>Miroslav Stehlík</t>
  </si>
  <si>
    <t>Celkem</t>
  </si>
  <si>
    <t>Hmotnost (t)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</si>
  <si>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</si>
  <si>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</si>
  <si>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</si>
  <si>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</si>
  <si>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</si>
  <si>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</si>
  <si>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</si>
  <si>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</si>
  <si>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</si>
  <si>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</si>
  <si>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</si>
  <si>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</si>
  <si>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44_</t>
  </si>
  <si>
    <t>111VD_</t>
  </si>
  <si>
    <t>762_</t>
  </si>
  <si>
    <t>764_</t>
  </si>
  <si>
    <t>765_</t>
  </si>
  <si>
    <t>783_</t>
  </si>
  <si>
    <t>H762_</t>
  </si>
  <si>
    <t>H764_</t>
  </si>
  <si>
    <t>H765_</t>
  </si>
  <si>
    <t>M21_</t>
  </si>
  <si>
    <t>Z99999_</t>
  </si>
  <si>
    <t>4_</t>
  </si>
  <si>
    <t>1_</t>
  </si>
  <si>
    <t>76_</t>
  </si>
  <si>
    <t>78_</t>
  </si>
  <si>
    <t>9_</t>
  </si>
  <si>
    <t>Z_</t>
  </si>
  <si>
    <t>_</t>
  </si>
  <si>
    <t>100003</t>
  </si>
  <si>
    <t>100002</t>
  </si>
  <si>
    <t>100001</t>
  </si>
  <si>
    <t>100004</t>
  </si>
  <si>
    <t>100005</t>
  </si>
  <si>
    <t>100006</t>
  </si>
  <si>
    <t>100008</t>
  </si>
  <si>
    <t>100007</t>
  </si>
  <si>
    <t>100009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</si>
</sst>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43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6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6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6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6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7" fillId="2" borderId="6" xfId="0" applyNumberFormat="1" applyFont="1" applyFill="1" applyBorder="1" applyAlignment="1" applyProtection="1">
      <alignment horizontal="left" vertical="center"/>
      <protection/>
    </xf>
    <xf numFmtId="49" fontId="7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7" fillId="2" borderId="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right" vertical="center"/>
      <protection/>
    </xf>
    <xf numFmtId="4" fontId="7" fillId="2" borderId="6" xfId="0" applyNumberFormat="1" applyFont="1" applyFill="1" applyBorder="1" applyAlignment="1" applyProtection="1">
      <alignment horizontal="right" vertical="center"/>
      <protection/>
    </xf>
    <xf numFmtId="4" fontId="7" fillId="2" borderId="0" xfId="0" applyNumberFormat="1" applyFont="1" applyFill="1" applyBorder="1" applyAlignment="1" applyProtection="1">
      <alignment horizontal="right" vertical="center"/>
      <protection/>
    </xf>
    <xf numFmtId="4" fontId="7" fillId="2" borderId="21" xfId="0" applyNumberFormat="1" applyFont="1" applyFill="1" applyBorder="1" applyAlignment="1" applyProtection="1">
      <alignment horizontal="right" vertical="center"/>
      <protection/>
    </xf>
    <xf numFmtId="4" fontId="7" fillId="2" borderId="20" xfId="0" applyNumberFormat="1" applyFont="1" applyFill="1" applyBorder="1" applyAlignment="1" applyProtection="1">
      <alignment horizontal="right" vertical="center"/>
      <protection/>
    </xf>
    <xf numFmtId="4" fontId="7" fillId="2" borderId="2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7" fillId="2" borderId="14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49" fontId="9" fillId="3" borderId="25" xfId="0" applyNumberFormat="1" applyFont="1" applyFill="1" applyBorder="1" applyAlignment="1" applyProtection="1">
      <alignment horizontal="center" vertical="center"/>
      <protection/>
    </xf>
    <xf numFmtId="49" fontId="10" fillId="0" borderId="26" xfId="0" applyNumberFormat="1" applyFont="1" applyFill="1" applyBorder="1" applyAlignment="1" applyProtection="1">
      <alignment horizontal="left" vertical="center"/>
      <protection/>
    </xf>
    <xf numFmtId="49" fontId="10" fillId="0" borderId="27" xfId="0" applyNumberFormat="1" applyFont="1" applyFill="1" applyBorder="1" applyAlignment="1" applyProtection="1">
      <alignment horizontal="left"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9" fontId="10" fillId="3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11" fillId="0" borderId="22" xfId="0" applyNumberFormat="1" applyFont="1" applyFill="1" applyBorder="1" applyAlignment="1" applyProtection="1">
      <alignment horizontal="left" vertical="center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49" fontId="6" fillId="0" borderId="6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0" fillId="0" borderId="31" xfId="0" applyNumberFormat="1" applyFont="1" applyFill="1" applyBorder="1" applyAlignment="1" applyProtection="1">
      <alignment horizontal="left" vertical="center"/>
      <protection/>
    </xf>
    <xf numFmtId="0" fontId="10" fillId="3" borderId="24" xfId="0" applyNumberFormat="1" applyFont="1" applyFill="1" applyBorder="1" applyAlignment="1" applyProtection="1">
      <alignment horizontal="left" vertical="center"/>
      <protection/>
    </xf>
    <xf numFmtId="0" fontId="11" fillId="0" borderId="6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1" fillId="0" borderId="21" xfId="0" applyNumberFormat="1" applyFont="1" applyFill="1" applyBorder="1" applyAlignment="1" applyProtection="1">
      <alignment horizontal="left" vertical="center"/>
      <protection/>
    </xf>
    <xf numFmtId="0" fontId="11" fillId="0" borderId="20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4" fontId="11" fillId="0" borderId="25" xfId="0" applyNumberFormat="1" applyFont="1" applyFill="1" applyBorder="1" applyAlignment="1" applyProtection="1">
      <alignment horizontal="right" vertical="center"/>
      <protection/>
    </xf>
    <xf numFmtId="49" fontId="11" fillId="0" borderId="25" xfId="0" applyNumberFormat="1" applyFont="1" applyFill="1" applyBorder="1" applyAlignment="1" applyProtection="1">
      <alignment horizontal="right" vertical="center"/>
      <protection/>
    </xf>
    <xf numFmtId="4" fontId="11" fillId="0" borderId="33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0" fillId="3" borderId="31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49" fontId="13" fillId="2" borderId="6" xfId="0" applyNumberFormat="1" applyFont="1" applyFill="1" applyBorder="1" applyAlignment="1" applyProtection="1">
      <alignment horizontal="left" vertical="center"/>
      <protection/>
    </xf>
    <xf numFmtId="49" fontId="13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7" fillId="2" borderId="6" xfId="0" applyNumberFormat="1" applyFont="1" applyFill="1" applyBorder="1" applyAlignment="1" applyProtection="1">
      <alignment horizontal="right" vertical="center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pane ySplit="10" topLeftCell="A11" activePane="bottomLeft" state="frozen"/>
      <selection pane="bottomLeft" activeCell="A1" sqref="A1:G1"/>
    </sheetView>
  </sheetViews>
  <sheetFormatPr defaultColWidth="11.57421875" defaultRowHeight="12.75"/>
  <cols>
    <col min="1" max="2" width="16.57421875" customWidth="1"/>
    <col min="3" max="3" width="41.7109375" customWidth="1"/>
    <col min="4" max="4" width="22.140625" customWidth="1"/>
    <col min="5" max="5" width="21.00390625" customWidth="1"/>
    <col min="6" max="6" width="20.8515625" customWidth="1"/>
    <col min="7" max="7" width="19.7109375" customWidth="1"/>
    <col min="8" max="9" width="0" hidden="1" customWidth="1"/>
  </cols>
  <sheetData>
    <row r="1" spans="1:7" ht="72.75" customHeight="1">
      <c r="A1" s="141" t="s">
        <v>0</v>
      </c>
      <c r="B1" s="10"/>
      <c r="C1" s="10"/>
      <c r="D1" s="10"/>
      <c r="E1" s="10"/>
      <c r="F1" s="10"/>
      <c r="G1" s="10"/>
    </row>
    <row r="2" spans="1:8" ht="12.75">
      <c r="A2" s="3" t="s">
        <v>1</v>
      </c>
      <c r="B2" s="29" t="str">
        <f>'Stavební rozpočet'!D2</f>
        <v>ISŠ Jesenice, Žatecká 1</v>
      </c>
      <c r="C2" s="15"/>
      <c r="D2" s="17" t="s">
        <v>26</v>
      </c>
      <c r="E2" s="17" t="str">
        <f>'Stavební rozpočet'!J2</f>
        <v> </v>
      </c>
      <c r="F2" s="21"/>
      <c r="G2" s="22"/>
      <c r="H2" s="26"/>
    </row>
    <row r="3" spans="1:8" ht="12.75">
      <c r="A3" s="4"/>
      <c r="B3" s="11"/>
      <c r="C3" s="11"/>
      <c r="D3" s="12"/>
      <c r="E3" s="12"/>
      <c r="F3" s="12"/>
      <c r="G3" s="23"/>
      <c r="H3" s="26"/>
    </row>
    <row r="4" spans="1:8" ht="12.75">
      <c r="A4" s="5" t="s">
        <v>2</v>
      </c>
      <c r="B4" s="18" t="str">
        <f>'Stavební rozpočet'!D4</f>
        <v>Oprava střechy a okapů</v>
      </c>
      <c r="C4" s="12"/>
      <c r="D4" s="18" t="s">
        <v>27</v>
      </c>
      <c r="E4" s="18" t="str">
        <f>'Stavební rozpočet'!J4</f>
        <v> </v>
      </c>
      <c r="F4" s="12"/>
      <c r="G4" s="23"/>
      <c r="H4" s="26"/>
    </row>
    <row r="5" spans="1:8" ht="12.75">
      <c r="A5" s="4"/>
      <c r="B5" s="12"/>
      <c r="C5" s="12"/>
      <c r="D5" s="12"/>
      <c r="E5" s="12"/>
      <c r="F5" s="12"/>
      <c r="G5" s="23"/>
      <c r="H5" s="26"/>
    </row>
    <row r="6" spans="1:8" ht="12.75">
      <c r="A6" s="5" t="s">
        <v>3</v>
      </c>
      <c r="B6" s="18" t="str">
        <f>'Stavební rozpočet'!D6</f>
        <v> </v>
      </c>
      <c r="C6" s="12"/>
      <c r="D6" s="18" t="s">
        <v>28</v>
      </c>
      <c r="E6" s="18" t="str">
        <f>'Stavební rozpočet'!J6</f>
        <v> </v>
      </c>
      <c r="F6" s="12"/>
      <c r="G6" s="23"/>
      <c r="H6" s="26"/>
    </row>
    <row r="7" spans="1:8" ht="12.75">
      <c r="A7" s="4"/>
      <c r="B7" s="12"/>
      <c r="C7" s="12"/>
      <c r="D7" s="12"/>
      <c r="E7" s="12"/>
      <c r="F7" s="12"/>
      <c r="G7" s="23"/>
      <c r="H7" s="26"/>
    </row>
    <row r="8" spans="1:8" ht="12.75">
      <c r="A8" s="5" t="s">
        <v>4</v>
      </c>
      <c r="B8" s="18" t="str">
        <f>'Stavební rozpočet'!J8</f>
        <v>Miroslav Stehlík</v>
      </c>
      <c r="C8" s="12"/>
      <c r="D8" s="9" t="s">
        <v>29</v>
      </c>
      <c r="E8" s="18" t="str">
        <f>'Stavební rozpočet'!G8</f>
        <v>26.07.2018</v>
      </c>
      <c r="F8" s="12"/>
      <c r="G8" s="23"/>
      <c r="H8" s="26"/>
    </row>
    <row r="9" spans="1:8" ht="12.75">
      <c r="A9" s="6"/>
      <c r="B9" s="13"/>
      <c r="C9" s="13"/>
      <c r="D9" s="13"/>
      <c r="E9" s="13"/>
      <c r="F9" s="13"/>
      <c r="G9" s="24"/>
      <c r="H9" s="26"/>
    </row>
    <row r="10" spans="1:8" ht="12.75">
      <c r="A10" s="7" t="s">
        <v>5</v>
      </c>
      <c r="B10" s="14" t="s">
        <v>6</v>
      </c>
      <c r="C10" s="16" t="s">
        <v>17</v>
      </c>
      <c r="D10" s="19" t="s">
        <v>30</v>
      </c>
      <c r="E10" s="19" t="s">
        <v>31</v>
      </c>
      <c r="F10" s="19" t="s">
        <v>33</v>
      </c>
      <c r="G10" s="25" t="s">
        <v>34</v>
      </c>
      <c r="H10" s="27"/>
    </row>
    <row r="11" spans="1:9" ht="12.75">
      <c r="A11" s="8"/>
      <c r="B11" s="8" t="s">
        <v>7</v>
      </c>
      <c r="C11" s="8" t="s">
        <v>18</v>
      </c>
      <c r="D11" s="30">
        <f>'Stavební rozpočet'!H12</f>
        <v>0</v>
      </c>
      <c r="E11" s="30">
        <f>'Stavební rozpočet'!I12</f>
        <v>0</v>
      </c>
      <c r="F11" s="30">
        <f>D11+E11</f>
        <v>0</v>
      </c>
      <c r="G11" s="30">
        <f>'Stavební rozpočet'!L12</f>
        <v>0</v>
      </c>
      <c r="H11" s="28" t="s">
        <v>35</v>
      </c>
      <c r="I11" s="28">
        <f>IF(H11="F",0,F11)</f>
        <v>0</v>
      </c>
    </row>
    <row r="12" spans="1:9" ht="12.75">
      <c r="A12" s="9"/>
      <c r="B12" s="9" t="s">
        <v>8</v>
      </c>
      <c r="C12" s="9" t="s">
        <v>19</v>
      </c>
      <c r="D12" s="28">
        <f>'Stavební rozpočet'!H14</f>
        <v>0</v>
      </c>
      <c r="E12" s="28">
        <f>'Stavební rozpočet'!I14</f>
        <v>0</v>
      </c>
      <c r="F12" s="28">
        <f>D12+E12</f>
        <v>0</v>
      </c>
      <c r="G12" s="28">
        <f>'Stavební rozpočet'!L14</f>
        <v>0</v>
      </c>
      <c r="H12" s="28" t="s">
        <v>35</v>
      </c>
      <c r="I12" s="28">
        <f>IF(H12="F",0,F12)</f>
        <v>0</v>
      </c>
    </row>
    <row r="13" spans="1:9" ht="12.75">
      <c r="A13" s="9"/>
      <c r="B13" s="9" t="s">
        <v>9</v>
      </c>
      <c r="C13" s="9" t="s">
        <v>20</v>
      </c>
      <c r="D13" s="28">
        <f>'Stavební rozpočet'!H16</f>
        <v>0</v>
      </c>
      <c r="E13" s="28">
        <f>'Stavební rozpočet'!I16</f>
        <v>0</v>
      </c>
      <c r="F13" s="28">
        <f>D13+E13</f>
        <v>0</v>
      </c>
      <c r="G13" s="28">
        <f>'Stavební rozpočet'!L16</f>
        <v>13.974718</v>
      </c>
      <c r="H13" s="28" t="s">
        <v>35</v>
      </c>
      <c r="I13" s="28">
        <f>IF(H13="F",0,F13)</f>
        <v>0</v>
      </c>
    </row>
    <row r="14" spans="1:9" ht="12.75">
      <c r="A14" s="9"/>
      <c r="B14" s="9" t="s">
        <v>10</v>
      </c>
      <c r="C14" s="9" t="s">
        <v>21</v>
      </c>
      <c r="D14" s="28">
        <f>'Stavební rozpočet'!H26</f>
        <v>0</v>
      </c>
      <c r="E14" s="28">
        <f>'Stavební rozpočet'!I26</f>
        <v>0</v>
      </c>
      <c r="F14" s="28">
        <f>D14+E14</f>
        <v>0</v>
      </c>
      <c r="G14" s="28">
        <f>'Stavební rozpočet'!L26</f>
        <v>4.6954796000000005</v>
      </c>
      <c r="H14" s="28" t="s">
        <v>35</v>
      </c>
      <c r="I14" s="28">
        <f>IF(H14="F",0,F14)</f>
        <v>0</v>
      </c>
    </row>
    <row r="15" spans="1:9" ht="12.75">
      <c r="A15" s="9"/>
      <c r="B15" s="9" t="s">
        <v>11</v>
      </c>
      <c r="C15" s="9" t="s">
        <v>22</v>
      </c>
      <c r="D15" s="28">
        <f>'Stavební rozpočet'!H39</f>
        <v>0</v>
      </c>
      <c r="E15" s="28">
        <f>'Stavební rozpočet'!I39</f>
        <v>0</v>
      </c>
      <c r="F15" s="28">
        <f>D15+E15</f>
        <v>0</v>
      </c>
      <c r="G15" s="28">
        <f>'Stavební rozpočet'!L39</f>
        <v>11.015856</v>
      </c>
      <c r="H15" s="28" t="s">
        <v>35</v>
      </c>
      <c r="I15" s="28">
        <f>IF(H15="F",0,F15)</f>
        <v>0</v>
      </c>
    </row>
    <row r="16" spans="1:9" ht="12.75">
      <c r="A16" s="9"/>
      <c r="B16" s="9" t="s">
        <v>12</v>
      </c>
      <c r="C16" s="9" t="s">
        <v>23</v>
      </c>
      <c r="D16" s="28">
        <f>'Stavební rozpočet'!H42</f>
        <v>0</v>
      </c>
      <c r="E16" s="28">
        <f>'Stavební rozpočet'!I42</f>
        <v>0</v>
      </c>
      <c r="F16" s="28">
        <f>D16+E16</f>
        <v>0</v>
      </c>
      <c r="G16" s="28">
        <f>'Stavební rozpočet'!L42</f>
        <v>0.1584</v>
      </c>
      <c r="H16" s="28" t="s">
        <v>35</v>
      </c>
      <c r="I16" s="28">
        <f>IF(H16="F",0,F16)</f>
        <v>0</v>
      </c>
    </row>
    <row r="17" spans="1:9" ht="12.75">
      <c r="A17" s="9"/>
      <c r="B17" s="9" t="s">
        <v>13</v>
      </c>
      <c r="C17" s="9" t="s">
        <v>20</v>
      </c>
      <c r="D17" s="28">
        <f>'Stavební rozpočet'!H44</f>
        <v>0</v>
      </c>
      <c r="E17" s="28">
        <f>'Stavební rozpočet'!I44</f>
        <v>0</v>
      </c>
      <c r="F17" s="28">
        <f>D17+E17</f>
        <v>0</v>
      </c>
      <c r="G17" s="28">
        <f>'Stavební rozpočet'!L44</f>
        <v>0</v>
      </c>
      <c r="H17" s="28" t="s">
        <v>35</v>
      </c>
      <c r="I17" s="28">
        <f>IF(H17="F",0,F17)</f>
        <v>0</v>
      </c>
    </row>
    <row r="18" spans="1:9" ht="12.75">
      <c r="A18" s="9"/>
      <c r="B18" s="9" t="s">
        <v>14</v>
      </c>
      <c r="C18" s="9" t="s">
        <v>21</v>
      </c>
      <c r="D18" s="28">
        <f>'Stavební rozpočet'!H46</f>
        <v>0</v>
      </c>
      <c r="E18" s="28">
        <f>'Stavební rozpočet'!I46</f>
        <v>0</v>
      </c>
      <c r="F18" s="28">
        <f>D18+E18</f>
        <v>0</v>
      </c>
      <c r="G18" s="28">
        <f>'Stavební rozpočet'!L46</f>
        <v>0</v>
      </c>
      <c r="H18" s="28" t="s">
        <v>35</v>
      </c>
      <c r="I18" s="28">
        <f>IF(H18="F",0,F18)</f>
        <v>0</v>
      </c>
    </row>
    <row r="19" spans="1:9" ht="12.75">
      <c r="A19" s="9"/>
      <c r="B19" s="9" t="s">
        <v>15</v>
      </c>
      <c r="C19" s="9" t="s">
        <v>22</v>
      </c>
      <c r="D19" s="28">
        <f>'Stavební rozpočet'!H48</f>
        <v>0</v>
      </c>
      <c r="E19" s="28">
        <f>'Stavební rozpočet'!I48</f>
        <v>0</v>
      </c>
      <c r="F19" s="28">
        <f>D19+E19</f>
        <v>0</v>
      </c>
      <c r="G19" s="28">
        <f>'Stavební rozpočet'!L48</f>
        <v>0</v>
      </c>
      <c r="H19" s="28" t="s">
        <v>35</v>
      </c>
      <c r="I19" s="28">
        <f>IF(H19="F",0,F19)</f>
        <v>0</v>
      </c>
    </row>
    <row r="20" spans="1:9" ht="12.75">
      <c r="A20" s="9"/>
      <c r="B20" s="9" t="s">
        <v>16</v>
      </c>
      <c r="C20" s="9" t="s">
        <v>24</v>
      </c>
      <c r="D20" s="28">
        <f>'Stavební rozpočet'!H50</f>
        <v>0</v>
      </c>
      <c r="E20" s="28">
        <f>'Stavební rozpočet'!I50</f>
        <v>0</v>
      </c>
      <c r="F20" s="28">
        <f>D20+E20</f>
        <v>0</v>
      </c>
      <c r="G20" s="28">
        <f>'Stavební rozpočet'!L50</f>
        <v>0</v>
      </c>
      <c r="H20" s="28" t="s">
        <v>35</v>
      </c>
      <c r="I20" s="28">
        <f>IF(H20="F",0,F20)</f>
        <v>0</v>
      </c>
    </row>
    <row r="21" spans="1:9" ht="12.75">
      <c r="A21" s="9"/>
      <c r="B21" s="9"/>
      <c r="C21" s="9" t="s">
        <v>25</v>
      </c>
      <c r="D21" s="28">
        <f>'Stavební rozpočet'!H52</f>
        <v>0</v>
      </c>
      <c r="E21" s="28">
        <f>'Stavební rozpočet'!I52</f>
        <v>0</v>
      </c>
      <c r="F21" s="28">
        <f>D21+E21</f>
        <v>0</v>
      </c>
      <c r="G21" s="28">
        <f>'Stavební rozpočet'!L52</f>
        <v>0.0625</v>
      </c>
      <c r="H21" s="28" t="s">
        <v>35</v>
      </c>
      <c r="I21" s="28">
        <f>IF(H21="F",0,F21)</f>
        <v>0</v>
      </c>
    </row>
    <row r="23" spans="5:6" ht="12.75">
      <c r="E23" s="20" t="s">
        <v>32</v>
      </c>
      <c r="F23" s="31">
        <f>SUM(I11:I21)</f>
        <v>0</v>
      </c>
    </row>
  </sheetData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pane ySplit="10" topLeftCell="A11" activePane="bottomLeft" state="frozen"/>
      <selection pane="bottomLeft" activeCell="A1" sqref="A1:H1"/>
    </sheetView>
  </sheetViews>
  <sheetFormatPr defaultColWidth="11.57421875" defaultRowHeight="12.75"/>
  <cols>
    <col min="1" max="2" width="9.140625" customWidth="1"/>
    <col min="3" max="3" width="13.28125" customWidth="1"/>
    <col min="4" max="4" width="53.7109375" customWidth="1"/>
    <col min="5" max="5" width="14.57421875" customWidth="1"/>
    <col min="6" max="6" width="24.140625" customWidth="1"/>
    <col min="7" max="7" width="20.421875" customWidth="1"/>
    <col min="8" max="8" width="16.421875" customWidth="1"/>
  </cols>
  <sheetData>
    <row r="1" spans="1:8" ht="72.75" customHeight="1">
      <c r="A1" s="141" t="s">
        <v>36</v>
      </c>
      <c r="B1" s="10"/>
      <c r="C1" s="10"/>
      <c r="D1" s="10"/>
      <c r="E1" s="10"/>
      <c r="F1" s="10"/>
      <c r="G1" s="10"/>
      <c r="H1" s="10"/>
    </row>
    <row r="2" spans="1:9" ht="12.75">
      <c r="A2" s="3" t="s">
        <v>1</v>
      </c>
      <c r="B2" s="21"/>
      <c r="C2" s="29" t="str">
        <f>'Stavební rozpočet'!D2</f>
        <v>ISŠ Jesenice, Žatecká 1</v>
      </c>
      <c r="D2" s="15"/>
      <c r="E2" s="17" t="s">
        <v>26</v>
      </c>
      <c r="F2" s="17" t="str">
        <f>'Stavební rozpočet'!J2</f>
        <v> </v>
      </c>
      <c r="G2" s="21"/>
      <c r="H2" s="22"/>
      <c r="I2" s="26"/>
    </row>
    <row r="3" spans="1:9" ht="12.75">
      <c r="A3" s="4"/>
      <c r="B3" s="12"/>
      <c r="C3" s="11"/>
      <c r="D3" s="11"/>
      <c r="E3" s="12"/>
      <c r="F3" s="12"/>
      <c r="G3" s="12"/>
      <c r="H3" s="23"/>
      <c r="I3" s="26"/>
    </row>
    <row r="4" spans="1:9" ht="12.75">
      <c r="A4" s="5" t="s">
        <v>2</v>
      </c>
      <c r="B4" s="12"/>
      <c r="C4" s="18" t="str">
        <f>'Stavební rozpočet'!D4</f>
        <v>Oprava střechy a okapů</v>
      </c>
      <c r="D4" s="12"/>
      <c r="E4" s="18" t="s">
        <v>27</v>
      </c>
      <c r="F4" s="18" t="str">
        <f>'Stavební rozpočet'!J4</f>
        <v> </v>
      </c>
      <c r="G4" s="12"/>
      <c r="H4" s="23"/>
      <c r="I4" s="26"/>
    </row>
    <row r="5" spans="1:9" ht="12.75">
      <c r="A5" s="4"/>
      <c r="B5" s="12"/>
      <c r="C5" s="12"/>
      <c r="D5" s="12"/>
      <c r="E5" s="12"/>
      <c r="F5" s="12"/>
      <c r="G5" s="12"/>
      <c r="H5" s="23"/>
      <c r="I5" s="26"/>
    </row>
    <row r="6" spans="1:9" ht="12.75">
      <c r="A6" s="5" t="s">
        <v>3</v>
      </c>
      <c r="B6" s="12"/>
      <c r="C6" s="18" t="str">
        <f>'Stavební rozpočet'!D6</f>
        <v> </v>
      </c>
      <c r="D6" s="12"/>
      <c r="E6" s="18" t="s">
        <v>28</v>
      </c>
      <c r="F6" s="18" t="str">
        <f>'Stavební rozpočet'!J6</f>
        <v> </v>
      </c>
      <c r="G6" s="12"/>
      <c r="H6" s="23"/>
      <c r="I6" s="26"/>
    </row>
    <row r="7" spans="1:9" ht="12.75">
      <c r="A7" s="4"/>
      <c r="B7" s="12"/>
      <c r="C7" s="12"/>
      <c r="D7" s="12"/>
      <c r="E7" s="12"/>
      <c r="F7" s="12"/>
      <c r="G7" s="12"/>
      <c r="H7" s="23"/>
      <c r="I7" s="26"/>
    </row>
    <row r="8" spans="1:9" ht="12.75">
      <c r="A8" s="5" t="s">
        <v>4</v>
      </c>
      <c r="B8" s="12"/>
      <c r="C8" s="18" t="str">
        <f>'Stavební rozpočet'!J8</f>
        <v>Miroslav Stehlík</v>
      </c>
      <c r="D8" s="12"/>
      <c r="E8" s="18" t="s">
        <v>29</v>
      </c>
      <c r="F8" s="18" t="str">
        <f>'Stavební rozpočet'!G8</f>
        <v>26.07.2018</v>
      </c>
      <c r="G8" s="12"/>
      <c r="H8" s="23"/>
      <c r="I8" s="26"/>
    </row>
    <row r="9" spans="1:9" ht="12.75">
      <c r="A9" s="6"/>
      <c r="B9" s="13"/>
      <c r="C9" s="13"/>
      <c r="D9" s="13"/>
      <c r="E9" s="13"/>
      <c r="F9" s="13"/>
      <c r="G9" s="13"/>
      <c r="H9" s="24"/>
      <c r="I9" s="26"/>
    </row>
    <row r="10" spans="1:9" ht="12.75">
      <c r="A10" s="14" t="s">
        <v>37</v>
      </c>
      <c r="B10" s="16" t="s">
        <v>5</v>
      </c>
      <c r="C10" s="16" t="s">
        <v>6</v>
      </c>
      <c r="D10" s="16" t="s">
        <v>17</v>
      </c>
      <c r="E10" s="16" t="s">
        <v>134</v>
      </c>
      <c r="F10" s="16" t="s">
        <v>141</v>
      </c>
      <c r="G10" s="37" t="s">
        <v>143</v>
      </c>
      <c r="H10" s="7" t="s">
        <v>144</v>
      </c>
      <c r="I10" s="27"/>
    </row>
    <row r="11" spans="1:8" ht="12.75">
      <c r="A11" s="32" t="s">
        <v>38</v>
      </c>
      <c r="B11" s="32"/>
      <c r="C11" s="32" t="s">
        <v>71</v>
      </c>
      <c r="D11" s="32" t="s">
        <v>102</v>
      </c>
      <c r="E11" s="32" t="s">
        <v>135</v>
      </c>
      <c r="F11" s="36"/>
      <c r="G11" s="38">
        <v>606.6</v>
      </c>
      <c r="H11" s="41" t="s">
        <v>145</v>
      </c>
    </row>
    <row r="12" spans="1:8" ht="12.75">
      <c r="A12" s="33" t="s">
        <v>39</v>
      </c>
      <c r="B12" s="33"/>
      <c r="C12" s="33" t="s">
        <v>8</v>
      </c>
      <c r="D12" s="33" t="s">
        <v>103</v>
      </c>
      <c r="E12" s="33"/>
      <c r="G12" s="39">
        <v>1</v>
      </c>
      <c r="H12" s="42"/>
    </row>
    <row r="13" spans="1:8" ht="12.75">
      <c r="A13" s="33" t="s">
        <v>40</v>
      </c>
      <c r="B13" s="33"/>
      <c r="C13" s="33" t="s">
        <v>72</v>
      </c>
      <c r="D13" s="33" t="s">
        <v>104</v>
      </c>
      <c r="E13" s="33" t="s">
        <v>135</v>
      </c>
      <c r="G13" s="39">
        <v>606.6</v>
      </c>
      <c r="H13" s="42" t="s">
        <v>145</v>
      </c>
    </row>
    <row r="14" spans="1:8" ht="12.75">
      <c r="A14" s="33" t="s">
        <v>41</v>
      </c>
      <c r="B14" s="33"/>
      <c r="C14" s="33" t="s">
        <v>73</v>
      </c>
      <c r="D14" s="33" t="s">
        <v>105</v>
      </c>
      <c r="E14" s="33" t="s">
        <v>136</v>
      </c>
      <c r="G14" s="39">
        <v>74.7</v>
      </c>
      <c r="H14" s="42" t="s">
        <v>145</v>
      </c>
    </row>
    <row r="15" spans="1:8" ht="12.75">
      <c r="A15" s="33" t="s">
        <v>42</v>
      </c>
      <c r="B15" s="33"/>
      <c r="C15" s="33" t="s">
        <v>74</v>
      </c>
      <c r="D15" s="33" t="s">
        <v>106</v>
      </c>
      <c r="E15" s="33" t="s">
        <v>136</v>
      </c>
      <c r="G15" s="39">
        <v>80</v>
      </c>
      <c r="H15" s="42" t="s">
        <v>145</v>
      </c>
    </row>
    <row r="16" spans="1:8" ht="12.75">
      <c r="A16" s="33" t="s">
        <v>43</v>
      </c>
      <c r="B16" s="33"/>
      <c r="C16" s="33" t="s">
        <v>75</v>
      </c>
      <c r="D16" s="33" t="s">
        <v>107</v>
      </c>
      <c r="E16" s="33" t="s">
        <v>136</v>
      </c>
      <c r="G16" s="39">
        <v>74.7</v>
      </c>
      <c r="H16" s="42" t="s">
        <v>145</v>
      </c>
    </row>
    <row r="17" spans="1:8" ht="12.75">
      <c r="A17" s="33" t="s">
        <v>44</v>
      </c>
      <c r="B17" s="33"/>
      <c r="C17" s="33" t="s">
        <v>76</v>
      </c>
      <c r="D17" s="33" t="s">
        <v>108</v>
      </c>
      <c r="E17" s="33" t="s">
        <v>137</v>
      </c>
      <c r="G17" s="39">
        <v>0</v>
      </c>
      <c r="H17" s="42" t="s">
        <v>145</v>
      </c>
    </row>
    <row r="18" spans="1:8" ht="12.75">
      <c r="A18" s="33" t="s">
        <v>45</v>
      </c>
      <c r="B18" s="33"/>
      <c r="C18" s="33" t="s">
        <v>77</v>
      </c>
      <c r="D18" s="33" t="s">
        <v>109</v>
      </c>
      <c r="E18" s="33" t="s">
        <v>135</v>
      </c>
      <c r="F18" s="33" t="s">
        <v>142</v>
      </c>
      <c r="G18" s="39">
        <v>43.9</v>
      </c>
      <c r="H18" s="42" t="s">
        <v>145</v>
      </c>
    </row>
    <row r="19" spans="1:8" ht="12.75">
      <c r="A19" s="33" t="s">
        <v>46</v>
      </c>
      <c r="B19" s="33"/>
      <c r="C19" s="33" t="s">
        <v>78</v>
      </c>
      <c r="D19" s="33" t="s">
        <v>110</v>
      </c>
      <c r="E19" s="33" t="s">
        <v>136</v>
      </c>
      <c r="G19" s="39">
        <v>52.5</v>
      </c>
      <c r="H19" s="42" t="s">
        <v>145</v>
      </c>
    </row>
    <row r="20" spans="1:8" ht="12.75">
      <c r="A20" s="33" t="s">
        <v>47</v>
      </c>
      <c r="B20" s="33"/>
      <c r="C20" s="33" t="s">
        <v>79</v>
      </c>
      <c r="D20" s="33" t="s">
        <v>111</v>
      </c>
      <c r="E20" s="33" t="s">
        <v>136</v>
      </c>
      <c r="G20" s="39">
        <v>74.7</v>
      </c>
      <c r="H20" s="42" t="s">
        <v>145</v>
      </c>
    </row>
    <row r="21" spans="1:8" ht="12.75">
      <c r="A21" s="33" t="s">
        <v>48</v>
      </c>
      <c r="B21" s="33"/>
      <c r="C21" s="33" t="s">
        <v>80</v>
      </c>
      <c r="D21" s="33" t="s">
        <v>112</v>
      </c>
      <c r="E21" s="33" t="s">
        <v>136</v>
      </c>
      <c r="G21" s="39">
        <v>80</v>
      </c>
      <c r="H21" s="42" t="s">
        <v>145</v>
      </c>
    </row>
    <row r="22" spans="1:8" ht="12.75">
      <c r="A22" s="33" t="s">
        <v>49</v>
      </c>
      <c r="B22" s="33"/>
      <c r="C22" s="33" t="s">
        <v>81</v>
      </c>
      <c r="D22" s="33" t="s">
        <v>113</v>
      </c>
      <c r="E22" s="33" t="s">
        <v>136</v>
      </c>
      <c r="G22" s="39">
        <v>76.62</v>
      </c>
      <c r="H22" s="42" t="s">
        <v>145</v>
      </c>
    </row>
    <row r="23" spans="1:8" ht="12.75">
      <c r="A23" s="33" t="s">
        <v>50</v>
      </c>
      <c r="B23" s="33"/>
      <c r="C23" s="33" t="s">
        <v>82</v>
      </c>
      <c r="D23" s="33" t="s">
        <v>114</v>
      </c>
      <c r="E23" s="33" t="s">
        <v>135</v>
      </c>
      <c r="G23" s="39">
        <v>3</v>
      </c>
      <c r="H23" s="42" t="s">
        <v>145</v>
      </c>
    </row>
    <row r="24" spans="1:8" ht="12.75">
      <c r="A24" s="33" t="s">
        <v>51</v>
      </c>
      <c r="B24" s="33"/>
      <c r="C24" s="33" t="s">
        <v>83</v>
      </c>
      <c r="D24" s="33" t="s">
        <v>115</v>
      </c>
      <c r="E24" s="33" t="s">
        <v>136</v>
      </c>
      <c r="G24" s="39">
        <v>76.62</v>
      </c>
      <c r="H24" s="42" t="s">
        <v>145</v>
      </c>
    </row>
    <row r="25" spans="1:8" ht="12.75">
      <c r="A25" s="33" t="s">
        <v>52</v>
      </c>
      <c r="B25" s="33"/>
      <c r="C25" s="33" t="s">
        <v>84</v>
      </c>
      <c r="D25" s="33" t="s">
        <v>116</v>
      </c>
      <c r="E25" s="33" t="s">
        <v>135</v>
      </c>
      <c r="G25" s="39">
        <v>606.6</v>
      </c>
      <c r="H25" s="42" t="s">
        <v>145</v>
      </c>
    </row>
    <row r="26" spans="1:8" ht="12.75">
      <c r="A26" s="33" t="s">
        <v>53</v>
      </c>
      <c r="B26" s="33"/>
      <c r="C26" s="33" t="s">
        <v>85</v>
      </c>
      <c r="D26" s="33" t="s">
        <v>117</v>
      </c>
      <c r="E26" s="33" t="s">
        <v>135</v>
      </c>
      <c r="G26" s="39">
        <v>606.6</v>
      </c>
      <c r="H26" s="42" t="s">
        <v>145</v>
      </c>
    </row>
    <row r="27" spans="1:8" ht="12.75">
      <c r="A27" s="33" t="s">
        <v>54</v>
      </c>
      <c r="B27" s="33"/>
      <c r="C27" s="33" t="s">
        <v>86</v>
      </c>
      <c r="D27" s="33" t="s">
        <v>118</v>
      </c>
      <c r="E27" s="33" t="s">
        <v>136</v>
      </c>
      <c r="G27" s="39">
        <v>24</v>
      </c>
      <c r="H27" s="42" t="s">
        <v>145</v>
      </c>
    </row>
    <row r="28" spans="1:8" ht="12.75">
      <c r="A28" s="33" t="s">
        <v>55</v>
      </c>
      <c r="B28" s="33"/>
      <c r="C28" s="33" t="s">
        <v>87</v>
      </c>
      <c r="D28" s="33" t="s">
        <v>119</v>
      </c>
      <c r="E28" s="33" t="s">
        <v>136</v>
      </c>
      <c r="G28" s="39">
        <v>40.3</v>
      </c>
      <c r="H28" s="42" t="s">
        <v>145</v>
      </c>
    </row>
    <row r="29" spans="1:8" ht="12.75">
      <c r="A29" s="33" t="s">
        <v>56</v>
      </c>
      <c r="B29" s="33"/>
      <c r="C29" s="33" t="s">
        <v>88</v>
      </c>
      <c r="D29" s="33" t="s">
        <v>120</v>
      </c>
      <c r="E29" s="33" t="s">
        <v>135</v>
      </c>
      <c r="G29" s="39">
        <v>637</v>
      </c>
      <c r="H29" s="42" t="s">
        <v>145</v>
      </c>
    </row>
    <row r="30" spans="1:8" ht="12.75">
      <c r="A30" s="33" t="s">
        <v>57</v>
      </c>
      <c r="B30" s="33"/>
      <c r="C30" s="33" t="s">
        <v>89</v>
      </c>
      <c r="D30" s="33" t="s">
        <v>121</v>
      </c>
      <c r="E30" s="33" t="s">
        <v>138</v>
      </c>
      <c r="G30" s="39">
        <v>19</v>
      </c>
      <c r="H30" s="42" t="s">
        <v>145</v>
      </c>
    </row>
    <row r="31" spans="1:8" ht="12.75">
      <c r="A31" s="33" t="s">
        <v>58</v>
      </c>
      <c r="B31" s="33"/>
      <c r="C31" s="33" t="s">
        <v>90</v>
      </c>
      <c r="D31" s="33" t="s">
        <v>122</v>
      </c>
      <c r="E31" s="33" t="s">
        <v>135</v>
      </c>
      <c r="G31" s="39">
        <v>6</v>
      </c>
      <c r="H31" s="42" t="s">
        <v>145</v>
      </c>
    </row>
    <row r="32" spans="1:8" ht="12.75">
      <c r="A32" s="33" t="s">
        <v>59</v>
      </c>
      <c r="B32" s="33"/>
      <c r="C32" s="33" t="s">
        <v>91</v>
      </c>
      <c r="D32" s="33" t="s">
        <v>123</v>
      </c>
      <c r="E32" s="33" t="s">
        <v>138</v>
      </c>
      <c r="G32" s="39">
        <v>76.62</v>
      </c>
      <c r="H32" s="42" t="s">
        <v>145</v>
      </c>
    </row>
    <row r="33" spans="1:8" ht="12.75">
      <c r="A33" s="33" t="s">
        <v>60</v>
      </c>
      <c r="B33" s="33"/>
      <c r="C33" s="33" t="s">
        <v>92</v>
      </c>
      <c r="D33" s="33" t="s">
        <v>124</v>
      </c>
      <c r="E33" s="33" t="s">
        <v>136</v>
      </c>
      <c r="G33" s="39">
        <v>56</v>
      </c>
      <c r="H33" s="42" t="s">
        <v>145</v>
      </c>
    </row>
    <row r="34" spans="1:8" ht="12.75">
      <c r="A34" s="33" t="s">
        <v>61</v>
      </c>
      <c r="B34" s="33"/>
      <c r="C34" s="33" t="s">
        <v>93</v>
      </c>
      <c r="D34" s="33" t="s">
        <v>125</v>
      </c>
      <c r="E34" s="33" t="s">
        <v>135</v>
      </c>
      <c r="G34" s="39">
        <v>606.6</v>
      </c>
      <c r="H34" s="42" t="s">
        <v>145</v>
      </c>
    </row>
    <row r="35" spans="1:8" ht="12.75">
      <c r="A35" s="33" t="s">
        <v>62</v>
      </c>
      <c r="B35" s="33"/>
      <c r="C35" s="33" t="s">
        <v>94</v>
      </c>
      <c r="D35" s="33" t="s">
        <v>126</v>
      </c>
      <c r="E35" s="33" t="s">
        <v>135</v>
      </c>
      <c r="G35" s="39">
        <v>606.6</v>
      </c>
      <c r="H35" s="42" t="s">
        <v>145</v>
      </c>
    </row>
    <row r="36" spans="1:8" ht="12.75">
      <c r="A36" s="33" t="s">
        <v>63</v>
      </c>
      <c r="B36" s="33"/>
      <c r="C36" s="33" t="s">
        <v>95</v>
      </c>
      <c r="D36" s="33" t="s">
        <v>127</v>
      </c>
      <c r="E36" s="33" t="s">
        <v>135</v>
      </c>
      <c r="G36" s="39">
        <v>990</v>
      </c>
      <c r="H36" s="42" t="s">
        <v>145</v>
      </c>
    </row>
    <row r="37" spans="1:8" ht="12.75">
      <c r="A37" s="33" t="s">
        <v>64</v>
      </c>
      <c r="B37" s="33"/>
      <c r="C37" s="33" t="s">
        <v>96</v>
      </c>
      <c r="D37" s="33" t="s">
        <v>128</v>
      </c>
      <c r="E37" s="33" t="s">
        <v>139</v>
      </c>
      <c r="G37" s="39">
        <v>13.9747</v>
      </c>
      <c r="H37" s="42" t="s">
        <v>145</v>
      </c>
    </row>
    <row r="38" spans="1:8" ht="12.75">
      <c r="A38" s="33" t="s">
        <v>65</v>
      </c>
      <c r="B38" s="33"/>
      <c r="C38" s="33" t="s">
        <v>97</v>
      </c>
      <c r="D38" s="33" t="s">
        <v>129</v>
      </c>
      <c r="E38" s="33" t="s">
        <v>139</v>
      </c>
      <c r="G38" s="39">
        <v>4.4972</v>
      </c>
      <c r="H38" s="42" t="s">
        <v>145</v>
      </c>
    </row>
    <row r="39" spans="1:8" ht="12.75">
      <c r="A39" s="33" t="s">
        <v>66</v>
      </c>
      <c r="B39" s="33"/>
      <c r="C39" s="33" t="s">
        <v>98</v>
      </c>
      <c r="D39" s="33" t="s">
        <v>130</v>
      </c>
      <c r="E39" s="33" t="s">
        <v>139</v>
      </c>
      <c r="G39" s="39">
        <v>11.0447</v>
      </c>
      <c r="H39" s="42" t="s">
        <v>145</v>
      </c>
    </row>
    <row r="40" spans="1:8" ht="12.75">
      <c r="A40" s="33" t="s">
        <v>67</v>
      </c>
      <c r="B40" s="33"/>
      <c r="C40" s="33" t="s">
        <v>99</v>
      </c>
      <c r="D40" s="33" t="s">
        <v>131</v>
      </c>
      <c r="E40" s="33" t="s">
        <v>140</v>
      </c>
      <c r="G40" s="39">
        <v>0</v>
      </c>
      <c r="H40" s="42" t="s">
        <v>145</v>
      </c>
    </row>
    <row r="41" spans="1:8" ht="12.75">
      <c r="A41" s="34" t="s">
        <v>68</v>
      </c>
      <c r="B41" s="34"/>
      <c r="C41" s="34" t="s">
        <v>100</v>
      </c>
      <c r="D41" s="34" t="s">
        <v>132</v>
      </c>
      <c r="E41" s="34" t="s">
        <v>138</v>
      </c>
      <c r="G41" s="40">
        <v>77</v>
      </c>
      <c r="H41" s="43" t="s">
        <v>145</v>
      </c>
    </row>
    <row r="42" spans="1:8" ht="12.75">
      <c r="A42" s="34" t="s">
        <v>69</v>
      </c>
      <c r="B42" s="34"/>
      <c r="C42" s="34" t="s">
        <v>101</v>
      </c>
      <c r="D42" s="34" t="s">
        <v>133</v>
      </c>
      <c r="E42" s="34" t="s">
        <v>138</v>
      </c>
      <c r="G42" s="40">
        <v>3</v>
      </c>
      <c r="H42" s="43" t="s">
        <v>145</v>
      </c>
    </row>
    <row r="44" ht="11.25" customHeight="1">
      <c r="A44" s="35" t="s">
        <v>70</v>
      </c>
    </row>
    <row r="45" spans="1:7" ht="12.75">
      <c r="A45" s="18"/>
      <c r="B45" s="12"/>
      <c r="C45" s="12"/>
      <c r="D45" s="12"/>
      <c r="E45" s="12"/>
      <c r="F45" s="12"/>
      <c r="G45" s="12"/>
    </row>
  </sheetData>
  <mergeCells count="18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A45:G4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pane ySplit="10" topLeftCell="A11" activePane="bottomLeft" state="frozen"/>
      <selection pane="bottomLeft" activeCell="A1" sqref="A1:H1"/>
    </sheetView>
  </sheetViews>
  <sheetFormatPr defaultColWidth="11.57421875" defaultRowHeight="12.75"/>
  <cols>
    <col min="1" max="1" width="16.421875" customWidth="1"/>
    <col min="2" max="2" width="48.7109375" customWidth="1"/>
    <col min="3" max="3" width="15.28125" customWidth="1"/>
    <col min="4" max="4" width="10.28125" customWidth="1"/>
    <col min="5" max="5" width="8.421875" customWidth="1"/>
    <col min="6" max="7" width="11.8515625" customWidth="1"/>
    <col min="8" max="8" width="19.8515625" customWidth="1"/>
  </cols>
  <sheetData>
    <row r="1" spans="1:8" ht="72.75" customHeight="1">
      <c r="A1" s="141" t="s">
        <v>146</v>
      </c>
      <c r="B1" s="10"/>
      <c r="C1" s="10"/>
      <c r="D1" s="10"/>
      <c r="E1" s="10"/>
      <c r="F1" s="10"/>
      <c r="G1" s="10"/>
      <c r="H1" s="10"/>
    </row>
    <row r="2" spans="1:9" ht="12.75">
      <c r="A2" s="3" t="s">
        <v>1</v>
      </c>
      <c r="B2" s="29" t="str">
        <f>'Stavební rozpočet'!D2</f>
        <v>ISŠ Jesenice, Žatecká 1</v>
      </c>
      <c r="C2" s="44" t="s">
        <v>148</v>
      </c>
      <c r="D2" s="17" t="str">
        <f>'Stavební rozpočet'!G2</f>
        <v> </v>
      </c>
      <c r="E2" s="21"/>
      <c r="F2" s="17" t="s">
        <v>26</v>
      </c>
      <c r="G2" s="17" t="str">
        <f>'Stavební rozpočet'!J2</f>
        <v> </v>
      </c>
      <c r="H2" s="22"/>
      <c r="I2" s="26"/>
    </row>
    <row r="3" spans="1:9" ht="12.75">
      <c r="A3" s="4"/>
      <c r="B3" s="11"/>
      <c r="C3" s="12"/>
      <c r="D3" s="12"/>
      <c r="E3" s="12"/>
      <c r="F3" s="12"/>
      <c r="G3" s="12"/>
      <c r="H3" s="23"/>
      <c r="I3" s="26"/>
    </row>
    <row r="4" spans="1:9" ht="12.75">
      <c r="A4" s="5" t="s">
        <v>2</v>
      </c>
      <c r="B4" s="18" t="str">
        <f>'Stavební rozpočet'!D4</f>
        <v>Oprava střechy a okapů</v>
      </c>
      <c r="C4" s="9" t="s">
        <v>149</v>
      </c>
      <c r="D4" s="18" t="str">
        <f>'Stavební rozpočet'!G4</f>
        <v> </v>
      </c>
      <c r="E4" s="12"/>
      <c r="F4" s="18" t="s">
        <v>27</v>
      </c>
      <c r="G4" s="18" t="str">
        <f>'Stavební rozpočet'!J4</f>
        <v> </v>
      </c>
      <c r="H4" s="23"/>
      <c r="I4" s="26"/>
    </row>
    <row r="5" spans="1:9" ht="12.75">
      <c r="A5" s="4"/>
      <c r="B5" s="12"/>
      <c r="C5" s="12"/>
      <c r="D5" s="12"/>
      <c r="E5" s="12"/>
      <c r="F5" s="12"/>
      <c r="G5" s="12"/>
      <c r="H5" s="23"/>
      <c r="I5" s="26"/>
    </row>
    <row r="6" spans="1:9" ht="12.75">
      <c r="A6" s="5" t="s">
        <v>3</v>
      </c>
      <c r="B6" s="18" t="str">
        <f>'Stavební rozpočet'!D6</f>
        <v> </v>
      </c>
      <c r="C6" s="9" t="s">
        <v>150</v>
      </c>
      <c r="D6" s="18" t="str">
        <f>'Stavební rozpočet'!G6</f>
        <v> </v>
      </c>
      <c r="E6" s="12"/>
      <c r="F6" s="18" t="s">
        <v>28</v>
      </c>
      <c r="G6" s="18" t="str">
        <f>'Stavební rozpočet'!J6</f>
        <v> </v>
      </c>
      <c r="H6" s="23"/>
      <c r="I6" s="26"/>
    </row>
    <row r="7" spans="1:9" ht="12.75">
      <c r="A7" s="4"/>
      <c r="B7" s="12"/>
      <c r="C7" s="12"/>
      <c r="D7" s="12"/>
      <c r="E7" s="12"/>
      <c r="F7" s="12"/>
      <c r="G7" s="12"/>
      <c r="H7" s="23"/>
      <c r="I7" s="26"/>
    </row>
    <row r="8" spans="1:9" ht="12.75">
      <c r="A8" s="5" t="s">
        <v>147</v>
      </c>
      <c r="B8" s="18" t="str">
        <f>'Stavební rozpočet'!D8</f>
        <v> </v>
      </c>
      <c r="C8" s="9" t="s">
        <v>29</v>
      </c>
      <c r="D8" s="18" t="str">
        <f>'Stavební rozpočet'!G8</f>
        <v>26.07.2018</v>
      </c>
      <c r="E8" s="12"/>
      <c r="F8" s="18" t="s">
        <v>4</v>
      </c>
      <c r="G8" s="18" t="str">
        <f>'Stavební rozpočet'!J8</f>
        <v>Miroslav Stehlík</v>
      </c>
      <c r="H8" s="23"/>
      <c r="I8" s="26"/>
    </row>
    <row r="9" spans="1:9" ht="12.75">
      <c r="A9" s="6"/>
      <c r="B9" s="13"/>
      <c r="C9" s="13"/>
      <c r="D9" s="13"/>
      <c r="E9" s="13"/>
      <c r="F9" s="13"/>
      <c r="G9" s="13"/>
      <c r="H9" s="24"/>
      <c r="I9" s="26"/>
    </row>
    <row r="10" spans="1:9" ht="12.75">
      <c r="A10" s="14" t="s">
        <v>6</v>
      </c>
      <c r="B10" s="16" t="s">
        <v>17</v>
      </c>
      <c r="C10" s="37" t="s">
        <v>151</v>
      </c>
      <c r="D10" s="37" t="s">
        <v>152</v>
      </c>
      <c r="E10" s="37" t="s">
        <v>153</v>
      </c>
      <c r="F10" s="47" t="s">
        <v>155</v>
      </c>
      <c r="G10" s="48"/>
      <c r="H10" s="51"/>
      <c r="I10" s="27"/>
    </row>
    <row r="11" spans="1:8" ht="12.75">
      <c r="A11" s="8" t="s">
        <v>7</v>
      </c>
      <c r="B11" s="8" t="s">
        <v>18</v>
      </c>
      <c r="C11" s="30">
        <v>169.848</v>
      </c>
      <c r="D11" s="45" t="s">
        <v>41</v>
      </c>
      <c r="E11" s="45" t="s">
        <v>43</v>
      </c>
      <c r="F11" s="30">
        <f>SUMIF('Stavební rozpočet'!AR13:AR54,"100003",'Stavební rozpočet'!AS13:AS54)</f>
        <v>0</v>
      </c>
      <c r="G11" s="49"/>
      <c r="H11" s="49"/>
    </row>
    <row r="12" spans="1:8" ht="12.75">
      <c r="A12" s="9" t="s">
        <v>9</v>
      </c>
      <c r="B12" s="9" t="s">
        <v>20</v>
      </c>
      <c r="C12" s="28">
        <v>316.978398</v>
      </c>
      <c r="D12" s="46" t="s">
        <v>41</v>
      </c>
      <c r="E12" s="46" t="s">
        <v>47</v>
      </c>
      <c r="F12" s="28">
        <f>SUMIF('Stavební rozpočet'!AR13:AR54,"100002",'Stavební rozpočet'!AS13:AS54)</f>
        <v>0</v>
      </c>
      <c r="G12" s="50"/>
      <c r="H12" s="50"/>
    </row>
    <row r="13" spans="1:8" ht="12.75">
      <c r="A13" s="9" t="s">
        <v>10</v>
      </c>
      <c r="B13" s="9" t="s">
        <v>21</v>
      </c>
      <c r="C13" s="28">
        <v>590.47488</v>
      </c>
      <c r="D13" s="46" t="s">
        <v>39</v>
      </c>
      <c r="E13" s="46" t="s">
        <v>154</v>
      </c>
      <c r="F13" s="28">
        <f>SUMIF('Stavební rozpočet'!AR13:AR54,"100001",'Stavební rozpočet'!AS13:AS54)</f>
        <v>0</v>
      </c>
      <c r="G13" s="50"/>
      <c r="H13" s="50"/>
    </row>
    <row r="14" spans="1:8" ht="12.75">
      <c r="A14" s="9" t="s">
        <v>11</v>
      </c>
      <c r="B14" s="9" t="s">
        <v>22</v>
      </c>
      <c r="C14" s="28">
        <v>287.5284</v>
      </c>
      <c r="D14" s="46" t="s">
        <v>41</v>
      </c>
      <c r="E14" s="46" t="s">
        <v>46</v>
      </c>
      <c r="F14" s="28">
        <f>SUMIF('Stavební rozpočet'!AR13:AR54,"100004",'Stavební rozpočet'!AS13:AS54)</f>
        <v>0</v>
      </c>
      <c r="G14" s="50"/>
      <c r="H14" s="50"/>
    </row>
    <row r="15" spans="1:8" ht="12.75">
      <c r="A15" s="9" t="s">
        <v>12</v>
      </c>
      <c r="B15" s="9" t="s">
        <v>23</v>
      </c>
      <c r="C15" s="28">
        <v>148.5</v>
      </c>
      <c r="D15" s="46" t="s">
        <v>38</v>
      </c>
      <c r="E15" s="46" t="s">
        <v>56</v>
      </c>
      <c r="F15" s="28">
        <f>SUMIF('Stavební rozpočet'!AR13:AR54,"100005",'Stavební rozpočet'!AS13:AS54)</f>
        <v>0</v>
      </c>
      <c r="G15" s="50"/>
      <c r="H15" s="50"/>
    </row>
    <row r="16" spans="1:8" ht="12.75">
      <c r="A16" s="9" t="s">
        <v>13</v>
      </c>
      <c r="B16" s="9" t="s">
        <v>20</v>
      </c>
      <c r="C16" s="28">
        <v>26.0348661</v>
      </c>
      <c r="D16" s="46" t="s">
        <v>38</v>
      </c>
      <c r="E16" s="46" t="s">
        <v>41</v>
      </c>
      <c r="F16" s="28">
        <f>SUMIF('Stavební rozpočet'!AR13:AR54,"100006",'Stavební rozpočet'!AS13:AS54)</f>
        <v>0</v>
      </c>
      <c r="G16" s="50"/>
      <c r="H16" s="50"/>
    </row>
    <row r="17" spans="1:8" ht="12.75">
      <c r="A17" s="9" t="s">
        <v>15</v>
      </c>
      <c r="B17" s="9" t="s">
        <v>22</v>
      </c>
      <c r="C17" s="28">
        <v>28.2412979</v>
      </c>
      <c r="D17" s="46" t="s">
        <v>38</v>
      </c>
      <c r="E17" s="46" t="s">
        <v>41</v>
      </c>
      <c r="F17" s="28">
        <f>SUMIF('Stavební rozpočet'!AR13:AR54,"100007",'Stavební rozpočet'!AS13:AS54)</f>
        <v>0</v>
      </c>
      <c r="G17" s="50"/>
      <c r="H17" s="50"/>
    </row>
    <row r="18" spans="1:8" ht="12.75">
      <c r="A18" s="9" t="s">
        <v>14</v>
      </c>
      <c r="B18" s="9" t="s">
        <v>21</v>
      </c>
      <c r="C18" s="28">
        <v>22.2476484</v>
      </c>
      <c r="D18" s="46" t="s">
        <v>38</v>
      </c>
      <c r="E18" s="46" t="s">
        <v>40</v>
      </c>
      <c r="F18" s="28">
        <f>SUMIF('Stavební rozpočet'!AR13:AR54,"100008",'Stavební rozpočet'!AS13:AS54)</f>
        <v>0</v>
      </c>
      <c r="G18" s="50"/>
      <c r="H18" s="50"/>
    </row>
    <row r="19" spans="1:8" ht="12.75">
      <c r="A19" s="9" t="s">
        <v>16</v>
      </c>
      <c r="B19" s="9" t="s">
        <v>24</v>
      </c>
      <c r="C19" s="28">
        <v>0</v>
      </c>
      <c r="D19" s="46" t="s">
        <v>38</v>
      </c>
      <c r="E19" s="46" t="s">
        <v>38</v>
      </c>
      <c r="F19" s="28">
        <f>SUMIF('Stavební rozpočet'!AR13:AR54,"100009",'Stavební rozpočet'!AS13:AS54)</f>
        <v>0</v>
      </c>
      <c r="G19" s="50"/>
      <c r="H19" s="50"/>
    </row>
    <row r="21" ht="11.25" customHeight="1">
      <c r="A21" s="35" t="s">
        <v>70</v>
      </c>
    </row>
    <row r="22" spans="1:8" ht="12.75">
      <c r="A22" s="18"/>
      <c r="B22" s="12"/>
      <c r="C22" s="12"/>
      <c r="D22" s="12"/>
      <c r="E22" s="12"/>
      <c r="F22" s="12"/>
      <c r="G22" s="12"/>
      <c r="H22" s="12"/>
    </row>
  </sheetData>
  <mergeCells count="36">
    <mergeCell ref="A1:H1"/>
    <mergeCell ref="A2:A3"/>
    <mergeCell ref="B2:B3"/>
    <mergeCell ref="C2:C3"/>
    <mergeCell ref="D2:E3"/>
    <mergeCell ref="F2:F3"/>
    <mergeCell ref="G2:H3"/>
    <mergeCell ref="A4:A5"/>
    <mergeCell ref="B4:B5"/>
    <mergeCell ref="C4:C5"/>
    <mergeCell ref="D4:E5"/>
    <mergeCell ref="F4:F5"/>
    <mergeCell ref="G4:H5"/>
    <mergeCell ref="A6:A7"/>
    <mergeCell ref="B6:B7"/>
    <mergeCell ref="C6:C7"/>
    <mergeCell ref="D6:E7"/>
    <mergeCell ref="F6:F7"/>
    <mergeCell ref="G6:H7"/>
    <mergeCell ref="A8:A9"/>
    <mergeCell ref="B8:B9"/>
    <mergeCell ref="C8:C9"/>
    <mergeCell ref="D8:E9"/>
    <mergeCell ref="F8:F9"/>
    <mergeCell ref="G8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A22:H22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workbookViewId="0" topLeftCell="A1">
      <pane ySplit="10" topLeftCell="A11" activePane="bottomLeft" state="frozen"/>
      <selection pane="bottomLeft" activeCell="A1" sqref="A1:O1"/>
    </sheetView>
  </sheetViews>
  <sheetFormatPr defaultColWidth="11.57421875" defaultRowHeight="12.75"/>
  <cols>
    <col min="1" max="1" width="14.57421875" customWidth="1"/>
    <col min="2" max="2" width="10.421875" customWidth="1"/>
    <col min="3" max="3" width="14.57421875" customWidth="1"/>
    <col min="4" max="4" width="39.7109375" customWidth="1"/>
    <col min="5" max="5" width="16.140625" customWidth="1"/>
    <col min="6" max="6" width="23.28125" customWidth="1"/>
    <col min="7" max="7" width="21.28125" customWidth="1"/>
    <col min="8" max="8" width="19.57421875" customWidth="1"/>
    <col min="9" max="10" width="11.421875" customWidth="1"/>
    <col min="11" max="11" width="21.140625" customWidth="1"/>
    <col min="12" max="12" width="11.421875" customWidth="1"/>
    <col min="13" max="15" width="20.00390625" customWidth="1"/>
    <col min="31" max="31" width="12.140625" hidden="1" customWidth="1"/>
  </cols>
  <sheetData>
    <row r="1" spans="1:15" ht="72.75" customHeight="1">
      <c r="A1" s="141" t="s">
        <v>156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3" t="s">
        <v>1</v>
      </c>
      <c r="B2" s="29" t="str">
        <f>'Stavební rozpočet'!D2</f>
        <v>ISŠ Jesenice, Žatecká 1</v>
      </c>
      <c r="C2" s="15"/>
      <c r="D2" s="15"/>
      <c r="E2" s="44" t="s">
        <v>148</v>
      </c>
      <c r="F2" s="17" t="str">
        <f>'Stavební rozpočet'!G2</f>
        <v> </v>
      </c>
      <c r="G2" s="17" t="s">
        <v>26</v>
      </c>
      <c r="H2" s="17" t="str">
        <f>'Stavební rozpočet'!J2</f>
        <v> </v>
      </c>
      <c r="I2" s="21"/>
      <c r="J2" s="21"/>
      <c r="K2" s="21"/>
      <c r="L2" s="21"/>
      <c r="M2" s="21"/>
      <c r="N2" s="21"/>
      <c r="O2" s="22"/>
      <c r="P2" s="26"/>
    </row>
    <row r="3" spans="1:16" ht="12.75">
      <c r="A3" s="4"/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23"/>
      <c r="P3" s="26"/>
    </row>
    <row r="4" spans="1:16" ht="12.75">
      <c r="A4" s="5" t="s">
        <v>2</v>
      </c>
      <c r="B4" s="18" t="str">
        <f>'Stavební rozpočet'!D4</f>
        <v>Oprava střechy a okapů</v>
      </c>
      <c r="C4" s="12"/>
      <c r="D4" s="12"/>
      <c r="E4" s="9" t="s">
        <v>149</v>
      </c>
      <c r="F4" s="18" t="str">
        <f>'Stavební rozpočet'!G4</f>
        <v> </v>
      </c>
      <c r="G4" s="18" t="s">
        <v>27</v>
      </c>
      <c r="H4" s="18" t="str">
        <f>'Stavební rozpočet'!J4</f>
        <v> </v>
      </c>
      <c r="I4" s="12"/>
      <c r="J4" s="12"/>
      <c r="K4" s="12"/>
      <c r="L4" s="12"/>
      <c r="M4" s="12"/>
      <c r="N4" s="12"/>
      <c r="O4" s="23"/>
      <c r="P4" s="26"/>
    </row>
    <row r="5" spans="1:16" ht="12.75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3"/>
      <c r="P5" s="26"/>
    </row>
    <row r="6" spans="1:16" ht="12.75">
      <c r="A6" s="5" t="s">
        <v>3</v>
      </c>
      <c r="B6" s="18" t="str">
        <f>'Stavební rozpočet'!D6</f>
        <v> </v>
      </c>
      <c r="C6" s="12"/>
      <c r="D6" s="12"/>
      <c r="E6" s="9" t="s">
        <v>150</v>
      </c>
      <c r="F6" s="18" t="str">
        <f>'Stavební rozpočet'!G6</f>
        <v> </v>
      </c>
      <c r="G6" s="18" t="s">
        <v>28</v>
      </c>
      <c r="H6" s="18" t="str">
        <f>'Stavební rozpočet'!J6</f>
        <v> </v>
      </c>
      <c r="I6" s="12"/>
      <c r="J6" s="12"/>
      <c r="K6" s="12"/>
      <c r="L6" s="12"/>
      <c r="M6" s="12"/>
      <c r="N6" s="12"/>
      <c r="O6" s="23"/>
      <c r="P6" s="26"/>
    </row>
    <row r="7" spans="1:16" ht="12.75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3"/>
      <c r="P7" s="26"/>
    </row>
    <row r="8" spans="1:16" ht="12.75">
      <c r="A8" s="5" t="s">
        <v>147</v>
      </c>
      <c r="B8" s="18" t="str">
        <f>'Stavební rozpočet'!D8</f>
        <v> </v>
      </c>
      <c r="C8" s="12"/>
      <c r="D8" s="12"/>
      <c r="E8" s="9" t="s">
        <v>29</v>
      </c>
      <c r="F8" s="18" t="str">
        <f>'Stavební rozpočet'!G8</f>
        <v>26.07.2018</v>
      </c>
      <c r="G8" s="18" t="s">
        <v>4</v>
      </c>
      <c r="H8" s="18" t="str">
        <f>'Stavební rozpočet'!J8</f>
        <v>Miroslav Stehlík</v>
      </c>
      <c r="I8" s="12"/>
      <c r="J8" s="12"/>
      <c r="K8" s="12"/>
      <c r="L8" s="12"/>
      <c r="M8" s="12"/>
      <c r="N8" s="12"/>
      <c r="O8" s="23"/>
      <c r="P8" s="26"/>
    </row>
    <row r="9" spans="1:16" ht="12.75">
      <c r="A9" s="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4"/>
      <c r="P9" s="26"/>
    </row>
    <row r="10" spans="1:16" ht="12.75">
      <c r="A10" s="52" t="s">
        <v>37</v>
      </c>
      <c r="B10" s="52" t="s">
        <v>5</v>
      </c>
      <c r="C10" s="14" t="s">
        <v>6</v>
      </c>
      <c r="D10" s="55" t="s">
        <v>17</v>
      </c>
      <c r="E10" s="56"/>
      <c r="F10" s="37" t="s">
        <v>157</v>
      </c>
      <c r="G10" s="37" t="s">
        <v>158</v>
      </c>
      <c r="H10" s="37" t="s">
        <v>159</v>
      </c>
      <c r="I10" s="37" t="s">
        <v>160</v>
      </c>
      <c r="J10" s="37" t="s">
        <v>143</v>
      </c>
      <c r="K10" s="37" t="s">
        <v>161</v>
      </c>
      <c r="L10" s="61" t="s">
        <v>162</v>
      </c>
      <c r="M10" s="64" t="s">
        <v>163</v>
      </c>
      <c r="N10" s="37" t="s">
        <v>164</v>
      </c>
      <c r="O10" s="61" t="s">
        <v>165</v>
      </c>
      <c r="P10" s="27"/>
    </row>
    <row r="11" spans="1:31" ht="12.75">
      <c r="A11" s="53"/>
      <c r="B11" s="53"/>
      <c r="C11" s="53" t="s">
        <v>7</v>
      </c>
      <c r="D11" s="53" t="s">
        <v>18</v>
      </c>
      <c r="E11" s="57"/>
      <c r="F11" s="65">
        <f>SUM(F12:F12)</f>
        <v>0</v>
      </c>
      <c r="G11" s="65">
        <f>SUM(G12:G12)</f>
        <v>0</v>
      </c>
      <c r="H11" s="65">
        <f>G11-F11</f>
        <v>0</v>
      </c>
      <c r="I11" s="65">
        <f>IF(F11=0,0,H11/F11*100)</f>
        <v>0</v>
      </c>
      <c r="J11" s="65">
        <f>SUM(J12:J12)</f>
        <v>606.6</v>
      </c>
      <c r="K11" s="65">
        <f>SUM(K12:K12)</f>
        <v>0</v>
      </c>
      <c r="L11" s="67">
        <f>J11-K11</f>
        <v>606.6</v>
      </c>
      <c r="M11" s="69" t="str">
        <f>IF(G11=0,"Nefakturováno",AE11)</f>
        <v>Nefakturováno</v>
      </c>
      <c r="N11" s="65">
        <f>AE11-G11</f>
        <v>0</v>
      </c>
      <c r="O11" s="65">
        <f>IF(G11&lt;&gt;0,N11/G11*100,-100)</f>
        <v>-100</v>
      </c>
      <c r="AE11" s="28">
        <v>0</v>
      </c>
    </row>
    <row r="12" spans="1:31" ht="12.75">
      <c r="A12" s="33" t="s">
        <v>38</v>
      </c>
      <c r="B12" s="33"/>
      <c r="C12" s="33" t="s">
        <v>71</v>
      </c>
      <c r="D12" s="33" t="s">
        <v>102</v>
      </c>
      <c r="E12" s="58"/>
      <c r="F12" s="39">
        <f>'Stavební rozpočet'!J13</f>
        <v>0</v>
      </c>
      <c r="G12" s="39">
        <v>0</v>
      </c>
      <c r="H12" s="39">
        <f>G12-F12</f>
        <v>0</v>
      </c>
      <c r="I12" s="39">
        <f>IF(F12=0,0,H12/F12*100)</f>
        <v>0</v>
      </c>
      <c r="J12" s="39">
        <f>'Stavební rozpočet'!F13</f>
        <v>606.6</v>
      </c>
      <c r="K12" s="39">
        <v>0</v>
      </c>
      <c r="L12" s="62">
        <v>606.6</v>
      </c>
      <c r="M12" s="70" t="str">
        <f>IF(G12=0,"Nefakturováno",AE12)</f>
        <v>Nefakturováno</v>
      </c>
      <c r="N12" s="39">
        <f>AE12-G12</f>
        <v>0</v>
      </c>
      <c r="O12" s="39">
        <f>IF(G12&lt;&gt;0,N12/G12*100,-100)</f>
        <v>-100</v>
      </c>
      <c r="AE12" s="39">
        <v>0</v>
      </c>
    </row>
    <row r="13" spans="1:31" ht="12.75">
      <c r="A13" s="54"/>
      <c r="B13" s="54"/>
      <c r="C13" s="54" t="s">
        <v>8</v>
      </c>
      <c r="D13" s="54" t="s">
        <v>19</v>
      </c>
      <c r="E13" s="59"/>
      <c r="F13" s="66">
        <f>SUM(F14:F14)</f>
        <v>0</v>
      </c>
      <c r="G13" s="66">
        <f>SUM(G14:G14)</f>
        <v>0</v>
      </c>
      <c r="H13" s="66">
        <f>G13-F13</f>
        <v>0</v>
      </c>
      <c r="I13" s="66">
        <f>IF(F13=0,0,H13/F13*100)</f>
        <v>0</v>
      </c>
      <c r="J13" s="66">
        <f>SUM(J14:J14)</f>
        <v>1</v>
      </c>
      <c r="K13" s="66">
        <f>SUM(K14:K14)</f>
        <v>0</v>
      </c>
      <c r="L13" s="68">
        <f>J13-K13</f>
        <v>1</v>
      </c>
      <c r="M13" s="71" t="str">
        <f>IF(G13=0,"Nefakturováno",AE13)</f>
        <v>Nefakturováno</v>
      </c>
      <c r="N13" s="66">
        <f>AE13-G13</f>
        <v>0</v>
      </c>
      <c r="O13" s="66">
        <f>IF(G13&lt;&gt;0,N13/G13*100,-100)</f>
        <v>-100</v>
      </c>
      <c r="AE13" s="39">
        <v>0</v>
      </c>
    </row>
    <row r="14" spans="1:31" ht="12.75">
      <c r="A14" s="33" t="s">
        <v>39</v>
      </c>
      <c r="B14" s="33"/>
      <c r="C14" s="33" t="s">
        <v>8</v>
      </c>
      <c r="D14" s="33" t="s">
        <v>103</v>
      </c>
      <c r="E14" s="58"/>
      <c r="F14" s="39">
        <f>'Stavební rozpočet'!J15</f>
        <v>0</v>
      </c>
      <c r="G14" s="39">
        <v>0</v>
      </c>
      <c r="H14" s="39">
        <f>G14-F14</f>
        <v>0</v>
      </c>
      <c r="I14" s="39">
        <f>IF(F14=0,0,H14/F14*100)</f>
        <v>0</v>
      </c>
      <c r="J14" s="39">
        <f>'Stavební rozpočet'!F15</f>
        <v>1</v>
      </c>
      <c r="K14" s="39">
        <v>0</v>
      </c>
      <c r="L14" s="62">
        <v>1</v>
      </c>
      <c r="M14" s="70" t="str">
        <f>IF(G14=0,"Nefakturováno",AE14)</f>
        <v>Nefakturováno</v>
      </c>
      <c r="N14" s="39">
        <f>AE14-G14</f>
        <v>0</v>
      </c>
      <c r="O14" s="39">
        <f>IF(G14&lt;&gt;0,N14/G14*100,-100)</f>
        <v>-100</v>
      </c>
      <c r="AE14" s="39">
        <v>0</v>
      </c>
    </row>
    <row r="15" spans="1:31" ht="12.75">
      <c r="A15" s="54"/>
      <c r="B15" s="54"/>
      <c r="C15" s="54" t="s">
        <v>9</v>
      </c>
      <c r="D15" s="54" t="s">
        <v>20</v>
      </c>
      <c r="E15" s="59"/>
      <c r="F15" s="66">
        <f>SUM(F16:F24)</f>
        <v>0</v>
      </c>
      <c r="G15" s="66">
        <f>SUM(G16:G24)</f>
        <v>0</v>
      </c>
      <c r="H15" s="66">
        <f>G15-F15</f>
        <v>0</v>
      </c>
      <c r="I15" s="66">
        <f>IF(F15=0,0,H15/F15*100)</f>
        <v>0</v>
      </c>
      <c r="J15" s="66">
        <f>SUM(J16:J24)</f>
        <v>1087.1000000000001</v>
      </c>
      <c r="K15" s="66">
        <f>SUM(K16:K24)</f>
        <v>0</v>
      </c>
      <c r="L15" s="68">
        <f>J15-K15</f>
        <v>1087.1000000000001</v>
      </c>
      <c r="M15" s="71" t="str">
        <f>IF(G15=0,"Nefakturováno",AE15)</f>
        <v>Nefakturováno</v>
      </c>
      <c r="N15" s="66">
        <f>AE15-G15</f>
        <v>0</v>
      </c>
      <c r="O15" s="66">
        <f>IF(G15&lt;&gt;0,N15/G15*100,-100)</f>
        <v>-100</v>
      </c>
      <c r="AE15" s="39">
        <v>0</v>
      </c>
    </row>
    <row r="16" spans="1:31" ht="12.75">
      <c r="A16" s="33" t="s">
        <v>40</v>
      </c>
      <c r="B16" s="33"/>
      <c r="C16" s="33" t="s">
        <v>72</v>
      </c>
      <c r="D16" s="33" t="s">
        <v>104</v>
      </c>
      <c r="E16" s="58"/>
      <c r="F16" s="39">
        <f>'Stavební rozpočet'!J17</f>
        <v>0</v>
      </c>
      <c r="G16" s="39">
        <v>0</v>
      </c>
      <c r="H16" s="39">
        <f>G16-F16</f>
        <v>0</v>
      </c>
      <c r="I16" s="39">
        <f>IF(F16=0,0,H16/F16*100)</f>
        <v>0</v>
      </c>
      <c r="J16" s="39">
        <f>'Stavební rozpočet'!F17</f>
        <v>606.6</v>
      </c>
      <c r="K16" s="39">
        <v>0</v>
      </c>
      <c r="L16" s="62">
        <v>606.6</v>
      </c>
      <c r="M16" s="70" t="str">
        <f>IF(G16=0,"Nefakturováno",AE16)</f>
        <v>Nefakturováno</v>
      </c>
      <c r="N16" s="39">
        <f>AE16-G16</f>
        <v>0</v>
      </c>
      <c r="O16" s="39">
        <f>IF(G16&lt;&gt;0,N16/G16*100,-100)</f>
        <v>-100</v>
      </c>
      <c r="AE16" s="39">
        <v>0</v>
      </c>
    </row>
    <row r="17" spans="1:31" ht="12.75">
      <c r="A17" s="33" t="s">
        <v>41</v>
      </c>
      <c r="B17" s="33"/>
      <c r="C17" s="33" t="s">
        <v>73</v>
      </c>
      <c r="D17" s="33" t="s">
        <v>105</v>
      </c>
      <c r="E17" s="58"/>
      <c r="F17" s="39">
        <f>'Stavební rozpočet'!J18</f>
        <v>0</v>
      </c>
      <c r="G17" s="39">
        <v>0</v>
      </c>
      <c r="H17" s="39">
        <f>G17-F17</f>
        <v>0</v>
      </c>
      <c r="I17" s="39">
        <f>IF(F17=0,0,H17/F17*100)</f>
        <v>0</v>
      </c>
      <c r="J17" s="39">
        <f>'Stavební rozpočet'!F18</f>
        <v>74.7</v>
      </c>
      <c r="K17" s="39">
        <v>0</v>
      </c>
      <c r="L17" s="62">
        <v>74.7</v>
      </c>
      <c r="M17" s="70" t="str">
        <f>IF(G17=0,"Nefakturováno",AE17)</f>
        <v>Nefakturováno</v>
      </c>
      <c r="N17" s="39">
        <f>AE17-G17</f>
        <v>0</v>
      </c>
      <c r="O17" s="39">
        <f>IF(G17&lt;&gt;0,N17/G17*100,-100)</f>
        <v>-100</v>
      </c>
      <c r="AE17" s="39">
        <v>0</v>
      </c>
    </row>
    <row r="18" spans="1:31" ht="12.75">
      <c r="A18" s="33" t="s">
        <v>42</v>
      </c>
      <c r="B18" s="33"/>
      <c r="C18" s="33" t="s">
        <v>74</v>
      </c>
      <c r="D18" s="33" t="s">
        <v>106</v>
      </c>
      <c r="E18" s="58"/>
      <c r="F18" s="39">
        <f>'Stavební rozpočet'!J19</f>
        <v>0</v>
      </c>
      <c r="G18" s="39">
        <v>0</v>
      </c>
      <c r="H18" s="39">
        <f>G18-F18</f>
        <v>0</v>
      </c>
      <c r="I18" s="39">
        <f>IF(F18=0,0,H18/F18*100)</f>
        <v>0</v>
      </c>
      <c r="J18" s="39">
        <f>'Stavební rozpočet'!F19</f>
        <v>80</v>
      </c>
      <c r="K18" s="39">
        <v>0</v>
      </c>
      <c r="L18" s="62">
        <v>80</v>
      </c>
      <c r="M18" s="70" t="str">
        <f>IF(G18=0,"Nefakturováno",AE18)</f>
        <v>Nefakturováno</v>
      </c>
      <c r="N18" s="39">
        <f>AE18-G18</f>
        <v>0</v>
      </c>
      <c r="O18" s="39">
        <f>IF(G18&lt;&gt;0,N18/G18*100,-100)</f>
        <v>-100</v>
      </c>
      <c r="AE18" s="39">
        <v>0</v>
      </c>
    </row>
    <row r="19" spans="1:31" ht="12.75">
      <c r="A19" s="33" t="s">
        <v>43</v>
      </c>
      <c r="B19" s="33"/>
      <c r="C19" s="33" t="s">
        <v>75</v>
      </c>
      <c r="D19" s="33" t="s">
        <v>107</v>
      </c>
      <c r="E19" s="58"/>
      <c r="F19" s="39">
        <f>'Stavební rozpočet'!J20</f>
        <v>0</v>
      </c>
      <c r="G19" s="39">
        <v>0</v>
      </c>
      <c r="H19" s="39">
        <f>G19-F19</f>
        <v>0</v>
      </c>
      <c r="I19" s="39">
        <f>IF(F19=0,0,H19/F19*100)</f>
        <v>0</v>
      </c>
      <c r="J19" s="39">
        <f>'Stavební rozpočet'!F20</f>
        <v>74.7</v>
      </c>
      <c r="K19" s="39">
        <v>0</v>
      </c>
      <c r="L19" s="62">
        <v>74.7</v>
      </c>
      <c r="M19" s="70" t="str">
        <f>IF(G19=0,"Nefakturováno",AE19)</f>
        <v>Nefakturováno</v>
      </c>
      <c r="N19" s="39">
        <f>AE19-G19</f>
        <v>0</v>
      </c>
      <c r="O19" s="39">
        <f>IF(G19&lt;&gt;0,N19/G19*100,-100)</f>
        <v>-100</v>
      </c>
      <c r="AE19" s="39">
        <v>0</v>
      </c>
    </row>
    <row r="20" spans="1:31" ht="12.75">
      <c r="A20" s="33" t="s">
        <v>44</v>
      </c>
      <c r="B20" s="33"/>
      <c r="C20" s="33" t="s">
        <v>76</v>
      </c>
      <c r="D20" s="33" t="s">
        <v>108</v>
      </c>
      <c r="E20" s="58"/>
      <c r="F20" s="39">
        <f>'Stavební rozpočet'!J21</f>
        <v>0</v>
      </c>
      <c r="G20" s="39">
        <v>0</v>
      </c>
      <c r="H20" s="39">
        <f>G20-F20</f>
        <v>0</v>
      </c>
      <c r="I20" s="39">
        <f>IF(F20=0,0,H20/F20*100)</f>
        <v>0</v>
      </c>
      <c r="J20" s="39">
        <f>'Stavební rozpočet'!F21</f>
        <v>0</v>
      </c>
      <c r="K20" s="39">
        <v>0</v>
      </c>
      <c r="L20" s="62">
        <v>0</v>
      </c>
      <c r="M20" s="70" t="str">
        <f>IF(G20=0,"Nefakturováno",AE20)</f>
        <v>Nefakturováno</v>
      </c>
      <c r="N20" s="39">
        <f>AE20-G20</f>
        <v>0</v>
      </c>
      <c r="O20" s="39">
        <f>IF(G20&lt;&gt;0,N20/G20*100,-100)</f>
        <v>-100</v>
      </c>
      <c r="AE20" s="39">
        <v>0</v>
      </c>
    </row>
    <row r="21" spans="1:31" ht="12.75">
      <c r="A21" s="33" t="s">
        <v>45</v>
      </c>
      <c r="B21" s="33"/>
      <c r="C21" s="33" t="s">
        <v>77</v>
      </c>
      <c r="D21" s="33" t="s">
        <v>109</v>
      </c>
      <c r="E21" s="58"/>
      <c r="F21" s="39">
        <f>'Stavební rozpočet'!J22</f>
        <v>0</v>
      </c>
      <c r="G21" s="39">
        <v>0</v>
      </c>
      <c r="H21" s="39">
        <f>G21-F21</f>
        <v>0</v>
      </c>
      <c r="I21" s="39">
        <f>IF(F21=0,0,H21/F21*100)</f>
        <v>0</v>
      </c>
      <c r="J21" s="39">
        <f>'Stavební rozpočet'!F22</f>
        <v>43.9</v>
      </c>
      <c r="K21" s="39">
        <v>0</v>
      </c>
      <c r="L21" s="62">
        <v>43.9</v>
      </c>
      <c r="M21" s="70" t="str">
        <f>IF(G21=0,"Nefakturováno",AE21)</f>
        <v>Nefakturováno</v>
      </c>
      <c r="N21" s="39">
        <f>AE21-G21</f>
        <v>0</v>
      </c>
      <c r="O21" s="39">
        <f>IF(G21&lt;&gt;0,N21/G21*100,-100)</f>
        <v>-100</v>
      </c>
      <c r="AE21" s="39">
        <v>0</v>
      </c>
    </row>
    <row r="22" spans="1:31" ht="12.75">
      <c r="A22" s="33" t="s">
        <v>46</v>
      </c>
      <c r="B22" s="33"/>
      <c r="C22" s="33" t="s">
        <v>78</v>
      </c>
      <c r="D22" s="33" t="s">
        <v>110</v>
      </c>
      <c r="E22" s="58"/>
      <c r="F22" s="39">
        <f>'Stavební rozpočet'!J23</f>
        <v>0</v>
      </c>
      <c r="G22" s="39">
        <v>0</v>
      </c>
      <c r="H22" s="39">
        <f>G22-F22</f>
        <v>0</v>
      </c>
      <c r="I22" s="39">
        <f>IF(F22=0,0,H22/F22*100)</f>
        <v>0</v>
      </c>
      <c r="J22" s="39">
        <f>'Stavební rozpočet'!F23</f>
        <v>52.5</v>
      </c>
      <c r="K22" s="39">
        <v>0</v>
      </c>
      <c r="L22" s="62">
        <v>52.5</v>
      </c>
      <c r="M22" s="70" t="str">
        <f>IF(G22=0,"Nefakturováno",AE22)</f>
        <v>Nefakturováno</v>
      </c>
      <c r="N22" s="39">
        <f>AE22-G22</f>
        <v>0</v>
      </c>
      <c r="O22" s="39">
        <f>IF(G22&lt;&gt;0,N22/G22*100,-100)</f>
        <v>-100</v>
      </c>
      <c r="AE22" s="39">
        <v>0</v>
      </c>
    </row>
    <row r="23" spans="1:31" ht="12.75">
      <c r="A23" s="33" t="s">
        <v>47</v>
      </c>
      <c r="B23" s="33"/>
      <c r="C23" s="33" t="s">
        <v>79</v>
      </c>
      <c r="D23" s="33" t="s">
        <v>111</v>
      </c>
      <c r="E23" s="58"/>
      <c r="F23" s="39">
        <f>'Stavební rozpočet'!J24</f>
        <v>0</v>
      </c>
      <c r="G23" s="39">
        <v>0</v>
      </c>
      <c r="H23" s="39">
        <f>G23-F23</f>
        <v>0</v>
      </c>
      <c r="I23" s="39">
        <f>IF(F23=0,0,H23/F23*100)</f>
        <v>0</v>
      </c>
      <c r="J23" s="39">
        <f>'Stavební rozpočet'!F24</f>
        <v>74.7</v>
      </c>
      <c r="K23" s="39">
        <v>0</v>
      </c>
      <c r="L23" s="62">
        <v>74.7</v>
      </c>
      <c r="M23" s="70" t="str">
        <f>IF(G23=0,"Nefakturováno",AE23)</f>
        <v>Nefakturováno</v>
      </c>
      <c r="N23" s="39">
        <f>AE23-G23</f>
        <v>0</v>
      </c>
      <c r="O23" s="39">
        <f>IF(G23&lt;&gt;0,N23/G23*100,-100)</f>
        <v>-100</v>
      </c>
      <c r="AE23" s="39">
        <v>0</v>
      </c>
    </row>
    <row r="24" spans="1:31" ht="12.75">
      <c r="A24" s="33" t="s">
        <v>48</v>
      </c>
      <c r="B24" s="33"/>
      <c r="C24" s="33" t="s">
        <v>80</v>
      </c>
      <c r="D24" s="33" t="s">
        <v>112</v>
      </c>
      <c r="E24" s="58"/>
      <c r="F24" s="39">
        <f>'Stavební rozpočet'!J25</f>
        <v>0</v>
      </c>
      <c r="G24" s="39">
        <v>0</v>
      </c>
      <c r="H24" s="39">
        <f>G24-F24</f>
        <v>0</v>
      </c>
      <c r="I24" s="39">
        <f>IF(F24=0,0,H24/F24*100)</f>
        <v>0</v>
      </c>
      <c r="J24" s="39">
        <f>'Stavební rozpočet'!F25</f>
        <v>80</v>
      </c>
      <c r="K24" s="39">
        <v>0</v>
      </c>
      <c r="L24" s="62">
        <v>80</v>
      </c>
      <c r="M24" s="70" t="str">
        <f>IF(G24=0,"Nefakturováno",AE24)</f>
        <v>Nefakturováno</v>
      </c>
      <c r="N24" s="39">
        <f>AE24-G24</f>
        <v>0</v>
      </c>
      <c r="O24" s="39">
        <f>IF(G24&lt;&gt;0,N24/G24*100,-100)</f>
        <v>-100</v>
      </c>
      <c r="AE24" s="39">
        <v>0</v>
      </c>
    </row>
    <row r="25" spans="1:31" ht="12.75">
      <c r="A25" s="54"/>
      <c r="B25" s="54"/>
      <c r="C25" s="54" t="s">
        <v>10</v>
      </c>
      <c r="D25" s="54" t="s">
        <v>21</v>
      </c>
      <c r="E25" s="59"/>
      <c r="F25" s="66">
        <f>SUM(F26:F37)</f>
        <v>0</v>
      </c>
      <c r="G25" s="66">
        <f>SUM(G26:G37)</f>
        <v>0</v>
      </c>
      <c r="H25" s="66">
        <f>G25-F25</f>
        <v>0</v>
      </c>
      <c r="I25" s="66">
        <f>IF(F25=0,0,H25/F25*100)</f>
        <v>0</v>
      </c>
      <c r="J25" s="66">
        <f>SUM(J26:J37)</f>
        <v>2228.3599999999997</v>
      </c>
      <c r="K25" s="66">
        <f>SUM(K26:K37)</f>
        <v>0</v>
      </c>
      <c r="L25" s="68">
        <f>J25-K25</f>
        <v>2228.3599999999997</v>
      </c>
      <c r="M25" s="71" t="str">
        <f>IF(G25=0,"Nefakturováno",AE25)</f>
        <v>Nefakturováno</v>
      </c>
      <c r="N25" s="66">
        <f>AE25-G25</f>
        <v>0</v>
      </c>
      <c r="O25" s="66">
        <f>IF(G25&lt;&gt;0,N25/G25*100,-100)</f>
        <v>-100</v>
      </c>
      <c r="AE25" s="39">
        <v>0</v>
      </c>
    </row>
    <row r="26" spans="1:31" ht="12.75">
      <c r="A26" s="33" t="s">
        <v>49</v>
      </c>
      <c r="B26" s="33"/>
      <c r="C26" s="33" t="s">
        <v>81</v>
      </c>
      <c r="D26" s="33" t="s">
        <v>113</v>
      </c>
      <c r="E26" s="58"/>
      <c r="F26" s="39">
        <f>'Stavební rozpočet'!J27</f>
        <v>0</v>
      </c>
      <c r="G26" s="39">
        <v>0</v>
      </c>
      <c r="H26" s="39">
        <f>G26-F26</f>
        <v>0</v>
      </c>
      <c r="I26" s="39">
        <f>IF(F26=0,0,H26/F26*100)</f>
        <v>0</v>
      </c>
      <c r="J26" s="39">
        <f>'Stavební rozpočet'!F27</f>
        <v>76.62</v>
      </c>
      <c r="K26" s="39">
        <v>0</v>
      </c>
      <c r="L26" s="62">
        <v>76.62</v>
      </c>
      <c r="M26" s="70" t="str">
        <f>IF(G26=0,"Nefakturováno",AE26)</f>
        <v>Nefakturováno</v>
      </c>
      <c r="N26" s="39">
        <f>AE26-G26</f>
        <v>0</v>
      </c>
      <c r="O26" s="39">
        <f>IF(G26&lt;&gt;0,N26/G26*100,-100)</f>
        <v>-100</v>
      </c>
      <c r="AE26" s="39">
        <v>0</v>
      </c>
    </row>
    <row r="27" spans="1:31" ht="12.75">
      <c r="A27" s="33" t="s">
        <v>50</v>
      </c>
      <c r="B27" s="33"/>
      <c r="C27" s="33" t="s">
        <v>82</v>
      </c>
      <c r="D27" s="33" t="s">
        <v>114</v>
      </c>
      <c r="E27" s="58"/>
      <c r="F27" s="39">
        <f>'Stavební rozpočet'!J28</f>
        <v>0</v>
      </c>
      <c r="G27" s="39">
        <v>0</v>
      </c>
      <c r="H27" s="39">
        <f>G27-F27</f>
        <v>0</v>
      </c>
      <c r="I27" s="39">
        <f>IF(F27=0,0,H27/F27*100)</f>
        <v>0</v>
      </c>
      <c r="J27" s="39">
        <f>'Stavební rozpočet'!F28</f>
        <v>3</v>
      </c>
      <c r="K27" s="39">
        <v>0</v>
      </c>
      <c r="L27" s="62">
        <v>3</v>
      </c>
      <c r="M27" s="70" t="str">
        <f>IF(G27=0,"Nefakturováno",AE27)</f>
        <v>Nefakturováno</v>
      </c>
      <c r="N27" s="39">
        <f>AE27-G27</f>
        <v>0</v>
      </c>
      <c r="O27" s="39">
        <f>IF(G27&lt;&gt;0,N27/G27*100,-100)</f>
        <v>-100</v>
      </c>
      <c r="AE27" s="39">
        <v>0</v>
      </c>
    </row>
    <row r="28" spans="1:31" ht="12.75">
      <c r="A28" s="33" t="s">
        <v>51</v>
      </c>
      <c r="B28" s="33"/>
      <c r="C28" s="33" t="s">
        <v>83</v>
      </c>
      <c r="D28" s="33" t="s">
        <v>115</v>
      </c>
      <c r="E28" s="58"/>
      <c r="F28" s="39">
        <f>'Stavební rozpočet'!J29</f>
        <v>0</v>
      </c>
      <c r="G28" s="39">
        <v>0</v>
      </c>
      <c r="H28" s="39">
        <f>G28-F28</f>
        <v>0</v>
      </c>
      <c r="I28" s="39">
        <f>IF(F28=0,0,H28/F28*100)</f>
        <v>0</v>
      </c>
      <c r="J28" s="39">
        <f>'Stavební rozpočet'!F29</f>
        <v>76.62</v>
      </c>
      <c r="K28" s="39">
        <v>0</v>
      </c>
      <c r="L28" s="62">
        <v>76.62</v>
      </c>
      <c r="M28" s="70" t="str">
        <f>IF(G28=0,"Nefakturováno",AE28)</f>
        <v>Nefakturováno</v>
      </c>
      <c r="N28" s="39">
        <f>AE28-G28</f>
        <v>0</v>
      </c>
      <c r="O28" s="39">
        <f>IF(G28&lt;&gt;0,N28/G28*100,-100)</f>
        <v>-100</v>
      </c>
      <c r="AE28" s="39">
        <v>0</v>
      </c>
    </row>
    <row r="29" spans="1:31" ht="12.75">
      <c r="A29" s="33" t="s">
        <v>52</v>
      </c>
      <c r="B29" s="33"/>
      <c r="C29" s="33" t="s">
        <v>84</v>
      </c>
      <c r="D29" s="33" t="s">
        <v>116</v>
      </c>
      <c r="E29" s="58"/>
      <c r="F29" s="39">
        <f>'Stavební rozpočet'!J30</f>
        <v>0</v>
      </c>
      <c r="G29" s="39">
        <v>0</v>
      </c>
      <c r="H29" s="39">
        <f>G29-F29</f>
        <v>0</v>
      </c>
      <c r="I29" s="39">
        <f>IF(F29=0,0,H29/F29*100)</f>
        <v>0</v>
      </c>
      <c r="J29" s="39">
        <f>'Stavební rozpočet'!F30</f>
        <v>606.6</v>
      </c>
      <c r="K29" s="39">
        <v>0</v>
      </c>
      <c r="L29" s="62">
        <v>606.6</v>
      </c>
      <c r="M29" s="70" t="str">
        <f>IF(G29=0,"Nefakturováno",AE29)</f>
        <v>Nefakturováno</v>
      </c>
      <c r="N29" s="39">
        <f>AE29-G29</f>
        <v>0</v>
      </c>
      <c r="O29" s="39">
        <f>IF(G29&lt;&gt;0,N29/G29*100,-100)</f>
        <v>-100</v>
      </c>
      <c r="AE29" s="39">
        <v>0</v>
      </c>
    </row>
    <row r="30" spans="1:31" ht="12.75">
      <c r="A30" s="33" t="s">
        <v>53</v>
      </c>
      <c r="B30" s="33"/>
      <c r="C30" s="33" t="s">
        <v>85</v>
      </c>
      <c r="D30" s="33" t="s">
        <v>117</v>
      </c>
      <c r="E30" s="58"/>
      <c r="F30" s="39">
        <f>'Stavební rozpočet'!J31</f>
        <v>0</v>
      </c>
      <c r="G30" s="39">
        <v>0</v>
      </c>
      <c r="H30" s="39">
        <f>G30-F30</f>
        <v>0</v>
      </c>
      <c r="I30" s="39">
        <f>IF(F30=0,0,H30/F30*100)</f>
        <v>0</v>
      </c>
      <c r="J30" s="39">
        <f>'Stavební rozpočet'!F31</f>
        <v>606.6</v>
      </c>
      <c r="K30" s="39">
        <v>0</v>
      </c>
      <c r="L30" s="62">
        <v>606.6</v>
      </c>
      <c r="M30" s="70" t="str">
        <f>IF(G30=0,"Nefakturováno",AE30)</f>
        <v>Nefakturováno</v>
      </c>
      <c r="N30" s="39">
        <f>AE30-G30</f>
        <v>0</v>
      </c>
      <c r="O30" s="39">
        <f>IF(G30&lt;&gt;0,N30/G30*100,-100)</f>
        <v>-100</v>
      </c>
      <c r="AE30" s="39">
        <v>0</v>
      </c>
    </row>
    <row r="31" spans="1:31" ht="12.75">
      <c r="A31" s="33" t="s">
        <v>54</v>
      </c>
      <c r="B31" s="33"/>
      <c r="C31" s="33" t="s">
        <v>86</v>
      </c>
      <c r="D31" s="33" t="s">
        <v>118</v>
      </c>
      <c r="E31" s="58"/>
      <c r="F31" s="39">
        <f>'Stavební rozpočet'!J32</f>
        <v>0</v>
      </c>
      <c r="G31" s="39">
        <v>0</v>
      </c>
      <c r="H31" s="39">
        <f>G31-F31</f>
        <v>0</v>
      </c>
      <c r="I31" s="39">
        <f>IF(F31=0,0,H31/F31*100)</f>
        <v>0</v>
      </c>
      <c r="J31" s="39">
        <f>'Stavební rozpočet'!F32</f>
        <v>24</v>
      </c>
      <c r="K31" s="39">
        <v>0</v>
      </c>
      <c r="L31" s="62">
        <v>24</v>
      </c>
      <c r="M31" s="70" t="str">
        <f>IF(G31=0,"Nefakturováno",AE31)</f>
        <v>Nefakturováno</v>
      </c>
      <c r="N31" s="39">
        <f>AE31-G31</f>
        <v>0</v>
      </c>
      <c r="O31" s="39">
        <f>IF(G31&lt;&gt;0,N31/G31*100,-100)</f>
        <v>-100</v>
      </c>
      <c r="AE31" s="39">
        <v>0</v>
      </c>
    </row>
    <row r="32" spans="1:31" ht="12.75">
      <c r="A32" s="33" t="s">
        <v>55</v>
      </c>
      <c r="B32" s="33"/>
      <c r="C32" s="33" t="s">
        <v>87</v>
      </c>
      <c r="D32" s="33" t="s">
        <v>119</v>
      </c>
      <c r="E32" s="58"/>
      <c r="F32" s="39">
        <f>'Stavební rozpočet'!J33</f>
        <v>0</v>
      </c>
      <c r="G32" s="39">
        <v>0</v>
      </c>
      <c r="H32" s="39">
        <f>G32-F32</f>
        <v>0</v>
      </c>
      <c r="I32" s="39">
        <f>IF(F32=0,0,H32/F32*100)</f>
        <v>0</v>
      </c>
      <c r="J32" s="39">
        <f>'Stavební rozpočet'!F33</f>
        <v>40.3</v>
      </c>
      <c r="K32" s="39">
        <v>0</v>
      </c>
      <c r="L32" s="62">
        <v>40.3</v>
      </c>
      <c r="M32" s="70" t="str">
        <f>IF(G32=0,"Nefakturováno",AE32)</f>
        <v>Nefakturováno</v>
      </c>
      <c r="N32" s="39">
        <f>AE32-G32</f>
        <v>0</v>
      </c>
      <c r="O32" s="39">
        <f>IF(G32&lt;&gt;0,N32/G32*100,-100)</f>
        <v>-100</v>
      </c>
      <c r="AE32" s="39">
        <v>0</v>
      </c>
    </row>
    <row r="33" spans="1:31" ht="12.75">
      <c r="A33" s="33" t="s">
        <v>56</v>
      </c>
      <c r="B33" s="33"/>
      <c r="C33" s="33" t="s">
        <v>88</v>
      </c>
      <c r="D33" s="33" t="s">
        <v>120</v>
      </c>
      <c r="E33" s="58"/>
      <c r="F33" s="39">
        <f>'Stavební rozpočet'!J34</f>
        <v>0</v>
      </c>
      <c r="G33" s="39">
        <v>0</v>
      </c>
      <c r="H33" s="39">
        <f>G33-F33</f>
        <v>0</v>
      </c>
      <c r="I33" s="39">
        <f>IF(F33=0,0,H33/F33*100)</f>
        <v>0</v>
      </c>
      <c r="J33" s="39">
        <f>'Stavební rozpočet'!F34</f>
        <v>637</v>
      </c>
      <c r="K33" s="39">
        <v>0</v>
      </c>
      <c r="L33" s="62">
        <v>637</v>
      </c>
      <c r="M33" s="70" t="str">
        <f>IF(G33=0,"Nefakturováno",AE33)</f>
        <v>Nefakturováno</v>
      </c>
      <c r="N33" s="39">
        <f>AE33-G33</f>
        <v>0</v>
      </c>
      <c r="O33" s="39">
        <f>IF(G33&lt;&gt;0,N33/G33*100,-100)</f>
        <v>-100</v>
      </c>
      <c r="AE33" s="39">
        <v>0</v>
      </c>
    </row>
    <row r="34" spans="1:31" ht="12.75">
      <c r="A34" s="33" t="s">
        <v>57</v>
      </c>
      <c r="B34" s="33"/>
      <c r="C34" s="33" t="s">
        <v>89</v>
      </c>
      <c r="D34" s="33" t="s">
        <v>121</v>
      </c>
      <c r="E34" s="58"/>
      <c r="F34" s="39">
        <f>'Stavební rozpočet'!J35</f>
        <v>0</v>
      </c>
      <c r="G34" s="39">
        <v>0</v>
      </c>
      <c r="H34" s="39">
        <f>G34-F34</f>
        <v>0</v>
      </c>
      <c r="I34" s="39">
        <f>IF(F34=0,0,H34/F34*100)</f>
        <v>0</v>
      </c>
      <c r="J34" s="39">
        <f>'Stavební rozpočet'!F35</f>
        <v>19</v>
      </c>
      <c r="K34" s="39">
        <v>0</v>
      </c>
      <c r="L34" s="62">
        <v>19</v>
      </c>
      <c r="M34" s="70" t="str">
        <f>IF(G34=0,"Nefakturováno",AE34)</f>
        <v>Nefakturováno</v>
      </c>
      <c r="N34" s="39">
        <f>AE34-G34</f>
        <v>0</v>
      </c>
      <c r="O34" s="39">
        <f>IF(G34&lt;&gt;0,N34/G34*100,-100)</f>
        <v>-100</v>
      </c>
      <c r="AE34" s="39">
        <v>0</v>
      </c>
    </row>
    <row r="35" spans="1:31" ht="12.75">
      <c r="A35" s="33" t="s">
        <v>58</v>
      </c>
      <c r="B35" s="33"/>
      <c r="C35" s="33" t="s">
        <v>90</v>
      </c>
      <c r="D35" s="33" t="s">
        <v>122</v>
      </c>
      <c r="E35" s="58"/>
      <c r="F35" s="39">
        <f>'Stavební rozpočet'!J36</f>
        <v>0</v>
      </c>
      <c r="G35" s="39">
        <v>0</v>
      </c>
      <c r="H35" s="39">
        <f>G35-F35</f>
        <v>0</v>
      </c>
      <c r="I35" s="39">
        <f>IF(F35=0,0,H35/F35*100)</f>
        <v>0</v>
      </c>
      <c r="J35" s="39">
        <f>'Stavební rozpočet'!F36</f>
        <v>6</v>
      </c>
      <c r="K35" s="39">
        <v>0</v>
      </c>
      <c r="L35" s="62">
        <v>6</v>
      </c>
      <c r="M35" s="70" t="str">
        <f>IF(G35=0,"Nefakturováno",AE35)</f>
        <v>Nefakturováno</v>
      </c>
      <c r="N35" s="39">
        <f>AE35-G35</f>
        <v>0</v>
      </c>
      <c r="O35" s="39">
        <f>IF(G35&lt;&gt;0,N35/G35*100,-100)</f>
        <v>-100</v>
      </c>
      <c r="AE35" s="39">
        <v>0</v>
      </c>
    </row>
    <row r="36" spans="1:31" ht="12.75">
      <c r="A36" s="33" t="s">
        <v>59</v>
      </c>
      <c r="B36" s="33"/>
      <c r="C36" s="33" t="s">
        <v>91</v>
      </c>
      <c r="D36" s="33" t="s">
        <v>123</v>
      </c>
      <c r="E36" s="58"/>
      <c r="F36" s="39">
        <f>'Stavební rozpočet'!J37</f>
        <v>0</v>
      </c>
      <c r="G36" s="39">
        <v>0</v>
      </c>
      <c r="H36" s="39">
        <f>G36-F36</f>
        <v>0</v>
      </c>
      <c r="I36" s="39">
        <f>IF(F36=0,0,H36/F36*100)</f>
        <v>0</v>
      </c>
      <c r="J36" s="39">
        <f>'Stavební rozpočet'!F37</f>
        <v>76.62</v>
      </c>
      <c r="K36" s="39">
        <v>0</v>
      </c>
      <c r="L36" s="62">
        <v>76.62</v>
      </c>
      <c r="M36" s="70" t="str">
        <f>IF(G36=0,"Nefakturováno",AE36)</f>
        <v>Nefakturováno</v>
      </c>
      <c r="N36" s="39">
        <f>AE36-G36</f>
        <v>0</v>
      </c>
      <c r="O36" s="39">
        <f>IF(G36&lt;&gt;0,N36/G36*100,-100)</f>
        <v>-100</v>
      </c>
      <c r="AE36" s="39">
        <v>0</v>
      </c>
    </row>
    <row r="37" spans="1:31" ht="12.75">
      <c r="A37" s="33" t="s">
        <v>60</v>
      </c>
      <c r="B37" s="33"/>
      <c r="C37" s="33" t="s">
        <v>92</v>
      </c>
      <c r="D37" s="33" t="s">
        <v>124</v>
      </c>
      <c r="E37" s="58"/>
      <c r="F37" s="39">
        <f>'Stavební rozpočet'!J38</f>
        <v>0</v>
      </c>
      <c r="G37" s="39">
        <v>0</v>
      </c>
      <c r="H37" s="39">
        <f>G37-F37</f>
        <v>0</v>
      </c>
      <c r="I37" s="39">
        <f>IF(F37=0,0,H37/F37*100)</f>
        <v>0</v>
      </c>
      <c r="J37" s="39">
        <f>'Stavební rozpočet'!F38</f>
        <v>56</v>
      </c>
      <c r="K37" s="39">
        <v>0</v>
      </c>
      <c r="L37" s="62">
        <v>56</v>
      </c>
      <c r="M37" s="70" t="str">
        <f>IF(G37=0,"Nefakturováno",AE37)</f>
        <v>Nefakturováno</v>
      </c>
      <c r="N37" s="39">
        <f>AE37-G37</f>
        <v>0</v>
      </c>
      <c r="O37" s="39">
        <f>IF(G37&lt;&gt;0,N37/G37*100,-100)</f>
        <v>-100</v>
      </c>
      <c r="AE37" s="39">
        <v>0</v>
      </c>
    </row>
    <row r="38" spans="1:31" ht="12.75">
      <c r="A38" s="54"/>
      <c r="B38" s="54"/>
      <c r="C38" s="54" t="s">
        <v>11</v>
      </c>
      <c r="D38" s="54" t="s">
        <v>22</v>
      </c>
      <c r="E38" s="59"/>
      <c r="F38" s="66">
        <f>SUM(F39:F40)</f>
        <v>0</v>
      </c>
      <c r="G38" s="66">
        <f>SUM(G39:G40)</f>
        <v>0</v>
      </c>
      <c r="H38" s="66">
        <f>G38-F38</f>
        <v>0</v>
      </c>
      <c r="I38" s="66">
        <f>IF(F38=0,0,H38/F38*100)</f>
        <v>0</v>
      </c>
      <c r="J38" s="66">
        <f>SUM(J39:J40)</f>
        <v>1213.2</v>
      </c>
      <c r="K38" s="66">
        <f>SUM(K39:K40)</f>
        <v>0</v>
      </c>
      <c r="L38" s="68">
        <f>J38-K38</f>
        <v>1213.2</v>
      </c>
      <c r="M38" s="71" t="str">
        <f>IF(G38=0,"Nefakturováno",AE38)</f>
        <v>Nefakturováno</v>
      </c>
      <c r="N38" s="66">
        <f>AE38-G38</f>
        <v>0</v>
      </c>
      <c r="O38" s="66">
        <f>IF(G38&lt;&gt;0,N38/G38*100,-100)</f>
        <v>-100</v>
      </c>
      <c r="AE38" s="39">
        <v>0</v>
      </c>
    </row>
    <row r="39" spans="1:31" ht="12.75">
      <c r="A39" s="33" t="s">
        <v>61</v>
      </c>
      <c r="B39" s="33"/>
      <c r="C39" s="33" t="s">
        <v>93</v>
      </c>
      <c r="D39" s="33" t="s">
        <v>125</v>
      </c>
      <c r="E39" s="58"/>
      <c r="F39" s="39">
        <f>'Stavební rozpočet'!J40</f>
        <v>0</v>
      </c>
      <c r="G39" s="39">
        <v>0</v>
      </c>
      <c r="H39" s="39">
        <f>G39-F39</f>
        <v>0</v>
      </c>
      <c r="I39" s="39">
        <f>IF(F39=0,0,H39/F39*100)</f>
        <v>0</v>
      </c>
      <c r="J39" s="39">
        <f>'Stavební rozpočet'!F40</f>
        <v>606.6</v>
      </c>
      <c r="K39" s="39">
        <v>0</v>
      </c>
      <c r="L39" s="62">
        <v>606.6</v>
      </c>
      <c r="M39" s="70" t="str">
        <f>IF(G39=0,"Nefakturováno",AE39)</f>
        <v>Nefakturováno</v>
      </c>
      <c r="N39" s="39">
        <f>AE39-G39</f>
        <v>0</v>
      </c>
      <c r="O39" s="39">
        <f>IF(G39&lt;&gt;0,N39/G39*100,-100)</f>
        <v>-100</v>
      </c>
      <c r="AE39" s="39">
        <v>0</v>
      </c>
    </row>
    <row r="40" spans="1:31" ht="12.75">
      <c r="A40" s="33" t="s">
        <v>62</v>
      </c>
      <c r="B40" s="33"/>
      <c r="C40" s="33" t="s">
        <v>94</v>
      </c>
      <c r="D40" s="33" t="s">
        <v>126</v>
      </c>
      <c r="E40" s="58"/>
      <c r="F40" s="39">
        <f>'Stavební rozpočet'!J41</f>
        <v>0</v>
      </c>
      <c r="G40" s="39">
        <v>0</v>
      </c>
      <c r="H40" s="39">
        <f>G40-F40</f>
        <v>0</v>
      </c>
      <c r="I40" s="39">
        <f>IF(F40=0,0,H40/F40*100)</f>
        <v>0</v>
      </c>
      <c r="J40" s="39">
        <f>'Stavební rozpočet'!F41</f>
        <v>606.6</v>
      </c>
      <c r="K40" s="39">
        <v>0</v>
      </c>
      <c r="L40" s="62">
        <v>606.6</v>
      </c>
      <c r="M40" s="70" t="str">
        <f>IF(G40=0,"Nefakturováno",AE40)</f>
        <v>Nefakturováno</v>
      </c>
      <c r="N40" s="39">
        <f>AE40-G40</f>
        <v>0</v>
      </c>
      <c r="O40" s="39">
        <f>IF(G40&lt;&gt;0,N40/G40*100,-100)</f>
        <v>-100</v>
      </c>
      <c r="AE40" s="39">
        <v>0</v>
      </c>
    </row>
    <row r="41" spans="1:31" ht="12.75">
      <c r="A41" s="54"/>
      <c r="B41" s="54"/>
      <c r="C41" s="54" t="s">
        <v>12</v>
      </c>
      <c r="D41" s="54" t="s">
        <v>23</v>
      </c>
      <c r="E41" s="59"/>
      <c r="F41" s="66">
        <f>SUM(F42:F42)</f>
        <v>0</v>
      </c>
      <c r="G41" s="66">
        <f>SUM(G42:G42)</f>
        <v>0</v>
      </c>
      <c r="H41" s="66">
        <f>G41-F41</f>
        <v>0</v>
      </c>
      <c r="I41" s="66">
        <f>IF(F41=0,0,H41/F41*100)</f>
        <v>0</v>
      </c>
      <c r="J41" s="66">
        <f>SUM(J42:J42)</f>
        <v>990</v>
      </c>
      <c r="K41" s="66">
        <f>SUM(K42:K42)</f>
        <v>0</v>
      </c>
      <c r="L41" s="68">
        <f>J41-K41</f>
        <v>990</v>
      </c>
      <c r="M41" s="71" t="str">
        <f>IF(G41=0,"Nefakturováno",AE41)</f>
        <v>Nefakturováno</v>
      </c>
      <c r="N41" s="66">
        <f>AE41-G41</f>
        <v>0</v>
      </c>
      <c r="O41" s="66">
        <f>IF(G41&lt;&gt;0,N41/G41*100,-100)</f>
        <v>-100</v>
      </c>
      <c r="AE41" s="39">
        <v>0</v>
      </c>
    </row>
    <row r="42" spans="1:31" ht="12.75">
      <c r="A42" s="33" t="s">
        <v>63</v>
      </c>
      <c r="B42" s="33"/>
      <c r="C42" s="33" t="s">
        <v>95</v>
      </c>
      <c r="D42" s="33" t="s">
        <v>127</v>
      </c>
      <c r="E42" s="58"/>
      <c r="F42" s="39">
        <f>'Stavební rozpočet'!J43</f>
        <v>0</v>
      </c>
      <c r="G42" s="39">
        <v>0</v>
      </c>
      <c r="H42" s="39">
        <f>G42-F42</f>
        <v>0</v>
      </c>
      <c r="I42" s="39">
        <f>IF(F42=0,0,H42/F42*100)</f>
        <v>0</v>
      </c>
      <c r="J42" s="39">
        <f>'Stavební rozpočet'!F43</f>
        <v>990</v>
      </c>
      <c r="K42" s="39">
        <v>0</v>
      </c>
      <c r="L42" s="62">
        <v>990</v>
      </c>
      <c r="M42" s="70" t="str">
        <f>IF(G42=0,"Nefakturováno",AE42)</f>
        <v>Nefakturováno</v>
      </c>
      <c r="N42" s="39">
        <f>AE42-G42</f>
        <v>0</v>
      </c>
      <c r="O42" s="39">
        <f>IF(G42&lt;&gt;0,N42/G42*100,-100)</f>
        <v>-100</v>
      </c>
      <c r="AE42" s="39">
        <v>0</v>
      </c>
    </row>
    <row r="43" spans="1:31" ht="12.75">
      <c r="A43" s="54"/>
      <c r="B43" s="54"/>
      <c r="C43" s="54" t="s">
        <v>13</v>
      </c>
      <c r="D43" s="54" t="s">
        <v>20</v>
      </c>
      <c r="E43" s="59"/>
      <c r="F43" s="66">
        <f>SUM(F44:F44)</f>
        <v>0</v>
      </c>
      <c r="G43" s="66">
        <f>SUM(G44:G44)</f>
        <v>0</v>
      </c>
      <c r="H43" s="66">
        <f>G43-F43</f>
        <v>0</v>
      </c>
      <c r="I43" s="66">
        <f>IF(F43=0,0,H43/F43*100)</f>
        <v>0</v>
      </c>
      <c r="J43" s="66">
        <f>SUM(J44:J44)</f>
        <v>13.9747</v>
      </c>
      <c r="K43" s="66">
        <f>SUM(K44:K44)</f>
        <v>0</v>
      </c>
      <c r="L43" s="68">
        <f>J43-K43</f>
        <v>13.9747</v>
      </c>
      <c r="M43" s="71" t="str">
        <f>IF(G43=0,"Nefakturováno",AE43)</f>
        <v>Nefakturováno</v>
      </c>
      <c r="N43" s="66">
        <f>AE43-G43</f>
        <v>0</v>
      </c>
      <c r="O43" s="66">
        <f>IF(G43&lt;&gt;0,N43/G43*100,-100)</f>
        <v>-100</v>
      </c>
      <c r="AE43" s="39">
        <v>0</v>
      </c>
    </row>
    <row r="44" spans="1:31" ht="12.75">
      <c r="A44" s="33" t="s">
        <v>64</v>
      </c>
      <c r="B44" s="33"/>
      <c r="C44" s="33" t="s">
        <v>96</v>
      </c>
      <c r="D44" s="33" t="s">
        <v>128</v>
      </c>
      <c r="E44" s="58"/>
      <c r="F44" s="39">
        <f>'Stavební rozpočet'!J45</f>
        <v>0</v>
      </c>
      <c r="G44" s="39">
        <v>0</v>
      </c>
      <c r="H44" s="39">
        <f>G44-F44</f>
        <v>0</v>
      </c>
      <c r="I44" s="39">
        <f>IF(F44=0,0,H44/F44*100)</f>
        <v>0</v>
      </c>
      <c r="J44" s="39">
        <f>'Stavební rozpočet'!F45</f>
        <v>13.9747</v>
      </c>
      <c r="K44" s="39">
        <v>0</v>
      </c>
      <c r="L44" s="62">
        <v>13.9747</v>
      </c>
      <c r="M44" s="70" t="str">
        <f>IF(G44=0,"Nefakturováno",AE44)</f>
        <v>Nefakturováno</v>
      </c>
      <c r="N44" s="39">
        <f>AE44-G44</f>
        <v>0</v>
      </c>
      <c r="O44" s="39">
        <f>IF(G44&lt;&gt;0,N44/G44*100,-100)</f>
        <v>-100</v>
      </c>
      <c r="AE44" s="39">
        <v>0</v>
      </c>
    </row>
    <row r="45" spans="1:31" ht="12.75">
      <c r="A45" s="54"/>
      <c r="B45" s="54"/>
      <c r="C45" s="54" t="s">
        <v>14</v>
      </c>
      <c r="D45" s="54" t="s">
        <v>21</v>
      </c>
      <c r="E45" s="59"/>
      <c r="F45" s="66">
        <f>SUM(F46:F46)</f>
        <v>0</v>
      </c>
      <c r="G45" s="66">
        <f>SUM(G46:G46)</f>
        <v>0</v>
      </c>
      <c r="H45" s="66">
        <f>G45-F45</f>
        <v>0</v>
      </c>
      <c r="I45" s="66">
        <f>IF(F45=0,0,H45/F45*100)</f>
        <v>0</v>
      </c>
      <c r="J45" s="66">
        <f>SUM(J46:J46)</f>
        <v>4.4972</v>
      </c>
      <c r="K45" s="66">
        <f>SUM(K46:K46)</f>
        <v>0</v>
      </c>
      <c r="L45" s="68">
        <f>J45-K45</f>
        <v>4.4972</v>
      </c>
      <c r="M45" s="71" t="str">
        <f>IF(G45=0,"Nefakturováno",AE45)</f>
        <v>Nefakturováno</v>
      </c>
      <c r="N45" s="66">
        <f>AE45-G45</f>
        <v>0</v>
      </c>
      <c r="O45" s="66">
        <f>IF(G45&lt;&gt;0,N45/G45*100,-100)</f>
        <v>-100</v>
      </c>
      <c r="AE45" s="39">
        <v>0</v>
      </c>
    </row>
    <row r="46" spans="1:31" ht="12.75">
      <c r="A46" s="33" t="s">
        <v>65</v>
      </c>
      <c r="B46" s="33"/>
      <c r="C46" s="33" t="s">
        <v>97</v>
      </c>
      <c r="D46" s="33" t="s">
        <v>129</v>
      </c>
      <c r="E46" s="58"/>
      <c r="F46" s="39">
        <f>'Stavební rozpočet'!J47</f>
        <v>0</v>
      </c>
      <c r="G46" s="39">
        <v>0</v>
      </c>
      <c r="H46" s="39">
        <f>G46-F46</f>
        <v>0</v>
      </c>
      <c r="I46" s="39">
        <f>IF(F46=0,0,H46/F46*100)</f>
        <v>0</v>
      </c>
      <c r="J46" s="39">
        <f>'Stavební rozpočet'!F47</f>
        <v>4.4972</v>
      </c>
      <c r="K46" s="39">
        <v>0</v>
      </c>
      <c r="L46" s="62">
        <v>4.4972</v>
      </c>
      <c r="M46" s="70" t="str">
        <f>IF(G46=0,"Nefakturováno",AE46)</f>
        <v>Nefakturováno</v>
      </c>
      <c r="N46" s="39">
        <f>AE46-G46</f>
        <v>0</v>
      </c>
      <c r="O46" s="39">
        <f>IF(G46&lt;&gt;0,N46/G46*100,-100)</f>
        <v>-100</v>
      </c>
      <c r="AE46" s="39">
        <v>0</v>
      </c>
    </row>
    <row r="47" spans="1:31" ht="12.75">
      <c r="A47" s="54"/>
      <c r="B47" s="54"/>
      <c r="C47" s="54" t="s">
        <v>15</v>
      </c>
      <c r="D47" s="54" t="s">
        <v>22</v>
      </c>
      <c r="E47" s="59"/>
      <c r="F47" s="66">
        <f>SUM(F48:F48)</f>
        <v>0</v>
      </c>
      <c r="G47" s="66">
        <f>SUM(G48:G48)</f>
        <v>0</v>
      </c>
      <c r="H47" s="66">
        <f>G47-F47</f>
        <v>0</v>
      </c>
      <c r="I47" s="66">
        <f>IF(F47=0,0,H47/F47*100)</f>
        <v>0</v>
      </c>
      <c r="J47" s="66">
        <f>SUM(J48:J48)</f>
        <v>11.0447</v>
      </c>
      <c r="K47" s="66">
        <f>SUM(K48:K48)</f>
        <v>0</v>
      </c>
      <c r="L47" s="68">
        <f>J47-K47</f>
        <v>11.0447</v>
      </c>
      <c r="M47" s="71" t="str">
        <f>IF(G47=0,"Nefakturováno",AE47)</f>
        <v>Nefakturováno</v>
      </c>
      <c r="N47" s="66">
        <f>AE47-G47</f>
        <v>0</v>
      </c>
      <c r="O47" s="66">
        <f>IF(G47&lt;&gt;0,N47/G47*100,-100)</f>
        <v>-100</v>
      </c>
      <c r="AE47" s="39">
        <v>0</v>
      </c>
    </row>
    <row r="48" spans="1:31" ht="12.75">
      <c r="A48" s="33" t="s">
        <v>66</v>
      </c>
      <c r="B48" s="33"/>
      <c r="C48" s="33" t="s">
        <v>98</v>
      </c>
      <c r="D48" s="33" t="s">
        <v>130</v>
      </c>
      <c r="E48" s="58"/>
      <c r="F48" s="39">
        <f>'Stavební rozpočet'!J49</f>
        <v>0</v>
      </c>
      <c r="G48" s="39">
        <v>0</v>
      </c>
      <c r="H48" s="39">
        <f>G48-F48</f>
        <v>0</v>
      </c>
      <c r="I48" s="39">
        <f>IF(F48=0,0,H48/F48*100)</f>
        <v>0</v>
      </c>
      <c r="J48" s="39">
        <f>'Stavební rozpočet'!F49</f>
        <v>11.0447</v>
      </c>
      <c r="K48" s="39">
        <v>0</v>
      </c>
      <c r="L48" s="62">
        <v>11.0447</v>
      </c>
      <c r="M48" s="70" t="str">
        <f>IF(G48=0,"Nefakturováno",AE48)</f>
        <v>Nefakturováno</v>
      </c>
      <c r="N48" s="39">
        <f>AE48-G48</f>
        <v>0</v>
      </c>
      <c r="O48" s="39">
        <f>IF(G48&lt;&gt;0,N48/G48*100,-100)</f>
        <v>-100</v>
      </c>
      <c r="AE48" s="39">
        <v>0</v>
      </c>
    </row>
    <row r="49" spans="1:31" ht="12.75">
      <c r="A49" s="54"/>
      <c r="B49" s="54"/>
      <c r="C49" s="54" t="s">
        <v>16</v>
      </c>
      <c r="D49" s="54" t="s">
        <v>24</v>
      </c>
      <c r="E49" s="59"/>
      <c r="F49" s="66">
        <f>SUM(F50:F50)</f>
        <v>0</v>
      </c>
      <c r="G49" s="66">
        <f>SUM(G50:G50)</f>
        <v>0</v>
      </c>
      <c r="H49" s="66">
        <f>G49-F49</f>
        <v>0</v>
      </c>
      <c r="I49" s="66">
        <f>IF(F49=0,0,H49/F49*100)</f>
        <v>0</v>
      </c>
      <c r="J49" s="66">
        <f>SUM(J50:J50)</f>
        <v>0</v>
      </c>
      <c r="K49" s="66">
        <f>SUM(K50:K50)</f>
        <v>0</v>
      </c>
      <c r="L49" s="68">
        <f>J49-K49</f>
        <v>0</v>
      </c>
      <c r="M49" s="71" t="str">
        <f>IF(G49=0,"Nefakturováno",AE49)</f>
        <v>Nefakturováno</v>
      </c>
      <c r="N49" s="66">
        <f>AE49-G49</f>
        <v>0</v>
      </c>
      <c r="O49" s="66">
        <f>IF(G49&lt;&gt;0,N49/G49*100,-100)</f>
        <v>-100</v>
      </c>
      <c r="AE49" s="39">
        <v>0</v>
      </c>
    </row>
    <row r="50" spans="1:31" ht="12.75">
      <c r="A50" s="33" t="s">
        <v>67</v>
      </c>
      <c r="B50" s="33"/>
      <c r="C50" s="33" t="s">
        <v>99</v>
      </c>
      <c r="D50" s="33" t="s">
        <v>131</v>
      </c>
      <c r="E50" s="58"/>
      <c r="F50" s="39">
        <f>'Stavební rozpočet'!J51</f>
        <v>0</v>
      </c>
      <c r="G50" s="39">
        <v>0</v>
      </c>
      <c r="H50" s="39">
        <f>G50-F50</f>
        <v>0</v>
      </c>
      <c r="I50" s="39">
        <f>IF(F50=0,0,H50/F50*100)</f>
        <v>0</v>
      </c>
      <c r="J50" s="39">
        <f>'Stavební rozpočet'!F51</f>
        <v>0</v>
      </c>
      <c r="K50" s="39">
        <v>0</v>
      </c>
      <c r="L50" s="62">
        <v>0</v>
      </c>
      <c r="M50" s="70" t="str">
        <f>IF(G50=0,"Nefakturováno",AE50)</f>
        <v>Nefakturováno</v>
      </c>
      <c r="N50" s="39">
        <f>AE50-G50</f>
        <v>0</v>
      </c>
      <c r="O50" s="39">
        <f>IF(G50&lt;&gt;0,N50/G50*100,-100)</f>
        <v>-100</v>
      </c>
      <c r="AE50" s="39">
        <v>0</v>
      </c>
    </row>
    <row r="51" spans="1:31" ht="12.75">
      <c r="A51" s="54"/>
      <c r="B51" s="54"/>
      <c r="C51" s="54"/>
      <c r="D51" s="54" t="s">
        <v>25</v>
      </c>
      <c r="E51" s="59"/>
      <c r="F51" s="66">
        <f>SUM(F52:F53)</f>
        <v>0</v>
      </c>
      <c r="G51" s="66">
        <f>SUM(G52:G53)</f>
        <v>0</v>
      </c>
      <c r="H51" s="66">
        <f>G51-F51</f>
        <v>0</v>
      </c>
      <c r="I51" s="66">
        <f>IF(F51=0,0,H51/F51*100)</f>
        <v>0</v>
      </c>
      <c r="J51" s="66">
        <f>SUM(J52:J53)</f>
        <v>80</v>
      </c>
      <c r="K51" s="66">
        <f>SUM(K52:K53)</f>
        <v>0</v>
      </c>
      <c r="L51" s="68">
        <f>J51-K51</f>
        <v>80</v>
      </c>
      <c r="M51" s="71" t="str">
        <f>IF(G51=0,"Nefakturováno",AE51)</f>
        <v>Nefakturováno</v>
      </c>
      <c r="N51" s="66">
        <f>AE51-G51</f>
        <v>0</v>
      </c>
      <c r="O51" s="66">
        <f>IF(G51&lt;&gt;0,N51/G51*100,-100)</f>
        <v>-100</v>
      </c>
      <c r="AE51" s="39">
        <v>0</v>
      </c>
    </row>
    <row r="52" spans="1:31" ht="12.75">
      <c r="A52" s="34" t="s">
        <v>68</v>
      </c>
      <c r="B52" s="34"/>
      <c r="C52" s="34" t="s">
        <v>100</v>
      </c>
      <c r="D52" s="34" t="s">
        <v>132</v>
      </c>
      <c r="E52" s="60"/>
      <c r="F52" s="40">
        <f>'Stavební rozpočet'!J53</f>
        <v>0</v>
      </c>
      <c r="G52" s="40">
        <v>0</v>
      </c>
      <c r="H52" s="40">
        <f>G52-F52</f>
        <v>0</v>
      </c>
      <c r="I52" s="40">
        <f>IF(F52=0,0,H52/F52*100)</f>
        <v>0</v>
      </c>
      <c r="J52" s="40">
        <f>'Stavební rozpočet'!F53</f>
        <v>77</v>
      </c>
      <c r="K52" s="40">
        <v>0</v>
      </c>
      <c r="L52" s="63">
        <v>77</v>
      </c>
      <c r="M52" s="72" t="str">
        <f>IF(G52=0,"Nefakturováno",AE52)</f>
        <v>Nefakturováno</v>
      </c>
      <c r="N52" s="40">
        <f>AE52-G52</f>
        <v>0</v>
      </c>
      <c r="O52" s="40">
        <f>IF(G52&lt;&gt;0,N52/G52*100,-100)</f>
        <v>-100</v>
      </c>
      <c r="AE52" s="40">
        <v>0</v>
      </c>
    </row>
    <row r="53" spans="1:31" ht="12.75">
      <c r="A53" s="34" t="s">
        <v>69</v>
      </c>
      <c r="B53" s="34"/>
      <c r="C53" s="34" t="s">
        <v>101</v>
      </c>
      <c r="D53" s="34" t="s">
        <v>133</v>
      </c>
      <c r="E53" s="60"/>
      <c r="F53" s="40">
        <f>'Stavební rozpočet'!J54</f>
        <v>0</v>
      </c>
      <c r="G53" s="40">
        <v>0</v>
      </c>
      <c r="H53" s="40">
        <f>G53-F53</f>
        <v>0</v>
      </c>
      <c r="I53" s="40">
        <f>IF(F53=0,0,H53/F53*100)</f>
        <v>0</v>
      </c>
      <c r="J53" s="40">
        <f>'Stavební rozpočet'!F54</f>
        <v>3</v>
      </c>
      <c r="K53" s="40">
        <v>0</v>
      </c>
      <c r="L53" s="63">
        <v>3</v>
      </c>
      <c r="M53" s="72" t="str">
        <f>IF(G53=0,"Nefakturováno",AE53)</f>
        <v>Nefakturováno</v>
      </c>
      <c r="N53" s="40">
        <f>AE53-G53</f>
        <v>0</v>
      </c>
      <c r="O53" s="40">
        <f>IF(G53&lt;&gt;0,N53/G53*100,-100)</f>
        <v>-100</v>
      </c>
      <c r="AE53" s="40">
        <v>0</v>
      </c>
    </row>
    <row r="55" ht="11.25" customHeight="1">
      <c r="A55" s="35" t="s">
        <v>70</v>
      </c>
    </row>
    <row r="56" spans="1:10" ht="12.75">
      <c r="A56" s="18"/>
      <c r="B56" s="12"/>
      <c r="C56" s="12"/>
      <c r="D56" s="12"/>
      <c r="E56" s="12"/>
      <c r="F56" s="12"/>
      <c r="G56" s="12"/>
      <c r="H56" s="12"/>
      <c r="I56" s="12"/>
      <c r="J56" s="12"/>
    </row>
  </sheetData>
  <mergeCells count="70">
    <mergeCell ref="A1:O1"/>
    <mergeCell ref="A2:A3"/>
    <mergeCell ref="B2:D3"/>
    <mergeCell ref="E2:E3"/>
    <mergeCell ref="F2:F3"/>
    <mergeCell ref="G2:G3"/>
    <mergeCell ref="H2:O3"/>
    <mergeCell ref="A4:A5"/>
    <mergeCell ref="B4:D5"/>
    <mergeCell ref="E4:E5"/>
    <mergeCell ref="F4:F5"/>
    <mergeCell ref="G4:G5"/>
    <mergeCell ref="H4:O5"/>
    <mergeCell ref="A6:A7"/>
    <mergeCell ref="B6:D7"/>
    <mergeCell ref="E6:E7"/>
    <mergeCell ref="F6:F7"/>
    <mergeCell ref="G6:G7"/>
    <mergeCell ref="H6:O7"/>
    <mergeCell ref="A8:A9"/>
    <mergeCell ref="B8:D9"/>
    <mergeCell ref="E8:E9"/>
    <mergeCell ref="F8:F9"/>
    <mergeCell ref="G8:G9"/>
    <mergeCell ref="H8:O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A56:J56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42"/>
      <c r="B1" s="73"/>
      <c r="C1" s="96" t="s">
        <v>181</v>
      </c>
      <c r="D1" s="10"/>
      <c r="E1" s="10"/>
      <c r="F1" s="10"/>
      <c r="G1" s="10"/>
      <c r="H1" s="10"/>
      <c r="I1" s="10"/>
    </row>
    <row r="2" spans="1:10" ht="12.75">
      <c r="A2" s="3" t="s">
        <v>1</v>
      </c>
      <c r="B2" s="21"/>
      <c r="C2" s="29" t="str">
        <f>'Stavební rozpočet'!D2</f>
        <v>ISŠ Jesenice, Žatecká 1</v>
      </c>
      <c r="D2" s="15"/>
      <c r="E2" s="17" t="s">
        <v>26</v>
      </c>
      <c r="F2" s="17" t="str">
        <f>'Stavební rozpočet'!J2</f>
        <v> </v>
      </c>
      <c r="G2" s="21"/>
      <c r="H2" s="17" t="s">
        <v>207</v>
      </c>
      <c r="I2" s="110"/>
      <c r="J2" s="26"/>
    </row>
    <row r="3" spans="1:10" ht="12.75">
      <c r="A3" s="4"/>
      <c r="B3" s="12"/>
      <c r="C3" s="11"/>
      <c r="D3" s="11"/>
      <c r="E3" s="12"/>
      <c r="F3" s="12"/>
      <c r="G3" s="12"/>
      <c r="H3" s="12"/>
      <c r="I3" s="23"/>
      <c r="J3" s="26"/>
    </row>
    <row r="4" spans="1:10" ht="12.75">
      <c r="A4" s="5" t="s">
        <v>2</v>
      </c>
      <c r="B4" s="12"/>
      <c r="C4" s="18" t="str">
        <f>'Stavební rozpočet'!D4</f>
        <v>Oprava střechy a okapů</v>
      </c>
      <c r="D4" s="12"/>
      <c r="E4" s="18" t="s">
        <v>27</v>
      </c>
      <c r="F4" s="18" t="str">
        <f>'Stavební rozpočet'!J4</f>
        <v> </v>
      </c>
      <c r="G4" s="12"/>
      <c r="H4" s="18" t="s">
        <v>207</v>
      </c>
      <c r="I4" s="111"/>
      <c r="J4" s="26"/>
    </row>
    <row r="5" spans="1:10" ht="12.75">
      <c r="A5" s="4"/>
      <c r="B5" s="12"/>
      <c r="C5" s="12"/>
      <c r="D5" s="12"/>
      <c r="E5" s="12"/>
      <c r="F5" s="12"/>
      <c r="G5" s="12"/>
      <c r="H5" s="12"/>
      <c r="I5" s="23"/>
      <c r="J5" s="26"/>
    </row>
    <row r="6" spans="1:10" ht="12.75">
      <c r="A6" s="5" t="s">
        <v>3</v>
      </c>
      <c r="B6" s="12"/>
      <c r="C6" s="18" t="str">
        <f>'Stavební rozpočet'!D6</f>
        <v> </v>
      </c>
      <c r="D6" s="12"/>
      <c r="E6" s="18" t="s">
        <v>28</v>
      </c>
      <c r="F6" s="18" t="str">
        <f>'Stavební rozpočet'!J6</f>
        <v> </v>
      </c>
      <c r="G6" s="12"/>
      <c r="H6" s="18" t="s">
        <v>207</v>
      </c>
      <c r="I6" s="111"/>
      <c r="J6" s="26"/>
    </row>
    <row r="7" spans="1:10" ht="12.75">
      <c r="A7" s="4"/>
      <c r="B7" s="12"/>
      <c r="C7" s="12"/>
      <c r="D7" s="12"/>
      <c r="E7" s="12"/>
      <c r="F7" s="12"/>
      <c r="G7" s="12"/>
      <c r="H7" s="12"/>
      <c r="I7" s="23"/>
      <c r="J7" s="26"/>
    </row>
    <row r="8" spans="1:10" ht="12.75">
      <c r="A8" s="5" t="s">
        <v>149</v>
      </c>
      <c r="B8" s="12"/>
      <c r="C8" s="18" t="str">
        <f>'Stavební rozpočet'!G4</f>
        <v> </v>
      </c>
      <c r="D8" s="12"/>
      <c r="E8" s="18" t="s">
        <v>150</v>
      </c>
      <c r="F8" s="18" t="str">
        <f>'Stavební rozpočet'!G6</f>
        <v> </v>
      </c>
      <c r="G8" s="12"/>
      <c r="H8" s="9" t="s">
        <v>208</v>
      </c>
      <c r="I8" s="111" t="s">
        <v>69</v>
      </c>
      <c r="J8" s="26"/>
    </row>
    <row r="9" spans="1:10" ht="12.75">
      <c r="A9" s="4"/>
      <c r="B9" s="12"/>
      <c r="C9" s="12"/>
      <c r="D9" s="12"/>
      <c r="E9" s="12"/>
      <c r="F9" s="12"/>
      <c r="G9" s="12"/>
      <c r="H9" s="12"/>
      <c r="I9" s="23"/>
      <c r="J9" s="26"/>
    </row>
    <row r="10" spans="1:10" ht="12.75">
      <c r="A10" s="5" t="s">
        <v>147</v>
      </c>
      <c r="B10" s="12"/>
      <c r="C10" s="18" t="str">
        <f>'Stavební rozpočet'!D8</f>
        <v> </v>
      </c>
      <c r="D10" s="12"/>
      <c r="E10" s="18" t="s">
        <v>4</v>
      </c>
      <c r="F10" s="18" t="str">
        <f>'Stavební rozpočet'!J8</f>
        <v>Miroslav Stehlík</v>
      </c>
      <c r="G10" s="12"/>
      <c r="H10" s="9" t="s">
        <v>209</v>
      </c>
      <c r="I10" s="115" t="str">
        <f>'Stavební rozpočet'!G8</f>
        <v>26.07.2018</v>
      </c>
      <c r="J10" s="26"/>
    </row>
    <row r="11" spans="1:10" ht="12.75">
      <c r="A11" s="74"/>
      <c r="B11" s="87"/>
      <c r="C11" s="87"/>
      <c r="D11" s="87"/>
      <c r="E11" s="87"/>
      <c r="F11" s="87"/>
      <c r="G11" s="87"/>
      <c r="H11" s="87"/>
      <c r="I11" s="112"/>
      <c r="J11" s="26"/>
    </row>
    <row r="12" spans="1:9" ht="23.25" customHeight="1">
      <c r="A12" s="75" t="s">
        <v>166</v>
      </c>
      <c r="B12" s="88"/>
      <c r="C12" s="88"/>
      <c r="D12" s="88"/>
      <c r="E12" s="88"/>
      <c r="F12" s="88"/>
      <c r="G12" s="88"/>
      <c r="H12" s="88"/>
      <c r="I12" s="88"/>
    </row>
    <row r="13" spans="1:10" ht="26.25" customHeight="1">
      <c r="A13" s="76" t="s">
        <v>167</v>
      </c>
      <c r="B13" s="89" t="s">
        <v>178</v>
      </c>
      <c r="C13" s="97"/>
      <c r="D13" s="76" t="s">
        <v>182</v>
      </c>
      <c r="E13" s="89" t="s">
        <v>192</v>
      </c>
      <c r="F13" s="97"/>
      <c r="G13" s="76" t="s">
        <v>193</v>
      </c>
      <c r="H13" s="89" t="s">
        <v>210</v>
      </c>
      <c r="I13" s="97"/>
      <c r="J13" s="26"/>
    </row>
    <row r="14" spans="1:10" ht="15" customHeight="1">
      <c r="A14" s="77" t="s">
        <v>168</v>
      </c>
      <c r="B14" s="90" t="s">
        <v>179</v>
      </c>
      <c r="C14" s="105">
        <f>SUM('Stavební rozpočet'!R12:R54)</f>
        <v>0</v>
      </c>
      <c r="D14" s="102" t="s">
        <v>183</v>
      </c>
      <c r="E14" s="104"/>
      <c r="F14" s="105">
        <v>0</v>
      </c>
      <c r="G14" s="102" t="s">
        <v>194</v>
      </c>
      <c r="H14" s="104"/>
      <c r="I14" s="105">
        <v>0</v>
      </c>
      <c r="J14" s="26"/>
    </row>
    <row r="15" spans="1:10" ht="15" customHeight="1">
      <c r="A15" s="78"/>
      <c r="B15" s="90" t="s">
        <v>180</v>
      </c>
      <c r="C15" s="105">
        <f>SUM('Stavební rozpočet'!S12:S54)</f>
        <v>0</v>
      </c>
      <c r="D15" s="102" t="s">
        <v>184</v>
      </c>
      <c r="E15" s="104"/>
      <c r="F15" s="105">
        <v>0</v>
      </c>
      <c r="G15" s="102" t="s">
        <v>195</v>
      </c>
      <c r="H15" s="104"/>
      <c r="I15" s="105">
        <v>0</v>
      </c>
      <c r="J15" s="26"/>
    </row>
    <row r="16" spans="1:10" ht="15" customHeight="1">
      <c r="A16" s="77" t="s">
        <v>169</v>
      </c>
      <c r="B16" s="90" t="s">
        <v>179</v>
      </c>
      <c r="C16" s="105">
        <f>SUM('Stavební rozpočet'!T12:T54)</f>
        <v>0</v>
      </c>
      <c r="D16" s="102" t="s">
        <v>185</v>
      </c>
      <c r="E16" s="104"/>
      <c r="F16" s="105">
        <v>0</v>
      </c>
      <c r="G16" s="102" t="s">
        <v>196</v>
      </c>
      <c r="H16" s="104"/>
      <c r="I16" s="105">
        <v>0</v>
      </c>
      <c r="J16" s="26"/>
    </row>
    <row r="17" spans="1:10" ht="15" customHeight="1">
      <c r="A17" s="78"/>
      <c r="B17" s="90" t="s">
        <v>180</v>
      </c>
      <c r="C17" s="105">
        <f>SUM('Stavební rozpočet'!U12:U54)</f>
        <v>0</v>
      </c>
      <c r="D17" s="102" t="s">
        <v>186</v>
      </c>
      <c r="E17" s="104"/>
      <c r="F17" s="105">
        <v>0</v>
      </c>
      <c r="G17" s="102" t="s">
        <v>197</v>
      </c>
      <c r="H17" s="104"/>
      <c r="I17" s="105">
        <v>0</v>
      </c>
      <c r="J17" s="26"/>
    </row>
    <row r="18" spans="1:10" ht="15" customHeight="1">
      <c r="A18" s="77" t="s">
        <v>170</v>
      </c>
      <c r="B18" s="90" t="s">
        <v>179</v>
      </c>
      <c r="C18" s="105">
        <f>SUM('Stavební rozpočet'!V12:V54)</f>
        <v>0</v>
      </c>
      <c r="D18" s="102"/>
      <c r="E18" s="104"/>
      <c r="F18" s="106"/>
      <c r="G18" s="102" t="s">
        <v>198</v>
      </c>
      <c r="H18" s="104"/>
      <c r="I18" s="105">
        <v>0</v>
      </c>
      <c r="J18" s="26"/>
    </row>
    <row r="19" spans="1:10" ht="15" customHeight="1">
      <c r="A19" s="78"/>
      <c r="B19" s="90" t="s">
        <v>180</v>
      </c>
      <c r="C19" s="105">
        <f>SUM('Stavební rozpočet'!W12:W54)</f>
        <v>0</v>
      </c>
      <c r="D19" s="102"/>
      <c r="E19" s="104"/>
      <c r="F19" s="106"/>
      <c r="G19" s="102" t="s">
        <v>199</v>
      </c>
      <c r="H19" s="104"/>
      <c r="I19" s="105">
        <v>0</v>
      </c>
      <c r="J19" s="26"/>
    </row>
    <row r="20" spans="1:10" ht="15" customHeight="1">
      <c r="A20" s="79" t="s">
        <v>25</v>
      </c>
      <c r="B20" s="91"/>
      <c r="C20" s="105">
        <f>SUM('Stavební rozpočet'!X12:X54)</f>
        <v>0</v>
      </c>
      <c r="D20" s="102"/>
      <c r="E20" s="104"/>
      <c r="F20" s="106"/>
      <c r="G20" s="102"/>
      <c r="H20" s="104"/>
      <c r="I20" s="106"/>
      <c r="J20" s="26"/>
    </row>
    <row r="21" spans="1:10" ht="15" customHeight="1">
      <c r="A21" s="79" t="s">
        <v>171</v>
      </c>
      <c r="B21" s="91"/>
      <c r="C21" s="105">
        <f>SUM('Stavební rozpočet'!P12:P54)</f>
        <v>0</v>
      </c>
      <c r="D21" s="102"/>
      <c r="E21" s="104"/>
      <c r="F21" s="106"/>
      <c r="G21" s="102"/>
      <c r="H21" s="104"/>
      <c r="I21" s="106"/>
      <c r="J21" s="26"/>
    </row>
    <row r="22" spans="1:10" ht="16.5" customHeight="1">
      <c r="A22" s="79" t="s">
        <v>172</v>
      </c>
      <c r="B22" s="91"/>
      <c r="C22" s="105">
        <f>SUM(C14:C21)</f>
        <v>0</v>
      </c>
      <c r="D22" s="79" t="s">
        <v>187</v>
      </c>
      <c r="E22" s="91"/>
      <c r="F22" s="105">
        <f>SUM(F14:F21)</f>
        <v>0</v>
      </c>
      <c r="G22" s="79" t="s">
        <v>200</v>
      </c>
      <c r="H22" s="91"/>
      <c r="I22" s="105">
        <f>SUM(I14:I21)</f>
        <v>0</v>
      </c>
      <c r="J22" s="26"/>
    </row>
    <row r="23" spans="1:10" ht="15" customHeight="1">
      <c r="A23" s="80"/>
      <c r="B23" s="80"/>
      <c r="C23" s="98"/>
      <c r="D23" s="79" t="s">
        <v>188</v>
      </c>
      <c r="E23" s="91"/>
      <c r="F23" s="107">
        <v>0</v>
      </c>
      <c r="G23" s="79" t="s">
        <v>201</v>
      </c>
      <c r="H23" s="91"/>
      <c r="I23" s="105">
        <v>0</v>
      </c>
      <c r="J23" s="26"/>
    </row>
    <row r="24" spans="4:9" ht="15" customHeight="1">
      <c r="D24" s="80"/>
      <c r="E24" s="80"/>
      <c r="F24" s="108"/>
      <c r="G24" s="79" t="s">
        <v>202</v>
      </c>
      <c r="H24" s="91"/>
      <c r="I24" s="113"/>
    </row>
    <row r="25" spans="6:10" ht="15" customHeight="1">
      <c r="F25" s="109"/>
      <c r="G25" s="79" t="s">
        <v>203</v>
      </c>
      <c r="H25" s="91"/>
      <c r="I25" s="105">
        <v>0</v>
      </c>
      <c r="J25" s="26"/>
    </row>
    <row r="26" spans="1:9" ht="12.75">
      <c r="A26" s="73"/>
      <c r="B26" s="73"/>
      <c r="C26" s="73"/>
      <c r="G26" s="80"/>
      <c r="H26" s="80"/>
      <c r="I26" s="80"/>
    </row>
    <row r="27" spans="1:9" ht="15" customHeight="1">
      <c r="A27" s="81" t="s">
        <v>173</v>
      </c>
      <c r="B27" s="92"/>
      <c r="C27" s="114">
        <f>SUM('Stavební rozpočet'!Z12:Z54)</f>
        <v>0</v>
      </c>
      <c r="D27" s="103"/>
      <c r="E27" s="73"/>
      <c r="F27" s="73"/>
      <c r="G27" s="73"/>
      <c r="H27" s="73"/>
      <c r="I27" s="73"/>
    </row>
    <row r="28" spans="1:10" ht="15" customHeight="1">
      <c r="A28" s="81" t="s">
        <v>174</v>
      </c>
      <c r="B28" s="92"/>
      <c r="C28" s="114">
        <f>SUM('Stavební rozpočet'!AA12:AA54)</f>
        <v>0</v>
      </c>
      <c r="D28" s="81" t="s">
        <v>189</v>
      </c>
      <c r="E28" s="92"/>
      <c r="F28" s="114">
        <f>ROUND(C28*(15/100),2)</f>
        <v>0</v>
      </c>
      <c r="G28" s="81" t="s">
        <v>204</v>
      </c>
      <c r="H28" s="92"/>
      <c r="I28" s="114">
        <f>SUM(C27:C29)</f>
        <v>0</v>
      </c>
      <c r="J28" s="26"/>
    </row>
    <row r="29" spans="1:10" ht="15" customHeight="1">
      <c r="A29" s="81" t="s">
        <v>175</v>
      </c>
      <c r="B29" s="92"/>
      <c r="C29" s="114">
        <f>SUM('Stavební rozpočet'!AB12:AB54)+(F22+I22+F23+I23+I24+I25)</f>
        <v>0</v>
      </c>
      <c r="D29" s="81" t="s">
        <v>190</v>
      </c>
      <c r="E29" s="92"/>
      <c r="F29" s="114">
        <f>ROUND(C29*(21/100),2)</f>
        <v>0</v>
      </c>
      <c r="G29" s="81" t="s">
        <v>205</v>
      </c>
      <c r="H29" s="92"/>
      <c r="I29" s="114">
        <f>SUM(F28:F29)+I28</f>
        <v>0</v>
      </c>
      <c r="J29" s="26"/>
    </row>
    <row r="30" spans="1:9" ht="12.75">
      <c r="A30" s="82"/>
      <c r="B30" s="82"/>
      <c r="C30" s="82"/>
      <c r="D30" s="82"/>
      <c r="E30" s="82"/>
      <c r="F30" s="82"/>
      <c r="G30" s="82"/>
      <c r="H30" s="82"/>
      <c r="I30" s="82"/>
    </row>
    <row r="31" spans="1:10" ht="14.25" customHeight="1">
      <c r="A31" s="83" t="s">
        <v>176</v>
      </c>
      <c r="B31" s="93"/>
      <c r="C31" s="99"/>
      <c r="D31" s="83" t="s">
        <v>191</v>
      </c>
      <c r="E31" s="93"/>
      <c r="F31" s="99"/>
      <c r="G31" s="83" t="s">
        <v>206</v>
      </c>
      <c r="H31" s="93"/>
      <c r="I31" s="99"/>
      <c r="J31" s="27"/>
    </row>
    <row r="32" spans="1:10" ht="14.25" customHeight="1">
      <c r="A32" s="84"/>
      <c r="B32" s="94"/>
      <c r="C32" s="100"/>
      <c r="D32" s="84"/>
      <c r="E32" s="94"/>
      <c r="F32" s="100"/>
      <c r="G32" s="84"/>
      <c r="H32" s="94"/>
      <c r="I32" s="100"/>
      <c r="J32" s="27"/>
    </row>
    <row r="33" spans="1:10" ht="14.25" customHeight="1">
      <c r="A33" s="84"/>
      <c r="B33" s="94"/>
      <c r="C33" s="100"/>
      <c r="D33" s="84"/>
      <c r="E33" s="94"/>
      <c r="F33" s="100"/>
      <c r="G33" s="84"/>
      <c r="H33" s="94"/>
      <c r="I33" s="100"/>
      <c r="J33" s="27"/>
    </row>
    <row r="34" spans="1:10" ht="14.25" customHeight="1">
      <c r="A34" s="84"/>
      <c r="B34" s="94"/>
      <c r="C34" s="100"/>
      <c r="D34" s="84"/>
      <c r="E34" s="94"/>
      <c r="F34" s="100"/>
      <c r="G34" s="84"/>
      <c r="H34" s="94"/>
      <c r="I34" s="100"/>
      <c r="J34" s="27"/>
    </row>
    <row r="35" spans="1:10" ht="14.25" customHeight="1">
      <c r="A35" s="85" t="s">
        <v>177</v>
      </c>
      <c r="B35" s="95"/>
      <c r="C35" s="101"/>
      <c r="D35" s="85" t="s">
        <v>177</v>
      </c>
      <c r="E35" s="95"/>
      <c r="F35" s="101"/>
      <c r="G35" s="85" t="s">
        <v>177</v>
      </c>
      <c r="H35" s="95"/>
      <c r="I35" s="101"/>
      <c r="J35" s="27"/>
    </row>
    <row r="36" spans="1:9" ht="11.25" customHeight="1">
      <c r="A36" s="86" t="s">
        <v>70</v>
      </c>
      <c r="B36" s="36"/>
      <c r="C36" s="36"/>
      <c r="D36" s="36"/>
      <c r="E36" s="36"/>
      <c r="F36" s="36"/>
      <c r="G36" s="36"/>
      <c r="H36" s="36"/>
      <c r="I36" s="36"/>
    </row>
    <row r="37" spans="1:9" ht="12.75">
      <c r="A37" s="18"/>
      <c r="B37" s="12"/>
      <c r="C37" s="12"/>
      <c r="D37" s="12"/>
      <c r="E37" s="12"/>
      <c r="F37" s="12"/>
      <c r="G37" s="12"/>
      <c r="H37" s="12"/>
      <c r="I37" s="12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7"/>
  <sheetViews>
    <sheetView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49.421875" customWidth="1"/>
    <col min="5" max="5" width="5.8515625" customWidth="1"/>
    <col min="6" max="6" width="12.8515625" customWidth="1"/>
    <col min="7" max="7" width="12.00390625" customWidth="1"/>
    <col min="8" max="10" width="14.28125" customWidth="1"/>
    <col min="11" max="12" width="11.7109375" customWidth="1"/>
    <col min="13" max="13" width="11.140625" customWidth="1"/>
    <col min="14" max="14" width="0" hidden="1" customWidth="1"/>
    <col min="15" max="48" width="12.140625" hidden="1" customWidth="1"/>
  </cols>
  <sheetData>
    <row r="1" spans="1:13" ht="72.75" customHeight="1">
      <c r="A1" s="141" t="s">
        <v>211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ht="12.75">
      <c r="A2" s="3" t="s">
        <v>1</v>
      </c>
      <c r="B2" s="21"/>
      <c r="C2" s="21"/>
      <c r="D2" s="29" t="s">
        <v>213</v>
      </c>
      <c r="E2" s="44" t="s">
        <v>148</v>
      </c>
      <c r="F2" s="21"/>
      <c r="G2" s="44" t="s">
        <v>212</v>
      </c>
      <c r="H2" s="21"/>
      <c r="I2" s="17" t="s">
        <v>26</v>
      </c>
      <c r="J2" s="17" t="s">
        <v>212</v>
      </c>
      <c r="K2" s="21"/>
      <c r="L2" s="21"/>
      <c r="M2" s="22"/>
      <c r="N2" s="26"/>
    </row>
    <row r="3" spans="1:14" ht="12.75">
      <c r="A3" s="4"/>
      <c r="B3" s="12"/>
      <c r="C3" s="12"/>
      <c r="D3" s="11"/>
      <c r="E3" s="12"/>
      <c r="F3" s="12"/>
      <c r="G3" s="12"/>
      <c r="H3" s="12"/>
      <c r="I3" s="12"/>
      <c r="J3" s="12"/>
      <c r="K3" s="12"/>
      <c r="L3" s="12"/>
      <c r="M3" s="23"/>
      <c r="N3" s="26"/>
    </row>
    <row r="4" spans="1:14" ht="12.75">
      <c r="A4" s="5" t="s">
        <v>2</v>
      </c>
      <c r="B4" s="12"/>
      <c r="C4" s="12"/>
      <c r="D4" s="18" t="s">
        <v>214</v>
      </c>
      <c r="E4" s="9" t="s">
        <v>149</v>
      </c>
      <c r="F4" s="12"/>
      <c r="G4" s="9" t="s">
        <v>212</v>
      </c>
      <c r="H4" s="12"/>
      <c r="I4" s="18" t="s">
        <v>27</v>
      </c>
      <c r="J4" s="18" t="s">
        <v>212</v>
      </c>
      <c r="K4" s="12"/>
      <c r="L4" s="12"/>
      <c r="M4" s="23"/>
      <c r="N4" s="26"/>
    </row>
    <row r="5" spans="1:14" ht="12.75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3"/>
      <c r="N5" s="26"/>
    </row>
    <row r="6" spans="1:14" ht="12.75">
      <c r="A6" s="5" t="s">
        <v>3</v>
      </c>
      <c r="B6" s="12"/>
      <c r="C6" s="12"/>
      <c r="D6" s="18" t="s">
        <v>212</v>
      </c>
      <c r="E6" s="9" t="s">
        <v>150</v>
      </c>
      <c r="F6" s="12"/>
      <c r="G6" s="9" t="s">
        <v>212</v>
      </c>
      <c r="H6" s="12"/>
      <c r="I6" s="18" t="s">
        <v>28</v>
      </c>
      <c r="J6" s="18" t="s">
        <v>212</v>
      </c>
      <c r="K6" s="12"/>
      <c r="L6" s="12"/>
      <c r="M6" s="23"/>
      <c r="N6" s="26"/>
    </row>
    <row r="7" spans="1:14" ht="12.75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23"/>
      <c r="N7" s="26"/>
    </row>
    <row r="8" spans="1:14" ht="12.75">
      <c r="A8" s="5" t="s">
        <v>147</v>
      </c>
      <c r="B8" s="12"/>
      <c r="C8" s="12"/>
      <c r="D8" s="18" t="s">
        <v>212</v>
      </c>
      <c r="E8" s="9" t="s">
        <v>29</v>
      </c>
      <c r="F8" s="12"/>
      <c r="G8" s="9" t="s">
        <v>215</v>
      </c>
      <c r="H8" s="12"/>
      <c r="I8" s="18" t="s">
        <v>4</v>
      </c>
      <c r="J8" s="18" t="s">
        <v>220</v>
      </c>
      <c r="K8" s="12"/>
      <c r="L8" s="12"/>
      <c r="M8" s="23"/>
      <c r="N8" s="26"/>
    </row>
    <row r="9" spans="1:14" ht="12.75">
      <c r="A9" s="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24"/>
      <c r="N9" s="26"/>
    </row>
    <row r="10" spans="1:14" ht="12.75">
      <c r="A10" s="116" t="s">
        <v>37</v>
      </c>
      <c r="B10" s="121" t="s">
        <v>5</v>
      </c>
      <c r="C10" s="121" t="s">
        <v>6</v>
      </c>
      <c r="D10" s="121" t="s">
        <v>17</v>
      </c>
      <c r="E10" s="121" t="s">
        <v>134</v>
      </c>
      <c r="F10" s="124" t="s">
        <v>143</v>
      </c>
      <c r="G10" s="126" t="s">
        <v>216</v>
      </c>
      <c r="H10" s="128" t="s">
        <v>218</v>
      </c>
      <c r="I10" s="131"/>
      <c r="J10" s="133"/>
      <c r="K10" s="128" t="s">
        <v>222</v>
      </c>
      <c r="L10" s="133"/>
      <c r="M10" s="137" t="s">
        <v>223</v>
      </c>
      <c r="N10" s="27"/>
    </row>
    <row r="11" spans="1:24" ht="12.75">
      <c r="A11" s="117" t="s">
        <v>212</v>
      </c>
      <c r="B11" s="122" t="s">
        <v>212</v>
      </c>
      <c r="C11" s="122" t="s">
        <v>212</v>
      </c>
      <c r="D11" s="123" t="s">
        <v>141</v>
      </c>
      <c r="E11" s="122" t="s">
        <v>212</v>
      </c>
      <c r="F11" s="122" t="s">
        <v>212</v>
      </c>
      <c r="G11" s="127" t="s">
        <v>217</v>
      </c>
      <c r="H11" s="129" t="s">
        <v>219</v>
      </c>
      <c r="I11" s="132" t="s">
        <v>180</v>
      </c>
      <c r="J11" s="134" t="s">
        <v>221</v>
      </c>
      <c r="K11" s="129" t="s">
        <v>216</v>
      </c>
      <c r="L11" s="134" t="s">
        <v>221</v>
      </c>
      <c r="M11" s="138" t="s">
        <v>224</v>
      </c>
      <c r="N11" s="27"/>
      <c r="P11" s="136" t="s">
        <v>225</v>
      </c>
      <c r="Q11" s="136" t="s">
        <v>226</v>
      </c>
      <c r="R11" s="136" t="s">
        <v>227</v>
      </c>
      <c r="S11" s="136" t="s">
        <v>228</v>
      </c>
      <c r="T11" s="136" t="s">
        <v>229</v>
      </c>
      <c r="U11" s="136" t="s">
        <v>230</v>
      </c>
      <c r="V11" s="136" t="s">
        <v>231</v>
      </c>
      <c r="W11" s="136" t="s">
        <v>232</v>
      </c>
      <c r="X11" s="136" t="s">
        <v>233</v>
      </c>
    </row>
    <row r="12" spans="1:37" ht="12.75">
      <c r="A12" s="118"/>
      <c r="B12" s="53"/>
      <c r="C12" s="53" t="s">
        <v>7</v>
      </c>
      <c r="D12" s="53" t="s">
        <v>18</v>
      </c>
      <c r="E12" s="118" t="s">
        <v>212</v>
      </c>
      <c r="F12" s="118" t="s">
        <v>212</v>
      </c>
      <c r="G12" s="118" t="s">
        <v>212</v>
      </c>
      <c r="H12" s="65">
        <f>SUM(H13:H13)</f>
        <v>0</v>
      </c>
      <c r="I12" s="65">
        <f>SUM(I13:I13)</f>
        <v>0</v>
      </c>
      <c r="J12" s="65">
        <f>H12+I12</f>
        <v>0</v>
      </c>
      <c r="K12" s="135"/>
      <c r="L12" s="65">
        <f>SUM(L13:L13)</f>
        <v>0</v>
      </c>
      <c r="M12" s="135"/>
      <c r="Y12" s="136"/>
      <c r="AI12" s="66">
        <f>SUM(Z13:Z13)</f>
        <v>0</v>
      </c>
      <c r="AJ12" s="66">
        <f>SUM(AA13:AA13)</f>
        <v>0</v>
      </c>
      <c r="AK12" s="66">
        <f>SUM(AB13:AB13)</f>
        <v>0</v>
      </c>
    </row>
    <row r="13" spans="1:48" ht="12.75">
      <c r="A13" s="33" t="s">
        <v>38</v>
      </c>
      <c r="B13" s="33"/>
      <c r="C13" s="33" t="s">
        <v>71</v>
      </c>
      <c r="D13" s="33" t="s">
        <v>102</v>
      </c>
      <c r="E13" s="33" t="s">
        <v>135</v>
      </c>
      <c r="F13" s="39">
        <v>606.6</v>
      </c>
      <c r="G13" s="39">
        <v>0</v>
      </c>
      <c r="H13" s="39">
        <f>F13*AE13</f>
        <v>0</v>
      </c>
      <c r="I13" s="39">
        <f>J13-H13</f>
        <v>0</v>
      </c>
      <c r="J13" s="39">
        <f>F13*G13</f>
        <v>0</v>
      </c>
      <c r="K13" s="39">
        <v>0</v>
      </c>
      <c r="L13" s="39">
        <f>F13*K13</f>
        <v>0</v>
      </c>
      <c r="M13" s="42" t="s">
        <v>145</v>
      </c>
      <c r="P13" s="28">
        <f>IF(AG13="5",J13,0)</f>
        <v>0</v>
      </c>
      <c r="R13" s="28">
        <f>IF(AG13="1",H13,0)</f>
        <v>0</v>
      </c>
      <c r="S13" s="28">
        <f>IF(AG13="1",I13,0)</f>
        <v>0</v>
      </c>
      <c r="T13" s="28">
        <f>IF(AG13="7",H13,0)</f>
        <v>0</v>
      </c>
      <c r="U13" s="28">
        <f>IF(AG13="7",I13,0)</f>
        <v>0</v>
      </c>
      <c r="V13" s="28">
        <f>IF(AG13="2",H13,0)</f>
        <v>0</v>
      </c>
      <c r="W13" s="28">
        <f>IF(AG13="2",I13,0)</f>
        <v>0</v>
      </c>
      <c r="X13" s="28">
        <f>IF(AG13="0",J13,0)</f>
        <v>0</v>
      </c>
      <c r="Y13" s="136"/>
      <c r="Z13" s="39">
        <f>IF(AD13=0,J13,0)</f>
        <v>0</v>
      </c>
      <c r="AA13" s="39">
        <f>IF(AD13=15,J13,0)</f>
        <v>0</v>
      </c>
      <c r="AB13" s="39">
        <f>IF(AD13=21,J13,0)</f>
        <v>0</v>
      </c>
      <c r="AD13" s="28">
        <v>21</v>
      </c>
      <c r="AE13" s="28">
        <f>G13*0</f>
        <v>0</v>
      </c>
      <c r="AF13" s="28">
        <f>G13*(1-0)</f>
        <v>0</v>
      </c>
      <c r="AG13" s="42" t="s">
        <v>38</v>
      </c>
      <c r="AM13" s="28">
        <f>F13*AE13</f>
        <v>0</v>
      </c>
      <c r="AN13" s="28">
        <f>F13*AF13</f>
        <v>0</v>
      </c>
      <c r="AO13" s="46" t="s">
        <v>235</v>
      </c>
      <c r="AP13" s="46" t="s">
        <v>246</v>
      </c>
      <c r="AQ13" s="136" t="s">
        <v>252</v>
      </c>
      <c r="AR13" s="136" t="s">
        <v>253</v>
      </c>
      <c r="AS13" s="28">
        <f>AM13+AN13</f>
        <v>0</v>
      </c>
      <c r="AT13" s="28">
        <f>G13/(100-AU13)*100</f>
        <v>0</v>
      </c>
      <c r="AU13" s="28">
        <v>0</v>
      </c>
      <c r="AV13" s="28">
        <f>L13</f>
        <v>0</v>
      </c>
    </row>
    <row r="14" spans="1:37" ht="12.75">
      <c r="A14" s="119"/>
      <c r="B14" s="54"/>
      <c r="C14" s="54" t="s">
        <v>8</v>
      </c>
      <c r="D14" s="54" t="s">
        <v>19</v>
      </c>
      <c r="E14" s="119" t="s">
        <v>212</v>
      </c>
      <c r="F14" s="119" t="s">
        <v>212</v>
      </c>
      <c r="G14" s="119" t="s">
        <v>212</v>
      </c>
      <c r="H14" s="66">
        <f>SUM(H15:H15)</f>
        <v>0</v>
      </c>
      <c r="I14" s="66">
        <f>SUM(I15:I15)</f>
        <v>0</v>
      </c>
      <c r="J14" s="66">
        <f>H14+I14</f>
        <v>0</v>
      </c>
      <c r="K14" s="136"/>
      <c r="L14" s="66">
        <f>SUM(L15:L15)</f>
        <v>0</v>
      </c>
      <c r="M14" s="136"/>
      <c r="Y14" s="136"/>
      <c r="AI14" s="66">
        <f>SUM(Z15:Z15)</f>
        <v>0</v>
      </c>
      <c r="AJ14" s="66">
        <f>SUM(AA15:AA15)</f>
        <v>0</v>
      </c>
      <c r="AK14" s="66">
        <f>SUM(AB15:AB15)</f>
        <v>0</v>
      </c>
    </row>
    <row r="15" spans="1:48" ht="12.75">
      <c r="A15" s="33" t="s">
        <v>39</v>
      </c>
      <c r="B15" s="33"/>
      <c r="C15" s="33" t="s">
        <v>8</v>
      </c>
      <c r="D15" s="33" t="s">
        <v>103</v>
      </c>
      <c r="E15" s="33"/>
      <c r="F15" s="39">
        <v>1</v>
      </c>
      <c r="G15" s="39">
        <v>0</v>
      </c>
      <c r="H15" s="39">
        <f>F15*AE15</f>
        <v>0</v>
      </c>
      <c r="I15" s="39">
        <f>J15-H15</f>
        <v>0</v>
      </c>
      <c r="J15" s="39">
        <f>F15*G15</f>
        <v>0</v>
      </c>
      <c r="K15" s="39">
        <v>0</v>
      </c>
      <c r="L15" s="39">
        <f>F15*K15</f>
        <v>0</v>
      </c>
      <c r="M15" s="42"/>
      <c r="P15" s="28">
        <f>IF(AG15="5",J15,0)</f>
        <v>0</v>
      </c>
      <c r="R15" s="28">
        <f>IF(AG15="1",H15,0)</f>
        <v>0</v>
      </c>
      <c r="S15" s="28">
        <f>IF(AG15="1",I15,0)</f>
        <v>0</v>
      </c>
      <c r="T15" s="28">
        <f>IF(AG15="7",H15,0)</f>
        <v>0</v>
      </c>
      <c r="U15" s="28">
        <f>IF(AG15="7",I15,0)</f>
        <v>0</v>
      </c>
      <c r="V15" s="28">
        <f>IF(AG15="2",H15,0)</f>
        <v>0</v>
      </c>
      <c r="W15" s="28">
        <f>IF(AG15="2",I15,0)</f>
        <v>0</v>
      </c>
      <c r="X15" s="28">
        <f>IF(AG15="0",J15,0)</f>
        <v>0</v>
      </c>
      <c r="Y15" s="136"/>
      <c r="Z15" s="39">
        <f>IF(AD15=0,J15,0)</f>
        <v>0</v>
      </c>
      <c r="AA15" s="39">
        <f>IF(AD15=15,J15,0)</f>
        <v>0</v>
      </c>
      <c r="AB15" s="39">
        <f>IF(AD15=21,J15,0)</f>
        <v>0</v>
      </c>
      <c r="AD15" s="28">
        <v>21</v>
      </c>
      <c r="AE15" s="28">
        <f>G15*0.372689326177698</f>
        <v>0</v>
      </c>
      <c r="AF15" s="28">
        <f>G15*(1-0.372689326177698)</f>
        <v>0</v>
      </c>
      <c r="AG15" s="42" t="s">
        <v>38</v>
      </c>
      <c r="AM15" s="28">
        <f>F15*AE15</f>
        <v>0</v>
      </c>
      <c r="AN15" s="28">
        <f>F15*AF15</f>
        <v>0</v>
      </c>
      <c r="AO15" s="46" t="s">
        <v>236</v>
      </c>
      <c r="AP15" s="46" t="s">
        <v>247</v>
      </c>
      <c r="AQ15" s="136" t="s">
        <v>252</v>
      </c>
      <c r="AS15" s="28">
        <f>AM15+AN15</f>
        <v>0</v>
      </c>
      <c r="AT15" s="28">
        <f>G15/(100-AU15)*100</f>
        <v>0</v>
      </c>
      <c r="AU15" s="28">
        <v>0</v>
      </c>
      <c r="AV15" s="28">
        <f>L15</f>
        <v>0</v>
      </c>
    </row>
    <row r="16" spans="1:37" ht="12.75">
      <c r="A16" s="119"/>
      <c r="B16" s="54"/>
      <c r="C16" s="54" t="s">
        <v>9</v>
      </c>
      <c r="D16" s="54" t="s">
        <v>20</v>
      </c>
      <c r="E16" s="119" t="s">
        <v>212</v>
      </c>
      <c r="F16" s="119" t="s">
        <v>212</v>
      </c>
      <c r="G16" s="119" t="s">
        <v>212</v>
      </c>
      <c r="H16" s="66">
        <f>SUM(H17:H25)</f>
        <v>0</v>
      </c>
      <c r="I16" s="66">
        <f>SUM(I17:I25)</f>
        <v>0</v>
      </c>
      <c r="J16" s="66">
        <f>H16+I16</f>
        <v>0</v>
      </c>
      <c r="K16" s="136"/>
      <c r="L16" s="66">
        <f>SUM(L17:L25)</f>
        <v>13.974718</v>
      </c>
      <c r="M16" s="136"/>
      <c r="Y16" s="136"/>
      <c r="AI16" s="66">
        <f>SUM(Z17:Z25)</f>
        <v>0</v>
      </c>
      <c r="AJ16" s="66">
        <f>SUM(AA17:AA25)</f>
        <v>0</v>
      </c>
      <c r="AK16" s="66">
        <f>SUM(AB17:AB25)</f>
        <v>0</v>
      </c>
    </row>
    <row r="17" spans="1:48" ht="12.75">
      <c r="A17" s="33" t="s">
        <v>40</v>
      </c>
      <c r="B17" s="33"/>
      <c r="C17" s="33" t="s">
        <v>72</v>
      </c>
      <c r="D17" s="33" t="s">
        <v>104</v>
      </c>
      <c r="E17" s="33" t="s">
        <v>135</v>
      </c>
      <c r="F17" s="39">
        <v>606.6</v>
      </c>
      <c r="G17" s="39">
        <v>0</v>
      </c>
      <c r="H17" s="39">
        <f>F17*AE17</f>
        <v>0</v>
      </c>
      <c r="I17" s="39">
        <f>J17-H17</f>
        <v>0</v>
      </c>
      <c r="J17" s="39">
        <f>F17*G17</f>
        <v>0</v>
      </c>
      <c r="K17" s="39">
        <v>0.00264</v>
      </c>
      <c r="L17" s="39">
        <f>F17*K17</f>
        <v>1.601424</v>
      </c>
      <c r="M17" s="42" t="s">
        <v>145</v>
      </c>
      <c r="P17" s="28">
        <f>IF(AG17="5",J17,0)</f>
        <v>0</v>
      </c>
      <c r="R17" s="28">
        <f>IF(AG17="1",H17,0)</f>
        <v>0</v>
      </c>
      <c r="S17" s="28">
        <f>IF(AG17="1",I17,0)</f>
        <v>0</v>
      </c>
      <c r="T17" s="28">
        <f>IF(AG17="7",H17,0)</f>
        <v>0</v>
      </c>
      <c r="U17" s="28">
        <f>IF(AG17="7",I17,0)</f>
        <v>0</v>
      </c>
      <c r="V17" s="28">
        <f>IF(AG17="2",H17,0)</f>
        <v>0</v>
      </c>
      <c r="W17" s="28">
        <f>IF(AG17="2",I17,0)</f>
        <v>0</v>
      </c>
      <c r="X17" s="28">
        <f>IF(AG17="0",J17,0)</f>
        <v>0</v>
      </c>
      <c r="Y17" s="136"/>
      <c r="Z17" s="39">
        <f>IF(AD17=0,J17,0)</f>
        <v>0</v>
      </c>
      <c r="AA17" s="39">
        <f>IF(AD17=15,J17,0)</f>
        <v>0</v>
      </c>
      <c r="AB17" s="39">
        <f>IF(AD17=21,J17,0)</f>
        <v>0</v>
      </c>
      <c r="AD17" s="28">
        <v>21</v>
      </c>
      <c r="AE17" s="28">
        <f>G17*0.365391304347826</f>
        <v>0</v>
      </c>
      <c r="AF17" s="28">
        <f>G17*(1-0.365391304347826)</f>
        <v>0</v>
      </c>
      <c r="AG17" s="42" t="s">
        <v>44</v>
      </c>
      <c r="AM17" s="28">
        <f>F17*AE17</f>
        <v>0</v>
      </c>
      <c r="AN17" s="28">
        <f>F17*AF17</f>
        <v>0</v>
      </c>
      <c r="AO17" s="46" t="s">
        <v>237</v>
      </c>
      <c r="AP17" s="46" t="s">
        <v>248</v>
      </c>
      <c r="AQ17" s="136" t="s">
        <v>252</v>
      </c>
      <c r="AR17" s="136" t="s">
        <v>254</v>
      </c>
      <c r="AS17" s="28">
        <f>AM17+AN17</f>
        <v>0</v>
      </c>
      <c r="AT17" s="28">
        <f>G17/(100-AU17)*100</f>
        <v>0</v>
      </c>
      <c r="AU17" s="28">
        <v>0</v>
      </c>
      <c r="AV17" s="28">
        <f>L17</f>
        <v>1.601424</v>
      </c>
    </row>
    <row r="18" spans="1:48" ht="12.75">
      <c r="A18" s="33" t="s">
        <v>41</v>
      </c>
      <c r="B18" s="33"/>
      <c r="C18" s="33" t="s">
        <v>73</v>
      </c>
      <c r="D18" s="33" t="s">
        <v>105</v>
      </c>
      <c r="E18" s="33" t="s">
        <v>136</v>
      </c>
      <c r="F18" s="39">
        <v>74.7</v>
      </c>
      <c r="G18" s="39">
        <v>0</v>
      </c>
      <c r="H18" s="39">
        <f>F18*AE18</f>
        <v>0</v>
      </c>
      <c r="I18" s="39">
        <f>J18-H18</f>
        <v>0</v>
      </c>
      <c r="J18" s="39">
        <f>F18*G18</f>
        <v>0</v>
      </c>
      <c r="K18" s="39">
        <v>0.01316</v>
      </c>
      <c r="L18" s="39">
        <f>F18*K18</f>
        <v>0.983052</v>
      </c>
      <c r="M18" s="42" t="s">
        <v>145</v>
      </c>
      <c r="P18" s="28">
        <f>IF(AG18="5",J18,0)</f>
        <v>0</v>
      </c>
      <c r="R18" s="28">
        <f>IF(AG18="1",H18,0)</f>
        <v>0</v>
      </c>
      <c r="S18" s="28">
        <f>IF(AG18="1",I18,0)</f>
        <v>0</v>
      </c>
      <c r="T18" s="28">
        <f>IF(AG18="7",H18,0)</f>
        <v>0</v>
      </c>
      <c r="U18" s="28">
        <f>IF(AG18="7",I18,0)</f>
        <v>0</v>
      </c>
      <c r="V18" s="28">
        <f>IF(AG18="2",H18,0)</f>
        <v>0</v>
      </c>
      <c r="W18" s="28">
        <f>IF(AG18="2",I18,0)</f>
        <v>0</v>
      </c>
      <c r="X18" s="28">
        <f>IF(AG18="0",J18,0)</f>
        <v>0</v>
      </c>
      <c r="Y18" s="136"/>
      <c r="Z18" s="39">
        <f>IF(AD18=0,J18,0)</f>
        <v>0</v>
      </c>
      <c r="AA18" s="39">
        <f>IF(AD18=15,J18,0)</f>
        <v>0</v>
      </c>
      <c r="AB18" s="39">
        <f>IF(AD18=21,J18,0)</f>
        <v>0</v>
      </c>
      <c r="AD18" s="28">
        <v>21</v>
      </c>
      <c r="AE18" s="28">
        <f>G18*0.0758265087063688</f>
        <v>0</v>
      </c>
      <c r="AF18" s="28">
        <f>G18*(1-0.0758265087063688)</f>
        <v>0</v>
      </c>
      <c r="AG18" s="42" t="s">
        <v>44</v>
      </c>
      <c r="AM18" s="28">
        <f>F18*AE18</f>
        <v>0</v>
      </c>
      <c r="AN18" s="28">
        <f>F18*AF18</f>
        <v>0</v>
      </c>
      <c r="AO18" s="46" t="s">
        <v>237</v>
      </c>
      <c r="AP18" s="46" t="s">
        <v>248</v>
      </c>
      <c r="AQ18" s="136" t="s">
        <v>252</v>
      </c>
      <c r="AR18" s="136" t="s">
        <v>254</v>
      </c>
      <c r="AS18" s="28">
        <f>AM18+AN18</f>
        <v>0</v>
      </c>
      <c r="AT18" s="28">
        <f>G18/(100-AU18)*100</f>
        <v>0</v>
      </c>
      <c r="AU18" s="28">
        <v>0</v>
      </c>
      <c r="AV18" s="28">
        <f>L18</f>
        <v>0.983052</v>
      </c>
    </row>
    <row r="19" spans="1:48" ht="12.75">
      <c r="A19" s="33" t="s">
        <v>42</v>
      </c>
      <c r="B19" s="33"/>
      <c r="C19" s="33" t="s">
        <v>74</v>
      </c>
      <c r="D19" s="33" t="s">
        <v>106</v>
      </c>
      <c r="E19" s="33" t="s">
        <v>136</v>
      </c>
      <c r="F19" s="39">
        <v>80</v>
      </c>
      <c r="G19" s="39">
        <v>0</v>
      </c>
      <c r="H19" s="39">
        <f>F19*AE19</f>
        <v>0</v>
      </c>
      <c r="I19" s="39">
        <f>J19-H19</f>
        <v>0</v>
      </c>
      <c r="J19" s="39">
        <f>F19*G19</f>
        <v>0</v>
      </c>
      <c r="K19" s="39">
        <v>0.03016</v>
      </c>
      <c r="L19" s="39">
        <f>F19*K19</f>
        <v>2.4128</v>
      </c>
      <c r="M19" s="42" t="s">
        <v>145</v>
      </c>
      <c r="P19" s="28">
        <f>IF(AG19="5",J19,0)</f>
        <v>0</v>
      </c>
      <c r="R19" s="28">
        <f>IF(AG19="1",H19,0)</f>
        <v>0</v>
      </c>
      <c r="S19" s="28">
        <f>IF(AG19="1",I19,0)</f>
        <v>0</v>
      </c>
      <c r="T19" s="28">
        <f>IF(AG19="7",H19,0)</f>
        <v>0</v>
      </c>
      <c r="U19" s="28">
        <f>IF(AG19="7",I19,0)</f>
        <v>0</v>
      </c>
      <c r="V19" s="28">
        <f>IF(AG19="2",H19,0)</f>
        <v>0</v>
      </c>
      <c r="W19" s="28">
        <f>IF(AG19="2",I19,0)</f>
        <v>0</v>
      </c>
      <c r="X19" s="28">
        <f>IF(AG19="0",J19,0)</f>
        <v>0</v>
      </c>
      <c r="Y19" s="136"/>
      <c r="Z19" s="39">
        <f>IF(AD19=0,J19,0)</f>
        <v>0</v>
      </c>
      <c r="AA19" s="39">
        <f>IF(AD19=15,J19,0)</f>
        <v>0</v>
      </c>
      <c r="AB19" s="39">
        <f>IF(AD19=21,J19,0)</f>
        <v>0</v>
      </c>
      <c r="AD19" s="28">
        <v>21</v>
      </c>
      <c r="AE19" s="28">
        <f>G19*0.0554188974099262</f>
        <v>0</v>
      </c>
      <c r="AF19" s="28">
        <f>G19*(1-0.0554188974099262)</f>
        <v>0</v>
      </c>
      <c r="AG19" s="42" t="s">
        <v>44</v>
      </c>
      <c r="AM19" s="28">
        <f>F19*AE19</f>
        <v>0</v>
      </c>
      <c r="AN19" s="28">
        <f>F19*AF19</f>
        <v>0</v>
      </c>
      <c r="AO19" s="46" t="s">
        <v>237</v>
      </c>
      <c r="AP19" s="46" t="s">
        <v>248</v>
      </c>
      <c r="AQ19" s="136" t="s">
        <v>252</v>
      </c>
      <c r="AR19" s="136" t="s">
        <v>254</v>
      </c>
      <c r="AS19" s="28">
        <f>AM19+AN19</f>
        <v>0</v>
      </c>
      <c r="AT19" s="28">
        <f>G19/(100-AU19)*100</f>
        <v>0</v>
      </c>
      <c r="AU19" s="28">
        <v>0</v>
      </c>
      <c r="AV19" s="28">
        <f>L19</f>
        <v>2.4128</v>
      </c>
    </row>
    <row r="20" spans="1:48" ht="12.75">
      <c r="A20" s="33" t="s">
        <v>43</v>
      </c>
      <c r="B20" s="33"/>
      <c r="C20" s="33" t="s">
        <v>75</v>
      </c>
      <c r="D20" s="33" t="s">
        <v>107</v>
      </c>
      <c r="E20" s="33" t="s">
        <v>136</v>
      </c>
      <c r="F20" s="39">
        <v>74.7</v>
      </c>
      <c r="G20" s="39">
        <v>0</v>
      </c>
      <c r="H20" s="39">
        <f>F20*AE20</f>
        <v>0</v>
      </c>
      <c r="I20" s="39">
        <f>J20-H20</f>
        <v>0</v>
      </c>
      <c r="J20" s="39">
        <f>F20*G20</f>
        <v>0</v>
      </c>
      <c r="K20" s="39">
        <v>0.02316</v>
      </c>
      <c r="L20" s="39">
        <f>F20*K20</f>
        <v>1.7300520000000001</v>
      </c>
      <c r="M20" s="42" t="s">
        <v>145</v>
      </c>
      <c r="P20" s="28">
        <f>IF(AG20="5",J20,0)</f>
        <v>0</v>
      </c>
      <c r="R20" s="28">
        <f>IF(AG20="1",H20,0)</f>
        <v>0</v>
      </c>
      <c r="S20" s="28">
        <f>IF(AG20="1",I20,0)</f>
        <v>0</v>
      </c>
      <c r="T20" s="28">
        <f>IF(AG20="7",H20,0)</f>
        <v>0</v>
      </c>
      <c r="U20" s="28">
        <f>IF(AG20="7",I20,0)</f>
        <v>0</v>
      </c>
      <c r="V20" s="28">
        <f>IF(AG20="2",H20,0)</f>
        <v>0</v>
      </c>
      <c r="W20" s="28">
        <f>IF(AG20="2",I20,0)</f>
        <v>0</v>
      </c>
      <c r="X20" s="28">
        <f>IF(AG20="0",J20,0)</f>
        <v>0</v>
      </c>
      <c r="Y20" s="136"/>
      <c r="Z20" s="39">
        <f>IF(AD20=0,J20,0)</f>
        <v>0</v>
      </c>
      <c r="AA20" s="39">
        <f>IF(AD20=15,J20,0)</f>
        <v>0</v>
      </c>
      <c r="AB20" s="39">
        <f>IF(AD20=21,J20,0)</f>
        <v>0</v>
      </c>
      <c r="AD20" s="28">
        <v>21</v>
      </c>
      <c r="AE20" s="28">
        <f>G20*0.0620745542949757</f>
        <v>0</v>
      </c>
      <c r="AF20" s="28">
        <f>G20*(1-0.0620745542949757)</f>
        <v>0</v>
      </c>
      <c r="AG20" s="42" t="s">
        <v>44</v>
      </c>
      <c r="AM20" s="28">
        <f>F20*AE20</f>
        <v>0</v>
      </c>
      <c r="AN20" s="28">
        <f>F20*AF20</f>
        <v>0</v>
      </c>
      <c r="AO20" s="46" t="s">
        <v>237</v>
      </c>
      <c r="AP20" s="46" t="s">
        <v>248</v>
      </c>
      <c r="AQ20" s="136" t="s">
        <v>252</v>
      </c>
      <c r="AR20" s="136" t="s">
        <v>254</v>
      </c>
      <c r="AS20" s="28">
        <f>AM20+AN20</f>
        <v>0</v>
      </c>
      <c r="AT20" s="28">
        <f>G20/(100-AU20)*100</f>
        <v>0</v>
      </c>
      <c r="AU20" s="28">
        <v>0</v>
      </c>
      <c r="AV20" s="28">
        <f>L20</f>
        <v>1.7300520000000001</v>
      </c>
    </row>
    <row r="21" spans="1:48" ht="12.75">
      <c r="A21" s="33" t="s">
        <v>44</v>
      </c>
      <c r="B21" s="33"/>
      <c r="C21" s="33" t="s">
        <v>76</v>
      </c>
      <c r="D21" s="33" t="s">
        <v>108</v>
      </c>
      <c r="E21" s="33" t="s">
        <v>137</v>
      </c>
      <c r="F21" s="39">
        <v>0</v>
      </c>
      <c r="G21" s="39">
        <v>0</v>
      </c>
      <c r="H21" s="39">
        <f>F21*AE21</f>
        <v>0</v>
      </c>
      <c r="I21" s="39">
        <f>J21-H21</f>
        <v>0</v>
      </c>
      <c r="J21" s="39">
        <f>F21*G21</f>
        <v>0</v>
      </c>
      <c r="K21" s="39">
        <v>0.0291</v>
      </c>
      <c r="L21" s="39">
        <f>F21*K21</f>
        <v>0</v>
      </c>
      <c r="M21" s="42" t="s">
        <v>145</v>
      </c>
      <c r="P21" s="28">
        <f>IF(AG21="5",J21,0)</f>
        <v>0</v>
      </c>
      <c r="R21" s="28">
        <f>IF(AG21="1",H21,0)</f>
        <v>0</v>
      </c>
      <c r="S21" s="28">
        <f>IF(AG21="1",I21,0)</f>
        <v>0</v>
      </c>
      <c r="T21" s="28">
        <f>IF(AG21="7",H21,0)</f>
        <v>0</v>
      </c>
      <c r="U21" s="28">
        <f>IF(AG21="7",I21,0)</f>
        <v>0</v>
      </c>
      <c r="V21" s="28">
        <f>IF(AG21="2",H21,0)</f>
        <v>0</v>
      </c>
      <c r="W21" s="28">
        <f>IF(AG21="2",I21,0)</f>
        <v>0</v>
      </c>
      <c r="X21" s="28">
        <f>IF(AG21="0",J21,0)</f>
        <v>0</v>
      </c>
      <c r="Y21" s="136"/>
      <c r="Z21" s="39">
        <f>IF(AD21=0,J21,0)</f>
        <v>0</v>
      </c>
      <c r="AA21" s="39">
        <f>IF(AD21=15,J21,0)</f>
        <v>0</v>
      </c>
      <c r="AB21" s="39">
        <f>IF(AD21=21,J21,0)</f>
        <v>0</v>
      </c>
      <c r="AD21" s="28">
        <v>21</v>
      </c>
      <c r="AE21" s="28">
        <f>G21*0</f>
        <v>0</v>
      </c>
      <c r="AF21" s="28">
        <f>G21*(1-0)</f>
        <v>0</v>
      </c>
      <c r="AG21" s="42" t="s">
        <v>44</v>
      </c>
      <c r="AM21" s="28">
        <f>F21*AE21</f>
        <v>0</v>
      </c>
      <c r="AN21" s="28">
        <f>F21*AF21</f>
        <v>0</v>
      </c>
      <c r="AO21" s="46" t="s">
        <v>237</v>
      </c>
      <c r="AP21" s="46" t="s">
        <v>248</v>
      </c>
      <c r="AQ21" s="136" t="s">
        <v>252</v>
      </c>
      <c r="AR21" s="136" t="s">
        <v>254</v>
      </c>
      <c r="AS21" s="28">
        <f>AM21+AN21</f>
        <v>0</v>
      </c>
      <c r="AT21" s="28">
        <f>G21/(100-AU21)*100</f>
        <v>0</v>
      </c>
      <c r="AU21" s="28">
        <v>0</v>
      </c>
      <c r="AV21" s="28">
        <f>L21</f>
        <v>0</v>
      </c>
    </row>
    <row r="22" spans="1:48" ht="12.75">
      <c r="A22" s="33" t="s">
        <v>45</v>
      </c>
      <c r="B22" s="33"/>
      <c r="C22" s="33" t="s">
        <v>77</v>
      </c>
      <c r="D22" s="33" t="s">
        <v>109</v>
      </c>
      <c r="E22" s="33" t="s">
        <v>135</v>
      </c>
      <c r="F22" s="39">
        <v>43.9</v>
      </c>
      <c r="G22" s="39">
        <v>0</v>
      </c>
      <c r="H22" s="39">
        <f>F22*AE22</f>
        <v>0</v>
      </c>
      <c r="I22" s="39">
        <f>J22-H22</f>
        <v>0</v>
      </c>
      <c r="J22" s="39">
        <f>F22*G22</f>
        <v>0</v>
      </c>
      <c r="K22" s="39">
        <v>0.02216</v>
      </c>
      <c r="L22" s="39">
        <f>F22*K22</f>
        <v>0.9728239999999999</v>
      </c>
      <c r="M22" s="42" t="s">
        <v>145</v>
      </c>
      <c r="P22" s="28">
        <f>IF(AG22="5",J22,0)</f>
        <v>0</v>
      </c>
      <c r="R22" s="28">
        <f>IF(AG22="1",H22,0)</f>
        <v>0</v>
      </c>
      <c r="S22" s="28">
        <f>IF(AG22="1",I22,0)</f>
        <v>0</v>
      </c>
      <c r="T22" s="28">
        <f>IF(AG22="7",H22,0)</f>
        <v>0</v>
      </c>
      <c r="U22" s="28">
        <f>IF(AG22="7",I22,0)</f>
        <v>0</v>
      </c>
      <c r="V22" s="28">
        <f>IF(AG22="2",H22,0)</f>
        <v>0</v>
      </c>
      <c r="W22" s="28">
        <f>IF(AG22="2",I22,0)</f>
        <v>0</v>
      </c>
      <c r="X22" s="28">
        <f>IF(AG22="0",J22,0)</f>
        <v>0</v>
      </c>
      <c r="Y22" s="136"/>
      <c r="Z22" s="39">
        <f>IF(AD22=0,J22,0)</f>
        <v>0</v>
      </c>
      <c r="AA22" s="39">
        <f>IF(AD22=15,J22,0)</f>
        <v>0</v>
      </c>
      <c r="AB22" s="39">
        <f>IF(AD22=21,J22,0)</f>
        <v>0</v>
      </c>
      <c r="AD22" s="28">
        <v>21</v>
      </c>
      <c r="AE22" s="28">
        <f>G22*0.0914081145584725</f>
        <v>0</v>
      </c>
      <c r="AF22" s="28">
        <f>G22*(1-0.0914081145584725)</f>
        <v>0</v>
      </c>
      <c r="AG22" s="42" t="s">
        <v>44</v>
      </c>
      <c r="AM22" s="28">
        <f>F22*AE22</f>
        <v>0</v>
      </c>
      <c r="AN22" s="28">
        <f>F22*AF22</f>
        <v>0</v>
      </c>
      <c r="AO22" s="46" t="s">
        <v>237</v>
      </c>
      <c r="AP22" s="46" t="s">
        <v>248</v>
      </c>
      <c r="AQ22" s="136" t="s">
        <v>252</v>
      </c>
      <c r="AR22" s="136" t="s">
        <v>254</v>
      </c>
      <c r="AS22" s="28">
        <f>AM22+AN22</f>
        <v>0</v>
      </c>
      <c r="AT22" s="28">
        <f>G22/(100-AU22)*100</f>
        <v>0</v>
      </c>
      <c r="AU22" s="28">
        <v>0</v>
      </c>
      <c r="AV22" s="28">
        <f>L22</f>
        <v>0.9728239999999999</v>
      </c>
    </row>
    <row r="23" spans="1:48" ht="12.75">
      <c r="A23" s="33" t="s">
        <v>46</v>
      </c>
      <c r="B23" s="33"/>
      <c r="C23" s="33" t="s">
        <v>78</v>
      </c>
      <c r="D23" s="33" t="s">
        <v>110</v>
      </c>
      <c r="E23" s="33" t="s">
        <v>136</v>
      </c>
      <c r="F23" s="39">
        <v>52.5</v>
      </c>
      <c r="G23" s="39">
        <v>0</v>
      </c>
      <c r="H23" s="39">
        <f>F23*AE23</f>
        <v>0</v>
      </c>
      <c r="I23" s="39">
        <f>J23-H23</f>
        <v>0</v>
      </c>
      <c r="J23" s="39">
        <f>F23*G23</f>
        <v>0</v>
      </c>
      <c r="K23" s="39">
        <v>0.01966</v>
      </c>
      <c r="L23" s="39">
        <f>F23*K23</f>
        <v>1.0321500000000001</v>
      </c>
      <c r="M23" s="42" t="s">
        <v>145</v>
      </c>
      <c r="P23" s="28">
        <f>IF(AG23="5",J23,0)</f>
        <v>0</v>
      </c>
      <c r="R23" s="28">
        <f>IF(AG23="1",H23,0)</f>
        <v>0</v>
      </c>
      <c r="S23" s="28">
        <f>IF(AG23="1",I23,0)</f>
        <v>0</v>
      </c>
      <c r="T23" s="28">
        <f>IF(AG23="7",H23,0)</f>
        <v>0</v>
      </c>
      <c r="U23" s="28">
        <f>IF(AG23="7",I23,0)</f>
        <v>0</v>
      </c>
      <c r="V23" s="28">
        <f>IF(AG23="2",H23,0)</f>
        <v>0</v>
      </c>
      <c r="W23" s="28">
        <f>IF(AG23="2",I23,0)</f>
        <v>0</v>
      </c>
      <c r="X23" s="28">
        <f>IF(AG23="0",J23,0)</f>
        <v>0</v>
      </c>
      <c r="Y23" s="136"/>
      <c r="Z23" s="39">
        <f>IF(AD23=0,J23,0)</f>
        <v>0</v>
      </c>
      <c r="AA23" s="39">
        <f>IF(AD23=15,J23,0)</f>
        <v>0</v>
      </c>
      <c r="AB23" s="39">
        <f>IF(AD23=21,J23,0)</f>
        <v>0</v>
      </c>
      <c r="AD23" s="28">
        <v>21</v>
      </c>
      <c r="AE23" s="28">
        <f>G23*0.438711433756806</f>
        <v>0</v>
      </c>
      <c r="AF23" s="28">
        <f>G23*(1-0.438711433756806)</f>
        <v>0</v>
      </c>
      <c r="AG23" s="42" t="s">
        <v>44</v>
      </c>
      <c r="AM23" s="28">
        <f>F23*AE23</f>
        <v>0</v>
      </c>
      <c r="AN23" s="28">
        <f>F23*AF23</f>
        <v>0</v>
      </c>
      <c r="AO23" s="46" t="s">
        <v>237</v>
      </c>
      <c r="AP23" s="46" t="s">
        <v>248</v>
      </c>
      <c r="AQ23" s="136" t="s">
        <v>252</v>
      </c>
      <c r="AR23" s="136" t="s">
        <v>254</v>
      </c>
      <c r="AS23" s="28">
        <f>AM23+AN23</f>
        <v>0</v>
      </c>
      <c r="AT23" s="28">
        <f>G23/(100-AU23)*100</f>
        <v>0</v>
      </c>
      <c r="AU23" s="28">
        <v>0</v>
      </c>
      <c r="AV23" s="28">
        <f>L23</f>
        <v>1.0321500000000001</v>
      </c>
    </row>
    <row r="24" spans="1:48" ht="12.75">
      <c r="A24" s="33" t="s">
        <v>47</v>
      </c>
      <c r="B24" s="33"/>
      <c r="C24" s="33" t="s">
        <v>79</v>
      </c>
      <c r="D24" s="33" t="s">
        <v>111</v>
      </c>
      <c r="E24" s="33" t="s">
        <v>136</v>
      </c>
      <c r="F24" s="39">
        <v>74.7</v>
      </c>
      <c r="G24" s="39">
        <v>0</v>
      </c>
      <c r="H24" s="39">
        <f>F24*AE24</f>
        <v>0</v>
      </c>
      <c r="I24" s="39">
        <f>J24-H24</f>
        <v>0</v>
      </c>
      <c r="J24" s="39">
        <f>F24*G24</f>
        <v>0</v>
      </c>
      <c r="K24" s="39">
        <v>0.02928</v>
      </c>
      <c r="L24" s="39">
        <f>F24*K24</f>
        <v>2.1872160000000003</v>
      </c>
      <c r="M24" s="42" t="s">
        <v>145</v>
      </c>
      <c r="P24" s="28">
        <f>IF(AG24="5",J24,0)</f>
        <v>0</v>
      </c>
      <c r="R24" s="28">
        <f>IF(AG24="1",H24,0)</f>
        <v>0</v>
      </c>
      <c r="S24" s="28">
        <f>IF(AG24="1",I24,0)</f>
        <v>0</v>
      </c>
      <c r="T24" s="28">
        <f>IF(AG24="7",H24,0)</f>
        <v>0</v>
      </c>
      <c r="U24" s="28">
        <f>IF(AG24="7",I24,0)</f>
        <v>0</v>
      </c>
      <c r="V24" s="28">
        <f>IF(AG24="2",H24,0)</f>
        <v>0</v>
      </c>
      <c r="W24" s="28">
        <f>IF(AG24="2",I24,0)</f>
        <v>0</v>
      </c>
      <c r="X24" s="28">
        <f>IF(AG24="0",J24,0)</f>
        <v>0</v>
      </c>
      <c r="Y24" s="136"/>
      <c r="Z24" s="39">
        <f>IF(AD24=0,J24,0)</f>
        <v>0</v>
      </c>
      <c r="AA24" s="39">
        <f>IF(AD24=15,J24,0)</f>
        <v>0</v>
      </c>
      <c r="AB24" s="39">
        <f>IF(AD24=21,J24,0)</f>
        <v>0</v>
      </c>
      <c r="AD24" s="28">
        <v>21</v>
      </c>
      <c r="AE24" s="28">
        <f>G24*0.508505084239252</f>
        <v>0</v>
      </c>
      <c r="AF24" s="28">
        <f>G24*(1-0.508505084239252)</f>
        <v>0</v>
      </c>
      <c r="AG24" s="42" t="s">
        <v>44</v>
      </c>
      <c r="AM24" s="28">
        <f>F24*AE24</f>
        <v>0</v>
      </c>
      <c r="AN24" s="28">
        <f>F24*AF24</f>
        <v>0</v>
      </c>
      <c r="AO24" s="46" t="s">
        <v>237</v>
      </c>
      <c r="AP24" s="46" t="s">
        <v>248</v>
      </c>
      <c r="AQ24" s="136" t="s">
        <v>252</v>
      </c>
      <c r="AR24" s="136" t="s">
        <v>254</v>
      </c>
      <c r="AS24" s="28">
        <f>AM24+AN24</f>
        <v>0</v>
      </c>
      <c r="AT24" s="28">
        <f>G24/(100-AU24)*100</f>
        <v>0</v>
      </c>
      <c r="AU24" s="28">
        <v>0</v>
      </c>
      <c r="AV24" s="28">
        <f>L24</f>
        <v>2.1872160000000003</v>
      </c>
    </row>
    <row r="25" spans="1:48" ht="12.75">
      <c r="A25" s="33" t="s">
        <v>48</v>
      </c>
      <c r="B25" s="33"/>
      <c r="C25" s="33" t="s">
        <v>80</v>
      </c>
      <c r="D25" s="33" t="s">
        <v>112</v>
      </c>
      <c r="E25" s="33" t="s">
        <v>136</v>
      </c>
      <c r="F25" s="39">
        <v>80</v>
      </c>
      <c r="G25" s="39">
        <v>0</v>
      </c>
      <c r="H25" s="39">
        <f>F25*AE25</f>
        <v>0</v>
      </c>
      <c r="I25" s="39">
        <f>J25-H25</f>
        <v>0</v>
      </c>
      <c r="J25" s="39">
        <f>F25*G25</f>
        <v>0</v>
      </c>
      <c r="K25" s="39">
        <v>0.03819</v>
      </c>
      <c r="L25" s="39">
        <f>F25*K25</f>
        <v>3.0552</v>
      </c>
      <c r="M25" s="42" t="s">
        <v>145</v>
      </c>
      <c r="P25" s="28">
        <f>IF(AG25="5",J25,0)</f>
        <v>0</v>
      </c>
      <c r="R25" s="28">
        <f>IF(AG25="1",H25,0)</f>
        <v>0</v>
      </c>
      <c r="S25" s="28">
        <f>IF(AG25="1",I25,0)</f>
        <v>0</v>
      </c>
      <c r="T25" s="28">
        <f>IF(AG25="7",H25,0)</f>
        <v>0</v>
      </c>
      <c r="U25" s="28">
        <f>IF(AG25="7",I25,0)</f>
        <v>0</v>
      </c>
      <c r="V25" s="28">
        <f>IF(AG25="2",H25,0)</f>
        <v>0</v>
      </c>
      <c r="W25" s="28">
        <f>IF(AG25="2",I25,0)</f>
        <v>0</v>
      </c>
      <c r="X25" s="28">
        <f>IF(AG25="0",J25,0)</f>
        <v>0</v>
      </c>
      <c r="Y25" s="136"/>
      <c r="Z25" s="39">
        <f>IF(AD25=0,J25,0)</f>
        <v>0</v>
      </c>
      <c r="AA25" s="39">
        <f>IF(AD25=15,J25,0)</f>
        <v>0</v>
      </c>
      <c r="AB25" s="39">
        <f>IF(AD25=21,J25,0)</f>
        <v>0</v>
      </c>
      <c r="AD25" s="28">
        <v>21</v>
      </c>
      <c r="AE25" s="28">
        <f>G25*0.546546990496304</f>
        <v>0</v>
      </c>
      <c r="AF25" s="28">
        <f>G25*(1-0.546546990496304)</f>
        <v>0</v>
      </c>
      <c r="AG25" s="42" t="s">
        <v>44</v>
      </c>
      <c r="AM25" s="28">
        <f>F25*AE25</f>
        <v>0</v>
      </c>
      <c r="AN25" s="28">
        <f>F25*AF25</f>
        <v>0</v>
      </c>
      <c r="AO25" s="46" t="s">
        <v>237</v>
      </c>
      <c r="AP25" s="46" t="s">
        <v>248</v>
      </c>
      <c r="AQ25" s="136" t="s">
        <v>252</v>
      </c>
      <c r="AR25" s="136" t="s">
        <v>254</v>
      </c>
      <c r="AS25" s="28">
        <f>AM25+AN25</f>
        <v>0</v>
      </c>
      <c r="AT25" s="28">
        <f>G25/(100-AU25)*100</f>
        <v>0</v>
      </c>
      <c r="AU25" s="28">
        <v>0</v>
      </c>
      <c r="AV25" s="28">
        <f>L25</f>
        <v>3.0552</v>
      </c>
    </row>
    <row r="26" spans="1:37" ht="12.75">
      <c r="A26" s="119"/>
      <c r="B26" s="54"/>
      <c r="C26" s="54" t="s">
        <v>10</v>
      </c>
      <c r="D26" s="54" t="s">
        <v>21</v>
      </c>
      <c r="E26" s="119" t="s">
        <v>212</v>
      </c>
      <c r="F26" s="119" t="s">
        <v>212</v>
      </c>
      <c r="G26" s="119" t="s">
        <v>212</v>
      </c>
      <c r="H26" s="66">
        <f>SUM(H27:H38)</f>
        <v>0</v>
      </c>
      <c r="I26" s="66">
        <f>SUM(I27:I38)</f>
        <v>0</v>
      </c>
      <c r="J26" s="66">
        <f>H26+I26</f>
        <v>0</v>
      </c>
      <c r="K26" s="136"/>
      <c r="L26" s="66">
        <f>SUM(L27:L38)</f>
        <v>4.6954796000000005</v>
      </c>
      <c r="M26" s="136"/>
      <c r="Y26" s="136"/>
      <c r="AI26" s="66">
        <f>SUM(Z27:Z38)</f>
        <v>0</v>
      </c>
      <c r="AJ26" s="66">
        <f>SUM(AA27:AA38)</f>
        <v>0</v>
      </c>
      <c r="AK26" s="66">
        <f>SUM(AB27:AB38)</f>
        <v>0</v>
      </c>
    </row>
    <row r="27" spans="1:48" ht="12.75">
      <c r="A27" s="33" t="s">
        <v>49</v>
      </c>
      <c r="B27" s="33"/>
      <c r="C27" s="33" t="s">
        <v>81</v>
      </c>
      <c r="D27" s="33" t="s">
        <v>113</v>
      </c>
      <c r="E27" s="33" t="s">
        <v>136</v>
      </c>
      <c r="F27" s="39">
        <v>76.62</v>
      </c>
      <c r="G27" s="39">
        <v>0</v>
      </c>
      <c r="H27" s="39">
        <f>F27*AE27</f>
        <v>0</v>
      </c>
      <c r="I27" s="39">
        <f>J27-H27</f>
        <v>0</v>
      </c>
      <c r="J27" s="39">
        <f>F27*G27</f>
        <v>0</v>
      </c>
      <c r="K27" s="39">
        <v>0.00326</v>
      </c>
      <c r="L27" s="39">
        <f>F27*K27</f>
        <v>0.2497812</v>
      </c>
      <c r="M27" s="42" t="s">
        <v>145</v>
      </c>
      <c r="P27" s="28">
        <f>IF(AG27="5",J27,0)</f>
        <v>0</v>
      </c>
      <c r="R27" s="28">
        <f>IF(AG27="1",H27,0)</f>
        <v>0</v>
      </c>
      <c r="S27" s="28">
        <f>IF(AG27="1",I27,0)</f>
        <v>0</v>
      </c>
      <c r="T27" s="28">
        <f>IF(AG27="7",H27,0)</f>
        <v>0</v>
      </c>
      <c r="U27" s="28">
        <f>IF(AG27="7",I27,0)</f>
        <v>0</v>
      </c>
      <c r="V27" s="28">
        <f>IF(AG27="2",H27,0)</f>
        <v>0</v>
      </c>
      <c r="W27" s="28">
        <f>IF(AG27="2",I27,0)</f>
        <v>0</v>
      </c>
      <c r="X27" s="28">
        <f>IF(AG27="0",J27,0)</f>
        <v>0</v>
      </c>
      <c r="Y27" s="136"/>
      <c r="Z27" s="39">
        <f>IF(AD27=0,J27,0)</f>
        <v>0</v>
      </c>
      <c r="AA27" s="39">
        <f>IF(AD27=15,J27,0)</f>
        <v>0</v>
      </c>
      <c r="AB27" s="39">
        <f>IF(AD27=21,J27,0)</f>
        <v>0</v>
      </c>
      <c r="AD27" s="28">
        <v>21</v>
      </c>
      <c r="AE27" s="28">
        <f>G27*0</f>
        <v>0</v>
      </c>
      <c r="AF27" s="28">
        <f>G27*(1-0)</f>
        <v>0</v>
      </c>
      <c r="AG27" s="42" t="s">
        <v>44</v>
      </c>
      <c r="AM27" s="28">
        <f>F27*AE27</f>
        <v>0</v>
      </c>
      <c r="AN27" s="28">
        <f>F27*AF27</f>
        <v>0</v>
      </c>
      <c r="AO27" s="46" t="s">
        <v>238</v>
      </c>
      <c r="AP27" s="46" t="s">
        <v>248</v>
      </c>
      <c r="AQ27" s="136" t="s">
        <v>252</v>
      </c>
      <c r="AR27" s="136" t="s">
        <v>255</v>
      </c>
      <c r="AS27" s="28">
        <f>AM27+AN27</f>
        <v>0</v>
      </c>
      <c r="AT27" s="28">
        <f>G27/(100-AU27)*100</f>
        <v>0</v>
      </c>
      <c r="AU27" s="28">
        <v>0</v>
      </c>
      <c r="AV27" s="28">
        <f>L27</f>
        <v>0.2497812</v>
      </c>
    </row>
    <row r="28" spans="1:48" ht="12.75">
      <c r="A28" s="33" t="s">
        <v>50</v>
      </c>
      <c r="B28" s="33"/>
      <c r="C28" s="33" t="s">
        <v>82</v>
      </c>
      <c r="D28" s="33" t="s">
        <v>114</v>
      </c>
      <c r="E28" s="33" t="s">
        <v>135</v>
      </c>
      <c r="F28" s="39">
        <v>3</v>
      </c>
      <c r="G28" s="39">
        <v>0</v>
      </c>
      <c r="H28" s="39">
        <f>F28*AE28</f>
        <v>0</v>
      </c>
      <c r="I28" s="39">
        <f>J28-H28</f>
        <v>0</v>
      </c>
      <c r="J28" s="39">
        <f>F28*G28</f>
        <v>0</v>
      </c>
      <c r="K28" s="39">
        <v>0.00585</v>
      </c>
      <c r="L28" s="39">
        <f>F28*K28</f>
        <v>0.01755</v>
      </c>
      <c r="M28" s="42" t="s">
        <v>145</v>
      </c>
      <c r="P28" s="28">
        <f>IF(AG28="5",J28,0)</f>
        <v>0</v>
      </c>
      <c r="R28" s="28">
        <f>IF(AG28="1",H28,0)</f>
        <v>0</v>
      </c>
      <c r="S28" s="28">
        <f>IF(AG28="1",I28,0)</f>
        <v>0</v>
      </c>
      <c r="T28" s="28">
        <f>IF(AG28="7",H28,0)</f>
        <v>0</v>
      </c>
      <c r="U28" s="28">
        <f>IF(AG28="7",I28,0)</f>
        <v>0</v>
      </c>
      <c r="V28" s="28">
        <f>IF(AG28="2",H28,0)</f>
        <v>0</v>
      </c>
      <c r="W28" s="28">
        <f>IF(AG28="2",I28,0)</f>
        <v>0</v>
      </c>
      <c r="X28" s="28">
        <f>IF(AG28="0",J28,0)</f>
        <v>0</v>
      </c>
      <c r="Y28" s="136"/>
      <c r="Z28" s="39">
        <f>IF(AD28=0,J28,0)</f>
        <v>0</v>
      </c>
      <c r="AA28" s="39">
        <f>IF(AD28=15,J28,0)</f>
        <v>0</v>
      </c>
      <c r="AB28" s="39">
        <f>IF(AD28=21,J28,0)</f>
        <v>0</v>
      </c>
      <c r="AD28" s="28">
        <v>21</v>
      </c>
      <c r="AE28" s="28">
        <f>G28*0</f>
        <v>0</v>
      </c>
      <c r="AF28" s="28">
        <f>G28*(1-0)</f>
        <v>0</v>
      </c>
      <c r="AG28" s="42" t="s">
        <v>44</v>
      </c>
      <c r="AM28" s="28">
        <f>F28*AE28</f>
        <v>0</v>
      </c>
      <c r="AN28" s="28">
        <f>F28*AF28</f>
        <v>0</v>
      </c>
      <c r="AO28" s="46" t="s">
        <v>238</v>
      </c>
      <c r="AP28" s="46" t="s">
        <v>248</v>
      </c>
      <c r="AQ28" s="136" t="s">
        <v>252</v>
      </c>
      <c r="AR28" s="136" t="s">
        <v>255</v>
      </c>
      <c r="AS28" s="28">
        <f>AM28+AN28</f>
        <v>0</v>
      </c>
      <c r="AT28" s="28">
        <f>G28/(100-AU28)*100</f>
        <v>0</v>
      </c>
      <c r="AU28" s="28">
        <v>0</v>
      </c>
      <c r="AV28" s="28">
        <f>L28</f>
        <v>0.01755</v>
      </c>
    </row>
    <row r="29" spans="1:48" ht="12.75">
      <c r="A29" s="33" t="s">
        <v>51</v>
      </c>
      <c r="B29" s="33"/>
      <c r="C29" s="33" t="s">
        <v>83</v>
      </c>
      <c r="D29" s="33" t="s">
        <v>115</v>
      </c>
      <c r="E29" s="33" t="s">
        <v>136</v>
      </c>
      <c r="F29" s="39">
        <v>76.62</v>
      </c>
      <c r="G29" s="39">
        <v>0</v>
      </c>
      <c r="H29" s="39">
        <f>F29*AE29</f>
        <v>0</v>
      </c>
      <c r="I29" s="39">
        <f>J29-H29</f>
        <v>0</v>
      </c>
      <c r="J29" s="39">
        <f>F29*G29</f>
        <v>0</v>
      </c>
      <c r="K29" s="39">
        <v>0.00482</v>
      </c>
      <c r="L29" s="39">
        <f>F29*K29</f>
        <v>0.3693084</v>
      </c>
      <c r="M29" s="42" t="s">
        <v>145</v>
      </c>
      <c r="P29" s="28">
        <f>IF(AG29="5",J29,0)</f>
        <v>0</v>
      </c>
      <c r="R29" s="28">
        <f>IF(AG29="1",H29,0)</f>
        <v>0</v>
      </c>
      <c r="S29" s="28">
        <f>IF(AG29="1",I29,0)</f>
        <v>0</v>
      </c>
      <c r="T29" s="28">
        <f>IF(AG29="7",H29,0)</f>
        <v>0</v>
      </c>
      <c r="U29" s="28">
        <f>IF(AG29="7",I29,0)</f>
        <v>0</v>
      </c>
      <c r="V29" s="28">
        <f>IF(AG29="2",H29,0)</f>
        <v>0</v>
      </c>
      <c r="W29" s="28">
        <f>IF(AG29="2",I29,0)</f>
        <v>0</v>
      </c>
      <c r="X29" s="28">
        <f>IF(AG29="0",J29,0)</f>
        <v>0</v>
      </c>
      <c r="Y29" s="136"/>
      <c r="Z29" s="39">
        <f>IF(AD29=0,J29,0)</f>
        <v>0</v>
      </c>
      <c r="AA29" s="39">
        <f>IF(AD29=15,J29,0)</f>
        <v>0</v>
      </c>
      <c r="AB29" s="39">
        <f>IF(AD29=21,J29,0)</f>
        <v>0</v>
      </c>
      <c r="AD29" s="28">
        <v>21</v>
      </c>
      <c r="AE29" s="28">
        <f>G29*0.309704749679076</f>
        <v>0</v>
      </c>
      <c r="AF29" s="28">
        <f>G29*(1-0.309704749679076)</f>
        <v>0</v>
      </c>
      <c r="AG29" s="42" t="s">
        <v>44</v>
      </c>
      <c r="AM29" s="28">
        <f>F29*AE29</f>
        <v>0</v>
      </c>
      <c r="AN29" s="28">
        <f>F29*AF29</f>
        <v>0</v>
      </c>
      <c r="AO29" s="46" t="s">
        <v>238</v>
      </c>
      <c r="AP29" s="46" t="s">
        <v>248</v>
      </c>
      <c r="AQ29" s="136" t="s">
        <v>252</v>
      </c>
      <c r="AR29" s="136" t="s">
        <v>255</v>
      </c>
      <c r="AS29" s="28">
        <f>AM29+AN29</f>
        <v>0</v>
      </c>
      <c r="AT29" s="28">
        <f>G29/(100-AU29)*100</f>
        <v>0</v>
      </c>
      <c r="AU29" s="28">
        <v>0</v>
      </c>
      <c r="AV29" s="28">
        <f>L29</f>
        <v>0.3693084</v>
      </c>
    </row>
    <row r="30" spans="1:48" ht="12.75">
      <c r="A30" s="33" t="s">
        <v>52</v>
      </c>
      <c r="B30" s="33"/>
      <c r="C30" s="33" t="s">
        <v>84</v>
      </c>
      <c r="D30" s="33" t="s">
        <v>116</v>
      </c>
      <c r="E30" s="33" t="s">
        <v>135</v>
      </c>
      <c r="F30" s="39">
        <v>606.6</v>
      </c>
      <c r="G30" s="39">
        <v>0</v>
      </c>
      <c r="H30" s="39">
        <f>F30*AE30</f>
        <v>0</v>
      </c>
      <c r="I30" s="39">
        <f>J30-H30</f>
        <v>0</v>
      </c>
      <c r="J30" s="39">
        <f>F30*G30</f>
        <v>0</v>
      </c>
      <c r="K30" s="39">
        <v>0</v>
      </c>
      <c r="L30" s="39">
        <f>F30*K30</f>
        <v>0</v>
      </c>
      <c r="M30" s="42" t="s">
        <v>145</v>
      </c>
      <c r="P30" s="28">
        <f>IF(AG30="5",J30,0)</f>
        <v>0</v>
      </c>
      <c r="R30" s="28">
        <f>IF(AG30="1",H30,0)</f>
        <v>0</v>
      </c>
      <c r="S30" s="28">
        <f>IF(AG30="1",I30,0)</f>
        <v>0</v>
      </c>
      <c r="T30" s="28">
        <f>IF(AG30="7",H30,0)</f>
        <v>0</v>
      </c>
      <c r="U30" s="28">
        <f>IF(AG30="7",I30,0)</f>
        <v>0</v>
      </c>
      <c r="V30" s="28">
        <f>IF(AG30="2",H30,0)</f>
        <v>0</v>
      </c>
      <c r="W30" s="28">
        <f>IF(AG30="2",I30,0)</f>
        <v>0</v>
      </c>
      <c r="X30" s="28">
        <f>IF(AG30="0",J30,0)</f>
        <v>0</v>
      </c>
      <c r="Y30" s="136"/>
      <c r="Z30" s="39">
        <f>IF(AD30=0,J30,0)</f>
        <v>0</v>
      </c>
      <c r="AA30" s="39">
        <f>IF(AD30=15,J30,0)</f>
        <v>0</v>
      </c>
      <c r="AB30" s="39">
        <f>IF(AD30=21,J30,0)</f>
        <v>0</v>
      </c>
      <c r="AD30" s="28">
        <v>21</v>
      </c>
      <c r="AE30" s="28">
        <f>G30*0</f>
        <v>0</v>
      </c>
      <c r="AF30" s="28">
        <f>G30*(1-0)</f>
        <v>0</v>
      </c>
      <c r="AG30" s="42" t="s">
        <v>44</v>
      </c>
      <c r="AM30" s="28">
        <f>F30*AE30</f>
        <v>0</v>
      </c>
      <c r="AN30" s="28">
        <f>F30*AF30</f>
        <v>0</v>
      </c>
      <c r="AO30" s="46" t="s">
        <v>238</v>
      </c>
      <c r="AP30" s="46" t="s">
        <v>248</v>
      </c>
      <c r="AQ30" s="136" t="s">
        <v>252</v>
      </c>
      <c r="AR30" s="136" t="s">
        <v>255</v>
      </c>
      <c r="AS30" s="28">
        <f>AM30+AN30</f>
        <v>0</v>
      </c>
      <c r="AT30" s="28">
        <f>G30/(100-AU30)*100</f>
        <v>0</v>
      </c>
      <c r="AU30" s="28">
        <v>0</v>
      </c>
      <c r="AV30" s="28">
        <f>L30</f>
        <v>0</v>
      </c>
    </row>
    <row r="31" spans="1:48" ht="12.75">
      <c r="A31" s="33" t="s">
        <v>53</v>
      </c>
      <c r="B31" s="33"/>
      <c r="C31" s="33" t="s">
        <v>85</v>
      </c>
      <c r="D31" s="33" t="s">
        <v>117</v>
      </c>
      <c r="E31" s="33" t="s">
        <v>135</v>
      </c>
      <c r="F31" s="39">
        <v>606.6</v>
      </c>
      <c r="G31" s="39">
        <v>0</v>
      </c>
      <c r="H31" s="39">
        <f>F31*AE31</f>
        <v>0</v>
      </c>
      <c r="I31" s="39">
        <f>J31-H31</f>
        <v>0</v>
      </c>
      <c r="J31" s="39">
        <f>F31*G31</f>
        <v>0</v>
      </c>
      <c r="K31" s="39">
        <v>0</v>
      </c>
      <c r="L31" s="39">
        <f>F31*K31</f>
        <v>0</v>
      </c>
      <c r="M31" s="42" t="s">
        <v>145</v>
      </c>
      <c r="P31" s="28">
        <f>IF(AG31="5",J31,0)</f>
        <v>0</v>
      </c>
      <c r="R31" s="28">
        <f>IF(AG31="1",H31,0)</f>
        <v>0</v>
      </c>
      <c r="S31" s="28">
        <f>IF(AG31="1",I31,0)</f>
        <v>0</v>
      </c>
      <c r="T31" s="28">
        <f>IF(AG31="7",H31,0)</f>
        <v>0</v>
      </c>
      <c r="U31" s="28">
        <f>IF(AG31="7",I31,0)</f>
        <v>0</v>
      </c>
      <c r="V31" s="28">
        <f>IF(AG31="2",H31,0)</f>
        <v>0</v>
      </c>
      <c r="W31" s="28">
        <f>IF(AG31="2",I31,0)</f>
        <v>0</v>
      </c>
      <c r="X31" s="28">
        <f>IF(AG31="0",J31,0)</f>
        <v>0</v>
      </c>
      <c r="Y31" s="136"/>
      <c r="Z31" s="39">
        <f>IF(AD31=0,J31,0)</f>
        <v>0</v>
      </c>
      <c r="AA31" s="39">
        <f>IF(AD31=15,J31,0)</f>
        <v>0</v>
      </c>
      <c r="AB31" s="39">
        <f>IF(AD31=21,J31,0)</f>
        <v>0</v>
      </c>
      <c r="AD31" s="28">
        <v>21</v>
      </c>
      <c r="AE31" s="28">
        <f>G31*0</f>
        <v>0</v>
      </c>
      <c r="AF31" s="28">
        <f>G31*(1-0)</f>
        <v>0</v>
      </c>
      <c r="AG31" s="42" t="s">
        <v>44</v>
      </c>
      <c r="AM31" s="28">
        <f>F31*AE31</f>
        <v>0</v>
      </c>
      <c r="AN31" s="28">
        <f>F31*AF31</f>
        <v>0</v>
      </c>
      <c r="AO31" s="46" t="s">
        <v>238</v>
      </c>
      <c r="AP31" s="46" t="s">
        <v>248</v>
      </c>
      <c r="AQ31" s="136" t="s">
        <v>252</v>
      </c>
      <c r="AR31" s="136" t="s">
        <v>255</v>
      </c>
      <c r="AS31" s="28">
        <f>AM31+AN31</f>
        <v>0</v>
      </c>
      <c r="AT31" s="28">
        <f>G31/(100-AU31)*100</f>
        <v>0</v>
      </c>
      <c r="AU31" s="28">
        <v>0</v>
      </c>
      <c r="AV31" s="28">
        <f>L31</f>
        <v>0</v>
      </c>
    </row>
    <row r="32" spans="1:48" ht="12.75">
      <c r="A32" s="33" t="s">
        <v>54</v>
      </c>
      <c r="B32" s="33"/>
      <c r="C32" s="33" t="s">
        <v>86</v>
      </c>
      <c r="D32" s="33" t="s">
        <v>118</v>
      </c>
      <c r="E32" s="33" t="s">
        <v>136</v>
      </c>
      <c r="F32" s="39">
        <v>24</v>
      </c>
      <c r="G32" s="39">
        <v>0</v>
      </c>
      <c r="H32" s="39">
        <f>F32*AE32</f>
        <v>0</v>
      </c>
      <c r="I32" s="39">
        <f>J32-H32</f>
        <v>0</v>
      </c>
      <c r="J32" s="39">
        <f>F32*G32</f>
        <v>0</v>
      </c>
      <c r="K32" s="39">
        <v>0</v>
      </c>
      <c r="L32" s="39">
        <f>F32*K32</f>
        <v>0</v>
      </c>
      <c r="M32" s="42" t="s">
        <v>145</v>
      </c>
      <c r="P32" s="28">
        <f>IF(AG32="5",J32,0)</f>
        <v>0</v>
      </c>
      <c r="R32" s="28">
        <f>IF(AG32="1",H32,0)</f>
        <v>0</v>
      </c>
      <c r="S32" s="28">
        <f>IF(AG32="1",I32,0)</f>
        <v>0</v>
      </c>
      <c r="T32" s="28">
        <f>IF(AG32="7",H32,0)</f>
        <v>0</v>
      </c>
      <c r="U32" s="28">
        <f>IF(AG32="7",I32,0)</f>
        <v>0</v>
      </c>
      <c r="V32" s="28">
        <f>IF(AG32="2",H32,0)</f>
        <v>0</v>
      </c>
      <c r="W32" s="28">
        <f>IF(AG32="2",I32,0)</f>
        <v>0</v>
      </c>
      <c r="X32" s="28">
        <f>IF(AG32="0",J32,0)</f>
        <v>0</v>
      </c>
      <c r="Y32" s="136"/>
      <c r="Z32" s="39">
        <f>IF(AD32=0,J32,0)</f>
        <v>0</v>
      </c>
      <c r="AA32" s="39">
        <f>IF(AD32=15,J32,0)</f>
        <v>0</v>
      </c>
      <c r="AB32" s="39">
        <f>IF(AD32=21,J32,0)</f>
        <v>0</v>
      </c>
      <c r="AD32" s="28">
        <v>21</v>
      </c>
      <c r="AE32" s="28">
        <f>G32*0</f>
        <v>0</v>
      </c>
      <c r="AF32" s="28">
        <f>G32*(1-0)</f>
        <v>0</v>
      </c>
      <c r="AG32" s="42" t="s">
        <v>44</v>
      </c>
      <c r="AM32" s="28">
        <f>F32*AE32</f>
        <v>0</v>
      </c>
      <c r="AN32" s="28">
        <f>F32*AF32</f>
        <v>0</v>
      </c>
      <c r="AO32" s="46" t="s">
        <v>238</v>
      </c>
      <c r="AP32" s="46" t="s">
        <v>248</v>
      </c>
      <c r="AQ32" s="136" t="s">
        <v>252</v>
      </c>
      <c r="AR32" s="136" t="s">
        <v>255</v>
      </c>
      <c r="AS32" s="28">
        <f>AM32+AN32</f>
        <v>0</v>
      </c>
      <c r="AT32" s="28">
        <f>G32/(100-AU32)*100</f>
        <v>0</v>
      </c>
      <c r="AU32" s="28">
        <v>0</v>
      </c>
      <c r="AV32" s="28">
        <f>L32</f>
        <v>0</v>
      </c>
    </row>
    <row r="33" spans="1:48" ht="12.75">
      <c r="A33" s="33" t="s">
        <v>55</v>
      </c>
      <c r="B33" s="33"/>
      <c r="C33" s="33" t="s">
        <v>87</v>
      </c>
      <c r="D33" s="33" t="s">
        <v>119</v>
      </c>
      <c r="E33" s="33" t="s">
        <v>136</v>
      </c>
      <c r="F33" s="39">
        <v>40.3</v>
      </c>
      <c r="G33" s="39">
        <v>0</v>
      </c>
      <c r="H33" s="39">
        <f>F33*AE33</f>
        <v>0</v>
      </c>
      <c r="I33" s="39">
        <f>J33-H33</f>
        <v>0</v>
      </c>
      <c r="J33" s="39">
        <f>F33*G33</f>
        <v>0</v>
      </c>
      <c r="K33" s="39">
        <v>0</v>
      </c>
      <c r="L33" s="39">
        <f>F33*K33</f>
        <v>0</v>
      </c>
      <c r="M33" s="42" t="s">
        <v>145</v>
      </c>
      <c r="P33" s="28">
        <f>IF(AG33="5",J33,0)</f>
        <v>0</v>
      </c>
      <c r="R33" s="28">
        <f>IF(AG33="1",H33,0)</f>
        <v>0</v>
      </c>
      <c r="S33" s="28">
        <f>IF(AG33="1",I33,0)</f>
        <v>0</v>
      </c>
      <c r="T33" s="28">
        <f>IF(AG33="7",H33,0)</f>
        <v>0</v>
      </c>
      <c r="U33" s="28">
        <f>IF(AG33="7",I33,0)</f>
        <v>0</v>
      </c>
      <c r="V33" s="28">
        <f>IF(AG33="2",H33,0)</f>
        <v>0</v>
      </c>
      <c r="W33" s="28">
        <f>IF(AG33="2",I33,0)</f>
        <v>0</v>
      </c>
      <c r="X33" s="28">
        <f>IF(AG33="0",J33,0)</f>
        <v>0</v>
      </c>
      <c r="Y33" s="136"/>
      <c r="Z33" s="39">
        <f>IF(AD33=0,J33,0)</f>
        <v>0</v>
      </c>
      <c r="AA33" s="39">
        <f>IF(AD33=15,J33,0)</f>
        <v>0</v>
      </c>
      <c r="AB33" s="39">
        <f>IF(AD33=21,J33,0)</f>
        <v>0</v>
      </c>
      <c r="AD33" s="28">
        <v>21</v>
      </c>
      <c r="AE33" s="28">
        <f>G33*0</f>
        <v>0</v>
      </c>
      <c r="AF33" s="28">
        <f>G33*(1-0)</f>
        <v>0</v>
      </c>
      <c r="AG33" s="42" t="s">
        <v>44</v>
      </c>
      <c r="AM33" s="28">
        <f>F33*AE33</f>
        <v>0</v>
      </c>
      <c r="AN33" s="28">
        <f>F33*AF33</f>
        <v>0</v>
      </c>
      <c r="AO33" s="46" t="s">
        <v>238</v>
      </c>
      <c r="AP33" s="46" t="s">
        <v>248</v>
      </c>
      <c r="AQ33" s="136" t="s">
        <v>252</v>
      </c>
      <c r="AR33" s="136" t="s">
        <v>255</v>
      </c>
      <c r="AS33" s="28">
        <f>AM33+AN33</f>
        <v>0</v>
      </c>
      <c r="AT33" s="28">
        <f>G33/(100-AU33)*100</f>
        <v>0</v>
      </c>
      <c r="AU33" s="28">
        <v>0</v>
      </c>
      <c r="AV33" s="28">
        <f>L33</f>
        <v>0</v>
      </c>
    </row>
    <row r="34" spans="1:48" ht="12.75">
      <c r="A34" s="33" t="s">
        <v>56</v>
      </c>
      <c r="B34" s="33"/>
      <c r="C34" s="33" t="s">
        <v>88</v>
      </c>
      <c r="D34" s="33" t="s">
        <v>120</v>
      </c>
      <c r="E34" s="33" t="s">
        <v>135</v>
      </c>
      <c r="F34" s="39">
        <v>637</v>
      </c>
      <c r="G34" s="39">
        <v>0</v>
      </c>
      <c r="H34" s="39">
        <f>F34*AE34</f>
        <v>0</v>
      </c>
      <c r="I34" s="39">
        <f>J34-H34</f>
        <v>0</v>
      </c>
      <c r="J34" s="39">
        <f>F34*G34</f>
        <v>0</v>
      </c>
      <c r="K34" s="39">
        <v>0.0057</v>
      </c>
      <c r="L34" s="39">
        <f>F34*K34</f>
        <v>3.6309</v>
      </c>
      <c r="M34" s="42" t="s">
        <v>145</v>
      </c>
      <c r="P34" s="28">
        <f>IF(AG34="5",J34,0)</f>
        <v>0</v>
      </c>
      <c r="R34" s="28">
        <f>IF(AG34="1",H34,0)</f>
        <v>0</v>
      </c>
      <c r="S34" s="28">
        <f>IF(AG34="1",I34,0)</f>
        <v>0</v>
      </c>
      <c r="T34" s="28">
        <f>IF(AG34="7",H34,0)</f>
        <v>0</v>
      </c>
      <c r="U34" s="28">
        <f>IF(AG34="7",I34,0)</f>
        <v>0</v>
      </c>
      <c r="V34" s="28">
        <f>IF(AG34="2",H34,0)</f>
        <v>0</v>
      </c>
      <c r="W34" s="28">
        <f>IF(AG34="2",I34,0)</f>
        <v>0</v>
      </c>
      <c r="X34" s="28">
        <f>IF(AG34="0",J34,0)</f>
        <v>0</v>
      </c>
      <c r="Y34" s="136"/>
      <c r="Z34" s="39">
        <f>IF(AD34=0,J34,0)</f>
        <v>0</v>
      </c>
      <c r="AA34" s="39">
        <f>IF(AD34=15,J34,0)</f>
        <v>0</v>
      </c>
      <c r="AB34" s="39">
        <f>IF(AD34=21,J34,0)</f>
        <v>0</v>
      </c>
      <c r="AD34" s="28">
        <v>21</v>
      </c>
      <c r="AE34" s="28">
        <f>G34*0.713193149945123</f>
        <v>0</v>
      </c>
      <c r="AF34" s="28">
        <f>G34*(1-0.713193149945123)</f>
        <v>0</v>
      </c>
      <c r="AG34" s="42" t="s">
        <v>44</v>
      </c>
      <c r="AM34" s="28">
        <f>F34*AE34</f>
        <v>0</v>
      </c>
      <c r="AN34" s="28">
        <f>F34*AF34</f>
        <v>0</v>
      </c>
      <c r="AO34" s="46" t="s">
        <v>238</v>
      </c>
      <c r="AP34" s="46" t="s">
        <v>248</v>
      </c>
      <c r="AQ34" s="136" t="s">
        <v>252</v>
      </c>
      <c r="AR34" s="136" t="s">
        <v>255</v>
      </c>
      <c r="AS34" s="28">
        <f>AM34+AN34</f>
        <v>0</v>
      </c>
      <c r="AT34" s="28">
        <f>G34/(100-AU34)*100</f>
        <v>0</v>
      </c>
      <c r="AU34" s="28">
        <v>0</v>
      </c>
      <c r="AV34" s="28">
        <f>L34</f>
        <v>3.6309</v>
      </c>
    </row>
    <row r="35" spans="1:48" ht="12.75">
      <c r="A35" s="33" t="s">
        <v>57</v>
      </c>
      <c r="B35" s="33"/>
      <c r="C35" s="33" t="s">
        <v>89</v>
      </c>
      <c r="D35" s="33" t="s">
        <v>121</v>
      </c>
      <c r="E35" s="33" t="s">
        <v>138</v>
      </c>
      <c r="F35" s="39">
        <v>19</v>
      </c>
      <c r="G35" s="39">
        <v>0</v>
      </c>
      <c r="H35" s="39">
        <f>F35*AE35</f>
        <v>0</v>
      </c>
      <c r="I35" s="39">
        <f>J35-H35</f>
        <v>0</v>
      </c>
      <c r="J35" s="39">
        <f>F35*G35</f>
        <v>0</v>
      </c>
      <c r="K35" s="39">
        <v>0.0104</v>
      </c>
      <c r="L35" s="39">
        <f>F35*K35</f>
        <v>0.1976</v>
      </c>
      <c r="M35" s="42" t="s">
        <v>145</v>
      </c>
      <c r="P35" s="28">
        <f>IF(AG35="5",J35,0)</f>
        <v>0</v>
      </c>
      <c r="R35" s="28">
        <f>IF(AG35="1",H35,0)</f>
        <v>0</v>
      </c>
      <c r="S35" s="28">
        <f>IF(AG35="1",I35,0)</f>
        <v>0</v>
      </c>
      <c r="T35" s="28">
        <f>IF(AG35="7",H35,0)</f>
        <v>0</v>
      </c>
      <c r="U35" s="28">
        <f>IF(AG35="7",I35,0)</f>
        <v>0</v>
      </c>
      <c r="V35" s="28">
        <f>IF(AG35="2",H35,0)</f>
        <v>0</v>
      </c>
      <c r="W35" s="28">
        <f>IF(AG35="2",I35,0)</f>
        <v>0</v>
      </c>
      <c r="X35" s="28">
        <f>IF(AG35="0",J35,0)</f>
        <v>0</v>
      </c>
      <c r="Y35" s="136"/>
      <c r="Z35" s="39">
        <f>IF(AD35=0,J35,0)</f>
        <v>0</v>
      </c>
      <c r="AA35" s="39">
        <f>IF(AD35=15,J35,0)</f>
        <v>0</v>
      </c>
      <c r="AB35" s="39">
        <f>IF(AD35=21,J35,0)</f>
        <v>0</v>
      </c>
      <c r="AD35" s="28">
        <v>21</v>
      </c>
      <c r="AE35" s="28">
        <f>G35*0.849965210943571</f>
        <v>0</v>
      </c>
      <c r="AF35" s="28">
        <f>G35*(1-0.849965210943571)</f>
        <v>0</v>
      </c>
      <c r="AG35" s="42" t="s">
        <v>44</v>
      </c>
      <c r="AM35" s="28">
        <f>F35*AE35</f>
        <v>0</v>
      </c>
      <c r="AN35" s="28">
        <f>F35*AF35</f>
        <v>0</v>
      </c>
      <c r="AO35" s="46" t="s">
        <v>238</v>
      </c>
      <c r="AP35" s="46" t="s">
        <v>248</v>
      </c>
      <c r="AQ35" s="136" t="s">
        <v>252</v>
      </c>
      <c r="AR35" s="136" t="s">
        <v>255</v>
      </c>
      <c r="AS35" s="28">
        <f>AM35+AN35</f>
        <v>0</v>
      </c>
      <c r="AT35" s="28">
        <f>G35/(100-AU35)*100</f>
        <v>0</v>
      </c>
      <c r="AU35" s="28">
        <v>0</v>
      </c>
      <c r="AV35" s="28">
        <f>L35</f>
        <v>0.1976</v>
      </c>
    </row>
    <row r="36" spans="1:48" ht="12.75">
      <c r="A36" s="33" t="s">
        <v>58</v>
      </c>
      <c r="B36" s="33"/>
      <c r="C36" s="33" t="s">
        <v>90</v>
      </c>
      <c r="D36" s="33" t="s">
        <v>122</v>
      </c>
      <c r="E36" s="33" t="s">
        <v>135</v>
      </c>
      <c r="F36" s="39">
        <v>6</v>
      </c>
      <c r="G36" s="39">
        <v>0</v>
      </c>
      <c r="H36" s="39">
        <f>F36*AE36</f>
        <v>0</v>
      </c>
      <c r="I36" s="39">
        <f>J36-H36</f>
        <v>0</v>
      </c>
      <c r="J36" s="39">
        <f>F36*G36</f>
        <v>0</v>
      </c>
      <c r="K36" s="39">
        <v>0.00535</v>
      </c>
      <c r="L36" s="39">
        <f>F36*K36</f>
        <v>0.0321</v>
      </c>
      <c r="M36" s="42" t="s">
        <v>145</v>
      </c>
      <c r="P36" s="28">
        <f>IF(AG36="5",J36,0)</f>
        <v>0</v>
      </c>
      <c r="R36" s="28">
        <f>IF(AG36="1",H36,0)</f>
        <v>0</v>
      </c>
      <c r="S36" s="28">
        <f>IF(AG36="1",I36,0)</f>
        <v>0</v>
      </c>
      <c r="T36" s="28">
        <f>IF(AG36="7",H36,0)</f>
        <v>0</v>
      </c>
      <c r="U36" s="28">
        <f>IF(AG36="7",I36,0)</f>
        <v>0</v>
      </c>
      <c r="V36" s="28">
        <f>IF(AG36="2",H36,0)</f>
        <v>0</v>
      </c>
      <c r="W36" s="28">
        <f>IF(AG36="2",I36,0)</f>
        <v>0</v>
      </c>
      <c r="X36" s="28">
        <f>IF(AG36="0",J36,0)</f>
        <v>0</v>
      </c>
      <c r="Y36" s="136"/>
      <c r="Z36" s="39">
        <f>IF(AD36=0,J36,0)</f>
        <v>0</v>
      </c>
      <c r="AA36" s="39">
        <f>IF(AD36=15,J36,0)</f>
        <v>0</v>
      </c>
      <c r="AB36" s="39">
        <f>IF(AD36=21,J36,0)</f>
        <v>0</v>
      </c>
      <c r="AD36" s="28">
        <v>21</v>
      </c>
      <c r="AE36" s="28">
        <f>G36*0.261071428571429</f>
        <v>0</v>
      </c>
      <c r="AF36" s="28">
        <f>G36*(1-0.261071428571429)</f>
        <v>0</v>
      </c>
      <c r="AG36" s="42" t="s">
        <v>44</v>
      </c>
      <c r="AM36" s="28">
        <f>F36*AE36</f>
        <v>0</v>
      </c>
      <c r="AN36" s="28">
        <f>F36*AF36</f>
        <v>0</v>
      </c>
      <c r="AO36" s="46" t="s">
        <v>238</v>
      </c>
      <c r="AP36" s="46" t="s">
        <v>248</v>
      </c>
      <c r="AQ36" s="136" t="s">
        <v>252</v>
      </c>
      <c r="AR36" s="136" t="s">
        <v>255</v>
      </c>
      <c r="AS36" s="28">
        <f>AM36+AN36</f>
        <v>0</v>
      </c>
      <c r="AT36" s="28">
        <f>G36/(100-AU36)*100</f>
        <v>0</v>
      </c>
      <c r="AU36" s="28">
        <v>0</v>
      </c>
      <c r="AV36" s="28">
        <f>L36</f>
        <v>0.0321</v>
      </c>
    </row>
    <row r="37" spans="1:48" ht="12.75">
      <c r="A37" s="33" t="s">
        <v>59</v>
      </c>
      <c r="B37" s="33"/>
      <c r="C37" s="33" t="s">
        <v>91</v>
      </c>
      <c r="D37" s="33" t="s">
        <v>123</v>
      </c>
      <c r="E37" s="33" t="s">
        <v>138</v>
      </c>
      <c r="F37" s="39">
        <v>76.62</v>
      </c>
      <c r="G37" s="39">
        <v>0</v>
      </c>
      <c r="H37" s="39">
        <f>F37*AE37</f>
        <v>0</v>
      </c>
      <c r="I37" s="39">
        <f>J37-H37</f>
        <v>0</v>
      </c>
      <c r="J37" s="39">
        <f>F37*G37</f>
        <v>0</v>
      </c>
      <c r="K37" s="39">
        <v>0</v>
      </c>
      <c r="L37" s="39">
        <f>F37*K37</f>
        <v>0</v>
      </c>
      <c r="M37" s="42" t="s">
        <v>145</v>
      </c>
      <c r="P37" s="28">
        <f>IF(AG37="5",J37,0)</f>
        <v>0</v>
      </c>
      <c r="R37" s="28">
        <f>IF(AG37="1",H37,0)</f>
        <v>0</v>
      </c>
      <c r="S37" s="28">
        <f>IF(AG37="1",I37,0)</f>
        <v>0</v>
      </c>
      <c r="T37" s="28">
        <f>IF(AG37="7",H37,0)</f>
        <v>0</v>
      </c>
      <c r="U37" s="28">
        <f>IF(AG37="7",I37,0)</f>
        <v>0</v>
      </c>
      <c r="V37" s="28">
        <f>IF(AG37="2",H37,0)</f>
        <v>0</v>
      </c>
      <c r="W37" s="28">
        <f>IF(AG37="2",I37,0)</f>
        <v>0</v>
      </c>
      <c r="X37" s="28">
        <f>IF(AG37="0",J37,0)</f>
        <v>0</v>
      </c>
      <c r="Y37" s="136"/>
      <c r="Z37" s="39">
        <f>IF(AD37=0,J37,0)</f>
        <v>0</v>
      </c>
      <c r="AA37" s="39">
        <f>IF(AD37=15,J37,0)</f>
        <v>0</v>
      </c>
      <c r="AB37" s="39">
        <f>IF(AD37=21,J37,0)</f>
        <v>0</v>
      </c>
      <c r="AD37" s="28">
        <v>21</v>
      </c>
      <c r="AE37" s="28">
        <f>G37*0.0498471743824512</f>
        <v>0</v>
      </c>
      <c r="AF37" s="28">
        <f>G37*(1-0.0498471743824512)</f>
        <v>0</v>
      </c>
      <c r="AG37" s="42" t="s">
        <v>44</v>
      </c>
      <c r="AM37" s="28">
        <f>F37*AE37</f>
        <v>0</v>
      </c>
      <c r="AN37" s="28">
        <f>F37*AF37</f>
        <v>0</v>
      </c>
      <c r="AO37" s="46" t="s">
        <v>238</v>
      </c>
      <c r="AP37" s="46" t="s">
        <v>248</v>
      </c>
      <c r="AQ37" s="136" t="s">
        <v>252</v>
      </c>
      <c r="AR37" s="136" t="s">
        <v>255</v>
      </c>
      <c r="AS37" s="28">
        <f>AM37+AN37</f>
        <v>0</v>
      </c>
      <c r="AT37" s="28">
        <f>G37/(100-AU37)*100</f>
        <v>0</v>
      </c>
      <c r="AU37" s="28">
        <v>0</v>
      </c>
      <c r="AV37" s="28">
        <f>L37</f>
        <v>0</v>
      </c>
    </row>
    <row r="38" spans="1:48" ht="12.75">
      <c r="A38" s="33" t="s">
        <v>60</v>
      </c>
      <c r="B38" s="33"/>
      <c r="C38" s="33" t="s">
        <v>92</v>
      </c>
      <c r="D38" s="33" t="s">
        <v>124</v>
      </c>
      <c r="E38" s="33" t="s">
        <v>136</v>
      </c>
      <c r="F38" s="39">
        <v>56</v>
      </c>
      <c r="G38" s="39">
        <v>0</v>
      </c>
      <c r="H38" s="39">
        <f>F38*AE38</f>
        <v>0</v>
      </c>
      <c r="I38" s="39">
        <f>J38-H38</f>
        <v>0</v>
      </c>
      <c r="J38" s="39">
        <f>F38*G38</f>
        <v>0</v>
      </c>
      <c r="K38" s="39">
        <v>0.00354</v>
      </c>
      <c r="L38" s="39">
        <f>F38*K38</f>
        <v>0.19824</v>
      </c>
      <c r="M38" s="42" t="s">
        <v>145</v>
      </c>
      <c r="P38" s="28">
        <f>IF(AG38="5",J38,0)</f>
        <v>0</v>
      </c>
      <c r="R38" s="28">
        <f>IF(AG38="1",H38,0)</f>
        <v>0</v>
      </c>
      <c r="S38" s="28">
        <f>IF(AG38="1",I38,0)</f>
        <v>0</v>
      </c>
      <c r="T38" s="28">
        <f>IF(AG38="7",H38,0)</f>
        <v>0</v>
      </c>
      <c r="U38" s="28">
        <f>IF(AG38="7",I38,0)</f>
        <v>0</v>
      </c>
      <c r="V38" s="28">
        <f>IF(AG38="2",H38,0)</f>
        <v>0</v>
      </c>
      <c r="W38" s="28">
        <f>IF(AG38="2",I38,0)</f>
        <v>0</v>
      </c>
      <c r="X38" s="28">
        <f>IF(AG38="0",J38,0)</f>
        <v>0</v>
      </c>
      <c r="Y38" s="136"/>
      <c r="Z38" s="39">
        <f>IF(AD38=0,J38,0)</f>
        <v>0</v>
      </c>
      <c r="AA38" s="39">
        <f>IF(AD38=15,J38,0)</f>
        <v>0</v>
      </c>
      <c r="AB38" s="39">
        <f>IF(AD38=21,J38,0)</f>
        <v>0</v>
      </c>
      <c r="AD38" s="28">
        <v>21</v>
      </c>
      <c r="AE38" s="28">
        <f>G38*0.786745005875441</f>
        <v>0</v>
      </c>
      <c r="AF38" s="28">
        <f>G38*(1-0.786745005875441)</f>
        <v>0</v>
      </c>
      <c r="AG38" s="42" t="s">
        <v>44</v>
      </c>
      <c r="AM38" s="28">
        <f>F38*AE38</f>
        <v>0</v>
      </c>
      <c r="AN38" s="28">
        <f>F38*AF38</f>
        <v>0</v>
      </c>
      <c r="AO38" s="46" t="s">
        <v>238</v>
      </c>
      <c r="AP38" s="46" t="s">
        <v>248</v>
      </c>
      <c r="AQ38" s="136" t="s">
        <v>252</v>
      </c>
      <c r="AR38" s="136" t="s">
        <v>255</v>
      </c>
      <c r="AS38" s="28">
        <f>AM38+AN38</f>
        <v>0</v>
      </c>
      <c r="AT38" s="28">
        <f>G38/(100-AU38)*100</f>
        <v>0</v>
      </c>
      <c r="AU38" s="28">
        <v>0</v>
      </c>
      <c r="AV38" s="28">
        <f>L38</f>
        <v>0.19824</v>
      </c>
    </row>
    <row r="39" spans="1:37" ht="12.75">
      <c r="A39" s="119"/>
      <c r="B39" s="54"/>
      <c r="C39" s="54" t="s">
        <v>11</v>
      </c>
      <c r="D39" s="54" t="s">
        <v>22</v>
      </c>
      <c r="E39" s="119" t="s">
        <v>212</v>
      </c>
      <c r="F39" s="119" t="s">
        <v>212</v>
      </c>
      <c r="G39" s="119" t="s">
        <v>212</v>
      </c>
      <c r="H39" s="66">
        <f>SUM(H40:H41)</f>
        <v>0</v>
      </c>
      <c r="I39" s="66">
        <f>SUM(I40:I41)</f>
        <v>0</v>
      </c>
      <c r="J39" s="66">
        <f>H39+I39</f>
        <v>0</v>
      </c>
      <c r="K39" s="136"/>
      <c r="L39" s="66">
        <f>SUM(L40:L41)</f>
        <v>11.015856</v>
      </c>
      <c r="M39" s="136"/>
      <c r="Y39" s="136"/>
      <c r="AI39" s="66">
        <f>SUM(Z40:Z41)</f>
        <v>0</v>
      </c>
      <c r="AJ39" s="66">
        <f>SUM(AA40:AA41)</f>
        <v>0</v>
      </c>
      <c r="AK39" s="66">
        <f>SUM(AB40:AB41)</f>
        <v>0</v>
      </c>
    </row>
    <row r="40" spans="1:48" ht="12.75">
      <c r="A40" s="33" t="s">
        <v>61</v>
      </c>
      <c r="B40" s="33"/>
      <c r="C40" s="33" t="s">
        <v>93</v>
      </c>
      <c r="D40" s="33" t="s">
        <v>125</v>
      </c>
      <c r="E40" s="33" t="s">
        <v>135</v>
      </c>
      <c r="F40" s="39">
        <v>606.6</v>
      </c>
      <c r="G40" s="39">
        <v>0</v>
      </c>
      <c r="H40" s="39">
        <f>F40*AE40</f>
        <v>0</v>
      </c>
      <c r="I40" s="39">
        <f>J40-H40</f>
        <v>0</v>
      </c>
      <c r="J40" s="39">
        <f>F40*G40</f>
        <v>0</v>
      </c>
      <c r="K40" s="39">
        <v>0.018</v>
      </c>
      <c r="L40" s="39">
        <f>F40*K40</f>
        <v>10.9188</v>
      </c>
      <c r="M40" s="42" t="s">
        <v>145</v>
      </c>
      <c r="P40" s="28">
        <f>IF(AG40="5",J40,0)</f>
        <v>0</v>
      </c>
      <c r="R40" s="28">
        <f>IF(AG40="1",H40,0)</f>
        <v>0</v>
      </c>
      <c r="S40" s="28">
        <f>IF(AG40="1",I40,0)</f>
        <v>0</v>
      </c>
      <c r="T40" s="28">
        <f>IF(AG40="7",H40,0)</f>
        <v>0</v>
      </c>
      <c r="U40" s="28">
        <f>IF(AG40="7",I40,0)</f>
        <v>0</v>
      </c>
      <c r="V40" s="28">
        <f>IF(AG40="2",H40,0)</f>
        <v>0</v>
      </c>
      <c r="W40" s="28">
        <f>IF(AG40="2",I40,0)</f>
        <v>0</v>
      </c>
      <c r="X40" s="28">
        <f>IF(AG40="0",J40,0)</f>
        <v>0</v>
      </c>
      <c r="Y40" s="136"/>
      <c r="Z40" s="39">
        <f>IF(AD40=0,J40,0)</f>
        <v>0</v>
      </c>
      <c r="AA40" s="39">
        <f>IF(AD40=15,J40,0)</f>
        <v>0</v>
      </c>
      <c r="AB40" s="39">
        <f>IF(AD40=21,J40,0)</f>
        <v>0</v>
      </c>
      <c r="AD40" s="28">
        <v>21</v>
      </c>
      <c r="AE40" s="28">
        <f>G40*0</f>
        <v>0</v>
      </c>
      <c r="AF40" s="28">
        <f>G40*(1-0)</f>
        <v>0</v>
      </c>
      <c r="AG40" s="42" t="s">
        <v>44</v>
      </c>
      <c r="AM40" s="28">
        <f>F40*AE40</f>
        <v>0</v>
      </c>
      <c r="AN40" s="28">
        <f>F40*AF40</f>
        <v>0</v>
      </c>
      <c r="AO40" s="46" t="s">
        <v>239</v>
      </c>
      <c r="AP40" s="46" t="s">
        <v>248</v>
      </c>
      <c r="AQ40" s="136" t="s">
        <v>252</v>
      </c>
      <c r="AR40" s="136" t="s">
        <v>256</v>
      </c>
      <c r="AS40" s="28">
        <f>AM40+AN40</f>
        <v>0</v>
      </c>
      <c r="AT40" s="28">
        <f>G40/(100-AU40)*100</f>
        <v>0</v>
      </c>
      <c r="AU40" s="28">
        <v>0</v>
      </c>
      <c r="AV40" s="28">
        <f>L40</f>
        <v>10.9188</v>
      </c>
    </row>
    <row r="41" spans="1:48" ht="12.75">
      <c r="A41" s="33" t="s">
        <v>62</v>
      </c>
      <c r="B41" s="33"/>
      <c r="C41" s="33" t="s">
        <v>94</v>
      </c>
      <c r="D41" s="33" t="s">
        <v>126</v>
      </c>
      <c r="E41" s="33" t="s">
        <v>135</v>
      </c>
      <c r="F41" s="39">
        <v>606.6</v>
      </c>
      <c r="G41" s="39">
        <v>0</v>
      </c>
      <c r="H41" s="39">
        <f>F41*AE41</f>
        <v>0</v>
      </c>
      <c r="I41" s="39">
        <f>J41-H41</f>
        <v>0</v>
      </c>
      <c r="J41" s="39">
        <f>F41*G41</f>
        <v>0</v>
      </c>
      <c r="K41" s="39">
        <v>0.00016</v>
      </c>
      <c r="L41" s="39">
        <f>F41*K41</f>
        <v>0.09705600000000002</v>
      </c>
      <c r="M41" s="42" t="s">
        <v>145</v>
      </c>
      <c r="P41" s="28">
        <f>IF(AG41="5",J41,0)</f>
        <v>0</v>
      </c>
      <c r="R41" s="28">
        <f>IF(AG41="1",H41,0)</f>
        <v>0</v>
      </c>
      <c r="S41" s="28">
        <f>IF(AG41="1",I41,0)</f>
        <v>0</v>
      </c>
      <c r="T41" s="28">
        <f>IF(AG41="7",H41,0)</f>
        <v>0</v>
      </c>
      <c r="U41" s="28">
        <f>IF(AG41="7",I41,0)</f>
        <v>0</v>
      </c>
      <c r="V41" s="28">
        <f>IF(AG41="2",H41,0)</f>
        <v>0</v>
      </c>
      <c r="W41" s="28">
        <f>IF(AG41="2",I41,0)</f>
        <v>0</v>
      </c>
      <c r="X41" s="28">
        <f>IF(AG41="0",J41,0)</f>
        <v>0</v>
      </c>
      <c r="Y41" s="136"/>
      <c r="Z41" s="39">
        <f>IF(AD41=0,J41,0)</f>
        <v>0</v>
      </c>
      <c r="AA41" s="39">
        <f>IF(AD41=15,J41,0)</f>
        <v>0</v>
      </c>
      <c r="AB41" s="39">
        <f>IF(AD41=21,J41,0)</f>
        <v>0</v>
      </c>
      <c r="AD41" s="28">
        <v>21</v>
      </c>
      <c r="AE41" s="28">
        <f>G41*0.270361990950226</f>
        <v>0</v>
      </c>
      <c r="AF41" s="28">
        <f>G41*(1-0.270361990950226)</f>
        <v>0</v>
      </c>
      <c r="AG41" s="42" t="s">
        <v>44</v>
      </c>
      <c r="AM41" s="28">
        <f>F41*AE41</f>
        <v>0</v>
      </c>
      <c r="AN41" s="28">
        <f>F41*AF41</f>
        <v>0</v>
      </c>
      <c r="AO41" s="46" t="s">
        <v>239</v>
      </c>
      <c r="AP41" s="46" t="s">
        <v>248</v>
      </c>
      <c r="AQ41" s="136" t="s">
        <v>252</v>
      </c>
      <c r="AR41" s="136" t="s">
        <v>256</v>
      </c>
      <c r="AS41" s="28">
        <f>AM41+AN41</f>
        <v>0</v>
      </c>
      <c r="AT41" s="28">
        <f>G41/(100-AU41)*100</f>
        <v>0</v>
      </c>
      <c r="AU41" s="28">
        <v>0</v>
      </c>
      <c r="AV41" s="28">
        <f>L41</f>
        <v>0.09705600000000002</v>
      </c>
    </row>
    <row r="42" spans="1:37" ht="12.75">
      <c r="A42" s="119"/>
      <c r="B42" s="54"/>
      <c r="C42" s="54" t="s">
        <v>12</v>
      </c>
      <c r="D42" s="54" t="s">
        <v>23</v>
      </c>
      <c r="E42" s="119" t="s">
        <v>212</v>
      </c>
      <c r="F42" s="119" t="s">
        <v>212</v>
      </c>
      <c r="G42" s="119" t="s">
        <v>212</v>
      </c>
      <c r="H42" s="66">
        <f>SUM(H43:H43)</f>
        <v>0</v>
      </c>
      <c r="I42" s="66">
        <f>SUM(I43:I43)</f>
        <v>0</v>
      </c>
      <c r="J42" s="66">
        <f>H42+I42</f>
        <v>0</v>
      </c>
      <c r="K42" s="136"/>
      <c r="L42" s="66">
        <f>SUM(L43:L43)</f>
        <v>0.1584</v>
      </c>
      <c r="M42" s="136"/>
      <c r="Y42" s="136"/>
      <c r="AI42" s="66">
        <f>SUM(Z43:Z43)</f>
        <v>0</v>
      </c>
      <c r="AJ42" s="66">
        <f>SUM(AA43:AA43)</f>
        <v>0</v>
      </c>
      <c r="AK42" s="66">
        <f>SUM(AB43:AB43)</f>
        <v>0</v>
      </c>
    </row>
    <row r="43" spans="1:48" ht="12.75">
      <c r="A43" s="33" t="s">
        <v>63</v>
      </c>
      <c r="B43" s="33"/>
      <c r="C43" s="33" t="s">
        <v>95</v>
      </c>
      <c r="D43" s="33" t="s">
        <v>127</v>
      </c>
      <c r="E43" s="33" t="s">
        <v>135</v>
      </c>
      <c r="F43" s="39">
        <v>990</v>
      </c>
      <c r="G43" s="39">
        <v>0</v>
      </c>
      <c r="H43" s="39">
        <f>F43*AE43</f>
        <v>0</v>
      </c>
      <c r="I43" s="39">
        <f>J43-H43</f>
        <v>0</v>
      </c>
      <c r="J43" s="39">
        <f>F43*G43</f>
        <v>0</v>
      </c>
      <c r="K43" s="39">
        <v>0.00016</v>
      </c>
      <c r="L43" s="39">
        <f>F43*K43</f>
        <v>0.1584</v>
      </c>
      <c r="M43" s="42" t="s">
        <v>145</v>
      </c>
      <c r="P43" s="28">
        <f>IF(AG43="5",J43,0)</f>
        <v>0</v>
      </c>
      <c r="R43" s="28">
        <f>IF(AG43="1",H43,0)</f>
        <v>0</v>
      </c>
      <c r="S43" s="28">
        <f>IF(AG43="1",I43,0)</f>
        <v>0</v>
      </c>
      <c r="T43" s="28">
        <f>IF(AG43="7",H43,0)</f>
        <v>0</v>
      </c>
      <c r="U43" s="28">
        <f>IF(AG43="7",I43,0)</f>
        <v>0</v>
      </c>
      <c r="V43" s="28">
        <f>IF(AG43="2",H43,0)</f>
        <v>0</v>
      </c>
      <c r="W43" s="28">
        <f>IF(AG43="2",I43,0)</f>
        <v>0</v>
      </c>
      <c r="X43" s="28">
        <f>IF(AG43="0",J43,0)</f>
        <v>0</v>
      </c>
      <c r="Y43" s="136"/>
      <c r="Z43" s="39">
        <f>IF(AD43=0,J43,0)</f>
        <v>0</v>
      </c>
      <c r="AA43" s="39">
        <f>IF(AD43=15,J43,0)</f>
        <v>0</v>
      </c>
      <c r="AB43" s="39">
        <f>IF(AD43=21,J43,0)</f>
        <v>0</v>
      </c>
      <c r="AD43" s="28">
        <v>21</v>
      </c>
      <c r="AE43" s="28">
        <f>G43*0.146140939597315</f>
        <v>0</v>
      </c>
      <c r="AF43" s="28">
        <f>G43*(1-0.146140939597315)</f>
        <v>0</v>
      </c>
      <c r="AG43" s="42" t="s">
        <v>44</v>
      </c>
      <c r="AM43" s="28">
        <f>F43*AE43</f>
        <v>0</v>
      </c>
      <c r="AN43" s="28">
        <f>F43*AF43</f>
        <v>0</v>
      </c>
      <c r="AO43" s="46" t="s">
        <v>240</v>
      </c>
      <c r="AP43" s="46" t="s">
        <v>249</v>
      </c>
      <c r="AQ43" s="136" t="s">
        <v>252</v>
      </c>
      <c r="AR43" s="136" t="s">
        <v>257</v>
      </c>
      <c r="AS43" s="28">
        <f>AM43+AN43</f>
        <v>0</v>
      </c>
      <c r="AT43" s="28">
        <f>G43/(100-AU43)*100</f>
        <v>0</v>
      </c>
      <c r="AU43" s="28">
        <v>0</v>
      </c>
      <c r="AV43" s="28">
        <f>L43</f>
        <v>0.1584</v>
      </c>
    </row>
    <row r="44" spans="1:37" ht="12.75">
      <c r="A44" s="119"/>
      <c r="B44" s="54"/>
      <c r="C44" s="54" t="s">
        <v>13</v>
      </c>
      <c r="D44" s="54" t="s">
        <v>20</v>
      </c>
      <c r="E44" s="119" t="s">
        <v>212</v>
      </c>
      <c r="F44" s="119" t="s">
        <v>212</v>
      </c>
      <c r="G44" s="119" t="s">
        <v>212</v>
      </c>
      <c r="H44" s="66">
        <f>SUM(H45:H45)</f>
        <v>0</v>
      </c>
      <c r="I44" s="66">
        <f>SUM(I45:I45)</f>
        <v>0</v>
      </c>
      <c r="J44" s="66">
        <f>H44+I44</f>
        <v>0</v>
      </c>
      <c r="K44" s="136"/>
      <c r="L44" s="66">
        <f>SUM(L45:L45)</f>
        <v>0</v>
      </c>
      <c r="M44" s="136"/>
      <c r="Y44" s="136"/>
      <c r="AI44" s="66">
        <f>SUM(Z45:Z45)</f>
        <v>0</v>
      </c>
      <c r="AJ44" s="66">
        <f>SUM(AA45:AA45)</f>
        <v>0</v>
      </c>
      <c r="AK44" s="66">
        <f>SUM(AB45:AB45)</f>
        <v>0</v>
      </c>
    </row>
    <row r="45" spans="1:48" ht="12.75">
      <c r="A45" s="33" t="s">
        <v>64</v>
      </c>
      <c r="B45" s="33"/>
      <c r="C45" s="33" t="s">
        <v>96</v>
      </c>
      <c r="D45" s="33" t="s">
        <v>128</v>
      </c>
      <c r="E45" s="33" t="s">
        <v>139</v>
      </c>
      <c r="F45" s="39">
        <v>13.9747</v>
      </c>
      <c r="G45" s="39">
        <v>0</v>
      </c>
      <c r="H45" s="39">
        <f>F45*AE45</f>
        <v>0</v>
      </c>
      <c r="I45" s="39">
        <f>J45-H45</f>
        <v>0</v>
      </c>
      <c r="J45" s="39">
        <f>F45*G45</f>
        <v>0</v>
      </c>
      <c r="K45" s="39">
        <v>0</v>
      </c>
      <c r="L45" s="39">
        <f>F45*K45</f>
        <v>0</v>
      </c>
      <c r="M45" s="42" t="s">
        <v>145</v>
      </c>
      <c r="P45" s="28">
        <f>IF(AG45="5",J45,0)</f>
        <v>0</v>
      </c>
      <c r="R45" s="28">
        <f>IF(AG45="1",H45,0)</f>
        <v>0</v>
      </c>
      <c r="S45" s="28">
        <f>IF(AG45="1",I45,0)</f>
        <v>0</v>
      </c>
      <c r="T45" s="28">
        <f>IF(AG45="7",H45,0)</f>
        <v>0</v>
      </c>
      <c r="U45" s="28">
        <f>IF(AG45="7",I45,0)</f>
        <v>0</v>
      </c>
      <c r="V45" s="28">
        <f>IF(AG45="2",H45,0)</f>
        <v>0</v>
      </c>
      <c r="W45" s="28">
        <f>IF(AG45="2",I45,0)</f>
        <v>0</v>
      </c>
      <c r="X45" s="28">
        <f>IF(AG45="0",J45,0)</f>
        <v>0</v>
      </c>
      <c r="Y45" s="136"/>
      <c r="Z45" s="39">
        <f>IF(AD45=0,J45,0)</f>
        <v>0</v>
      </c>
      <c r="AA45" s="39">
        <f>IF(AD45=15,J45,0)</f>
        <v>0</v>
      </c>
      <c r="AB45" s="39">
        <f>IF(AD45=21,J45,0)</f>
        <v>0</v>
      </c>
      <c r="AD45" s="28">
        <v>21</v>
      </c>
      <c r="AE45" s="28">
        <f>G45*0</f>
        <v>0</v>
      </c>
      <c r="AF45" s="28">
        <f>G45*(1-0)</f>
        <v>0</v>
      </c>
      <c r="AG45" s="42" t="s">
        <v>42</v>
      </c>
      <c r="AM45" s="28">
        <f>F45*AE45</f>
        <v>0</v>
      </c>
      <c r="AN45" s="28">
        <f>F45*AF45</f>
        <v>0</v>
      </c>
      <c r="AO45" s="46" t="s">
        <v>241</v>
      </c>
      <c r="AP45" s="46" t="s">
        <v>250</v>
      </c>
      <c r="AQ45" s="136" t="s">
        <v>252</v>
      </c>
      <c r="AR45" s="136" t="s">
        <v>258</v>
      </c>
      <c r="AS45" s="28">
        <f>AM45+AN45</f>
        <v>0</v>
      </c>
      <c r="AT45" s="28">
        <f>G45/(100-AU45)*100</f>
        <v>0</v>
      </c>
      <c r="AU45" s="28">
        <v>0</v>
      </c>
      <c r="AV45" s="28">
        <f>L45</f>
        <v>0</v>
      </c>
    </row>
    <row r="46" spans="1:37" ht="12.75">
      <c r="A46" s="119"/>
      <c r="B46" s="54"/>
      <c r="C46" s="54" t="s">
        <v>14</v>
      </c>
      <c r="D46" s="54" t="s">
        <v>21</v>
      </c>
      <c r="E46" s="119" t="s">
        <v>212</v>
      </c>
      <c r="F46" s="119" t="s">
        <v>212</v>
      </c>
      <c r="G46" s="119" t="s">
        <v>212</v>
      </c>
      <c r="H46" s="66">
        <f>SUM(H47:H47)</f>
        <v>0</v>
      </c>
      <c r="I46" s="66">
        <f>SUM(I47:I47)</f>
        <v>0</v>
      </c>
      <c r="J46" s="66">
        <f>H46+I46</f>
        <v>0</v>
      </c>
      <c r="K46" s="136"/>
      <c r="L46" s="66">
        <f>SUM(L47:L47)</f>
        <v>0</v>
      </c>
      <c r="M46" s="136"/>
      <c r="Y46" s="136"/>
      <c r="AI46" s="66">
        <f>SUM(Z47:Z47)</f>
        <v>0</v>
      </c>
      <c r="AJ46" s="66">
        <f>SUM(AA47:AA47)</f>
        <v>0</v>
      </c>
      <c r="AK46" s="66">
        <f>SUM(AB47:AB47)</f>
        <v>0</v>
      </c>
    </row>
    <row r="47" spans="1:48" ht="12.75">
      <c r="A47" s="33" t="s">
        <v>65</v>
      </c>
      <c r="B47" s="33"/>
      <c r="C47" s="33" t="s">
        <v>97</v>
      </c>
      <c r="D47" s="33" t="s">
        <v>129</v>
      </c>
      <c r="E47" s="33" t="s">
        <v>139</v>
      </c>
      <c r="F47" s="39">
        <v>4.4972</v>
      </c>
      <c r="G47" s="39">
        <v>0</v>
      </c>
      <c r="H47" s="39">
        <f>F47*AE47</f>
        <v>0</v>
      </c>
      <c r="I47" s="39">
        <f>J47-H47</f>
        <v>0</v>
      </c>
      <c r="J47" s="39">
        <f>F47*G47</f>
        <v>0</v>
      </c>
      <c r="K47" s="39">
        <v>0</v>
      </c>
      <c r="L47" s="39">
        <f>F47*K47</f>
        <v>0</v>
      </c>
      <c r="M47" s="42" t="s">
        <v>145</v>
      </c>
      <c r="P47" s="28">
        <f>IF(AG47="5",J47,0)</f>
        <v>0</v>
      </c>
      <c r="R47" s="28">
        <f>IF(AG47="1",H47,0)</f>
        <v>0</v>
      </c>
      <c r="S47" s="28">
        <f>IF(AG47="1",I47,0)</f>
        <v>0</v>
      </c>
      <c r="T47" s="28">
        <f>IF(AG47="7",H47,0)</f>
        <v>0</v>
      </c>
      <c r="U47" s="28">
        <f>IF(AG47="7",I47,0)</f>
        <v>0</v>
      </c>
      <c r="V47" s="28">
        <f>IF(AG47="2",H47,0)</f>
        <v>0</v>
      </c>
      <c r="W47" s="28">
        <f>IF(AG47="2",I47,0)</f>
        <v>0</v>
      </c>
      <c r="X47" s="28">
        <f>IF(AG47="0",J47,0)</f>
        <v>0</v>
      </c>
      <c r="Y47" s="136"/>
      <c r="Z47" s="39">
        <f>IF(AD47=0,J47,0)</f>
        <v>0</v>
      </c>
      <c r="AA47" s="39">
        <f>IF(AD47=15,J47,0)</f>
        <v>0</v>
      </c>
      <c r="AB47" s="39">
        <f>IF(AD47=21,J47,0)</f>
        <v>0</v>
      </c>
      <c r="AD47" s="28">
        <v>21</v>
      </c>
      <c r="AE47" s="28">
        <f>G47*0</f>
        <v>0</v>
      </c>
      <c r="AF47" s="28">
        <f>G47*(1-0)</f>
        <v>0</v>
      </c>
      <c r="AG47" s="42" t="s">
        <v>42</v>
      </c>
      <c r="AM47" s="28">
        <f>F47*AE47</f>
        <v>0</v>
      </c>
      <c r="AN47" s="28">
        <f>F47*AF47</f>
        <v>0</v>
      </c>
      <c r="AO47" s="46" t="s">
        <v>242</v>
      </c>
      <c r="AP47" s="46" t="s">
        <v>250</v>
      </c>
      <c r="AQ47" s="136" t="s">
        <v>252</v>
      </c>
      <c r="AR47" s="136" t="s">
        <v>259</v>
      </c>
      <c r="AS47" s="28">
        <f>AM47+AN47</f>
        <v>0</v>
      </c>
      <c r="AT47" s="28">
        <f>G47/(100-AU47)*100</f>
        <v>0</v>
      </c>
      <c r="AU47" s="28">
        <v>0</v>
      </c>
      <c r="AV47" s="28">
        <f>L47</f>
        <v>0</v>
      </c>
    </row>
    <row r="48" spans="1:37" ht="12.75">
      <c r="A48" s="119"/>
      <c r="B48" s="54"/>
      <c r="C48" s="54" t="s">
        <v>15</v>
      </c>
      <c r="D48" s="54" t="s">
        <v>22</v>
      </c>
      <c r="E48" s="119" t="s">
        <v>212</v>
      </c>
      <c r="F48" s="119" t="s">
        <v>212</v>
      </c>
      <c r="G48" s="119" t="s">
        <v>212</v>
      </c>
      <c r="H48" s="66">
        <f>SUM(H49:H49)</f>
        <v>0</v>
      </c>
      <c r="I48" s="66">
        <f>SUM(I49:I49)</f>
        <v>0</v>
      </c>
      <c r="J48" s="66">
        <f>H48+I48</f>
        <v>0</v>
      </c>
      <c r="K48" s="136"/>
      <c r="L48" s="66">
        <f>SUM(L49:L49)</f>
        <v>0</v>
      </c>
      <c r="M48" s="136"/>
      <c r="Y48" s="136"/>
      <c r="AI48" s="66">
        <f>SUM(Z49:Z49)</f>
        <v>0</v>
      </c>
      <c r="AJ48" s="66">
        <f>SUM(AA49:AA49)</f>
        <v>0</v>
      </c>
      <c r="AK48" s="66">
        <f>SUM(AB49:AB49)</f>
        <v>0</v>
      </c>
    </row>
    <row r="49" spans="1:48" ht="12.75">
      <c r="A49" s="33" t="s">
        <v>66</v>
      </c>
      <c r="B49" s="33"/>
      <c r="C49" s="33" t="s">
        <v>98</v>
      </c>
      <c r="D49" s="33" t="s">
        <v>130</v>
      </c>
      <c r="E49" s="33" t="s">
        <v>139</v>
      </c>
      <c r="F49" s="39">
        <v>11.0447</v>
      </c>
      <c r="G49" s="39">
        <v>0</v>
      </c>
      <c r="H49" s="39">
        <f>F49*AE49</f>
        <v>0</v>
      </c>
      <c r="I49" s="39">
        <f>J49-H49</f>
        <v>0</v>
      </c>
      <c r="J49" s="39">
        <f>F49*G49</f>
        <v>0</v>
      </c>
      <c r="K49" s="39">
        <v>0</v>
      </c>
      <c r="L49" s="39">
        <f>F49*K49</f>
        <v>0</v>
      </c>
      <c r="M49" s="42" t="s">
        <v>145</v>
      </c>
      <c r="P49" s="28">
        <f>IF(AG49="5",J49,0)</f>
        <v>0</v>
      </c>
      <c r="R49" s="28">
        <f>IF(AG49="1",H49,0)</f>
        <v>0</v>
      </c>
      <c r="S49" s="28">
        <f>IF(AG49="1",I49,0)</f>
        <v>0</v>
      </c>
      <c r="T49" s="28">
        <f>IF(AG49="7",H49,0)</f>
        <v>0</v>
      </c>
      <c r="U49" s="28">
        <f>IF(AG49="7",I49,0)</f>
        <v>0</v>
      </c>
      <c r="V49" s="28">
        <f>IF(AG49="2",H49,0)</f>
        <v>0</v>
      </c>
      <c r="W49" s="28">
        <f>IF(AG49="2",I49,0)</f>
        <v>0</v>
      </c>
      <c r="X49" s="28">
        <f>IF(AG49="0",J49,0)</f>
        <v>0</v>
      </c>
      <c r="Y49" s="136"/>
      <c r="Z49" s="39">
        <f>IF(AD49=0,J49,0)</f>
        <v>0</v>
      </c>
      <c r="AA49" s="39">
        <f>IF(AD49=15,J49,0)</f>
        <v>0</v>
      </c>
      <c r="AB49" s="39">
        <f>IF(AD49=21,J49,0)</f>
        <v>0</v>
      </c>
      <c r="AD49" s="28">
        <v>21</v>
      </c>
      <c r="AE49" s="28">
        <f>G49*0</f>
        <v>0</v>
      </c>
      <c r="AF49" s="28">
        <f>G49*(1-0)</f>
        <v>0</v>
      </c>
      <c r="AG49" s="42" t="s">
        <v>42</v>
      </c>
      <c r="AM49" s="28">
        <f>F49*AE49</f>
        <v>0</v>
      </c>
      <c r="AN49" s="28">
        <f>F49*AF49</f>
        <v>0</v>
      </c>
      <c r="AO49" s="46" t="s">
        <v>243</v>
      </c>
      <c r="AP49" s="46" t="s">
        <v>250</v>
      </c>
      <c r="AQ49" s="136" t="s">
        <v>252</v>
      </c>
      <c r="AR49" s="136" t="s">
        <v>260</v>
      </c>
      <c r="AS49" s="28">
        <f>AM49+AN49</f>
        <v>0</v>
      </c>
      <c r="AT49" s="28">
        <f>G49/(100-AU49)*100</f>
        <v>0</v>
      </c>
      <c r="AU49" s="28">
        <v>0</v>
      </c>
      <c r="AV49" s="28">
        <f>L49</f>
        <v>0</v>
      </c>
    </row>
    <row r="50" spans="1:37" ht="12.75">
      <c r="A50" s="119"/>
      <c r="B50" s="54"/>
      <c r="C50" s="54" t="s">
        <v>16</v>
      </c>
      <c r="D50" s="54" t="s">
        <v>24</v>
      </c>
      <c r="E50" s="119" t="s">
        <v>212</v>
      </c>
      <c r="F50" s="119" t="s">
        <v>212</v>
      </c>
      <c r="G50" s="119" t="s">
        <v>212</v>
      </c>
      <c r="H50" s="66">
        <f>SUM(H51:H51)</f>
        <v>0</v>
      </c>
      <c r="I50" s="66">
        <f>SUM(I51:I51)</f>
        <v>0</v>
      </c>
      <c r="J50" s="66">
        <f>H50+I50</f>
        <v>0</v>
      </c>
      <c r="K50" s="136"/>
      <c r="L50" s="66">
        <f>SUM(L51:L51)</f>
        <v>0</v>
      </c>
      <c r="M50" s="136"/>
      <c r="Y50" s="136"/>
      <c r="AI50" s="66">
        <f>SUM(Z51:Z51)</f>
        <v>0</v>
      </c>
      <c r="AJ50" s="66">
        <f>SUM(AA51:AA51)</f>
        <v>0</v>
      </c>
      <c r="AK50" s="66">
        <f>SUM(AB51:AB51)</f>
        <v>0</v>
      </c>
    </row>
    <row r="51" spans="1:48" ht="12.75">
      <c r="A51" s="33" t="s">
        <v>67</v>
      </c>
      <c r="B51" s="33"/>
      <c r="C51" s="33" t="s">
        <v>99</v>
      </c>
      <c r="D51" s="33" t="s">
        <v>131</v>
      </c>
      <c r="E51" s="33" t="s">
        <v>140</v>
      </c>
      <c r="F51" s="39">
        <v>0</v>
      </c>
      <c r="G51" s="39">
        <v>0</v>
      </c>
      <c r="H51" s="39">
        <f>F51*AE51</f>
        <v>0</v>
      </c>
      <c r="I51" s="39">
        <f>J51-H51</f>
        <v>0</v>
      </c>
      <c r="J51" s="39">
        <f>F51*G51</f>
        <v>0</v>
      </c>
      <c r="K51" s="39">
        <v>0.29943</v>
      </c>
      <c r="L51" s="39">
        <f>F51*K51</f>
        <v>0</v>
      </c>
      <c r="M51" s="42" t="s">
        <v>145</v>
      </c>
      <c r="P51" s="28">
        <f>IF(AG51="5",J51,0)</f>
        <v>0</v>
      </c>
      <c r="R51" s="28">
        <f>IF(AG51="1",H51,0)</f>
        <v>0</v>
      </c>
      <c r="S51" s="28">
        <f>IF(AG51="1",I51,0)</f>
        <v>0</v>
      </c>
      <c r="T51" s="28">
        <f>IF(AG51="7",H51,0)</f>
        <v>0</v>
      </c>
      <c r="U51" s="28">
        <f>IF(AG51="7",I51,0)</f>
        <v>0</v>
      </c>
      <c r="V51" s="28">
        <f>IF(AG51="2",H51,0)</f>
        <v>0</v>
      </c>
      <c r="W51" s="28">
        <f>IF(AG51="2",I51,0)</f>
        <v>0</v>
      </c>
      <c r="X51" s="28">
        <f>IF(AG51="0",J51,0)</f>
        <v>0</v>
      </c>
      <c r="Y51" s="136"/>
      <c r="Z51" s="39">
        <f>IF(AD51=0,J51,0)</f>
        <v>0</v>
      </c>
      <c r="AA51" s="39">
        <f>IF(AD51=15,J51,0)</f>
        <v>0</v>
      </c>
      <c r="AB51" s="39">
        <f>IF(AD51=21,J51,0)</f>
        <v>0</v>
      </c>
      <c r="AD51" s="28">
        <v>21</v>
      </c>
      <c r="AE51" s="28">
        <f>G51*0</f>
        <v>0</v>
      </c>
      <c r="AF51" s="28">
        <f>G51*(1-0)</f>
        <v>0</v>
      </c>
      <c r="AG51" s="42" t="s">
        <v>39</v>
      </c>
      <c r="AM51" s="28">
        <f>F51*AE51</f>
        <v>0</v>
      </c>
      <c r="AN51" s="28">
        <f>F51*AF51</f>
        <v>0</v>
      </c>
      <c r="AO51" s="46" t="s">
        <v>244</v>
      </c>
      <c r="AP51" s="46" t="s">
        <v>250</v>
      </c>
      <c r="AQ51" s="136" t="s">
        <v>252</v>
      </c>
      <c r="AR51" s="136" t="s">
        <v>261</v>
      </c>
      <c r="AS51" s="28">
        <f>AM51+AN51</f>
        <v>0</v>
      </c>
      <c r="AT51" s="28">
        <f>G51/(100-AU51)*100</f>
        <v>0</v>
      </c>
      <c r="AU51" s="28">
        <v>0</v>
      </c>
      <c r="AV51" s="28">
        <f>L51</f>
        <v>0</v>
      </c>
    </row>
    <row r="52" spans="1:37" ht="12.75">
      <c r="A52" s="119"/>
      <c r="B52" s="54"/>
      <c r="C52" s="54"/>
      <c r="D52" s="54" t="s">
        <v>25</v>
      </c>
      <c r="E52" s="119" t="s">
        <v>212</v>
      </c>
      <c r="F52" s="119" t="s">
        <v>212</v>
      </c>
      <c r="G52" s="119" t="s">
        <v>212</v>
      </c>
      <c r="H52" s="66">
        <f>SUM(H53:H54)</f>
        <v>0</v>
      </c>
      <c r="I52" s="66">
        <f>SUM(I53:I54)</f>
        <v>0</v>
      </c>
      <c r="J52" s="66">
        <f>H52+I52</f>
        <v>0</v>
      </c>
      <c r="K52" s="136"/>
      <c r="L52" s="66">
        <f>SUM(L53:L54)</f>
        <v>0.0625</v>
      </c>
      <c r="M52" s="136"/>
      <c r="Y52" s="136"/>
      <c r="AI52" s="66">
        <f>SUM(Z53:Z54)</f>
        <v>0</v>
      </c>
      <c r="AJ52" s="66">
        <f>SUM(AA53:AA54)</f>
        <v>0</v>
      </c>
      <c r="AK52" s="66">
        <f>SUM(AB53:AB54)</f>
        <v>0</v>
      </c>
    </row>
    <row r="53" spans="1:48" ht="12.75">
      <c r="A53" s="34" t="s">
        <v>68</v>
      </c>
      <c r="B53" s="34"/>
      <c r="C53" s="34" t="s">
        <v>100</v>
      </c>
      <c r="D53" s="34" t="s">
        <v>132</v>
      </c>
      <c r="E53" s="34" t="s">
        <v>138</v>
      </c>
      <c r="F53" s="40">
        <v>77</v>
      </c>
      <c r="G53" s="40">
        <v>0</v>
      </c>
      <c r="H53" s="40">
        <f>F53*AE53</f>
        <v>0</v>
      </c>
      <c r="I53" s="40">
        <f>J53-H53</f>
        <v>0</v>
      </c>
      <c r="J53" s="40">
        <f>F53*G53</f>
        <v>0</v>
      </c>
      <c r="K53" s="40">
        <v>0.0005</v>
      </c>
      <c r="L53" s="40">
        <f>F53*K53</f>
        <v>0.0385</v>
      </c>
      <c r="M53" s="43" t="s">
        <v>145</v>
      </c>
      <c r="P53" s="28">
        <f>IF(AG53="5",J53,0)</f>
        <v>0</v>
      </c>
      <c r="R53" s="28">
        <f>IF(AG53="1",H53,0)</f>
        <v>0</v>
      </c>
      <c r="S53" s="28">
        <f>IF(AG53="1",I53,0)</f>
        <v>0</v>
      </c>
      <c r="T53" s="28">
        <f>IF(AG53="7",H53,0)</f>
        <v>0</v>
      </c>
      <c r="U53" s="28">
        <f>IF(AG53="7",I53,0)</f>
        <v>0</v>
      </c>
      <c r="V53" s="28">
        <f>IF(AG53="2",H53,0)</f>
        <v>0</v>
      </c>
      <c r="W53" s="28">
        <f>IF(AG53="2",I53,0)</f>
        <v>0</v>
      </c>
      <c r="X53" s="28">
        <f>IF(AG53="0",J53,0)</f>
        <v>0</v>
      </c>
      <c r="Y53" s="136"/>
      <c r="Z53" s="40">
        <f>IF(AD53=0,J53,0)</f>
        <v>0</v>
      </c>
      <c r="AA53" s="40">
        <f>IF(AD53=15,J53,0)</f>
        <v>0</v>
      </c>
      <c r="AB53" s="40">
        <f>IF(AD53=21,J53,0)</f>
        <v>0</v>
      </c>
      <c r="AD53" s="28">
        <v>21</v>
      </c>
      <c r="AE53" s="28">
        <f>G53*1</f>
        <v>0</v>
      </c>
      <c r="AF53" s="28">
        <f>G53*(1-1)</f>
        <v>0</v>
      </c>
      <c r="AG53" s="43" t="s">
        <v>234</v>
      </c>
      <c r="AM53" s="28">
        <f>F53*AE53</f>
        <v>0</v>
      </c>
      <c r="AN53" s="28">
        <f>F53*AF53</f>
        <v>0</v>
      </c>
      <c r="AO53" s="46" t="s">
        <v>245</v>
      </c>
      <c r="AP53" s="46" t="s">
        <v>251</v>
      </c>
      <c r="AQ53" s="136" t="s">
        <v>252</v>
      </c>
      <c r="AS53" s="28">
        <f>AM53+AN53</f>
        <v>0</v>
      </c>
      <c r="AT53" s="28">
        <f>G53/(100-AU53)*100</f>
        <v>0</v>
      </c>
      <c r="AU53" s="28">
        <v>0</v>
      </c>
      <c r="AV53" s="28">
        <f>L53</f>
        <v>0.0385</v>
      </c>
    </row>
    <row r="54" spans="1:48" ht="12.75">
      <c r="A54" s="120" t="s">
        <v>69</v>
      </c>
      <c r="B54" s="120"/>
      <c r="C54" s="120" t="s">
        <v>101</v>
      </c>
      <c r="D54" s="120" t="s">
        <v>133</v>
      </c>
      <c r="E54" s="120" t="s">
        <v>138</v>
      </c>
      <c r="F54" s="125">
        <v>3</v>
      </c>
      <c r="G54" s="125">
        <v>0</v>
      </c>
      <c r="H54" s="125">
        <f>F54*AE54</f>
        <v>0</v>
      </c>
      <c r="I54" s="125">
        <f>J54-H54</f>
        <v>0</v>
      </c>
      <c r="J54" s="125">
        <f>F54*G54</f>
        <v>0</v>
      </c>
      <c r="K54" s="125">
        <v>0.008</v>
      </c>
      <c r="L54" s="125">
        <f>F54*K54</f>
        <v>0.024</v>
      </c>
      <c r="M54" s="139" t="s">
        <v>145</v>
      </c>
      <c r="P54" s="28">
        <f>IF(AG54="5",J54,0)</f>
        <v>0</v>
      </c>
      <c r="R54" s="28">
        <f>IF(AG54="1",H54,0)</f>
        <v>0</v>
      </c>
      <c r="S54" s="28">
        <f>IF(AG54="1",I54,0)</f>
        <v>0</v>
      </c>
      <c r="T54" s="28">
        <f>IF(AG54="7",H54,0)</f>
        <v>0</v>
      </c>
      <c r="U54" s="28">
        <f>IF(AG54="7",I54,0)</f>
        <v>0</v>
      </c>
      <c r="V54" s="28">
        <f>IF(AG54="2",H54,0)</f>
        <v>0</v>
      </c>
      <c r="W54" s="28">
        <f>IF(AG54="2",I54,0)</f>
        <v>0</v>
      </c>
      <c r="X54" s="28">
        <f>IF(AG54="0",J54,0)</f>
        <v>0</v>
      </c>
      <c r="Y54" s="136"/>
      <c r="Z54" s="40">
        <f>IF(AD54=0,J54,0)</f>
        <v>0</v>
      </c>
      <c r="AA54" s="40">
        <f>IF(AD54=15,J54,0)</f>
        <v>0</v>
      </c>
      <c r="AB54" s="40">
        <f>IF(AD54=21,J54,0)</f>
        <v>0</v>
      </c>
      <c r="AD54" s="28">
        <v>21</v>
      </c>
      <c r="AE54" s="28">
        <f>G54*1</f>
        <v>0</v>
      </c>
      <c r="AF54" s="28">
        <f>G54*(1-1)</f>
        <v>0</v>
      </c>
      <c r="AG54" s="43" t="s">
        <v>234</v>
      </c>
      <c r="AM54" s="28">
        <f>F54*AE54</f>
        <v>0</v>
      </c>
      <c r="AN54" s="28">
        <f>F54*AF54</f>
        <v>0</v>
      </c>
      <c r="AO54" s="46" t="s">
        <v>245</v>
      </c>
      <c r="AP54" s="46" t="s">
        <v>251</v>
      </c>
      <c r="AQ54" s="136" t="s">
        <v>252</v>
      </c>
      <c r="AS54" s="28">
        <f>AM54+AN54</f>
        <v>0</v>
      </c>
      <c r="AT54" s="28">
        <f>G54/(100-AU54)*100</f>
        <v>0</v>
      </c>
      <c r="AU54" s="28">
        <v>0</v>
      </c>
      <c r="AV54" s="28">
        <f>L54</f>
        <v>0.024</v>
      </c>
    </row>
    <row r="55" spans="1:13" ht="12.75">
      <c r="A55" s="80"/>
      <c r="B55" s="80"/>
      <c r="C55" s="80"/>
      <c r="D55" s="80"/>
      <c r="E55" s="80"/>
      <c r="F55" s="80"/>
      <c r="G55" s="80"/>
      <c r="H55" s="130" t="s">
        <v>32</v>
      </c>
      <c r="I55" s="15"/>
      <c r="J55" s="140">
        <f>J12+J14+J16+J26+J39+J42+J44+J46+J48+J50+J52</f>
        <v>0</v>
      </c>
      <c r="K55" s="80"/>
      <c r="L55" s="80"/>
      <c r="M55" s="80"/>
    </row>
    <row r="56" ht="11.25" customHeight="1">
      <c r="A56" s="35" t="s">
        <v>70</v>
      </c>
    </row>
    <row r="57" spans="1:13" ht="12.75">
      <c r="A57" s="1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H55:I55"/>
    <mergeCell ref="A57:M57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