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Krycí list rozpočtu" sheetId="1" r:id="rId1"/>
    <sheet name="Stavební rozpočet - součet" sheetId="2" r:id="rId2"/>
    <sheet name="Stavební rozpočet" sheetId="3" r:id="rId3"/>
  </sheets>
  <definedNames/>
  <calcPr fullCalcOnLoad="1"/>
</workbook>
</file>

<file path=xl/sharedStrings.xml><?xml version="1.0" encoding="utf-8"?>
<sst xmlns="http://schemas.openxmlformats.org/spreadsheetml/2006/main" count="625" uniqueCount="282">
  <si>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</si>
  <si>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</si>
  <si>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</si>
  <si>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</si>
  <si>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</si>
  <si>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</si>
  <si>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</si>
  <si>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</si>
  <si>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</si>
  <si>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</si>
  <si>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</si>
  <si>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</si>
  <si>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</si>
  <si>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</si>
  <si>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</si>
  <si>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</si>
  <si>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</si>
  <si>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</si>
  <si>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</si>
  <si>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</si>
  <si>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</si>
  <si>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</si>
  <si>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</si>
  <si>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</si>
  <si>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</si>
  <si>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</si>
  <si>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</si>
  <si>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</si>
  <si>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</si>
  <si>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</si>
  <si>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</si>
  <si>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</si>
  <si>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</si>
  <si>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</si>
  <si>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</si>
  <si>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</si>
  <si>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</si>
  <si>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</si>
  <si>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</si>
  <si>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</si>
  <si>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</si>
  <si>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</si>
  <si>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</si>
  <si>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</si>
  <si>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</si>
  <si>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</si>
  <si>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</si>
  <si>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</si>
  <si>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</si>
  <si>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</si>
  <si>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</si>
  <si>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</si>
  <si>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</si>
  <si>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Poznámka:</t>
  </si>
  <si>
    <t>Objekt</t>
  </si>
  <si>
    <t>Kód</t>
  </si>
  <si>
    <t>61</t>
  </si>
  <si>
    <t>612100020RA0</t>
  </si>
  <si>
    <t>X00</t>
  </si>
  <si>
    <t>610991111R00</t>
  </si>
  <si>
    <t>7670001VD</t>
  </si>
  <si>
    <t>28329094</t>
  </si>
  <si>
    <t>998713102R00</t>
  </si>
  <si>
    <t>766</t>
  </si>
  <si>
    <t>7660002VD</t>
  </si>
  <si>
    <t>7660003VD</t>
  </si>
  <si>
    <t>7660004VD</t>
  </si>
  <si>
    <t>641952341R00</t>
  </si>
  <si>
    <t>766623911R00</t>
  </si>
  <si>
    <t>76662292</t>
  </si>
  <si>
    <t>766629212R00</t>
  </si>
  <si>
    <t>998766102R00</t>
  </si>
  <si>
    <t>767</t>
  </si>
  <si>
    <t>7670005VD</t>
  </si>
  <si>
    <t>7670006VD</t>
  </si>
  <si>
    <t>767612141</t>
  </si>
  <si>
    <t>7670007VD</t>
  </si>
  <si>
    <t>54914570</t>
  </si>
  <si>
    <t>54930536</t>
  </si>
  <si>
    <t>767626102R00</t>
  </si>
  <si>
    <t>767612915R00</t>
  </si>
  <si>
    <t>998767102R00</t>
  </si>
  <si>
    <t>783</t>
  </si>
  <si>
    <t>783602821R00</t>
  </si>
  <si>
    <t>783626028</t>
  </si>
  <si>
    <t>783626001R00</t>
  </si>
  <si>
    <t>783612101RT2</t>
  </si>
  <si>
    <t>783626400R00</t>
  </si>
  <si>
    <t>783626500R00</t>
  </si>
  <si>
    <t>787</t>
  </si>
  <si>
    <t>787600801R00</t>
  </si>
  <si>
    <t>787790010RAA</t>
  </si>
  <si>
    <t>998787102R00</t>
  </si>
  <si>
    <t>94</t>
  </si>
  <si>
    <t>941955002R00</t>
  </si>
  <si>
    <t>949942101R00</t>
  </si>
  <si>
    <t>96</t>
  </si>
  <si>
    <t>968061126R00</t>
  </si>
  <si>
    <t>968062355R00</t>
  </si>
  <si>
    <t>S</t>
  </si>
  <si>
    <t>979087007R00</t>
  </si>
  <si>
    <t>979087312R00</t>
  </si>
  <si>
    <t>979087391R00</t>
  </si>
  <si>
    <t>979011211R00</t>
  </si>
  <si>
    <t>979095311R00</t>
  </si>
  <si>
    <t>979081111R00</t>
  </si>
  <si>
    <t>979990162R00</t>
  </si>
  <si>
    <t>Lysá nad Labem</t>
  </si>
  <si>
    <t>Zkrácený popis</t>
  </si>
  <si>
    <t>Rozměry</t>
  </si>
  <si>
    <t>Úprava povrchů vnitřní</t>
  </si>
  <si>
    <t>Začištění omítek kolem oken (interiér a exteriér)</t>
  </si>
  <si>
    <t>Přípravné práce</t>
  </si>
  <si>
    <t>Zakrývání výplní otvorů (po demontáži oken)</t>
  </si>
  <si>
    <t>Položení fólie v interiéru</t>
  </si>
  <si>
    <t>Fólie stavební - chránící např. radiátory a jiné, proti znečištění nebo poškození</t>
  </si>
  <si>
    <t>Přesun hmot pro přípravné práce, výšky do 12 m</t>
  </si>
  <si>
    <t>Konstrukce truhlářské</t>
  </si>
  <si>
    <t>Rozmontování zdvojených křídel oken</t>
  </si>
  <si>
    <t>Demontáž - rozebrání rámů</t>
  </si>
  <si>
    <t>Demontáž - rozebrání křídel</t>
  </si>
  <si>
    <t>Příplatek za okna z tvrdého dřeva zdvojená</t>
  </si>
  <si>
    <t>Přesun hmot pro truhlářské konstr., výšky do 12 m</t>
  </si>
  <si>
    <t>Konstrukce doplňkové stavební (zámečnické)</t>
  </si>
  <si>
    <t>Demontáž kování ze všech křídel</t>
  </si>
  <si>
    <t>Demontáž kování ze všech rámů</t>
  </si>
  <si>
    <t>Okování rámu</t>
  </si>
  <si>
    <t>Okování otvíravých křidel oken</t>
  </si>
  <si>
    <t>Osazení a seřízení dřevěného okna</t>
  </si>
  <si>
    <t>Přesun hmot pro zámečnické konstr., výšky do 12 m</t>
  </si>
  <si>
    <t>Nátěry</t>
  </si>
  <si>
    <t>Tmelení defektů povrchu truhl. výrobků rám - restauratorská práce</t>
  </si>
  <si>
    <t>Tmelení defektů povrchu truhl. výrobků křídel - restauratorská práce</t>
  </si>
  <si>
    <t>Zasklívání</t>
  </si>
  <si>
    <t>Vysklívání oken skla plochého</t>
  </si>
  <si>
    <t>Zasklívání výkladců dvojsklem do plochy 4 m2</t>
  </si>
  <si>
    <t>Přesun hmot pro zasklívání, výšky do 12 m</t>
  </si>
  <si>
    <t>Lešení a stavební výtahy</t>
  </si>
  <si>
    <t>Lešení lehké pomocné, výška podlahy do 1,9 m (interiér)</t>
  </si>
  <si>
    <t>Nájem za hydraulickou zvedací plošinu, H do 27 m (Bezpečnostní opatření pro začištění exteriérových špalet a montáž rámu)</t>
  </si>
  <si>
    <t>Bourání konstrukcí</t>
  </si>
  <si>
    <t>Vyvěšení dřevěných dveřních křídel pl. nad 2 m2</t>
  </si>
  <si>
    <t>Vybourání dřevěných rámů oken zdvojených pl. 2 m2</t>
  </si>
  <si>
    <t>Přesuny sutí</t>
  </si>
  <si>
    <t>Odvoz dřevěných konstrukcí na dílnu do 5 km - křídla oken</t>
  </si>
  <si>
    <t>Odvoz dřevěných konstrukcí na dílnu do 5 km - rámy oken</t>
  </si>
  <si>
    <t>Vodorovné přemístění vyb. hmot nošením do 10 m</t>
  </si>
  <si>
    <t>Příplatek za nošení materiálu každých dalších 10 m</t>
  </si>
  <si>
    <t>Svislá doprava materiálu a vybour. hmot za 2.NP nošením</t>
  </si>
  <si>
    <t>Naložení a složení vybouraných hmot/konstrukcí</t>
  </si>
  <si>
    <t>Odvoz odpadů na skládku</t>
  </si>
  <si>
    <t>Poplatek za skládku odpadu - dřevo+sklo a jiné</t>
  </si>
  <si>
    <t>Doba výstavby:</t>
  </si>
  <si>
    <t>Začátek výstavby:</t>
  </si>
  <si>
    <t>Konec výstavby:</t>
  </si>
  <si>
    <t>Zpracováno dne:</t>
  </si>
  <si>
    <t>M.j.</t>
  </si>
  <si>
    <t>m</t>
  </si>
  <si>
    <t>m2</t>
  </si>
  <si>
    <t>t</t>
  </si>
  <si>
    <t>kus</t>
  </si>
  <si>
    <t>soubor</t>
  </si>
  <si>
    <t>h</t>
  </si>
  <si>
    <t>m3</t>
  </si>
  <si>
    <t>Množství</t>
  </si>
  <si>
    <t>Jednot.</t>
  </si>
  <si>
    <t>cena (Kč)</t>
  </si>
  <si>
    <t>Náklady (Kč)</t>
  </si>
  <si>
    <t>Dodávka</t>
  </si>
  <si>
    <t>Objednatel:</t>
  </si>
  <si>
    <t>Projektant:</t>
  </si>
  <si>
    <t>Zhotovitel:</t>
  </si>
  <si>
    <t>Zpracoval:</t>
  </si>
  <si>
    <t>Montáž</t>
  </si>
  <si>
    <t>Celkem</t>
  </si>
  <si>
    <t>Hmotnost (t)</t>
  </si>
  <si>
    <t>Cenová</t>
  </si>
  <si>
    <t>soustava</t>
  </si>
  <si>
    <t>RTS I / 2017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</si>
  <si>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</si>
  <si>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</si>
  <si>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</si>
  <si>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</si>
  <si>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</si>
  <si>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</si>
  <si>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</si>
  <si>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</si>
  <si>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</si>
  <si>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61_</t>
  </si>
  <si>
    <t>X00_</t>
  </si>
  <si>
    <t>766_</t>
  </si>
  <si>
    <t>767_</t>
  </si>
  <si>
    <t>783_</t>
  </si>
  <si>
    <t>787_</t>
  </si>
  <si>
    <t>94_</t>
  </si>
  <si>
    <t>96_</t>
  </si>
  <si>
    <t>6_</t>
  </si>
  <si>
    <t>9_</t>
  </si>
  <si>
    <t>76_</t>
  </si>
  <si>
    <t>78_</t>
  </si>
  <si>
    <t>_</t>
  </si>
  <si>
    <t>Stavební rozpočet - rekapitulace</t>
  </si>
  <si>
    <t>Náklady (Kč) - dodávka</t>
  </si>
  <si>
    <t>Náklady (Kč) - Montáž</t>
  </si>
  <si>
    <t>Náklady (Kč) - celkem</t>
  </si>
  <si>
    <t>Celková hmotnost (t)</t>
  </si>
  <si>
    <t>T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</si>
  <si>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</si>
  <si>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</si>
  <si>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</si>
  <si>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</si>
  <si>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</si>
  <si>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</si>
  <si>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</si>
  <si>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</si>
  <si>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</si>
  <si>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</si>
  <si>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</si>
  <si>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</si>
  <si>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</si>
  <si>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</si>
  <si>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</si>
  <si>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</si>
  <si>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</si>
  <si>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</si>
  <si>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</si>
  <si>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</si>
  <si>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</si>
  <si>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</si>
  <si>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</si>
  <si>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</si>
  <si>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</si>
  <si>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</si>
  <si>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</si>
  <si>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</si>
  <si>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</si>
  <si>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</si>
  <si>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</si>
  <si>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</si>
  <si>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</si>
  <si>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</si>
  <si>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</si>
  <si>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</si>
  <si>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</si>
  <si>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</si>
  <si>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</si>
  <si>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</si>
  <si>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</si>
  <si>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</si>
  <si>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</si>
  <si>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</si>
  <si>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Domov Na Zámku Lysá nad Labem, p. o.,                                                                                Zámek 1/21, 289 22 Lysá nad Labem</t>
  </si>
  <si>
    <t>Eupora s.r.o.,                                                                              budova Jednoty, Nová 209/13, 276 01 Mělník</t>
  </si>
  <si>
    <t>Domov Na Zámku Lysá nad Labem, p. o., Zámek 1/21, 289 22 Lysá nad Labem</t>
  </si>
  <si>
    <t>49534963</t>
  </si>
  <si>
    <t>07002441</t>
  </si>
  <si>
    <t>Repase oken</t>
  </si>
  <si>
    <t>Oprava</t>
  </si>
  <si>
    <t xml:space="preserve">Zpětná montáž rámů okenních dřevěných, včetně kotvení </t>
  </si>
  <si>
    <t xml:space="preserve">Oprava oken, vyřezání všech poškozených dílů křídel i rámů </t>
  </si>
  <si>
    <t>Oprava oken, výměna všech poškozených dřevěných rámů</t>
  </si>
  <si>
    <t xml:space="preserve">Oprava oken, výměna všech poškozených dřevěných křídel </t>
  </si>
  <si>
    <t>Restaurátoské práce při montáži a dodávce kování</t>
  </si>
  <si>
    <t>Rozvora na vnější okna</t>
  </si>
  <si>
    <t>Závěs okenní na vnější okna</t>
  </si>
  <si>
    <t>Montáž a dodávka těsnění oken</t>
  </si>
  <si>
    <t>Odstranění nátěrů truhlářských oken a rámů, obroušení, opálení, odstraňovače</t>
  </si>
  <si>
    <t>Nátěr truhlářských výrobků, bezbarvá impregnace, ochrana dřeva proti mikroorganismům a hnilobě</t>
  </si>
  <si>
    <t xml:space="preserve">Nátěr truhlářských výrobků, barevný základ </t>
  </si>
  <si>
    <t xml:space="preserve">Nátěr truhlářských výrobků, bezbarvý mezinátěr </t>
  </si>
  <si>
    <t xml:space="preserve">Nátěr truhlářských výrobků, 2 x vrchní lazura </t>
  </si>
  <si>
    <t>UZNATELNÉ POLOŽKY</t>
  </si>
  <si>
    <t>NEUZNATELNÉ POLOŽKY</t>
  </si>
  <si>
    <t>CELKEM UZNATELNÉ POLOŽKY</t>
  </si>
  <si>
    <t>CELKEM NEUZNATELNÉ POLOŽKY</t>
  </si>
  <si>
    <t>CELKEM UZNATELNÉ A NEUZNATELNÉ POLOŽKY:</t>
  </si>
  <si>
    <t>Zařízení staveniště (3%)</t>
  </si>
  <si>
    <t>47</t>
  </si>
  <si>
    <t>%</t>
  </si>
  <si>
    <t>CELKEM NEUZNATELNÉ A NEUZNATELNÉ POLOŽKY</t>
  </si>
  <si>
    <t>S_</t>
  </si>
  <si>
    <t>Eupora s.r.o., budova Jednoty,                          Nová 209/13, 276 01 Mělník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</si>
</sst>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9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24"/>
      <color indexed="8"/>
      <name val="Arial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51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medium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5" fillId="20" borderId="0" applyNumberFormat="0" applyBorder="0" applyAlignment="0" applyProtection="0"/>
    <xf numFmtId="0" fontId="36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69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5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49" fontId="7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10" fillId="34" borderId="28" xfId="0" applyNumberFormat="1" applyFont="1" applyFill="1" applyBorder="1" applyAlignment="1" applyProtection="1">
      <alignment horizontal="center" vertical="center"/>
      <protection/>
    </xf>
    <xf numFmtId="49" fontId="11" fillId="0" borderId="29" xfId="0" applyNumberFormat="1" applyFont="1" applyFill="1" applyBorder="1" applyAlignment="1" applyProtection="1">
      <alignment horizontal="left" vertical="center"/>
      <protection/>
    </xf>
    <xf numFmtId="49" fontId="1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9" fontId="12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4" fontId="12" fillId="0" borderId="28" xfId="0" applyNumberFormat="1" applyFont="1" applyFill="1" applyBorder="1" applyAlignment="1" applyProtection="1">
      <alignment horizontal="right" vertical="center"/>
      <protection/>
    </xf>
    <xf numFmtId="49" fontId="12" fillId="0" borderId="28" xfId="0" applyNumberFormat="1" applyFont="1" applyFill="1" applyBorder="1" applyAlignment="1" applyProtection="1">
      <alignment horizontal="right" vertical="center"/>
      <protection/>
    </xf>
    <xf numFmtId="4" fontId="12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4" fontId="11" fillId="34" borderId="36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1" fillId="0" borderId="23" xfId="0" applyNumberFormat="1" applyFont="1" applyFill="1" applyBorder="1" applyAlignment="1" applyProtection="1">
      <alignment horizontal="left" vertical="center"/>
      <protection/>
    </xf>
    <xf numFmtId="4" fontId="1" fillId="0" borderId="35" xfId="0" applyNumberFormat="1" applyFont="1" applyFill="1" applyBorder="1" applyAlignment="1" applyProtection="1">
      <alignment horizontal="right" vertical="center"/>
      <protection/>
    </xf>
    <xf numFmtId="0" fontId="1" fillId="0" borderId="2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1" fillId="35" borderId="37" xfId="0" applyNumberFormat="1" applyFont="1" applyFill="1" applyBorder="1" applyAlignment="1" applyProtection="1">
      <alignment horizontal="left" vertical="center"/>
      <protection/>
    </xf>
    <xf numFmtId="49" fontId="1" fillId="35" borderId="38" xfId="0" applyNumberFormat="1" applyFont="1" applyFill="1" applyBorder="1" applyAlignment="1" applyProtection="1">
      <alignment horizontal="left" vertical="center"/>
      <protection/>
    </xf>
    <xf numFmtId="49" fontId="3" fillId="35" borderId="38" xfId="0" applyNumberFormat="1" applyFont="1" applyFill="1" applyBorder="1" applyAlignment="1" applyProtection="1">
      <alignment horizontal="left" vertical="center"/>
      <protection/>
    </xf>
    <xf numFmtId="49" fontId="3" fillId="35" borderId="38" xfId="0" applyNumberFormat="1" applyFont="1" applyFill="1" applyBorder="1" applyAlignment="1" applyProtection="1">
      <alignment horizontal="center" vertical="center"/>
      <protection/>
    </xf>
    <xf numFmtId="49" fontId="3" fillId="35" borderId="39" xfId="0" applyNumberFormat="1" applyFont="1" applyFill="1" applyBorder="1" applyAlignment="1" applyProtection="1">
      <alignment horizontal="center" vertical="center"/>
      <protection/>
    </xf>
    <xf numFmtId="49" fontId="4" fillId="36" borderId="27" xfId="0" applyNumberFormat="1" applyFont="1" applyFill="1" applyBorder="1" applyAlignment="1" applyProtection="1">
      <alignment horizontal="left" vertical="center"/>
      <protection/>
    </xf>
    <xf numFmtId="49" fontId="8" fillId="36" borderId="27" xfId="0" applyNumberFormat="1" applyFont="1" applyFill="1" applyBorder="1" applyAlignment="1" applyProtection="1">
      <alignment horizontal="left" vertical="center"/>
      <protection/>
    </xf>
    <xf numFmtId="4" fontId="8" fillId="36" borderId="27" xfId="0" applyNumberFormat="1" applyFont="1" applyFill="1" applyBorder="1" applyAlignment="1" applyProtection="1">
      <alignment horizontal="right" vertical="center"/>
      <protection/>
    </xf>
    <xf numFmtId="49" fontId="8" fillId="36" borderId="27" xfId="0" applyNumberFormat="1" applyFont="1" applyFill="1" applyBorder="1" applyAlignment="1" applyProtection="1">
      <alignment horizontal="right" vertical="center"/>
      <protection/>
    </xf>
    <xf numFmtId="49" fontId="4" fillId="36" borderId="0" xfId="0" applyNumberFormat="1" applyFont="1" applyFill="1" applyBorder="1" applyAlignment="1" applyProtection="1">
      <alignment horizontal="left" vertical="center"/>
      <protection/>
    </xf>
    <xf numFmtId="49" fontId="8" fillId="36" borderId="0" xfId="0" applyNumberFormat="1" applyFont="1" applyFill="1" applyBorder="1" applyAlignment="1" applyProtection="1">
      <alignment horizontal="left" vertical="center"/>
      <protection/>
    </xf>
    <xf numFmtId="4" fontId="8" fillId="36" borderId="0" xfId="0" applyNumberFormat="1" applyFont="1" applyFill="1" applyBorder="1" applyAlignment="1" applyProtection="1">
      <alignment horizontal="right" vertical="center"/>
      <protection/>
    </xf>
    <xf numFmtId="49" fontId="8" fillId="36" borderId="0" xfId="0" applyNumberFormat="1" applyFont="1" applyFill="1" applyBorder="1" applyAlignment="1" applyProtection="1">
      <alignment horizontal="right" vertical="center"/>
      <protection/>
    </xf>
    <xf numFmtId="4" fontId="3" fillId="35" borderId="38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40" xfId="0" applyNumberFormat="1" applyFont="1" applyFill="1" applyBorder="1" applyAlignment="1" applyProtection="1">
      <alignment horizontal="left" vertical="center"/>
      <protection/>
    </xf>
    <xf numFmtId="49" fontId="3" fillId="0" borderId="34" xfId="0" applyNumberFormat="1" applyFont="1" applyFill="1" applyBorder="1" applyAlignment="1" applyProtection="1">
      <alignment horizontal="center" vertical="center"/>
      <protection/>
    </xf>
    <xf numFmtId="49" fontId="3" fillId="0" borderId="41" xfId="0" applyNumberFormat="1" applyFont="1" applyFill="1" applyBorder="1" applyAlignment="1" applyProtection="1">
      <alignment horizontal="left" vertical="center"/>
      <protection/>
    </xf>
    <xf numFmtId="49" fontId="3" fillId="0" borderId="42" xfId="0" applyNumberFormat="1" applyFont="1" applyFill="1" applyBorder="1" applyAlignment="1" applyProtection="1">
      <alignment horizontal="center" vertical="center"/>
      <protection/>
    </xf>
    <xf numFmtId="49" fontId="3" fillId="35" borderId="38" xfId="0" applyNumberFormat="1" applyFont="1" applyFill="1" applyBorder="1" applyAlignment="1" applyProtection="1">
      <alignment horizontal="left" vertical="center"/>
      <protection/>
    </xf>
    <xf numFmtId="49" fontId="3" fillId="35" borderId="37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15" fillId="35" borderId="37" xfId="0" applyNumberFormat="1" applyFont="1" applyFill="1" applyBorder="1" applyAlignment="1" applyProtection="1">
      <alignment vertical="center"/>
      <protection/>
    </xf>
    <xf numFmtId="0" fontId="15" fillId="35" borderId="38" xfId="0" applyNumberFormat="1" applyFont="1" applyFill="1" applyBorder="1" applyAlignment="1" applyProtection="1">
      <alignment vertical="center"/>
      <protection/>
    </xf>
    <xf numFmtId="49" fontId="13" fillId="35" borderId="38" xfId="0" applyNumberFormat="1" applyFont="1" applyFill="1" applyBorder="1" applyAlignment="1" applyProtection="1">
      <alignment horizontal="left" vertical="center"/>
      <protection/>
    </xf>
    <xf numFmtId="0" fontId="15" fillId="35" borderId="38" xfId="0" applyFont="1" applyFill="1" applyBorder="1" applyAlignment="1">
      <alignment vertical="center"/>
    </xf>
    <xf numFmtId="4" fontId="13" fillId="35" borderId="38" xfId="0" applyNumberFormat="1" applyFont="1" applyFill="1" applyBorder="1" applyAlignment="1" applyProtection="1">
      <alignment horizontal="right" vertical="center"/>
      <protection/>
    </xf>
    <xf numFmtId="0" fontId="15" fillId="35" borderId="39" xfId="0" applyNumberFormat="1" applyFont="1" applyFill="1" applyBorder="1" applyAlignment="1" applyProtection="1">
      <alignment vertical="center"/>
      <protection/>
    </xf>
    <xf numFmtId="49" fontId="13" fillId="35" borderId="37" xfId="0" applyNumberFormat="1" applyFont="1" applyFill="1" applyBorder="1" applyAlignment="1" applyProtection="1">
      <alignment horizontal="left" vertical="center"/>
      <protection/>
    </xf>
    <xf numFmtId="49" fontId="13" fillId="35" borderId="38" xfId="0" applyNumberFormat="1" applyFont="1" applyFill="1" applyBorder="1" applyAlignment="1" applyProtection="1">
      <alignment horizontal="center" vertical="center"/>
      <protection/>
    </xf>
    <xf numFmtId="49" fontId="13" fillId="35" borderId="39" xfId="0" applyNumberFormat="1" applyFont="1" applyFill="1" applyBorder="1" applyAlignment="1" applyProtection="1">
      <alignment horizontal="center" vertical="center"/>
      <protection/>
    </xf>
    <xf numFmtId="4" fontId="3" fillId="35" borderId="38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vertical="center"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43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49" fontId="1" fillId="0" borderId="32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35" xfId="0" applyNumberFormat="1" applyFont="1" applyFill="1" applyBorder="1" applyAlignment="1" applyProtection="1">
      <alignment horizontal="left" vertical="center"/>
      <protection locked="0"/>
    </xf>
    <xf numFmtId="0" fontId="1" fillId="0" borderId="35" xfId="0" applyNumberFormat="1" applyFont="1" applyFill="1" applyBorder="1" applyAlignment="1" applyProtection="1">
      <alignment horizontal="left" vertical="center"/>
      <protection locked="0"/>
    </xf>
    <xf numFmtId="14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 locked="0"/>
    </xf>
    <xf numFmtId="14" fontId="1" fillId="0" borderId="35" xfId="0" applyNumberFormat="1" applyFont="1" applyFill="1" applyBorder="1" applyAlignment="1" applyProtection="1">
      <alignment horizontal="left" vertical="center"/>
      <protection locked="0"/>
    </xf>
    <xf numFmtId="0" fontId="1" fillId="0" borderId="44" xfId="0" applyNumberFormat="1" applyFont="1" applyFill="1" applyBorder="1" applyAlignment="1" applyProtection="1">
      <alignment horizontal="left" vertical="center"/>
      <protection locked="0"/>
    </xf>
    <xf numFmtId="49" fontId="9" fillId="0" borderId="45" xfId="0" applyNumberFormat="1" applyFont="1" applyFill="1" applyBorder="1" applyAlignment="1" applyProtection="1">
      <alignment horizontal="center" vertical="center"/>
      <protection/>
    </xf>
    <xf numFmtId="0" fontId="9" fillId="0" borderId="45" xfId="0" applyNumberFormat="1" applyFont="1" applyFill="1" applyBorder="1" applyAlignment="1" applyProtection="1">
      <alignment horizontal="center" vertical="center"/>
      <protection/>
    </xf>
    <xf numFmtId="49" fontId="13" fillId="0" borderId="46" xfId="0" applyNumberFormat="1" applyFont="1" applyFill="1" applyBorder="1" applyAlignment="1" applyProtection="1">
      <alignment horizontal="left" vertical="center"/>
      <protection/>
    </xf>
    <xf numFmtId="0" fontId="13" fillId="0" borderId="36" xfId="0" applyNumberFormat="1" applyFont="1" applyFill="1" applyBorder="1" applyAlignment="1" applyProtection="1">
      <alignment horizontal="left" vertical="center"/>
      <protection/>
    </xf>
    <xf numFmtId="49" fontId="12" fillId="0" borderId="46" xfId="0" applyNumberFormat="1" applyFont="1" applyFill="1" applyBorder="1" applyAlignment="1" applyProtection="1">
      <alignment horizontal="left" vertical="center"/>
      <protection/>
    </xf>
    <xf numFmtId="0" fontId="12" fillId="0" borderId="36" xfId="0" applyNumberFormat="1" applyFont="1" applyFill="1" applyBorder="1" applyAlignment="1" applyProtection="1">
      <alignment horizontal="left" vertical="center"/>
      <protection/>
    </xf>
    <xf numFmtId="49" fontId="11" fillId="0" borderId="46" xfId="0" applyNumberFormat="1" applyFont="1" applyFill="1" applyBorder="1" applyAlignment="1" applyProtection="1">
      <alignment horizontal="left" vertical="center"/>
      <protection/>
    </xf>
    <xf numFmtId="0" fontId="11" fillId="0" borderId="36" xfId="0" applyNumberFormat="1" applyFont="1" applyFill="1" applyBorder="1" applyAlignment="1" applyProtection="1">
      <alignment horizontal="left" vertical="center"/>
      <protection/>
    </xf>
    <xf numFmtId="49" fontId="11" fillId="34" borderId="46" xfId="0" applyNumberFormat="1" applyFont="1" applyFill="1" applyBorder="1" applyAlignment="1" applyProtection="1">
      <alignment horizontal="left" vertical="center"/>
      <protection/>
    </xf>
    <xf numFmtId="0" fontId="11" fillId="34" borderId="45" xfId="0" applyNumberFormat="1" applyFont="1" applyFill="1" applyBorder="1" applyAlignment="1" applyProtection="1">
      <alignment horizontal="left" vertical="center"/>
      <protection/>
    </xf>
    <xf numFmtId="49" fontId="12" fillId="0" borderId="47" xfId="0" applyNumberFormat="1" applyFont="1" applyFill="1" applyBorder="1" applyAlignment="1" applyProtection="1">
      <alignment horizontal="left" vertical="center"/>
      <protection locked="0"/>
    </xf>
    <xf numFmtId="0" fontId="12" fillId="0" borderId="27" xfId="0" applyNumberFormat="1" applyFont="1" applyFill="1" applyBorder="1" applyAlignment="1" applyProtection="1">
      <alignment horizontal="left" vertical="center"/>
      <protection locked="0"/>
    </xf>
    <xf numFmtId="0" fontId="12" fillId="0" borderId="48" xfId="0" applyNumberFormat="1" applyFont="1" applyFill="1" applyBorder="1" applyAlignment="1" applyProtection="1">
      <alignment horizontal="left" vertical="center"/>
      <protection locked="0"/>
    </xf>
    <xf numFmtId="49" fontId="12" fillId="0" borderId="24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NumberFormat="1" applyFont="1" applyFill="1" applyBorder="1" applyAlignment="1" applyProtection="1">
      <alignment horizontal="left" vertical="center"/>
      <protection locked="0"/>
    </xf>
    <xf numFmtId="0" fontId="12" fillId="0" borderId="49" xfId="0" applyNumberFormat="1" applyFont="1" applyFill="1" applyBorder="1" applyAlignment="1" applyProtection="1">
      <alignment horizontal="left" vertical="center"/>
      <protection locked="0"/>
    </xf>
    <xf numFmtId="49" fontId="12" fillId="0" borderId="50" xfId="0" applyNumberFormat="1" applyFont="1" applyFill="1" applyBorder="1" applyAlignment="1" applyProtection="1">
      <alignment horizontal="left" vertical="center"/>
      <protection locked="0"/>
    </xf>
    <xf numFmtId="0" fontId="12" fillId="0" borderId="51" xfId="0" applyNumberFormat="1" applyFont="1" applyFill="1" applyBorder="1" applyAlignment="1" applyProtection="1">
      <alignment horizontal="left" vertical="center"/>
      <protection locked="0"/>
    </xf>
    <xf numFmtId="0" fontId="12" fillId="0" borderId="52" xfId="0" applyNumberFormat="1" applyFont="1" applyFill="1" applyBorder="1" applyAlignment="1" applyProtection="1">
      <alignment horizontal="left" vertical="center"/>
      <protection locked="0"/>
    </xf>
    <xf numFmtId="49" fontId="2" fillId="0" borderId="46" xfId="0" applyNumberFormat="1" applyFont="1" applyFill="1" applyBorder="1" applyAlignment="1" applyProtection="1">
      <alignment horizontal="center"/>
      <protection/>
    </xf>
    <xf numFmtId="0" fontId="2" fillId="0" borderId="45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 vertical="center"/>
      <protection/>
    </xf>
    <xf numFmtId="0" fontId="1" fillId="0" borderId="32" xfId="0" applyNumberFormat="1" applyFont="1" applyFill="1" applyBorder="1" applyAlignment="1" applyProtection="1">
      <alignment horizontal="left" vertical="center"/>
      <protection/>
    </xf>
    <xf numFmtId="0" fontId="1" fillId="0" borderId="53" xfId="0" applyNumberFormat="1" applyFont="1" applyFill="1" applyBorder="1" applyAlignment="1" applyProtection="1">
      <alignment horizontal="left" vertical="center"/>
      <protection/>
    </xf>
    <xf numFmtId="0" fontId="1" fillId="0" borderId="51" xfId="0" applyNumberFormat="1" applyFont="1" applyFill="1" applyBorder="1" applyAlignment="1" applyProtection="1">
      <alignment horizontal="left" vertical="center"/>
      <protection locked="0"/>
    </xf>
    <xf numFmtId="0" fontId="1" fillId="0" borderId="51" xfId="0" applyNumberFormat="1" applyFont="1" applyFill="1" applyBorder="1" applyAlignment="1" applyProtection="1">
      <alignment horizontal="left" vertical="center"/>
      <protection/>
    </xf>
    <xf numFmtId="0" fontId="1" fillId="0" borderId="54" xfId="0" applyNumberFormat="1" applyFont="1" applyFill="1" applyBorder="1" applyAlignment="1" applyProtection="1">
      <alignment horizontal="left" vertical="center"/>
      <protection locked="0"/>
    </xf>
    <xf numFmtId="49" fontId="9" fillId="0" borderId="46" xfId="0" applyNumberFormat="1" applyFont="1" applyFill="1" applyBorder="1" applyAlignment="1" applyProtection="1">
      <alignment horizontal="center"/>
      <protection/>
    </xf>
    <xf numFmtId="0" fontId="9" fillId="0" borderId="45" xfId="0" applyNumberFormat="1" applyFont="1" applyFill="1" applyBorder="1" applyAlignment="1" applyProtection="1">
      <alignment horizontal="center" vertical="center"/>
      <protection/>
    </xf>
    <xf numFmtId="0" fontId="9" fillId="0" borderId="36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 locked="0"/>
    </xf>
    <xf numFmtId="0" fontId="1" fillId="0" borderId="13" xfId="0" applyNumberFormat="1" applyFont="1" applyFill="1" applyBorder="1" applyAlignment="1" applyProtection="1">
      <alignment horizontal="left" vertical="center"/>
      <protection locked="0"/>
    </xf>
    <xf numFmtId="49" fontId="8" fillId="36" borderId="0" xfId="0" applyNumberFormat="1" applyFont="1" applyFill="1" applyBorder="1" applyAlignment="1" applyProtection="1">
      <alignment horizontal="left" vertical="center"/>
      <protection/>
    </xf>
    <xf numFmtId="0" fontId="8" fillId="36" borderId="0" xfId="0" applyNumberFormat="1" applyFont="1" applyFill="1" applyBorder="1" applyAlignment="1" applyProtection="1">
      <alignment horizontal="left" vertical="center"/>
      <protection/>
    </xf>
    <xf numFmtId="49" fontId="3" fillId="0" borderId="55" xfId="0" applyNumberFormat="1" applyFont="1" applyFill="1" applyBorder="1" applyAlignment="1" applyProtection="1">
      <alignment horizontal="center" vertical="center"/>
      <protection/>
    </xf>
    <xf numFmtId="0" fontId="3" fillId="0" borderId="56" xfId="0" applyNumberFormat="1" applyFont="1" applyFill="1" applyBorder="1" applyAlignment="1" applyProtection="1">
      <alignment horizontal="center" vertical="center"/>
      <protection/>
    </xf>
    <xf numFmtId="0" fontId="3" fillId="0" borderId="57" xfId="0" applyNumberFormat="1" applyFont="1" applyFill="1" applyBorder="1" applyAlignment="1" applyProtection="1">
      <alignment horizontal="center" vertical="center"/>
      <protection/>
    </xf>
    <xf numFmtId="49" fontId="8" fillId="36" borderId="27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J24" sqref="J24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51"/>
      <c r="B1" s="37"/>
      <c r="C1" s="102" t="s">
        <v>222</v>
      </c>
      <c r="D1" s="103"/>
      <c r="E1" s="103"/>
      <c r="F1" s="103"/>
      <c r="G1" s="103"/>
      <c r="H1" s="103"/>
      <c r="I1" s="103"/>
    </row>
    <row r="2" spans="1:10" ht="12.75">
      <c r="A2" s="104" t="s">
        <v>1</v>
      </c>
      <c r="B2" s="105"/>
      <c r="C2" s="108" t="s">
        <v>256</v>
      </c>
      <c r="D2" s="109"/>
      <c r="E2" s="111" t="s">
        <v>169</v>
      </c>
      <c r="F2" s="112" t="s">
        <v>253</v>
      </c>
      <c r="G2" s="105"/>
      <c r="H2" s="111" t="s">
        <v>247</v>
      </c>
      <c r="I2" s="113" t="s">
        <v>254</v>
      </c>
      <c r="J2" s="27"/>
    </row>
    <row r="3" spans="1:10" ht="12.75">
      <c r="A3" s="106"/>
      <c r="B3" s="107"/>
      <c r="C3" s="110"/>
      <c r="D3" s="110"/>
      <c r="E3" s="107"/>
      <c r="F3" s="107"/>
      <c r="G3" s="107"/>
      <c r="H3" s="107"/>
      <c r="I3" s="114"/>
      <c r="J3" s="27"/>
    </row>
    <row r="4" spans="1:10" ht="12.75">
      <c r="A4" s="115" t="s">
        <v>2</v>
      </c>
      <c r="B4" s="107"/>
      <c r="C4" s="116" t="s">
        <v>257</v>
      </c>
      <c r="D4" s="107"/>
      <c r="E4" s="116" t="s">
        <v>170</v>
      </c>
      <c r="F4" s="117" t="s">
        <v>281</v>
      </c>
      <c r="G4" s="107"/>
      <c r="H4" s="116" t="s">
        <v>247</v>
      </c>
      <c r="I4" s="118" t="s">
        <v>255</v>
      </c>
      <c r="J4" s="27"/>
    </row>
    <row r="5" spans="1:10" ht="12.75">
      <c r="A5" s="106"/>
      <c r="B5" s="107"/>
      <c r="C5" s="107"/>
      <c r="D5" s="107"/>
      <c r="E5" s="107"/>
      <c r="F5" s="107"/>
      <c r="G5" s="107"/>
      <c r="H5" s="107"/>
      <c r="I5" s="114"/>
      <c r="J5" s="27"/>
    </row>
    <row r="6" spans="1:10" ht="12.75">
      <c r="A6" s="115" t="s">
        <v>3</v>
      </c>
      <c r="B6" s="107"/>
      <c r="C6" s="116" t="s">
        <v>107</v>
      </c>
      <c r="D6" s="107"/>
      <c r="E6" s="116" t="s">
        <v>171</v>
      </c>
      <c r="F6" s="119"/>
      <c r="G6" s="120"/>
      <c r="H6" s="116" t="s">
        <v>247</v>
      </c>
      <c r="I6" s="121"/>
      <c r="J6" s="27"/>
    </row>
    <row r="7" spans="1:10" ht="12.75">
      <c r="A7" s="106"/>
      <c r="B7" s="107"/>
      <c r="C7" s="107"/>
      <c r="D7" s="107"/>
      <c r="E7" s="107"/>
      <c r="F7" s="120"/>
      <c r="G7" s="120"/>
      <c r="H7" s="107"/>
      <c r="I7" s="122"/>
      <c r="J7" s="27"/>
    </row>
    <row r="8" spans="1:10" ht="12.75">
      <c r="A8" s="115" t="s">
        <v>153</v>
      </c>
      <c r="B8" s="107"/>
      <c r="C8" s="123"/>
      <c r="D8" s="120"/>
      <c r="E8" s="116" t="s">
        <v>154</v>
      </c>
      <c r="F8" s="120"/>
      <c r="G8" s="120"/>
      <c r="H8" s="124" t="s">
        <v>248</v>
      </c>
      <c r="I8" s="118" t="s">
        <v>277</v>
      </c>
      <c r="J8" s="27"/>
    </row>
    <row r="9" spans="1:10" ht="12.75">
      <c r="A9" s="106"/>
      <c r="B9" s="107"/>
      <c r="C9" s="120"/>
      <c r="D9" s="120"/>
      <c r="E9" s="107"/>
      <c r="F9" s="120"/>
      <c r="G9" s="120"/>
      <c r="H9" s="107"/>
      <c r="I9" s="114"/>
      <c r="J9" s="27"/>
    </row>
    <row r="10" spans="1:10" ht="12.75">
      <c r="A10" s="115" t="s">
        <v>4</v>
      </c>
      <c r="B10" s="107"/>
      <c r="C10" s="119"/>
      <c r="D10" s="120"/>
      <c r="E10" s="116" t="s">
        <v>172</v>
      </c>
      <c r="F10" s="119"/>
      <c r="G10" s="120"/>
      <c r="H10" s="124" t="s">
        <v>249</v>
      </c>
      <c r="I10" s="128"/>
      <c r="J10" s="27"/>
    </row>
    <row r="11" spans="1:10" ht="12.75">
      <c r="A11" s="125"/>
      <c r="B11" s="126"/>
      <c r="C11" s="127"/>
      <c r="D11" s="127"/>
      <c r="E11" s="126"/>
      <c r="F11" s="127"/>
      <c r="G11" s="127"/>
      <c r="H11" s="126"/>
      <c r="I11" s="129"/>
      <c r="J11" s="27"/>
    </row>
    <row r="12" spans="1:9" ht="23.25" customHeight="1">
      <c r="A12" s="130" t="s">
        <v>207</v>
      </c>
      <c r="B12" s="131"/>
      <c r="C12" s="131"/>
      <c r="D12" s="131"/>
      <c r="E12" s="131"/>
      <c r="F12" s="131"/>
      <c r="G12" s="131"/>
      <c r="H12" s="131"/>
      <c r="I12" s="131"/>
    </row>
    <row r="13" spans="1:10" ht="26.25" customHeight="1">
      <c r="A13" s="38" t="s">
        <v>208</v>
      </c>
      <c r="B13" s="132" t="s">
        <v>220</v>
      </c>
      <c r="C13" s="133"/>
      <c r="D13" s="38" t="s">
        <v>223</v>
      </c>
      <c r="E13" s="132" t="s">
        <v>232</v>
      </c>
      <c r="F13" s="133"/>
      <c r="G13" s="38" t="s">
        <v>233</v>
      </c>
      <c r="H13" s="132" t="s">
        <v>250</v>
      </c>
      <c r="I13" s="133"/>
      <c r="J13" s="27"/>
    </row>
    <row r="14" spans="1:10" ht="15" customHeight="1">
      <c r="A14" s="39" t="s">
        <v>209</v>
      </c>
      <c r="B14" s="42" t="s">
        <v>221</v>
      </c>
      <c r="C14" s="45">
        <f>SUM('Stavební rozpočet'!R16:R76)</f>
        <v>0</v>
      </c>
      <c r="D14" s="134" t="s">
        <v>224</v>
      </c>
      <c r="E14" s="135"/>
      <c r="F14" s="45">
        <v>0</v>
      </c>
      <c r="G14" s="134" t="s">
        <v>234</v>
      </c>
      <c r="H14" s="135"/>
      <c r="I14" s="45">
        <f>ROUND(C22*(3/100),2)</f>
        <v>0</v>
      </c>
      <c r="J14" s="27"/>
    </row>
    <row r="15" spans="1:10" ht="15" customHeight="1">
      <c r="A15" s="40"/>
      <c r="B15" s="42" t="s">
        <v>173</v>
      </c>
      <c r="C15" s="45">
        <f>SUM('Stavební rozpočet'!S16:S76)</f>
        <v>0</v>
      </c>
      <c r="D15" s="134" t="s">
        <v>225</v>
      </c>
      <c r="E15" s="135"/>
      <c r="F15" s="45">
        <v>0</v>
      </c>
      <c r="G15" s="134" t="s">
        <v>235</v>
      </c>
      <c r="H15" s="135"/>
      <c r="I15" s="45">
        <v>0</v>
      </c>
      <c r="J15" s="27"/>
    </row>
    <row r="16" spans="1:10" ht="15" customHeight="1">
      <c r="A16" s="39" t="s">
        <v>210</v>
      </c>
      <c r="B16" s="42" t="s">
        <v>221</v>
      </c>
      <c r="C16" s="45">
        <f>SUM('Stavební rozpočet'!T17:T76)</f>
        <v>0</v>
      </c>
      <c r="D16" s="134" t="s">
        <v>226</v>
      </c>
      <c r="E16" s="135"/>
      <c r="F16" s="45">
        <v>0</v>
      </c>
      <c r="G16" s="134" t="s">
        <v>236</v>
      </c>
      <c r="H16" s="135"/>
      <c r="I16" s="45">
        <v>0</v>
      </c>
      <c r="J16" s="27"/>
    </row>
    <row r="17" spans="1:10" ht="15" customHeight="1">
      <c r="A17" s="40"/>
      <c r="B17" s="42" t="s">
        <v>173</v>
      </c>
      <c r="C17" s="45">
        <f>SUM('Stavební rozpočet'!U16:U76)</f>
        <v>0</v>
      </c>
      <c r="D17" s="134"/>
      <c r="E17" s="135"/>
      <c r="F17" s="46"/>
      <c r="G17" s="134" t="s">
        <v>237</v>
      </c>
      <c r="H17" s="135"/>
      <c r="I17" s="45">
        <v>0</v>
      </c>
      <c r="J17" s="27"/>
    </row>
    <row r="18" spans="1:10" ht="15" customHeight="1">
      <c r="A18" s="39" t="s">
        <v>211</v>
      </c>
      <c r="B18" s="42" t="s">
        <v>221</v>
      </c>
      <c r="C18" s="45">
        <f>SUM('Stavební rozpočet'!V16:V76)</f>
        <v>0</v>
      </c>
      <c r="D18" s="134"/>
      <c r="E18" s="135"/>
      <c r="F18" s="46"/>
      <c r="G18" s="134" t="s">
        <v>238</v>
      </c>
      <c r="H18" s="135"/>
      <c r="I18" s="45">
        <v>0</v>
      </c>
      <c r="J18" s="27"/>
    </row>
    <row r="19" spans="1:10" ht="15" customHeight="1">
      <c r="A19" s="40"/>
      <c r="B19" s="42" t="s">
        <v>173</v>
      </c>
      <c r="C19" s="45">
        <f>SUM('Stavební rozpočet'!W16:W76)</f>
        <v>0</v>
      </c>
      <c r="D19" s="134"/>
      <c r="E19" s="135"/>
      <c r="F19" s="46"/>
      <c r="G19" s="134" t="s">
        <v>239</v>
      </c>
      <c r="H19" s="135"/>
      <c r="I19" s="45">
        <v>0</v>
      </c>
      <c r="J19" s="27"/>
    </row>
    <row r="20" spans="1:10" ht="15" customHeight="1">
      <c r="A20" s="136" t="s">
        <v>212</v>
      </c>
      <c r="B20" s="137"/>
      <c r="C20" s="45">
        <f>SUM('Stavební rozpočet'!X15:X49)</f>
        <v>0</v>
      </c>
      <c r="D20" s="134"/>
      <c r="E20" s="135"/>
      <c r="F20" s="46"/>
      <c r="G20" s="134"/>
      <c r="H20" s="135"/>
      <c r="I20" s="46"/>
      <c r="J20" s="27"/>
    </row>
    <row r="21" spans="1:10" ht="15" customHeight="1">
      <c r="A21" s="136" t="s">
        <v>213</v>
      </c>
      <c r="B21" s="137"/>
      <c r="C21" s="45">
        <f>SUM('Stavební rozpočet'!J57+'Stavební rozpočet'!J60+'Stavební rozpočet'!J62+'Stavební rozpočet'!J65+'Stavební rozpočet'!J68)</f>
        <v>0</v>
      </c>
      <c r="D21" s="134"/>
      <c r="E21" s="135"/>
      <c r="F21" s="46"/>
      <c r="G21" s="134"/>
      <c r="H21" s="135"/>
      <c r="I21" s="46"/>
      <c r="J21" s="27"/>
    </row>
    <row r="22" spans="1:10" ht="16.5" customHeight="1">
      <c r="A22" s="136" t="s">
        <v>214</v>
      </c>
      <c r="B22" s="137"/>
      <c r="C22" s="45">
        <f>SUM(C14:C21)</f>
        <v>0</v>
      </c>
      <c r="D22" s="136" t="s">
        <v>227</v>
      </c>
      <c r="E22" s="137"/>
      <c r="F22" s="45">
        <f>SUM(F14:F21)</f>
        <v>0</v>
      </c>
      <c r="G22" s="136" t="s">
        <v>240</v>
      </c>
      <c r="H22" s="137"/>
      <c r="I22" s="45">
        <f>SUM(I14:I21)</f>
        <v>0</v>
      </c>
      <c r="J22" s="27"/>
    </row>
    <row r="23" spans="1:10" ht="15" customHeight="1">
      <c r="A23" s="6"/>
      <c r="B23" s="6"/>
      <c r="C23" s="43"/>
      <c r="D23" s="136" t="s">
        <v>228</v>
      </c>
      <c r="E23" s="137"/>
      <c r="F23" s="47">
        <v>0</v>
      </c>
      <c r="G23" s="136" t="s">
        <v>241</v>
      </c>
      <c r="H23" s="137"/>
      <c r="I23" s="45">
        <v>0</v>
      </c>
      <c r="J23" s="27"/>
    </row>
    <row r="24" spans="4:10" ht="15" customHeight="1">
      <c r="D24" s="6"/>
      <c r="E24" s="6"/>
      <c r="F24" s="48"/>
      <c r="G24" s="136" t="s">
        <v>242</v>
      </c>
      <c r="H24" s="137"/>
      <c r="I24" s="45">
        <v>0</v>
      </c>
      <c r="J24" s="27"/>
    </row>
    <row r="25" spans="6:10" ht="15" customHeight="1">
      <c r="F25" s="49"/>
      <c r="G25" s="136" t="s">
        <v>243</v>
      </c>
      <c r="H25" s="137"/>
      <c r="I25" s="45">
        <v>0</v>
      </c>
      <c r="J25" s="27"/>
    </row>
    <row r="26" spans="1:9" ht="12.75">
      <c r="A26" s="37"/>
      <c r="B26" s="37"/>
      <c r="C26" s="37"/>
      <c r="G26" s="6"/>
      <c r="H26" s="6"/>
      <c r="I26" s="6"/>
    </row>
    <row r="27" spans="1:9" ht="15" customHeight="1">
      <c r="A27" s="138" t="s">
        <v>215</v>
      </c>
      <c r="B27" s="139"/>
      <c r="C27" s="50">
        <f>SUM('Stavební rozpočet'!Z15:Z49)</f>
        <v>0</v>
      </c>
      <c r="D27" s="44"/>
      <c r="E27" s="37"/>
      <c r="F27" s="37"/>
      <c r="G27" s="37"/>
      <c r="H27" s="37"/>
      <c r="I27" s="37"/>
    </row>
    <row r="28" spans="1:10" ht="15" customHeight="1">
      <c r="A28" s="138" t="s">
        <v>216</v>
      </c>
      <c r="B28" s="139"/>
      <c r="C28" s="50">
        <f>SUM('Stavební rozpočet'!AA15:AA49)</f>
        <v>0</v>
      </c>
      <c r="D28" s="138" t="s">
        <v>229</v>
      </c>
      <c r="E28" s="139"/>
      <c r="F28" s="50">
        <f>ROUND(C28*(15/100),2)</f>
        <v>0</v>
      </c>
      <c r="G28" s="138" t="s">
        <v>244</v>
      </c>
      <c r="H28" s="139"/>
      <c r="I28" s="50">
        <f>SUM(C27:C29)</f>
        <v>0</v>
      </c>
      <c r="J28" s="27"/>
    </row>
    <row r="29" spans="1:10" ht="15" customHeight="1">
      <c r="A29" s="138" t="s">
        <v>217</v>
      </c>
      <c r="B29" s="139"/>
      <c r="C29" s="50">
        <f>SUM(C22+I22)</f>
        <v>0</v>
      </c>
      <c r="D29" s="138" t="s">
        <v>230</v>
      </c>
      <c r="E29" s="139"/>
      <c r="F29" s="50">
        <f>ROUND(C29*(21/100),2)</f>
        <v>0</v>
      </c>
      <c r="G29" s="138" t="s">
        <v>245</v>
      </c>
      <c r="H29" s="139"/>
      <c r="I29" s="50">
        <f>SUM(F28:F29)+I28</f>
        <v>0</v>
      </c>
      <c r="J29" s="27"/>
    </row>
    <row r="30" spans="1:9" ht="12.75">
      <c r="A30" s="41"/>
      <c r="B30" s="41"/>
      <c r="C30" s="41"/>
      <c r="D30" s="41"/>
      <c r="E30" s="41"/>
      <c r="F30" s="41"/>
      <c r="G30" s="41"/>
      <c r="H30" s="41"/>
      <c r="I30" s="41"/>
    </row>
    <row r="31" spans="1:10" ht="14.25" customHeight="1">
      <c r="A31" s="140" t="s">
        <v>218</v>
      </c>
      <c r="B31" s="141"/>
      <c r="C31" s="142"/>
      <c r="D31" s="140" t="s">
        <v>231</v>
      </c>
      <c r="E31" s="141"/>
      <c r="F31" s="142"/>
      <c r="G31" s="140" t="s">
        <v>246</v>
      </c>
      <c r="H31" s="141"/>
      <c r="I31" s="142"/>
      <c r="J31" s="28"/>
    </row>
    <row r="32" spans="1:10" ht="14.25" customHeight="1">
      <c r="A32" s="143"/>
      <c r="B32" s="144"/>
      <c r="C32" s="145"/>
      <c r="D32" s="143"/>
      <c r="E32" s="144"/>
      <c r="F32" s="145"/>
      <c r="G32" s="143"/>
      <c r="H32" s="144"/>
      <c r="I32" s="145"/>
      <c r="J32" s="28"/>
    </row>
    <row r="33" spans="1:10" ht="14.25" customHeight="1">
      <c r="A33" s="143"/>
      <c r="B33" s="144"/>
      <c r="C33" s="145"/>
      <c r="D33" s="143"/>
      <c r="E33" s="144"/>
      <c r="F33" s="145"/>
      <c r="G33" s="143"/>
      <c r="H33" s="144"/>
      <c r="I33" s="145"/>
      <c r="J33" s="28"/>
    </row>
    <row r="34" spans="1:10" ht="14.25" customHeight="1">
      <c r="A34" s="143"/>
      <c r="B34" s="144"/>
      <c r="C34" s="145"/>
      <c r="D34" s="143"/>
      <c r="E34" s="144"/>
      <c r="F34" s="145"/>
      <c r="G34" s="143"/>
      <c r="H34" s="144"/>
      <c r="I34" s="145"/>
      <c r="J34" s="28"/>
    </row>
    <row r="35" spans="1:10" ht="14.25" customHeight="1">
      <c r="A35" s="146" t="s">
        <v>219</v>
      </c>
      <c r="B35" s="147"/>
      <c r="C35" s="148"/>
      <c r="D35" s="146" t="s">
        <v>219</v>
      </c>
      <c r="E35" s="147"/>
      <c r="F35" s="148"/>
      <c r="G35" s="146" t="s">
        <v>219</v>
      </c>
      <c r="H35" s="147"/>
      <c r="I35" s="148"/>
      <c r="J35" s="28"/>
    </row>
    <row r="36" spans="1:9" ht="11.25" customHeight="1">
      <c r="A36" s="36" t="s">
        <v>53</v>
      </c>
      <c r="B36" s="35"/>
      <c r="C36" s="35"/>
      <c r="D36" s="35"/>
      <c r="E36" s="35"/>
      <c r="F36" s="35"/>
      <c r="G36" s="35"/>
      <c r="H36" s="35"/>
      <c r="I36" s="35"/>
    </row>
    <row r="37" spans="1:9" ht="12.75">
      <c r="A37" s="116"/>
      <c r="B37" s="107"/>
      <c r="C37" s="107"/>
      <c r="D37" s="107"/>
      <c r="E37" s="107"/>
      <c r="F37" s="107"/>
      <c r="G37" s="107"/>
      <c r="H37" s="107"/>
      <c r="I37" s="107"/>
    </row>
  </sheetData>
  <sheetProtection password="F5AD" sheet="1"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A1" sqref="A1:G1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0" style="0" hidden="1" customWidth="1"/>
  </cols>
  <sheetData>
    <row r="1" spans="1:7" ht="72.75" customHeight="1">
      <c r="A1" s="149" t="s">
        <v>201</v>
      </c>
      <c r="B1" s="150"/>
      <c r="C1" s="150"/>
      <c r="D1" s="150"/>
      <c r="E1" s="150"/>
      <c r="F1" s="150"/>
      <c r="G1" s="151"/>
    </row>
    <row r="2" spans="1:8" ht="12.75">
      <c r="A2" s="104" t="s">
        <v>1</v>
      </c>
      <c r="B2" s="108" t="s">
        <v>256</v>
      </c>
      <c r="C2" s="109"/>
      <c r="D2" s="111" t="s">
        <v>169</v>
      </c>
      <c r="E2" s="112" t="s">
        <v>251</v>
      </c>
      <c r="F2" s="105"/>
      <c r="G2" s="152"/>
      <c r="H2" s="52"/>
    </row>
    <row r="3" spans="1:8" ht="12.75">
      <c r="A3" s="106"/>
      <c r="B3" s="110"/>
      <c r="C3" s="110"/>
      <c r="D3" s="107"/>
      <c r="E3" s="107"/>
      <c r="F3" s="107"/>
      <c r="G3" s="114"/>
      <c r="H3" s="52"/>
    </row>
    <row r="4" spans="1:8" ht="12.75">
      <c r="A4" s="115" t="s">
        <v>2</v>
      </c>
      <c r="B4" s="116" t="s">
        <v>257</v>
      </c>
      <c r="C4" s="107"/>
      <c r="D4" s="116" t="s">
        <v>170</v>
      </c>
      <c r="E4" s="117" t="s">
        <v>252</v>
      </c>
      <c r="F4" s="107"/>
      <c r="G4" s="114"/>
      <c r="H4" s="52"/>
    </row>
    <row r="5" spans="1:8" ht="12.75">
      <c r="A5" s="106"/>
      <c r="B5" s="107"/>
      <c r="C5" s="107"/>
      <c r="D5" s="107"/>
      <c r="E5" s="107"/>
      <c r="F5" s="107"/>
      <c r="G5" s="114"/>
      <c r="H5" s="52"/>
    </row>
    <row r="6" spans="1:8" ht="12.75">
      <c r="A6" s="115" t="s">
        <v>3</v>
      </c>
      <c r="B6" s="116" t="s">
        <v>107</v>
      </c>
      <c r="C6" s="107"/>
      <c r="D6" s="116" t="s">
        <v>171</v>
      </c>
      <c r="E6" s="119"/>
      <c r="F6" s="120"/>
      <c r="G6" s="122"/>
      <c r="H6" s="52"/>
    </row>
    <row r="7" spans="1:8" ht="12.75">
      <c r="A7" s="106"/>
      <c r="B7" s="107"/>
      <c r="C7" s="107"/>
      <c r="D7" s="107"/>
      <c r="E7" s="120"/>
      <c r="F7" s="120"/>
      <c r="G7" s="122"/>
      <c r="H7" s="52"/>
    </row>
    <row r="8" spans="1:8" ht="12.75">
      <c r="A8" s="115" t="s">
        <v>172</v>
      </c>
      <c r="B8" s="119"/>
      <c r="C8" s="120"/>
      <c r="D8" s="124" t="s">
        <v>155</v>
      </c>
      <c r="E8" s="123"/>
      <c r="F8" s="120"/>
      <c r="G8" s="122"/>
      <c r="H8" s="52"/>
    </row>
    <row r="9" spans="1:8" ht="13.5" thickBot="1">
      <c r="A9" s="153"/>
      <c r="B9" s="154"/>
      <c r="C9" s="154"/>
      <c r="D9" s="155"/>
      <c r="E9" s="154"/>
      <c r="F9" s="154"/>
      <c r="G9" s="156"/>
      <c r="H9" s="52"/>
    </row>
    <row r="10" spans="1:8" ht="13.5" thickBot="1">
      <c r="A10" s="77" t="s">
        <v>54</v>
      </c>
      <c r="B10" s="32" t="s">
        <v>55</v>
      </c>
      <c r="C10" s="33" t="s">
        <v>108</v>
      </c>
      <c r="D10" s="34" t="s">
        <v>202</v>
      </c>
      <c r="E10" s="34" t="s">
        <v>203</v>
      </c>
      <c r="F10" s="34" t="s">
        <v>204</v>
      </c>
      <c r="G10" s="78" t="s">
        <v>205</v>
      </c>
      <c r="H10" s="52"/>
    </row>
    <row r="11" spans="1:8" ht="13.5" thickBot="1">
      <c r="A11" s="58"/>
      <c r="B11" s="58"/>
      <c r="C11" s="58"/>
      <c r="D11" s="59"/>
      <c r="E11" s="59"/>
      <c r="F11" s="59"/>
      <c r="G11" s="59"/>
      <c r="H11" s="52"/>
    </row>
    <row r="12" spans="1:8" ht="13.5" thickBot="1">
      <c r="A12" s="80"/>
      <c r="B12" s="62"/>
      <c r="C12" s="62" t="s">
        <v>271</v>
      </c>
      <c r="D12" s="63"/>
      <c r="E12" s="63"/>
      <c r="F12" s="63"/>
      <c r="G12" s="64"/>
      <c r="H12" s="52"/>
    </row>
    <row r="13" spans="1:8" ht="12.75">
      <c r="A13" s="58"/>
      <c r="B13" s="58"/>
      <c r="C13" s="81" t="s">
        <v>276</v>
      </c>
      <c r="D13" s="59"/>
      <c r="E13" s="59"/>
      <c r="F13" s="29">
        <f>'Stavební rozpočet'!J14</f>
        <v>0</v>
      </c>
      <c r="G13" s="76"/>
      <c r="H13" s="52"/>
    </row>
    <row r="14" spans="1:9" ht="12.75">
      <c r="A14" s="53"/>
      <c r="B14" s="11" t="s">
        <v>56</v>
      </c>
      <c r="C14" s="11" t="s">
        <v>110</v>
      </c>
      <c r="D14" s="29">
        <f>'Stavební rozpočet'!H15</f>
        <v>0</v>
      </c>
      <c r="E14" s="29">
        <f>'Stavební rozpočet'!I15</f>
        <v>0</v>
      </c>
      <c r="F14" s="29">
        <f aca="true" t="shared" si="0" ref="F14:F20">D14+E14</f>
        <v>0</v>
      </c>
      <c r="G14" s="54">
        <f>'Stavební rozpočet'!L15</f>
        <v>0.6378799999999999</v>
      </c>
      <c r="H14" s="29" t="s">
        <v>206</v>
      </c>
      <c r="I14" s="29">
        <f aca="true" t="shared" si="1" ref="I14:I20">IF(H14="F",0,F14)</f>
        <v>0</v>
      </c>
    </row>
    <row r="15" spans="1:9" ht="12.75">
      <c r="A15" s="53"/>
      <c r="B15" s="11" t="s">
        <v>63</v>
      </c>
      <c r="C15" s="11" t="s">
        <v>117</v>
      </c>
      <c r="D15" s="29">
        <f>'Stavební rozpočet'!H17</f>
        <v>0</v>
      </c>
      <c r="E15" s="29">
        <f>'Stavební rozpočet'!I17</f>
        <v>0</v>
      </c>
      <c r="F15" s="29">
        <f t="shared" si="0"/>
        <v>0</v>
      </c>
      <c r="G15" s="54">
        <f>'Stavební rozpočet'!L17</f>
        <v>1.3181600000000002</v>
      </c>
      <c r="H15" s="29" t="s">
        <v>206</v>
      </c>
      <c r="I15" s="29">
        <f t="shared" si="1"/>
        <v>0</v>
      </c>
    </row>
    <row r="16" spans="1:9" ht="12.75">
      <c r="A16" s="53"/>
      <c r="B16" s="11" t="s">
        <v>72</v>
      </c>
      <c r="C16" s="11" t="s">
        <v>123</v>
      </c>
      <c r="D16" s="29">
        <f>'Stavební rozpočet'!H25</f>
        <v>0</v>
      </c>
      <c r="E16" s="29">
        <f>'Stavební rozpočet'!I25</f>
        <v>0</v>
      </c>
      <c r="F16" s="29">
        <f t="shared" si="0"/>
        <v>0</v>
      </c>
      <c r="G16" s="54">
        <f>'Stavební rozpočet'!L25</f>
        <v>0.0092</v>
      </c>
      <c r="H16" s="29" t="s">
        <v>206</v>
      </c>
      <c r="I16" s="29">
        <f t="shared" si="1"/>
        <v>0</v>
      </c>
    </row>
    <row r="17" spans="1:9" ht="12.75">
      <c r="A17" s="53"/>
      <c r="B17" s="11" t="s">
        <v>82</v>
      </c>
      <c r="C17" s="11" t="s">
        <v>130</v>
      </c>
      <c r="D17" s="29">
        <f>'Stavební rozpočet'!H35</f>
        <v>0</v>
      </c>
      <c r="E17" s="29">
        <f>'Stavební rozpočet'!I35</f>
        <v>0</v>
      </c>
      <c r="F17" s="29">
        <f t="shared" si="0"/>
        <v>0</v>
      </c>
      <c r="G17" s="54">
        <f>'Stavební rozpočet'!L35</f>
        <v>0.149408</v>
      </c>
      <c r="H17" s="29" t="s">
        <v>206</v>
      </c>
      <c r="I17" s="29">
        <f t="shared" si="1"/>
        <v>0</v>
      </c>
    </row>
    <row r="18" spans="1:9" ht="12.75">
      <c r="A18" s="53"/>
      <c r="B18" s="11" t="s">
        <v>89</v>
      </c>
      <c r="C18" s="11" t="s">
        <v>133</v>
      </c>
      <c r="D18" s="29">
        <f>'Stavební rozpočet'!H43</f>
        <v>0</v>
      </c>
      <c r="E18" s="29">
        <f>'Stavební rozpočet'!I43</f>
        <v>0</v>
      </c>
      <c r="F18" s="29">
        <f t="shared" si="0"/>
        <v>0</v>
      </c>
      <c r="G18" s="54">
        <f>'Stavební rozpočet'!L43</f>
        <v>1.288</v>
      </c>
      <c r="H18" s="29" t="s">
        <v>206</v>
      </c>
      <c r="I18" s="29">
        <f t="shared" si="1"/>
        <v>0</v>
      </c>
    </row>
    <row r="19" spans="1:9" ht="12.75">
      <c r="A19" s="53"/>
      <c r="B19" s="11" t="s">
        <v>93</v>
      </c>
      <c r="C19" s="11" t="s">
        <v>137</v>
      </c>
      <c r="D19" s="29">
        <f>'Stavební rozpočet'!H45</f>
        <v>0</v>
      </c>
      <c r="E19" s="29">
        <f>'Stavební rozpočet'!I45</f>
        <v>0</v>
      </c>
      <c r="F19" s="29">
        <f t="shared" si="0"/>
        <v>0</v>
      </c>
      <c r="G19" s="54">
        <f>'Stavební rozpočet'!L45</f>
        <v>0.166848</v>
      </c>
      <c r="H19" s="29" t="s">
        <v>206</v>
      </c>
      <c r="I19" s="29">
        <f t="shared" si="1"/>
        <v>0</v>
      </c>
    </row>
    <row r="20" spans="1:9" ht="13.5" thickBot="1">
      <c r="A20" s="53"/>
      <c r="B20" s="11" t="s">
        <v>96</v>
      </c>
      <c r="C20" s="11" t="s">
        <v>140</v>
      </c>
      <c r="D20" s="29">
        <f>'Stavební rozpočet'!H47</f>
        <v>0</v>
      </c>
      <c r="E20" s="29">
        <f>'Stavební rozpočet'!I47</f>
        <v>0</v>
      </c>
      <c r="F20" s="29">
        <f t="shared" si="0"/>
        <v>0</v>
      </c>
      <c r="G20" s="54">
        <f>'Stavební rozpočet'!L47</f>
        <v>4.057200000000001</v>
      </c>
      <c r="H20" s="29" t="s">
        <v>206</v>
      </c>
      <c r="I20" s="29">
        <f t="shared" si="1"/>
        <v>0</v>
      </c>
    </row>
    <row r="21" spans="1:9" ht="13.5" thickBot="1">
      <c r="A21" s="80"/>
      <c r="B21" s="62"/>
      <c r="C21" s="79" t="s">
        <v>273</v>
      </c>
      <c r="D21" s="92"/>
      <c r="E21" s="92"/>
      <c r="F21" s="92">
        <f>SUM(F13:F20)</f>
        <v>0</v>
      </c>
      <c r="G21" s="64"/>
      <c r="H21" s="29"/>
      <c r="I21" s="29"/>
    </row>
    <row r="22" spans="1:9" ht="12.75">
      <c r="A22" s="75"/>
      <c r="B22" s="58"/>
      <c r="C22" s="82"/>
      <c r="D22" s="59"/>
      <c r="E22" s="59"/>
      <c r="F22" s="59"/>
      <c r="G22" s="76"/>
      <c r="H22" s="29"/>
      <c r="I22" s="29"/>
    </row>
    <row r="23" spans="1:9" ht="13.5" thickBot="1">
      <c r="A23" s="53"/>
      <c r="B23" s="11"/>
      <c r="C23" s="11"/>
      <c r="D23" s="29"/>
      <c r="E23" s="29"/>
      <c r="F23" s="29"/>
      <c r="G23" s="54"/>
      <c r="H23" s="29"/>
      <c r="I23" s="29"/>
    </row>
    <row r="24" spans="1:9" ht="13.5" thickBot="1">
      <c r="A24" s="80"/>
      <c r="B24" s="62"/>
      <c r="C24" s="79" t="s">
        <v>272</v>
      </c>
      <c r="D24" s="63"/>
      <c r="E24" s="63"/>
      <c r="F24" s="63"/>
      <c r="G24" s="64"/>
      <c r="H24" s="29"/>
      <c r="I24" s="29"/>
    </row>
    <row r="25" spans="1:9" ht="12.75">
      <c r="A25" s="53"/>
      <c r="B25" s="11" t="s">
        <v>58</v>
      </c>
      <c r="C25" s="11" t="s">
        <v>112</v>
      </c>
      <c r="D25" s="29">
        <f>'Stavební rozpočet'!H53</f>
        <v>0</v>
      </c>
      <c r="E25" s="29">
        <f>'Stavební rozpočet'!I53</f>
        <v>0</v>
      </c>
      <c r="F25" s="29">
        <f aca="true" t="shared" si="2" ref="F25:F30">D25+E25</f>
        <v>0</v>
      </c>
      <c r="G25" s="54">
        <f>'Stavební rozpočet'!L53</f>
        <v>0.0008</v>
      </c>
      <c r="H25" s="29"/>
      <c r="I25" s="29"/>
    </row>
    <row r="26" spans="1:9" ht="12.75">
      <c r="A26" s="53"/>
      <c r="B26" s="11" t="s">
        <v>63</v>
      </c>
      <c r="C26" s="11" t="s">
        <v>117</v>
      </c>
      <c r="D26" s="29">
        <f>'Stavební rozpočet'!H58</f>
        <v>0</v>
      </c>
      <c r="E26" s="29">
        <f>'Stavební rozpočet'!I58</f>
        <v>0</v>
      </c>
      <c r="F26" s="29">
        <f t="shared" si="2"/>
        <v>0</v>
      </c>
      <c r="G26" s="54">
        <f>'Stavební rozpočet'!L58</f>
        <v>0</v>
      </c>
      <c r="H26" s="29"/>
      <c r="I26" s="29"/>
    </row>
    <row r="27" spans="1:9" ht="12.75">
      <c r="A27" s="53"/>
      <c r="B27" s="11" t="s">
        <v>72</v>
      </c>
      <c r="C27" s="11" t="s">
        <v>123</v>
      </c>
      <c r="D27" s="29">
        <f>'Stavební rozpočet'!H61</f>
        <v>0</v>
      </c>
      <c r="E27" s="29">
        <f>'Stavební rozpočet'!I61</f>
        <v>0</v>
      </c>
      <c r="F27" s="29">
        <f t="shared" si="2"/>
        <v>0</v>
      </c>
      <c r="G27" s="54">
        <f>'Stavební rozpočet'!L61</f>
        <v>0</v>
      </c>
      <c r="H27" s="29"/>
      <c r="I27" s="29"/>
    </row>
    <row r="28" spans="1:9" ht="12.75">
      <c r="A28" s="53"/>
      <c r="B28" s="11" t="s">
        <v>89</v>
      </c>
      <c r="C28" s="11" t="s">
        <v>133</v>
      </c>
      <c r="D28" s="29">
        <f>'Stavební rozpočet'!H63</f>
        <v>0</v>
      </c>
      <c r="E28" s="29">
        <f>'Stavební rozpočet'!I63</f>
        <v>0</v>
      </c>
      <c r="F28" s="29">
        <f t="shared" si="2"/>
        <v>0</v>
      </c>
      <c r="G28" s="54">
        <f>'Stavební rozpočet'!L63</f>
        <v>1.7310720000000002</v>
      </c>
      <c r="H28" s="29"/>
      <c r="I28" s="29"/>
    </row>
    <row r="29" spans="1:9" ht="12.75">
      <c r="A29" s="53"/>
      <c r="B29" s="11" t="s">
        <v>93</v>
      </c>
      <c r="C29" s="11" t="s">
        <v>137</v>
      </c>
      <c r="D29" s="29">
        <f>'Stavební rozpočet'!H66</f>
        <v>0</v>
      </c>
      <c r="E29" s="29">
        <f>'Stavební rozpočet'!I66</f>
        <v>0</v>
      </c>
      <c r="F29" s="29">
        <f t="shared" si="2"/>
        <v>0</v>
      </c>
      <c r="G29" s="54">
        <f>'Stavební rozpočet'!L66</f>
        <v>0</v>
      </c>
      <c r="H29" s="29"/>
      <c r="I29" s="29"/>
    </row>
    <row r="30" spans="1:9" ht="13.5" thickBot="1">
      <c r="A30" s="53"/>
      <c r="B30" s="11" t="s">
        <v>99</v>
      </c>
      <c r="C30" s="11" t="s">
        <v>143</v>
      </c>
      <c r="D30" s="29">
        <f>'Stavební rozpočet'!H68</f>
        <v>0</v>
      </c>
      <c r="E30" s="29">
        <f>'Stavební rozpočet'!I68</f>
        <v>0</v>
      </c>
      <c r="F30" s="29">
        <f t="shared" si="2"/>
        <v>0</v>
      </c>
      <c r="G30" s="54">
        <f>'Stavební rozpočet'!L68</f>
        <v>0</v>
      </c>
      <c r="H30" s="29"/>
      <c r="I30" s="29"/>
    </row>
    <row r="31" spans="1:9" ht="13.5" thickBot="1">
      <c r="A31" s="80"/>
      <c r="B31" s="62"/>
      <c r="C31" s="79" t="s">
        <v>274</v>
      </c>
      <c r="D31" s="63"/>
      <c r="E31" s="63"/>
      <c r="F31" s="92">
        <f>SUM(F23:F30)</f>
        <v>0</v>
      </c>
      <c r="G31" s="64"/>
      <c r="H31" s="29"/>
      <c r="I31" s="29"/>
    </row>
    <row r="32" spans="1:7" ht="12.75">
      <c r="A32" s="55"/>
      <c r="B32" s="56"/>
      <c r="C32" s="56"/>
      <c r="D32" s="56"/>
      <c r="E32" s="56"/>
      <c r="F32" s="56"/>
      <c r="G32" s="57"/>
    </row>
    <row r="33" spans="1:7" ht="13.5" thickBot="1">
      <c r="A33" s="55"/>
      <c r="B33" s="56"/>
      <c r="C33" s="56"/>
      <c r="D33" s="56"/>
      <c r="E33" s="56"/>
      <c r="F33" s="56"/>
      <c r="G33" s="57"/>
    </row>
    <row r="34" spans="1:7" ht="15.75" thickBot="1">
      <c r="A34" s="89"/>
      <c r="B34" s="85"/>
      <c r="C34" s="85" t="s">
        <v>279</v>
      </c>
      <c r="D34" s="90"/>
      <c r="E34" s="90"/>
      <c r="F34" s="73">
        <f>SUM(F21+F31)</f>
        <v>0</v>
      </c>
      <c r="G34" s="91"/>
    </row>
  </sheetData>
  <sheetProtection password="F5AD" sheet="1"/>
  <mergeCells count="17">
    <mergeCell ref="A6:A7"/>
    <mergeCell ref="B6:C7"/>
    <mergeCell ref="D6:D7"/>
    <mergeCell ref="E6:G7"/>
    <mergeCell ref="A8:A9"/>
    <mergeCell ref="B8:C9"/>
    <mergeCell ref="D8:D9"/>
    <mergeCell ref="E8:G9"/>
    <mergeCell ref="A1:G1"/>
    <mergeCell ref="A2:A3"/>
    <mergeCell ref="B2:C3"/>
    <mergeCell ref="D2:D3"/>
    <mergeCell ref="E2:G3"/>
    <mergeCell ref="A4:A5"/>
    <mergeCell ref="B4:C5"/>
    <mergeCell ref="D4:D5"/>
    <mergeCell ref="E4:G5"/>
  </mergeCells>
  <printOptions/>
  <pageMargins left="0.394" right="0.394" top="0.591" bottom="0.591" header="0.5" footer="0.5"/>
  <pageSetup fitToHeight="0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81"/>
  <sheetViews>
    <sheetView zoomScalePageLayoutView="0" workbookViewId="0" topLeftCell="A1">
      <selection activeCell="A1" sqref="A1:M1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114.8515625" style="0" customWidth="1"/>
    <col min="5" max="5" width="6.421875" style="0" customWidth="1"/>
    <col min="6" max="6" width="12.8515625" style="0" customWidth="1"/>
    <col min="7" max="7" width="12.00390625" style="0" customWidth="1"/>
    <col min="8" max="10" width="14.28125" style="0" customWidth="1"/>
    <col min="11" max="12" width="11.7109375" style="0" customWidth="1"/>
    <col min="13" max="13" width="11.28125" style="0" customWidth="1"/>
    <col min="14" max="15" width="9.421875" style="0" hidden="1" customWidth="1"/>
    <col min="16" max="16" width="9.140625" style="0" hidden="1" customWidth="1"/>
    <col min="17" max="17" width="11.7109375" style="0" hidden="1" customWidth="1"/>
    <col min="18" max="18" width="8.8515625" style="0" hidden="1" customWidth="1"/>
    <col min="19" max="19" width="9.421875" style="0" hidden="1" customWidth="1"/>
    <col min="20" max="20" width="9.140625" style="0" hidden="1" customWidth="1"/>
    <col min="21" max="21" width="10.140625" style="0" hidden="1" customWidth="1"/>
    <col min="22" max="22" width="9.421875" style="0" hidden="1" customWidth="1"/>
    <col min="23" max="23" width="10.00390625" style="0" hidden="1" customWidth="1"/>
    <col min="24" max="24" width="11.8515625" style="0" hidden="1" customWidth="1"/>
    <col min="25" max="25" width="9.421875" style="0" hidden="1" customWidth="1"/>
    <col min="26" max="27" width="4.57421875" style="0" hidden="1" customWidth="1"/>
    <col min="28" max="28" width="10.140625" style="0" hidden="1" customWidth="1"/>
    <col min="29" max="29" width="9.421875" style="0" hidden="1" customWidth="1"/>
    <col min="30" max="30" width="5.57421875" style="0" hidden="1" customWidth="1"/>
    <col min="31" max="32" width="8.140625" style="0" hidden="1" customWidth="1"/>
    <col min="33" max="33" width="2.00390625" style="0" hidden="1" customWidth="1"/>
    <col min="34" max="34" width="9.421875" style="0" hidden="1" customWidth="1"/>
    <col min="35" max="36" width="4.57421875" style="0" hidden="1" customWidth="1"/>
    <col min="37" max="37" width="10.140625" style="0" hidden="1" customWidth="1"/>
    <col min="38" max="38" width="9.421875" style="0" hidden="1" customWidth="1"/>
    <col min="39" max="39" width="9.140625" style="0" hidden="1" customWidth="1"/>
    <col min="40" max="40" width="10.140625" style="0" hidden="1" customWidth="1"/>
    <col min="41" max="41" width="5.00390625" style="0" hidden="1" customWidth="1"/>
    <col min="42" max="42" width="4.00390625" style="0" hidden="1" customWidth="1"/>
    <col min="43" max="43" width="2.00390625" style="0" hidden="1" customWidth="1"/>
    <col min="44" max="44" width="9.421875" style="0" hidden="1" customWidth="1"/>
    <col min="45" max="45" width="10.140625" style="0" hidden="1" customWidth="1"/>
    <col min="46" max="46" width="8.140625" style="0" hidden="1" customWidth="1"/>
    <col min="47" max="48" width="4.57421875" style="0" hidden="1" customWidth="1"/>
  </cols>
  <sheetData>
    <row r="1" spans="1:13" ht="21.75" customHeight="1">
      <c r="A1" s="157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9"/>
    </row>
    <row r="2" spans="1:14" ht="12" customHeight="1">
      <c r="A2" s="104" t="s">
        <v>1</v>
      </c>
      <c r="B2" s="105"/>
      <c r="C2" s="105"/>
      <c r="D2" s="108" t="s">
        <v>256</v>
      </c>
      <c r="E2" s="160" t="s">
        <v>152</v>
      </c>
      <c r="F2" s="105"/>
      <c r="G2" s="161"/>
      <c r="H2" s="162"/>
      <c r="I2" s="111" t="s">
        <v>169</v>
      </c>
      <c r="J2" s="112" t="s">
        <v>251</v>
      </c>
      <c r="K2" s="105"/>
      <c r="L2" s="105"/>
      <c r="M2" s="152"/>
      <c r="N2" s="27"/>
    </row>
    <row r="3" spans="1:14" ht="12" customHeight="1">
      <c r="A3" s="106"/>
      <c r="B3" s="107"/>
      <c r="C3" s="107"/>
      <c r="D3" s="110"/>
      <c r="E3" s="107"/>
      <c r="F3" s="107"/>
      <c r="G3" s="120"/>
      <c r="H3" s="120"/>
      <c r="I3" s="107"/>
      <c r="J3" s="107"/>
      <c r="K3" s="107"/>
      <c r="L3" s="107"/>
      <c r="M3" s="114"/>
      <c r="N3" s="27"/>
    </row>
    <row r="4" spans="1:14" ht="12" customHeight="1">
      <c r="A4" s="115" t="s">
        <v>2</v>
      </c>
      <c r="B4" s="107"/>
      <c r="C4" s="107"/>
      <c r="D4" s="116" t="s">
        <v>257</v>
      </c>
      <c r="E4" s="124" t="s">
        <v>153</v>
      </c>
      <c r="F4" s="107"/>
      <c r="G4" s="123"/>
      <c r="H4" s="120"/>
      <c r="I4" s="116" t="s">
        <v>170</v>
      </c>
      <c r="J4" s="117" t="s">
        <v>252</v>
      </c>
      <c r="K4" s="107"/>
      <c r="L4" s="107"/>
      <c r="M4" s="114"/>
      <c r="N4" s="27"/>
    </row>
    <row r="5" spans="1:14" ht="12" customHeight="1">
      <c r="A5" s="106"/>
      <c r="B5" s="107"/>
      <c r="C5" s="107"/>
      <c r="D5" s="107"/>
      <c r="E5" s="107"/>
      <c r="F5" s="107"/>
      <c r="G5" s="120"/>
      <c r="H5" s="120"/>
      <c r="I5" s="107"/>
      <c r="J5" s="107"/>
      <c r="K5" s="107"/>
      <c r="L5" s="107"/>
      <c r="M5" s="114"/>
      <c r="N5" s="27"/>
    </row>
    <row r="6" spans="1:14" ht="12" customHeight="1">
      <c r="A6" s="115" t="s">
        <v>3</v>
      </c>
      <c r="B6" s="107"/>
      <c r="C6" s="107"/>
      <c r="D6" s="116" t="s">
        <v>107</v>
      </c>
      <c r="E6" s="124" t="s">
        <v>154</v>
      </c>
      <c r="F6" s="107"/>
      <c r="G6" s="120"/>
      <c r="H6" s="120"/>
      <c r="I6" s="116" t="s">
        <v>171</v>
      </c>
      <c r="J6" s="119"/>
      <c r="K6" s="120"/>
      <c r="L6" s="120"/>
      <c r="M6" s="122"/>
      <c r="N6" s="27"/>
    </row>
    <row r="7" spans="1:14" ht="12" customHeight="1">
      <c r="A7" s="106"/>
      <c r="B7" s="107"/>
      <c r="C7" s="107"/>
      <c r="D7" s="107"/>
      <c r="E7" s="107"/>
      <c r="F7" s="107"/>
      <c r="G7" s="120"/>
      <c r="H7" s="120"/>
      <c r="I7" s="107"/>
      <c r="J7" s="120"/>
      <c r="K7" s="120"/>
      <c r="L7" s="120"/>
      <c r="M7" s="122"/>
      <c r="N7" s="27"/>
    </row>
    <row r="8" spans="1:14" ht="12" customHeight="1">
      <c r="A8" s="115" t="s">
        <v>4</v>
      </c>
      <c r="B8" s="107"/>
      <c r="C8" s="107"/>
      <c r="D8" s="119"/>
      <c r="E8" s="124" t="s">
        <v>155</v>
      </c>
      <c r="F8" s="107"/>
      <c r="G8" s="123"/>
      <c r="H8" s="120"/>
      <c r="I8" s="116" t="s">
        <v>172</v>
      </c>
      <c r="J8" s="119"/>
      <c r="K8" s="120"/>
      <c r="L8" s="120"/>
      <c r="M8" s="122"/>
      <c r="N8" s="27"/>
    </row>
    <row r="9" spans="1:14" ht="12" customHeight="1">
      <c r="A9" s="153"/>
      <c r="B9" s="155"/>
      <c r="C9" s="155"/>
      <c r="D9" s="154"/>
      <c r="E9" s="155"/>
      <c r="F9" s="155"/>
      <c r="G9" s="154"/>
      <c r="H9" s="154"/>
      <c r="I9" s="155"/>
      <c r="J9" s="154"/>
      <c r="K9" s="154"/>
      <c r="L9" s="154"/>
      <c r="M9" s="156"/>
      <c r="N9" s="27"/>
    </row>
    <row r="10" spans="1:14" ht="12.75">
      <c r="A10" s="1" t="s">
        <v>5</v>
      </c>
      <c r="B10" s="8" t="s">
        <v>54</v>
      </c>
      <c r="C10" s="8" t="s">
        <v>55</v>
      </c>
      <c r="D10" s="8" t="s">
        <v>108</v>
      </c>
      <c r="E10" s="8" t="s">
        <v>156</v>
      </c>
      <c r="F10" s="12" t="s">
        <v>164</v>
      </c>
      <c r="G10" s="16" t="s">
        <v>165</v>
      </c>
      <c r="H10" s="165" t="s">
        <v>167</v>
      </c>
      <c r="I10" s="166"/>
      <c r="J10" s="167"/>
      <c r="K10" s="165" t="s">
        <v>175</v>
      </c>
      <c r="L10" s="167"/>
      <c r="M10" s="22" t="s">
        <v>176</v>
      </c>
      <c r="N10" s="28"/>
    </row>
    <row r="11" spans="1:24" ht="13.5" thickBot="1">
      <c r="A11" s="2" t="s">
        <v>6</v>
      </c>
      <c r="B11" s="9" t="s">
        <v>6</v>
      </c>
      <c r="C11" s="9" t="s">
        <v>6</v>
      </c>
      <c r="D11" s="10" t="s">
        <v>109</v>
      </c>
      <c r="E11" s="9" t="s">
        <v>6</v>
      </c>
      <c r="F11" s="9" t="s">
        <v>6</v>
      </c>
      <c r="G11" s="17" t="s">
        <v>166</v>
      </c>
      <c r="H11" s="18" t="s">
        <v>168</v>
      </c>
      <c r="I11" s="19" t="s">
        <v>173</v>
      </c>
      <c r="J11" s="20" t="s">
        <v>174</v>
      </c>
      <c r="K11" s="18" t="s">
        <v>165</v>
      </c>
      <c r="L11" s="20" t="s">
        <v>174</v>
      </c>
      <c r="M11" s="23" t="s">
        <v>177</v>
      </c>
      <c r="N11" s="28"/>
      <c r="P11" s="21" t="s">
        <v>179</v>
      </c>
      <c r="Q11" s="21" t="s">
        <v>180</v>
      </c>
      <c r="R11" s="21" t="s">
        <v>181</v>
      </c>
      <c r="S11" s="21" t="s">
        <v>182</v>
      </c>
      <c r="T11" s="21" t="s">
        <v>183</v>
      </c>
      <c r="U11" s="21" t="s">
        <v>184</v>
      </c>
      <c r="V11" s="21" t="s">
        <v>185</v>
      </c>
      <c r="W11" s="21" t="s">
        <v>186</v>
      </c>
      <c r="X11" s="21" t="s">
        <v>187</v>
      </c>
    </row>
    <row r="12" spans="1:24" ht="14.25" customHeight="1" thickBot="1">
      <c r="A12" s="60"/>
      <c r="B12" s="61"/>
      <c r="C12" s="61"/>
      <c r="D12" s="79" t="s">
        <v>271</v>
      </c>
      <c r="E12" s="61"/>
      <c r="F12" s="61"/>
      <c r="G12" s="63"/>
      <c r="H12" s="63"/>
      <c r="I12" s="63"/>
      <c r="J12" s="63"/>
      <c r="K12" s="63"/>
      <c r="L12" s="63"/>
      <c r="M12" s="64"/>
      <c r="N12" s="52"/>
      <c r="P12" s="21"/>
      <c r="Q12" s="21"/>
      <c r="R12" s="21"/>
      <c r="S12" s="21"/>
      <c r="T12" s="21"/>
      <c r="U12" s="21"/>
      <c r="V12" s="21"/>
      <c r="W12" s="21"/>
      <c r="X12" s="21"/>
    </row>
    <row r="13" spans="1:24" ht="12.75" customHeight="1">
      <c r="A13" s="65"/>
      <c r="B13" s="66"/>
      <c r="C13" s="66"/>
      <c r="D13" s="168" t="s">
        <v>276</v>
      </c>
      <c r="E13" s="168"/>
      <c r="F13" s="168"/>
      <c r="G13" s="168"/>
      <c r="H13" s="67">
        <f>SUM(H14:H14)</f>
        <v>0</v>
      </c>
      <c r="I13" s="67">
        <f>SUM(I14:I14)</f>
        <v>0</v>
      </c>
      <c r="J13" s="67">
        <f>SUM(J14)</f>
        <v>0</v>
      </c>
      <c r="K13" s="68"/>
      <c r="L13" s="67">
        <f>SUM(L14:L14)</f>
        <v>0</v>
      </c>
      <c r="M13" s="68"/>
      <c r="N13" s="52"/>
      <c r="P13" s="21"/>
      <c r="Q13" s="21"/>
      <c r="R13" s="21"/>
      <c r="S13" s="21"/>
      <c r="T13" s="21"/>
      <c r="U13" s="21"/>
      <c r="V13" s="21"/>
      <c r="W13" s="21"/>
      <c r="X13" s="21"/>
    </row>
    <row r="14" spans="1:24" ht="12.75" customHeight="1">
      <c r="A14" s="3" t="s">
        <v>7</v>
      </c>
      <c r="B14" s="3"/>
      <c r="C14" s="3"/>
      <c r="D14" s="3" t="s">
        <v>276</v>
      </c>
      <c r="E14" s="74" t="s">
        <v>278</v>
      </c>
      <c r="F14" s="13">
        <v>0.03</v>
      </c>
      <c r="G14" s="13">
        <f>J15+J17+J25+J35+J43+J45+J47+J53+J58+J61+J63+J66+J68</f>
        <v>0</v>
      </c>
      <c r="H14" s="13">
        <f>F14*AE14</f>
        <v>0</v>
      </c>
      <c r="I14" s="13">
        <v>0</v>
      </c>
      <c r="J14" s="13">
        <f>F14*G14</f>
        <v>0</v>
      </c>
      <c r="K14" s="13">
        <v>0.00431</v>
      </c>
      <c r="L14" s="13">
        <v>0</v>
      </c>
      <c r="M14" s="24"/>
      <c r="N14" s="52"/>
      <c r="P14" s="21"/>
      <c r="Q14" s="21"/>
      <c r="R14" s="21"/>
      <c r="S14" s="21"/>
      <c r="T14" s="21"/>
      <c r="U14" s="21"/>
      <c r="V14" s="21"/>
      <c r="W14" s="21"/>
      <c r="X14" s="21"/>
    </row>
    <row r="15" spans="1:37" ht="12.75">
      <c r="A15" s="69"/>
      <c r="B15" s="70"/>
      <c r="C15" s="70" t="s">
        <v>56</v>
      </c>
      <c r="D15" s="163" t="s">
        <v>110</v>
      </c>
      <c r="E15" s="164"/>
      <c r="F15" s="164"/>
      <c r="G15" s="164"/>
      <c r="H15" s="71">
        <f>SUM(H16:H16)</f>
        <v>0</v>
      </c>
      <c r="I15" s="71">
        <f>SUM(I16:I16)</f>
        <v>0</v>
      </c>
      <c r="J15" s="71">
        <f>H15+I15</f>
        <v>0</v>
      </c>
      <c r="K15" s="72"/>
      <c r="L15" s="71">
        <f>SUM(L16:L16)</f>
        <v>0.6378799999999999</v>
      </c>
      <c r="M15" s="72"/>
      <c r="Y15" s="21"/>
      <c r="AI15" s="31">
        <f>SUM(Z16:Z16)</f>
        <v>0</v>
      </c>
      <c r="AJ15" s="31">
        <f>SUM(AA16:AA16)</f>
        <v>0</v>
      </c>
      <c r="AK15" s="31">
        <f>SUM(AB16:AB16)</f>
        <v>0</v>
      </c>
    </row>
    <row r="16" spans="1:48" ht="12.75">
      <c r="A16" s="3" t="s">
        <v>8</v>
      </c>
      <c r="B16" s="3"/>
      <c r="C16" s="3" t="s">
        <v>57</v>
      </c>
      <c r="D16" s="3" t="s">
        <v>111</v>
      </c>
      <c r="E16" s="3" t="s">
        <v>157</v>
      </c>
      <c r="F16" s="13">
        <v>148</v>
      </c>
      <c r="G16" s="99">
        <v>0</v>
      </c>
      <c r="H16" s="13">
        <f>F16*AE16</f>
        <v>0</v>
      </c>
      <c r="I16" s="13">
        <f>J16-H16</f>
        <v>0</v>
      </c>
      <c r="J16" s="13">
        <f>F16*G16</f>
        <v>0</v>
      </c>
      <c r="K16" s="13">
        <v>0.00431</v>
      </c>
      <c r="L16" s="13">
        <f>F16*K16</f>
        <v>0.6378799999999999</v>
      </c>
      <c r="M16" s="24" t="s">
        <v>178</v>
      </c>
      <c r="P16" s="29">
        <f>IF(AG16="5",J16,0)</f>
        <v>0</v>
      </c>
      <c r="R16" s="29">
        <f>IF(AG16="1",H16,0)</f>
        <v>0</v>
      </c>
      <c r="S16" s="29">
        <f>IF(AG16="1",I16,0)</f>
        <v>0</v>
      </c>
      <c r="T16" s="29">
        <f>IF(AG16="7",H16,0)</f>
        <v>0</v>
      </c>
      <c r="U16" s="29">
        <f>IF(AG16="7",I16,0)</f>
        <v>0</v>
      </c>
      <c r="V16" s="29">
        <f>IF(AG16="2",H16,0)</f>
        <v>0</v>
      </c>
      <c r="W16" s="29">
        <f>IF(AG16="2",I16,0)</f>
        <v>0</v>
      </c>
      <c r="X16" s="29">
        <f>IF(AG16="0",J16,0)</f>
        <v>0</v>
      </c>
      <c r="Y16" s="21"/>
      <c r="Z16" s="13">
        <f>IF(AD16=0,J16,0)</f>
        <v>0</v>
      </c>
      <c r="AA16" s="13">
        <f>IF(AD16=15,J16,0)</f>
        <v>0</v>
      </c>
      <c r="AB16" s="13">
        <f>IF(AD16=21,J16,0)</f>
        <v>0</v>
      </c>
      <c r="AD16" s="29">
        <v>21</v>
      </c>
      <c r="AE16" s="29">
        <f>G16*0.0556660039761432</f>
        <v>0</v>
      </c>
      <c r="AF16" s="29">
        <f>G16*(1-0.0556660039761432)</f>
        <v>0</v>
      </c>
      <c r="AG16" s="24" t="s">
        <v>7</v>
      </c>
      <c r="AM16" s="29">
        <f>F16*AE16</f>
        <v>0</v>
      </c>
      <c r="AN16" s="29">
        <f>F16*AF16</f>
        <v>0</v>
      </c>
      <c r="AO16" s="30" t="s">
        <v>188</v>
      </c>
      <c r="AP16" s="30" t="s">
        <v>196</v>
      </c>
      <c r="AQ16" s="21" t="s">
        <v>200</v>
      </c>
      <c r="AS16" s="29">
        <f>AM16+AN16</f>
        <v>0</v>
      </c>
      <c r="AT16" s="29">
        <f>G16/(100-AU16)*100</f>
        <v>0</v>
      </c>
      <c r="AU16" s="29">
        <v>0</v>
      </c>
      <c r="AV16" s="29">
        <f>L16</f>
        <v>0.6378799999999999</v>
      </c>
    </row>
    <row r="17" spans="1:37" ht="12.75">
      <c r="A17" s="69"/>
      <c r="B17" s="70"/>
      <c r="C17" s="70" t="s">
        <v>63</v>
      </c>
      <c r="D17" s="163" t="s">
        <v>117</v>
      </c>
      <c r="E17" s="164"/>
      <c r="F17" s="164"/>
      <c r="G17" s="164"/>
      <c r="H17" s="71">
        <f>SUM(H18:H24)</f>
        <v>0</v>
      </c>
      <c r="I17" s="71">
        <f>SUM(I18:I24)</f>
        <v>0</v>
      </c>
      <c r="J17" s="71">
        <f>H17+I17</f>
        <v>0</v>
      </c>
      <c r="K17" s="72"/>
      <c r="L17" s="71">
        <f>SUM(L18:L24)</f>
        <v>1.3181600000000002</v>
      </c>
      <c r="M17" s="72"/>
      <c r="Y17" s="21"/>
      <c r="AI17" s="31">
        <f>SUM(Z18:Z24)</f>
        <v>0</v>
      </c>
      <c r="AJ17" s="31">
        <f>SUM(AA18:AA24)</f>
        <v>0</v>
      </c>
      <c r="AK17" s="31">
        <f>SUM(AB18:AB24)</f>
        <v>0</v>
      </c>
    </row>
    <row r="18" spans="1:48" ht="12.75">
      <c r="A18" s="3" t="s">
        <v>9</v>
      </c>
      <c r="B18" s="3"/>
      <c r="C18" s="3" t="s">
        <v>64</v>
      </c>
      <c r="D18" s="3" t="s">
        <v>118</v>
      </c>
      <c r="E18" s="3" t="s">
        <v>160</v>
      </c>
      <c r="F18" s="13">
        <v>80</v>
      </c>
      <c r="G18" s="99">
        <v>0</v>
      </c>
      <c r="H18" s="13">
        <f aca="true" t="shared" si="0" ref="H18:H24">F18*AE18</f>
        <v>0</v>
      </c>
      <c r="I18" s="13">
        <f aca="true" t="shared" si="1" ref="I18:I24">J18-H18</f>
        <v>0</v>
      </c>
      <c r="J18" s="13">
        <f aca="true" t="shared" si="2" ref="J18:J24">F18*G18</f>
        <v>0</v>
      </c>
      <c r="K18" s="13">
        <v>0</v>
      </c>
      <c r="L18" s="13">
        <f aca="true" t="shared" si="3" ref="L18:L24">F18*K18</f>
        <v>0</v>
      </c>
      <c r="M18" s="24"/>
      <c r="P18" s="29">
        <f aca="true" t="shared" si="4" ref="P18:P24">IF(AG18="5",J18,0)</f>
        <v>0</v>
      </c>
      <c r="R18" s="29">
        <f aca="true" t="shared" si="5" ref="R18:R24">IF(AG18="1",H18,0)</f>
        <v>0</v>
      </c>
      <c r="S18" s="29">
        <f aca="true" t="shared" si="6" ref="S18:S24">IF(AG18="1",I18,0)</f>
        <v>0</v>
      </c>
      <c r="T18" s="29">
        <f aca="true" t="shared" si="7" ref="T18:T24">IF(AG18="7",H18,0)</f>
        <v>0</v>
      </c>
      <c r="U18" s="29">
        <f aca="true" t="shared" si="8" ref="U18:U24">IF(AG18="7",I18,0)</f>
        <v>0</v>
      </c>
      <c r="V18" s="29">
        <f aca="true" t="shared" si="9" ref="V18:V24">IF(AG18="2",H18,0)</f>
        <v>0</v>
      </c>
      <c r="W18" s="29">
        <f aca="true" t="shared" si="10" ref="W18:W24">IF(AG18="2",I18,0)</f>
        <v>0</v>
      </c>
      <c r="X18" s="29">
        <f aca="true" t="shared" si="11" ref="X18:X24">IF(AG18="0",J18,0)</f>
        <v>0</v>
      </c>
      <c r="Y18" s="21"/>
      <c r="Z18" s="13">
        <f aca="true" t="shared" si="12" ref="Z18:Z24">IF(AD18=0,J18,0)</f>
        <v>0</v>
      </c>
      <c r="AA18" s="13">
        <f aca="true" t="shared" si="13" ref="AA18:AA24">IF(AD18=15,J18,0)</f>
        <v>0</v>
      </c>
      <c r="AB18" s="13">
        <f aca="true" t="shared" si="14" ref="AB18:AB24">IF(AD18=21,J18,0)</f>
        <v>0</v>
      </c>
      <c r="AD18" s="29">
        <v>21</v>
      </c>
      <c r="AE18" s="29">
        <f>G18*0</f>
        <v>0</v>
      </c>
      <c r="AF18" s="29">
        <f>G18*(1-0)</f>
        <v>0</v>
      </c>
      <c r="AG18" s="24" t="s">
        <v>8</v>
      </c>
      <c r="AM18" s="29">
        <f aca="true" t="shared" si="15" ref="AM18:AM24">F18*AE18</f>
        <v>0</v>
      </c>
      <c r="AN18" s="29">
        <f aca="true" t="shared" si="16" ref="AN18:AN24">F18*AF18</f>
        <v>0</v>
      </c>
      <c r="AO18" s="30" t="s">
        <v>190</v>
      </c>
      <c r="AP18" s="30" t="s">
        <v>198</v>
      </c>
      <c r="AQ18" s="21" t="s">
        <v>200</v>
      </c>
      <c r="AS18" s="29">
        <f aca="true" t="shared" si="17" ref="AS18:AS24">AM18+AN18</f>
        <v>0</v>
      </c>
      <c r="AT18" s="29">
        <f aca="true" t="shared" si="18" ref="AT18:AT24">G18/(100-AU18)*100</f>
        <v>0</v>
      </c>
      <c r="AU18" s="29">
        <v>0</v>
      </c>
      <c r="AV18" s="29">
        <f aca="true" t="shared" si="19" ref="AV18:AV24">L18</f>
        <v>0</v>
      </c>
    </row>
    <row r="19" spans="1:48" ht="12.75">
      <c r="A19" s="3" t="s">
        <v>10</v>
      </c>
      <c r="B19" s="3"/>
      <c r="C19" s="3" t="s">
        <v>65</v>
      </c>
      <c r="D19" s="3" t="s">
        <v>119</v>
      </c>
      <c r="E19" s="3" t="s">
        <v>160</v>
      </c>
      <c r="F19" s="13">
        <v>20</v>
      </c>
      <c r="G19" s="99">
        <v>0</v>
      </c>
      <c r="H19" s="13">
        <f t="shared" si="0"/>
        <v>0</v>
      </c>
      <c r="I19" s="13">
        <f t="shared" si="1"/>
        <v>0</v>
      </c>
      <c r="J19" s="13">
        <f t="shared" si="2"/>
        <v>0</v>
      </c>
      <c r="K19" s="13">
        <v>0</v>
      </c>
      <c r="L19" s="13">
        <f t="shared" si="3"/>
        <v>0</v>
      </c>
      <c r="M19" s="24"/>
      <c r="P19" s="29">
        <f t="shared" si="4"/>
        <v>0</v>
      </c>
      <c r="R19" s="29">
        <f t="shared" si="5"/>
        <v>0</v>
      </c>
      <c r="S19" s="29">
        <f t="shared" si="6"/>
        <v>0</v>
      </c>
      <c r="T19" s="29">
        <f t="shared" si="7"/>
        <v>0</v>
      </c>
      <c r="U19" s="29">
        <f t="shared" si="8"/>
        <v>0</v>
      </c>
      <c r="V19" s="29">
        <f t="shared" si="9"/>
        <v>0</v>
      </c>
      <c r="W19" s="29">
        <f t="shared" si="10"/>
        <v>0</v>
      </c>
      <c r="X19" s="29">
        <f t="shared" si="11"/>
        <v>0</v>
      </c>
      <c r="Y19" s="21"/>
      <c r="Z19" s="13">
        <f t="shared" si="12"/>
        <v>0</v>
      </c>
      <c r="AA19" s="13">
        <f t="shared" si="13"/>
        <v>0</v>
      </c>
      <c r="AB19" s="13">
        <f t="shared" si="14"/>
        <v>0</v>
      </c>
      <c r="AD19" s="29">
        <v>21</v>
      </c>
      <c r="AE19" s="29">
        <f>G19*0</f>
        <v>0</v>
      </c>
      <c r="AF19" s="29">
        <f>G19*(1-0)</f>
        <v>0</v>
      </c>
      <c r="AG19" s="24" t="s">
        <v>8</v>
      </c>
      <c r="AM19" s="29">
        <f t="shared" si="15"/>
        <v>0</v>
      </c>
      <c r="AN19" s="29">
        <f t="shared" si="16"/>
        <v>0</v>
      </c>
      <c r="AO19" s="30" t="s">
        <v>190</v>
      </c>
      <c r="AP19" s="30" t="s">
        <v>198</v>
      </c>
      <c r="AQ19" s="21" t="s">
        <v>200</v>
      </c>
      <c r="AS19" s="29">
        <f t="shared" si="17"/>
        <v>0</v>
      </c>
      <c r="AT19" s="29">
        <f t="shared" si="18"/>
        <v>0</v>
      </c>
      <c r="AU19" s="29">
        <v>0</v>
      </c>
      <c r="AV19" s="29">
        <f t="shared" si="19"/>
        <v>0</v>
      </c>
    </row>
    <row r="20" spans="1:48" ht="12.75">
      <c r="A20" s="3" t="s">
        <v>11</v>
      </c>
      <c r="B20" s="3"/>
      <c r="C20" s="3" t="s">
        <v>66</v>
      </c>
      <c r="D20" s="3" t="s">
        <v>120</v>
      </c>
      <c r="E20" s="3" t="s">
        <v>160</v>
      </c>
      <c r="F20" s="13">
        <v>160</v>
      </c>
      <c r="G20" s="99">
        <v>0</v>
      </c>
      <c r="H20" s="13">
        <f t="shared" si="0"/>
        <v>0</v>
      </c>
      <c r="I20" s="13">
        <f t="shared" si="1"/>
        <v>0</v>
      </c>
      <c r="J20" s="13">
        <f t="shared" si="2"/>
        <v>0</v>
      </c>
      <c r="K20" s="13">
        <v>0</v>
      </c>
      <c r="L20" s="13">
        <f t="shared" si="3"/>
        <v>0</v>
      </c>
      <c r="M20" s="24"/>
      <c r="P20" s="29">
        <f t="shared" si="4"/>
        <v>0</v>
      </c>
      <c r="R20" s="29">
        <f t="shared" si="5"/>
        <v>0</v>
      </c>
      <c r="S20" s="29">
        <f t="shared" si="6"/>
        <v>0</v>
      </c>
      <c r="T20" s="29">
        <f t="shared" si="7"/>
        <v>0</v>
      </c>
      <c r="U20" s="29">
        <f t="shared" si="8"/>
        <v>0</v>
      </c>
      <c r="V20" s="29">
        <f t="shared" si="9"/>
        <v>0</v>
      </c>
      <c r="W20" s="29">
        <f t="shared" si="10"/>
        <v>0</v>
      </c>
      <c r="X20" s="29">
        <f t="shared" si="11"/>
        <v>0</v>
      </c>
      <c r="Y20" s="21"/>
      <c r="Z20" s="13">
        <f t="shared" si="12"/>
        <v>0</v>
      </c>
      <c r="AA20" s="13">
        <f t="shared" si="13"/>
        <v>0</v>
      </c>
      <c r="AB20" s="13">
        <f t="shared" si="14"/>
        <v>0</v>
      </c>
      <c r="AD20" s="29">
        <v>21</v>
      </c>
      <c r="AE20" s="29">
        <f>G20*0</f>
        <v>0</v>
      </c>
      <c r="AF20" s="29">
        <f>G20*(1-0)</f>
        <v>0</v>
      </c>
      <c r="AG20" s="24" t="s">
        <v>8</v>
      </c>
      <c r="AM20" s="29">
        <f t="shared" si="15"/>
        <v>0</v>
      </c>
      <c r="AN20" s="29">
        <f t="shared" si="16"/>
        <v>0</v>
      </c>
      <c r="AO20" s="30" t="s">
        <v>190</v>
      </c>
      <c r="AP20" s="30" t="s">
        <v>198</v>
      </c>
      <c r="AQ20" s="21" t="s">
        <v>200</v>
      </c>
      <c r="AS20" s="29">
        <f t="shared" si="17"/>
        <v>0</v>
      </c>
      <c r="AT20" s="29">
        <f t="shared" si="18"/>
        <v>0</v>
      </c>
      <c r="AU20" s="29">
        <v>0</v>
      </c>
      <c r="AV20" s="29">
        <f t="shared" si="19"/>
        <v>0</v>
      </c>
    </row>
    <row r="21" spans="1:48" ht="12.75">
      <c r="A21" s="3" t="s">
        <v>12</v>
      </c>
      <c r="B21" s="3"/>
      <c r="C21" s="3" t="s">
        <v>67</v>
      </c>
      <c r="D21" s="3" t="s">
        <v>258</v>
      </c>
      <c r="E21" s="3" t="s">
        <v>160</v>
      </c>
      <c r="F21" s="13">
        <v>20</v>
      </c>
      <c r="G21" s="99">
        <v>0</v>
      </c>
      <c r="H21" s="13">
        <f t="shared" si="0"/>
        <v>0</v>
      </c>
      <c r="I21" s="13">
        <f t="shared" si="1"/>
        <v>0</v>
      </c>
      <c r="J21" s="13">
        <f t="shared" si="2"/>
        <v>0</v>
      </c>
      <c r="K21" s="13">
        <v>0.0614</v>
      </c>
      <c r="L21" s="13">
        <f t="shared" si="3"/>
        <v>1.228</v>
      </c>
      <c r="M21" s="24" t="s">
        <v>178</v>
      </c>
      <c r="P21" s="29">
        <f t="shared" si="4"/>
        <v>0</v>
      </c>
      <c r="R21" s="29">
        <f t="shared" si="5"/>
        <v>0</v>
      </c>
      <c r="S21" s="29">
        <f t="shared" si="6"/>
        <v>0</v>
      </c>
      <c r="T21" s="29">
        <f t="shared" si="7"/>
        <v>0</v>
      </c>
      <c r="U21" s="29">
        <f t="shared" si="8"/>
        <v>0</v>
      </c>
      <c r="V21" s="29">
        <f t="shared" si="9"/>
        <v>0</v>
      </c>
      <c r="W21" s="29">
        <f t="shared" si="10"/>
        <v>0</v>
      </c>
      <c r="X21" s="29">
        <f t="shared" si="11"/>
        <v>0</v>
      </c>
      <c r="Y21" s="21"/>
      <c r="Z21" s="13">
        <f t="shared" si="12"/>
        <v>0</v>
      </c>
      <c r="AA21" s="13">
        <f t="shared" si="13"/>
        <v>0</v>
      </c>
      <c r="AB21" s="13">
        <f t="shared" si="14"/>
        <v>0</v>
      </c>
      <c r="AD21" s="29">
        <v>21</v>
      </c>
      <c r="AE21" s="29">
        <f>G21*0.314852135815991</f>
        <v>0</v>
      </c>
      <c r="AF21" s="29">
        <f>G21*(1-0.314852135815991)</f>
        <v>0</v>
      </c>
      <c r="AG21" s="24" t="s">
        <v>13</v>
      </c>
      <c r="AM21" s="29">
        <f t="shared" si="15"/>
        <v>0</v>
      </c>
      <c r="AN21" s="29">
        <f t="shared" si="16"/>
        <v>0</v>
      </c>
      <c r="AO21" s="30" t="s">
        <v>190</v>
      </c>
      <c r="AP21" s="30" t="s">
        <v>198</v>
      </c>
      <c r="AQ21" s="21" t="s">
        <v>200</v>
      </c>
      <c r="AS21" s="29">
        <f t="shared" si="17"/>
        <v>0</v>
      </c>
      <c r="AT21" s="29">
        <f t="shared" si="18"/>
        <v>0</v>
      </c>
      <c r="AU21" s="29">
        <v>0</v>
      </c>
      <c r="AV21" s="29">
        <f t="shared" si="19"/>
        <v>1.228</v>
      </c>
    </row>
    <row r="22" spans="1:48" ht="12.75">
      <c r="A22" s="3" t="s">
        <v>13</v>
      </c>
      <c r="B22" s="3"/>
      <c r="C22" s="3" t="s">
        <v>68</v>
      </c>
      <c r="D22" s="3" t="s">
        <v>259</v>
      </c>
      <c r="E22" s="3" t="s">
        <v>158</v>
      </c>
      <c r="F22" s="13">
        <v>128.8</v>
      </c>
      <c r="G22" s="99">
        <v>0</v>
      </c>
      <c r="H22" s="13">
        <f t="shared" si="0"/>
        <v>0</v>
      </c>
      <c r="I22" s="13">
        <f t="shared" si="1"/>
        <v>0</v>
      </c>
      <c r="J22" s="13">
        <f t="shared" si="2"/>
        <v>0</v>
      </c>
      <c r="K22" s="13">
        <v>0.00028</v>
      </c>
      <c r="L22" s="13">
        <f t="shared" si="3"/>
        <v>0.036064</v>
      </c>
      <c r="M22" s="24" t="s">
        <v>178</v>
      </c>
      <c r="P22" s="29">
        <f t="shared" si="4"/>
        <v>0</v>
      </c>
      <c r="R22" s="29">
        <f t="shared" si="5"/>
        <v>0</v>
      </c>
      <c r="S22" s="29">
        <f t="shared" si="6"/>
        <v>0</v>
      </c>
      <c r="T22" s="29">
        <f t="shared" si="7"/>
        <v>0</v>
      </c>
      <c r="U22" s="29">
        <f t="shared" si="8"/>
        <v>0</v>
      </c>
      <c r="V22" s="29">
        <f t="shared" si="9"/>
        <v>0</v>
      </c>
      <c r="W22" s="29">
        <f t="shared" si="10"/>
        <v>0</v>
      </c>
      <c r="X22" s="29">
        <f t="shared" si="11"/>
        <v>0</v>
      </c>
      <c r="Y22" s="21"/>
      <c r="Z22" s="13">
        <f t="shared" si="12"/>
        <v>0</v>
      </c>
      <c r="AA22" s="13">
        <f t="shared" si="13"/>
        <v>0</v>
      </c>
      <c r="AB22" s="13">
        <f t="shared" si="14"/>
        <v>0</v>
      </c>
      <c r="AD22" s="29">
        <v>21</v>
      </c>
      <c r="AE22" s="29">
        <f>G22*0.0176470588235294</f>
        <v>0</v>
      </c>
      <c r="AF22" s="29">
        <f>G22*(1-0.0176470588235294)</f>
        <v>0</v>
      </c>
      <c r="AG22" s="24" t="s">
        <v>13</v>
      </c>
      <c r="AM22" s="29">
        <f t="shared" si="15"/>
        <v>0</v>
      </c>
      <c r="AN22" s="29">
        <f t="shared" si="16"/>
        <v>0</v>
      </c>
      <c r="AO22" s="30" t="s">
        <v>190</v>
      </c>
      <c r="AP22" s="30" t="s">
        <v>198</v>
      </c>
      <c r="AQ22" s="21" t="s">
        <v>200</v>
      </c>
      <c r="AS22" s="29">
        <f t="shared" si="17"/>
        <v>0</v>
      </c>
      <c r="AT22" s="29">
        <f t="shared" si="18"/>
        <v>0</v>
      </c>
      <c r="AU22" s="29">
        <v>0</v>
      </c>
      <c r="AV22" s="29">
        <f t="shared" si="19"/>
        <v>0.036064</v>
      </c>
    </row>
    <row r="23" spans="1:48" ht="12.75">
      <c r="A23" s="3" t="s">
        <v>14</v>
      </c>
      <c r="B23" s="3"/>
      <c r="C23" s="3" t="s">
        <v>69</v>
      </c>
      <c r="D23" s="3" t="s">
        <v>260</v>
      </c>
      <c r="E23" s="3" t="s">
        <v>158</v>
      </c>
      <c r="F23" s="13">
        <v>64.4</v>
      </c>
      <c r="G23" s="99">
        <v>0</v>
      </c>
      <c r="H23" s="13">
        <f t="shared" si="0"/>
        <v>0</v>
      </c>
      <c r="I23" s="13">
        <f t="shared" si="1"/>
        <v>0</v>
      </c>
      <c r="J23" s="13">
        <f t="shared" si="2"/>
        <v>0</v>
      </c>
      <c r="K23" s="13">
        <v>0.00028</v>
      </c>
      <c r="L23" s="13">
        <f t="shared" si="3"/>
        <v>0.018032</v>
      </c>
      <c r="M23" s="24" t="s">
        <v>178</v>
      </c>
      <c r="P23" s="29">
        <f t="shared" si="4"/>
        <v>0</v>
      </c>
      <c r="R23" s="29">
        <f t="shared" si="5"/>
        <v>0</v>
      </c>
      <c r="S23" s="29">
        <f t="shared" si="6"/>
        <v>0</v>
      </c>
      <c r="T23" s="29">
        <f t="shared" si="7"/>
        <v>0</v>
      </c>
      <c r="U23" s="29">
        <f t="shared" si="8"/>
        <v>0</v>
      </c>
      <c r="V23" s="29">
        <f t="shared" si="9"/>
        <v>0</v>
      </c>
      <c r="W23" s="29">
        <f t="shared" si="10"/>
        <v>0</v>
      </c>
      <c r="X23" s="29">
        <f t="shared" si="11"/>
        <v>0</v>
      </c>
      <c r="Y23" s="21"/>
      <c r="Z23" s="13">
        <f t="shared" si="12"/>
        <v>0</v>
      </c>
      <c r="AA23" s="13">
        <f t="shared" si="13"/>
        <v>0</v>
      </c>
      <c r="AB23" s="13">
        <f t="shared" si="14"/>
        <v>0</v>
      </c>
      <c r="AD23" s="29">
        <v>21</v>
      </c>
      <c r="AE23" s="29">
        <f>G23*0.00689655172413793</f>
        <v>0</v>
      </c>
      <c r="AF23" s="29">
        <f>G23*(1-0.00689655172413793)</f>
        <v>0</v>
      </c>
      <c r="AG23" s="24" t="s">
        <v>13</v>
      </c>
      <c r="AM23" s="29">
        <f t="shared" si="15"/>
        <v>0</v>
      </c>
      <c r="AN23" s="29">
        <f t="shared" si="16"/>
        <v>0</v>
      </c>
      <c r="AO23" s="30" t="s">
        <v>190</v>
      </c>
      <c r="AP23" s="30" t="s">
        <v>198</v>
      </c>
      <c r="AQ23" s="21" t="s">
        <v>200</v>
      </c>
      <c r="AS23" s="29">
        <f t="shared" si="17"/>
        <v>0</v>
      </c>
      <c r="AT23" s="29">
        <f t="shared" si="18"/>
        <v>0</v>
      </c>
      <c r="AU23" s="29">
        <v>0</v>
      </c>
      <c r="AV23" s="29">
        <f t="shared" si="19"/>
        <v>0.018032</v>
      </c>
    </row>
    <row r="24" spans="1:48" ht="12.75">
      <c r="A24" s="3" t="s">
        <v>15</v>
      </c>
      <c r="B24" s="3"/>
      <c r="C24" s="3" t="s">
        <v>69</v>
      </c>
      <c r="D24" s="3" t="s">
        <v>261</v>
      </c>
      <c r="E24" s="3" t="s">
        <v>158</v>
      </c>
      <c r="F24" s="13">
        <v>128.8</v>
      </c>
      <c r="G24" s="99">
        <v>0</v>
      </c>
      <c r="H24" s="13">
        <f t="shared" si="0"/>
        <v>0</v>
      </c>
      <c r="I24" s="13">
        <f t="shared" si="1"/>
        <v>0</v>
      </c>
      <c r="J24" s="13">
        <f t="shared" si="2"/>
        <v>0</v>
      </c>
      <c r="K24" s="13">
        <v>0.00028</v>
      </c>
      <c r="L24" s="13">
        <f t="shared" si="3"/>
        <v>0.036064</v>
      </c>
      <c r="M24" s="24" t="s">
        <v>178</v>
      </c>
      <c r="P24" s="29">
        <f t="shared" si="4"/>
        <v>0</v>
      </c>
      <c r="R24" s="29">
        <f t="shared" si="5"/>
        <v>0</v>
      </c>
      <c r="S24" s="29">
        <f t="shared" si="6"/>
        <v>0</v>
      </c>
      <c r="T24" s="29">
        <f t="shared" si="7"/>
        <v>0</v>
      </c>
      <c r="U24" s="29">
        <f t="shared" si="8"/>
        <v>0</v>
      </c>
      <c r="V24" s="29">
        <f t="shared" si="9"/>
        <v>0</v>
      </c>
      <c r="W24" s="29">
        <f t="shared" si="10"/>
        <v>0</v>
      </c>
      <c r="X24" s="29">
        <f t="shared" si="11"/>
        <v>0</v>
      </c>
      <c r="Y24" s="21"/>
      <c r="Z24" s="13">
        <f t="shared" si="12"/>
        <v>0</v>
      </c>
      <c r="AA24" s="13">
        <f t="shared" si="13"/>
        <v>0</v>
      </c>
      <c r="AB24" s="13">
        <f t="shared" si="14"/>
        <v>0</v>
      </c>
      <c r="AD24" s="29">
        <v>21</v>
      </c>
      <c r="AE24" s="29">
        <f>G24*0.00689655172413793</f>
        <v>0</v>
      </c>
      <c r="AF24" s="29">
        <f>G24*(1-0.00689655172413793)</f>
        <v>0</v>
      </c>
      <c r="AG24" s="24" t="s">
        <v>13</v>
      </c>
      <c r="AM24" s="29">
        <f t="shared" si="15"/>
        <v>0</v>
      </c>
      <c r="AN24" s="29">
        <f t="shared" si="16"/>
        <v>0</v>
      </c>
      <c r="AO24" s="30" t="s">
        <v>190</v>
      </c>
      <c r="AP24" s="30" t="s">
        <v>198</v>
      </c>
      <c r="AQ24" s="21" t="s">
        <v>200</v>
      </c>
      <c r="AS24" s="29">
        <f t="shared" si="17"/>
        <v>0</v>
      </c>
      <c r="AT24" s="29">
        <f t="shared" si="18"/>
        <v>0</v>
      </c>
      <c r="AU24" s="29">
        <v>0</v>
      </c>
      <c r="AV24" s="29">
        <f t="shared" si="19"/>
        <v>0.036064</v>
      </c>
    </row>
    <row r="25" spans="1:37" ht="12.75">
      <c r="A25" s="69"/>
      <c r="B25" s="70"/>
      <c r="C25" s="70" t="s">
        <v>72</v>
      </c>
      <c r="D25" s="163" t="s">
        <v>123</v>
      </c>
      <c r="E25" s="164"/>
      <c r="F25" s="164"/>
      <c r="G25" s="164"/>
      <c r="H25" s="71">
        <f>SUM(H26:H34)</f>
        <v>0</v>
      </c>
      <c r="I25" s="71">
        <f>SUM(I26:I34)</f>
        <v>0</v>
      </c>
      <c r="J25" s="71">
        <f>H25+I25</f>
        <v>0</v>
      </c>
      <c r="K25" s="72"/>
      <c r="L25" s="71">
        <f>SUM(L26:L34)</f>
        <v>0.0092</v>
      </c>
      <c r="M25" s="72"/>
      <c r="Y25" s="21"/>
      <c r="AI25" s="31">
        <f>SUM(Z26:Z34)</f>
        <v>0</v>
      </c>
      <c r="AJ25" s="31">
        <f>SUM(AA26:AA34)</f>
        <v>0</v>
      </c>
      <c r="AK25" s="31">
        <f>SUM(AB26:AB34)</f>
        <v>0</v>
      </c>
    </row>
    <row r="26" spans="1:48" ht="12.75">
      <c r="A26" s="3" t="s">
        <v>16</v>
      </c>
      <c r="B26" s="3"/>
      <c r="C26" s="3" t="s">
        <v>73</v>
      </c>
      <c r="D26" s="3" t="s">
        <v>124</v>
      </c>
      <c r="E26" s="3" t="s">
        <v>161</v>
      </c>
      <c r="F26" s="13">
        <v>160</v>
      </c>
      <c r="G26" s="99">
        <v>0</v>
      </c>
      <c r="H26" s="13">
        <f aca="true" t="shared" si="20" ref="H26:H34">F26*AE26</f>
        <v>0</v>
      </c>
      <c r="I26" s="13">
        <f aca="true" t="shared" si="21" ref="I26:I34">J26-H26</f>
        <v>0</v>
      </c>
      <c r="J26" s="13">
        <f aca="true" t="shared" si="22" ref="J26:J34">F26*G26</f>
        <v>0</v>
      </c>
      <c r="K26" s="13">
        <v>0</v>
      </c>
      <c r="L26" s="13">
        <f aca="true" t="shared" si="23" ref="L26:L34">F26*K26</f>
        <v>0</v>
      </c>
      <c r="M26" s="24"/>
      <c r="P26" s="29">
        <f aca="true" t="shared" si="24" ref="P26:P34">IF(AG26="5",J26,0)</f>
        <v>0</v>
      </c>
      <c r="R26" s="29">
        <f aca="true" t="shared" si="25" ref="R26:R34">IF(AG26="1",H26,0)</f>
        <v>0</v>
      </c>
      <c r="S26" s="29">
        <f aca="true" t="shared" si="26" ref="S26:S34">IF(AG26="1",I26,0)</f>
        <v>0</v>
      </c>
      <c r="T26" s="29">
        <f aca="true" t="shared" si="27" ref="T26:T34">IF(AG26="7",H26,0)</f>
        <v>0</v>
      </c>
      <c r="U26" s="29">
        <f aca="true" t="shared" si="28" ref="U26:U34">IF(AG26="7",I26,0)</f>
        <v>0</v>
      </c>
      <c r="V26" s="29">
        <f aca="true" t="shared" si="29" ref="V26:V34">IF(AG26="2",H26,0)</f>
        <v>0</v>
      </c>
      <c r="W26" s="29">
        <f aca="true" t="shared" si="30" ref="W26:W34">IF(AG26="2",I26,0)</f>
        <v>0</v>
      </c>
      <c r="X26" s="29">
        <f aca="true" t="shared" si="31" ref="X26:X34">IF(AG26="0",J26,0)</f>
        <v>0</v>
      </c>
      <c r="Y26" s="21"/>
      <c r="Z26" s="13">
        <f aca="true" t="shared" si="32" ref="Z26:Z34">IF(AD26=0,J26,0)</f>
        <v>0</v>
      </c>
      <c r="AA26" s="13">
        <f aca="true" t="shared" si="33" ref="AA26:AA34">IF(AD26=15,J26,0)</f>
        <v>0</v>
      </c>
      <c r="AB26" s="13">
        <f aca="true" t="shared" si="34" ref="AB26:AB34">IF(AD26=21,J26,0)</f>
        <v>0</v>
      </c>
      <c r="AD26" s="29">
        <v>21</v>
      </c>
      <c r="AE26" s="29">
        <f>G26*0</f>
        <v>0</v>
      </c>
      <c r="AF26" s="29">
        <f>G26*(1-0)</f>
        <v>0</v>
      </c>
      <c r="AG26" s="24" t="s">
        <v>8</v>
      </c>
      <c r="AM26" s="29">
        <f aca="true" t="shared" si="35" ref="AM26:AM34">F26*AE26</f>
        <v>0</v>
      </c>
      <c r="AN26" s="29">
        <f aca="true" t="shared" si="36" ref="AN26:AN34">F26*AF26</f>
        <v>0</v>
      </c>
      <c r="AO26" s="30" t="s">
        <v>191</v>
      </c>
      <c r="AP26" s="30" t="s">
        <v>198</v>
      </c>
      <c r="AQ26" s="21" t="s">
        <v>200</v>
      </c>
      <c r="AS26" s="29">
        <f aca="true" t="shared" si="37" ref="AS26:AS34">AM26+AN26</f>
        <v>0</v>
      </c>
      <c r="AT26" s="29">
        <f aca="true" t="shared" si="38" ref="AT26:AT34">G26/(100-AU26)*100</f>
        <v>0</v>
      </c>
      <c r="AU26" s="29">
        <v>0</v>
      </c>
      <c r="AV26" s="29">
        <f aca="true" t="shared" si="39" ref="AV26:AV34">L26</f>
        <v>0</v>
      </c>
    </row>
    <row r="27" spans="1:48" ht="12.75">
      <c r="A27" s="3" t="s">
        <v>17</v>
      </c>
      <c r="B27" s="3"/>
      <c r="C27" s="3" t="s">
        <v>74</v>
      </c>
      <c r="D27" s="3" t="s">
        <v>125</v>
      </c>
      <c r="E27" s="3" t="s">
        <v>161</v>
      </c>
      <c r="F27" s="13">
        <v>20</v>
      </c>
      <c r="G27" s="99">
        <v>0</v>
      </c>
      <c r="H27" s="13">
        <f t="shared" si="20"/>
        <v>0</v>
      </c>
      <c r="I27" s="13">
        <f t="shared" si="21"/>
        <v>0</v>
      </c>
      <c r="J27" s="13">
        <f t="shared" si="22"/>
        <v>0</v>
      </c>
      <c r="K27" s="13">
        <v>0</v>
      </c>
      <c r="L27" s="13">
        <f t="shared" si="23"/>
        <v>0</v>
      </c>
      <c r="M27" s="24"/>
      <c r="P27" s="29">
        <f t="shared" si="24"/>
        <v>0</v>
      </c>
      <c r="R27" s="29">
        <f t="shared" si="25"/>
        <v>0</v>
      </c>
      <c r="S27" s="29">
        <f t="shared" si="26"/>
        <v>0</v>
      </c>
      <c r="T27" s="29">
        <f t="shared" si="27"/>
        <v>0</v>
      </c>
      <c r="U27" s="29">
        <f t="shared" si="28"/>
        <v>0</v>
      </c>
      <c r="V27" s="29">
        <f t="shared" si="29"/>
        <v>0</v>
      </c>
      <c r="W27" s="29">
        <f t="shared" si="30"/>
        <v>0</v>
      </c>
      <c r="X27" s="29">
        <f t="shared" si="31"/>
        <v>0</v>
      </c>
      <c r="Y27" s="21"/>
      <c r="Z27" s="13">
        <f t="shared" si="32"/>
        <v>0</v>
      </c>
      <c r="AA27" s="13">
        <f t="shared" si="33"/>
        <v>0</v>
      </c>
      <c r="AB27" s="13">
        <f t="shared" si="34"/>
        <v>0</v>
      </c>
      <c r="AD27" s="29">
        <v>21</v>
      </c>
      <c r="AE27" s="29">
        <f>G27*0</f>
        <v>0</v>
      </c>
      <c r="AF27" s="29">
        <f>G27*(1-0)</f>
        <v>0</v>
      </c>
      <c r="AG27" s="24" t="s">
        <v>8</v>
      </c>
      <c r="AM27" s="29">
        <f t="shared" si="35"/>
        <v>0</v>
      </c>
      <c r="AN27" s="29">
        <f t="shared" si="36"/>
        <v>0</v>
      </c>
      <c r="AO27" s="30" t="s">
        <v>191</v>
      </c>
      <c r="AP27" s="30" t="s">
        <v>198</v>
      </c>
      <c r="AQ27" s="21" t="s">
        <v>200</v>
      </c>
      <c r="AS27" s="29">
        <f t="shared" si="37"/>
        <v>0</v>
      </c>
      <c r="AT27" s="29">
        <f t="shared" si="38"/>
        <v>0</v>
      </c>
      <c r="AU27" s="29">
        <v>0</v>
      </c>
      <c r="AV27" s="29">
        <f t="shared" si="39"/>
        <v>0</v>
      </c>
    </row>
    <row r="28" spans="1:48" ht="12.75">
      <c r="A28" s="3" t="s">
        <v>18</v>
      </c>
      <c r="B28" s="3"/>
      <c r="C28" s="3" t="s">
        <v>75</v>
      </c>
      <c r="D28" s="3" t="s">
        <v>126</v>
      </c>
      <c r="E28" s="3" t="s">
        <v>160</v>
      </c>
      <c r="F28" s="13">
        <v>20</v>
      </c>
      <c r="G28" s="99">
        <v>0</v>
      </c>
      <c r="H28" s="13">
        <f t="shared" si="20"/>
        <v>0</v>
      </c>
      <c r="I28" s="13">
        <f t="shared" si="21"/>
        <v>0</v>
      </c>
      <c r="J28" s="13">
        <f t="shared" si="22"/>
        <v>0</v>
      </c>
      <c r="K28" s="13">
        <v>0</v>
      </c>
      <c r="L28" s="13">
        <f t="shared" si="23"/>
        <v>0</v>
      </c>
      <c r="M28" s="24" t="s">
        <v>178</v>
      </c>
      <c r="P28" s="29">
        <f t="shared" si="24"/>
        <v>0</v>
      </c>
      <c r="R28" s="29">
        <f t="shared" si="25"/>
        <v>0</v>
      </c>
      <c r="S28" s="29">
        <f t="shared" si="26"/>
        <v>0</v>
      </c>
      <c r="T28" s="29">
        <f t="shared" si="27"/>
        <v>0</v>
      </c>
      <c r="U28" s="29">
        <f t="shared" si="28"/>
        <v>0</v>
      </c>
      <c r="V28" s="29">
        <f t="shared" si="29"/>
        <v>0</v>
      </c>
      <c r="W28" s="29">
        <f t="shared" si="30"/>
        <v>0</v>
      </c>
      <c r="X28" s="29">
        <f t="shared" si="31"/>
        <v>0</v>
      </c>
      <c r="Y28" s="21"/>
      <c r="Z28" s="13">
        <f t="shared" si="32"/>
        <v>0</v>
      </c>
      <c r="AA28" s="13">
        <f t="shared" si="33"/>
        <v>0</v>
      </c>
      <c r="AB28" s="13">
        <f t="shared" si="34"/>
        <v>0</v>
      </c>
      <c r="AD28" s="29">
        <v>21</v>
      </c>
      <c r="AE28" s="29">
        <f>G28*0</f>
        <v>0</v>
      </c>
      <c r="AF28" s="29">
        <f>G28*(1-0)</f>
        <v>0</v>
      </c>
      <c r="AG28" s="24" t="s">
        <v>13</v>
      </c>
      <c r="AM28" s="29">
        <f t="shared" si="35"/>
        <v>0</v>
      </c>
      <c r="AN28" s="29">
        <f t="shared" si="36"/>
        <v>0</v>
      </c>
      <c r="AO28" s="30" t="s">
        <v>191</v>
      </c>
      <c r="AP28" s="30" t="s">
        <v>198</v>
      </c>
      <c r="AQ28" s="21" t="s">
        <v>200</v>
      </c>
      <c r="AS28" s="29">
        <f t="shared" si="37"/>
        <v>0</v>
      </c>
      <c r="AT28" s="29">
        <f t="shared" si="38"/>
        <v>0</v>
      </c>
      <c r="AU28" s="29">
        <v>0</v>
      </c>
      <c r="AV28" s="29">
        <f t="shared" si="39"/>
        <v>0</v>
      </c>
    </row>
    <row r="29" spans="1:48" ht="12.75">
      <c r="A29" s="3" t="s">
        <v>19</v>
      </c>
      <c r="B29" s="3"/>
      <c r="C29" s="3" t="s">
        <v>75</v>
      </c>
      <c r="D29" s="3" t="s">
        <v>127</v>
      </c>
      <c r="E29" s="3" t="s">
        <v>160</v>
      </c>
      <c r="F29" s="13">
        <v>40</v>
      </c>
      <c r="G29" s="99">
        <v>0</v>
      </c>
      <c r="H29" s="13">
        <f t="shared" si="20"/>
        <v>0</v>
      </c>
      <c r="I29" s="13">
        <f t="shared" si="21"/>
        <v>0</v>
      </c>
      <c r="J29" s="13">
        <f t="shared" si="22"/>
        <v>0</v>
      </c>
      <c r="K29" s="13">
        <v>0</v>
      </c>
      <c r="L29" s="13">
        <f t="shared" si="23"/>
        <v>0</v>
      </c>
      <c r="M29" s="24" t="s">
        <v>178</v>
      </c>
      <c r="P29" s="29">
        <f t="shared" si="24"/>
        <v>0</v>
      </c>
      <c r="R29" s="29">
        <f t="shared" si="25"/>
        <v>0</v>
      </c>
      <c r="S29" s="29">
        <f t="shared" si="26"/>
        <v>0</v>
      </c>
      <c r="T29" s="29">
        <f t="shared" si="27"/>
        <v>0</v>
      </c>
      <c r="U29" s="29">
        <f t="shared" si="28"/>
        <v>0</v>
      </c>
      <c r="V29" s="29">
        <f t="shared" si="29"/>
        <v>0</v>
      </c>
      <c r="W29" s="29">
        <f t="shared" si="30"/>
        <v>0</v>
      </c>
      <c r="X29" s="29">
        <f t="shared" si="31"/>
        <v>0</v>
      </c>
      <c r="Y29" s="21"/>
      <c r="Z29" s="13">
        <f t="shared" si="32"/>
        <v>0</v>
      </c>
      <c r="AA29" s="13">
        <f t="shared" si="33"/>
        <v>0</v>
      </c>
      <c r="AB29" s="13">
        <f t="shared" si="34"/>
        <v>0</v>
      </c>
      <c r="AD29" s="29">
        <v>21</v>
      </c>
      <c r="AE29" s="29">
        <f>G29*0</f>
        <v>0</v>
      </c>
      <c r="AF29" s="29">
        <f>G29*(1-0)</f>
        <v>0</v>
      </c>
      <c r="AG29" s="24" t="s">
        <v>13</v>
      </c>
      <c r="AM29" s="29">
        <f t="shared" si="35"/>
        <v>0</v>
      </c>
      <c r="AN29" s="29">
        <f t="shared" si="36"/>
        <v>0</v>
      </c>
      <c r="AO29" s="30" t="s">
        <v>191</v>
      </c>
      <c r="AP29" s="30" t="s">
        <v>198</v>
      </c>
      <c r="AQ29" s="21" t="s">
        <v>200</v>
      </c>
      <c r="AS29" s="29">
        <f t="shared" si="37"/>
        <v>0</v>
      </c>
      <c r="AT29" s="29">
        <f t="shared" si="38"/>
        <v>0</v>
      </c>
      <c r="AU29" s="29">
        <v>0</v>
      </c>
      <c r="AV29" s="29">
        <f t="shared" si="39"/>
        <v>0</v>
      </c>
    </row>
    <row r="30" spans="1:48" ht="12.75">
      <c r="A30" s="3" t="s">
        <v>20</v>
      </c>
      <c r="B30" s="3"/>
      <c r="C30" s="3" t="s">
        <v>76</v>
      </c>
      <c r="D30" s="3" t="s">
        <v>262</v>
      </c>
      <c r="E30" s="3" t="s">
        <v>161</v>
      </c>
      <c r="F30" s="13">
        <v>20</v>
      </c>
      <c r="G30" s="99">
        <v>0</v>
      </c>
      <c r="H30" s="13">
        <f t="shared" si="20"/>
        <v>0</v>
      </c>
      <c r="I30" s="13">
        <f t="shared" si="21"/>
        <v>0</v>
      </c>
      <c r="J30" s="13">
        <f t="shared" si="22"/>
        <v>0</v>
      </c>
      <c r="K30" s="13">
        <v>0</v>
      </c>
      <c r="L30" s="13">
        <f t="shared" si="23"/>
        <v>0</v>
      </c>
      <c r="M30" s="24"/>
      <c r="P30" s="29">
        <f t="shared" si="24"/>
        <v>0</v>
      </c>
      <c r="R30" s="29">
        <f t="shared" si="25"/>
        <v>0</v>
      </c>
      <c r="S30" s="29">
        <f t="shared" si="26"/>
        <v>0</v>
      </c>
      <c r="T30" s="29">
        <f t="shared" si="27"/>
        <v>0</v>
      </c>
      <c r="U30" s="29">
        <f t="shared" si="28"/>
        <v>0</v>
      </c>
      <c r="V30" s="29">
        <f t="shared" si="29"/>
        <v>0</v>
      </c>
      <c r="W30" s="29">
        <f t="shared" si="30"/>
        <v>0</v>
      </c>
      <c r="X30" s="29">
        <f t="shared" si="31"/>
        <v>0</v>
      </c>
      <c r="Y30" s="21"/>
      <c r="Z30" s="13">
        <f t="shared" si="32"/>
        <v>0</v>
      </c>
      <c r="AA30" s="13">
        <f t="shared" si="33"/>
        <v>0</v>
      </c>
      <c r="AB30" s="13">
        <f t="shared" si="34"/>
        <v>0</v>
      </c>
      <c r="AD30" s="29">
        <v>21</v>
      </c>
      <c r="AE30" s="29">
        <f>G30*0</f>
        <v>0</v>
      </c>
      <c r="AF30" s="29">
        <f>G30*(1-0)</f>
        <v>0</v>
      </c>
      <c r="AG30" s="24" t="s">
        <v>8</v>
      </c>
      <c r="AM30" s="29">
        <f t="shared" si="35"/>
        <v>0</v>
      </c>
      <c r="AN30" s="29">
        <f t="shared" si="36"/>
        <v>0</v>
      </c>
      <c r="AO30" s="30" t="s">
        <v>191</v>
      </c>
      <c r="AP30" s="30" t="s">
        <v>198</v>
      </c>
      <c r="AQ30" s="21" t="s">
        <v>200</v>
      </c>
      <c r="AS30" s="29">
        <f t="shared" si="37"/>
        <v>0</v>
      </c>
      <c r="AT30" s="29">
        <f t="shared" si="38"/>
        <v>0</v>
      </c>
      <c r="AU30" s="29">
        <v>0</v>
      </c>
      <c r="AV30" s="29">
        <f t="shared" si="39"/>
        <v>0</v>
      </c>
    </row>
    <row r="31" spans="1:48" ht="12.75">
      <c r="A31" s="4" t="s">
        <v>21</v>
      </c>
      <c r="B31" s="4"/>
      <c r="C31" s="4" t="s">
        <v>77</v>
      </c>
      <c r="D31" s="4" t="s">
        <v>263</v>
      </c>
      <c r="E31" s="4" t="s">
        <v>160</v>
      </c>
      <c r="F31" s="14">
        <v>40</v>
      </c>
      <c r="G31" s="100">
        <v>0</v>
      </c>
      <c r="H31" s="14">
        <f t="shared" si="20"/>
        <v>0</v>
      </c>
      <c r="I31" s="14">
        <f t="shared" si="21"/>
        <v>0</v>
      </c>
      <c r="J31" s="14">
        <f t="shared" si="22"/>
        <v>0</v>
      </c>
      <c r="K31" s="14">
        <v>0.00023</v>
      </c>
      <c r="L31" s="14">
        <f t="shared" si="23"/>
        <v>0.0092</v>
      </c>
      <c r="M31" s="25" t="s">
        <v>178</v>
      </c>
      <c r="P31" s="29">
        <f t="shared" si="24"/>
        <v>0</v>
      </c>
      <c r="R31" s="29">
        <f t="shared" si="25"/>
        <v>0</v>
      </c>
      <c r="S31" s="29">
        <f t="shared" si="26"/>
        <v>0</v>
      </c>
      <c r="T31" s="29">
        <f t="shared" si="27"/>
        <v>0</v>
      </c>
      <c r="U31" s="29">
        <f t="shared" si="28"/>
        <v>0</v>
      </c>
      <c r="V31" s="29">
        <f t="shared" si="29"/>
        <v>0</v>
      </c>
      <c r="W31" s="29">
        <f t="shared" si="30"/>
        <v>0</v>
      </c>
      <c r="X31" s="29">
        <f t="shared" si="31"/>
        <v>0</v>
      </c>
      <c r="Y31" s="21"/>
      <c r="Z31" s="14">
        <f t="shared" si="32"/>
        <v>0</v>
      </c>
      <c r="AA31" s="14">
        <f t="shared" si="33"/>
        <v>0</v>
      </c>
      <c r="AB31" s="14">
        <f t="shared" si="34"/>
        <v>0</v>
      </c>
      <c r="AD31" s="29">
        <v>21</v>
      </c>
      <c r="AE31" s="29">
        <f>G31*1</f>
        <v>0</v>
      </c>
      <c r="AF31" s="29">
        <f>G31*(1-1)</f>
        <v>0</v>
      </c>
      <c r="AG31" s="25" t="s">
        <v>13</v>
      </c>
      <c r="AM31" s="29">
        <f t="shared" si="35"/>
        <v>0</v>
      </c>
      <c r="AN31" s="29">
        <f t="shared" si="36"/>
        <v>0</v>
      </c>
      <c r="AO31" s="30" t="s">
        <v>191</v>
      </c>
      <c r="AP31" s="30" t="s">
        <v>198</v>
      </c>
      <c r="AQ31" s="21" t="s">
        <v>200</v>
      </c>
      <c r="AS31" s="29">
        <f t="shared" si="37"/>
        <v>0</v>
      </c>
      <c r="AT31" s="29">
        <f t="shared" si="38"/>
        <v>0</v>
      </c>
      <c r="AU31" s="29">
        <v>0</v>
      </c>
      <c r="AV31" s="29">
        <f t="shared" si="39"/>
        <v>0.0092</v>
      </c>
    </row>
    <row r="32" spans="1:48" ht="12.75">
      <c r="A32" s="4" t="s">
        <v>22</v>
      </c>
      <c r="B32" s="4"/>
      <c r="C32" s="4" t="s">
        <v>78</v>
      </c>
      <c r="D32" s="4" t="s">
        <v>264</v>
      </c>
      <c r="E32" s="4" t="s">
        <v>160</v>
      </c>
      <c r="F32" s="14">
        <v>160</v>
      </c>
      <c r="G32" s="100">
        <v>0</v>
      </c>
      <c r="H32" s="14">
        <f t="shared" si="20"/>
        <v>0</v>
      </c>
      <c r="I32" s="14">
        <f t="shared" si="21"/>
        <v>0</v>
      </c>
      <c r="J32" s="14">
        <f t="shared" si="22"/>
        <v>0</v>
      </c>
      <c r="K32" s="14">
        <v>0</v>
      </c>
      <c r="L32" s="14">
        <f t="shared" si="23"/>
        <v>0</v>
      </c>
      <c r="M32" s="25" t="s">
        <v>178</v>
      </c>
      <c r="P32" s="29">
        <f t="shared" si="24"/>
        <v>0</v>
      </c>
      <c r="R32" s="29">
        <f t="shared" si="25"/>
        <v>0</v>
      </c>
      <c r="S32" s="29">
        <f t="shared" si="26"/>
        <v>0</v>
      </c>
      <c r="T32" s="29">
        <f t="shared" si="27"/>
        <v>0</v>
      </c>
      <c r="U32" s="29">
        <f t="shared" si="28"/>
        <v>0</v>
      </c>
      <c r="V32" s="29">
        <f t="shared" si="29"/>
        <v>0</v>
      </c>
      <c r="W32" s="29">
        <f t="shared" si="30"/>
        <v>0</v>
      </c>
      <c r="X32" s="29">
        <f t="shared" si="31"/>
        <v>0</v>
      </c>
      <c r="Y32" s="21"/>
      <c r="Z32" s="14">
        <f t="shared" si="32"/>
        <v>0</v>
      </c>
      <c r="AA32" s="14">
        <f t="shared" si="33"/>
        <v>0</v>
      </c>
      <c r="AB32" s="14">
        <f t="shared" si="34"/>
        <v>0</v>
      </c>
      <c r="AD32" s="29">
        <v>21</v>
      </c>
      <c r="AE32" s="29">
        <f>G32*1</f>
        <v>0</v>
      </c>
      <c r="AF32" s="29">
        <f>G32*(1-1)</f>
        <v>0</v>
      </c>
      <c r="AG32" s="25" t="s">
        <v>13</v>
      </c>
      <c r="AM32" s="29">
        <f t="shared" si="35"/>
        <v>0</v>
      </c>
      <c r="AN32" s="29">
        <f t="shared" si="36"/>
        <v>0</v>
      </c>
      <c r="AO32" s="30" t="s">
        <v>191</v>
      </c>
      <c r="AP32" s="30" t="s">
        <v>198</v>
      </c>
      <c r="AQ32" s="21" t="s">
        <v>200</v>
      </c>
      <c r="AS32" s="29">
        <f t="shared" si="37"/>
        <v>0</v>
      </c>
      <c r="AT32" s="29">
        <f t="shared" si="38"/>
        <v>0</v>
      </c>
      <c r="AU32" s="29">
        <v>0</v>
      </c>
      <c r="AV32" s="29">
        <f t="shared" si="39"/>
        <v>0</v>
      </c>
    </row>
    <row r="33" spans="1:48" ht="12.75">
      <c r="A33" s="3" t="s">
        <v>23</v>
      </c>
      <c r="B33" s="3"/>
      <c r="C33" s="3" t="s">
        <v>79</v>
      </c>
      <c r="D33" s="3" t="s">
        <v>265</v>
      </c>
      <c r="E33" s="3" t="s">
        <v>157</v>
      </c>
      <c r="F33" s="13">
        <v>148</v>
      </c>
      <c r="G33" s="99">
        <v>0</v>
      </c>
      <c r="H33" s="13">
        <f t="shared" si="20"/>
        <v>0</v>
      </c>
      <c r="I33" s="13">
        <f t="shared" si="21"/>
        <v>0</v>
      </c>
      <c r="J33" s="13">
        <f t="shared" si="22"/>
        <v>0</v>
      </c>
      <c r="K33" s="13">
        <v>0</v>
      </c>
      <c r="L33" s="13">
        <f t="shared" si="23"/>
        <v>0</v>
      </c>
      <c r="M33" s="24" t="s">
        <v>178</v>
      </c>
      <c r="P33" s="29">
        <f t="shared" si="24"/>
        <v>0</v>
      </c>
      <c r="R33" s="29">
        <f t="shared" si="25"/>
        <v>0</v>
      </c>
      <c r="S33" s="29">
        <f t="shared" si="26"/>
        <v>0</v>
      </c>
      <c r="T33" s="29">
        <f t="shared" si="27"/>
        <v>0</v>
      </c>
      <c r="U33" s="29">
        <f t="shared" si="28"/>
        <v>0</v>
      </c>
      <c r="V33" s="29">
        <f t="shared" si="29"/>
        <v>0</v>
      </c>
      <c r="W33" s="29">
        <f t="shared" si="30"/>
        <v>0</v>
      </c>
      <c r="X33" s="29">
        <f t="shared" si="31"/>
        <v>0</v>
      </c>
      <c r="Y33" s="21"/>
      <c r="Z33" s="13">
        <f t="shared" si="32"/>
        <v>0</v>
      </c>
      <c r="AA33" s="13">
        <f t="shared" si="33"/>
        <v>0</v>
      </c>
      <c r="AB33" s="13">
        <f t="shared" si="34"/>
        <v>0</v>
      </c>
      <c r="AD33" s="29">
        <v>21</v>
      </c>
      <c r="AE33" s="29">
        <f>G33*0</f>
        <v>0</v>
      </c>
      <c r="AF33" s="29">
        <f>G33*(1-0)</f>
        <v>0</v>
      </c>
      <c r="AG33" s="24" t="s">
        <v>13</v>
      </c>
      <c r="AM33" s="29">
        <f t="shared" si="35"/>
        <v>0</v>
      </c>
      <c r="AN33" s="29">
        <f t="shared" si="36"/>
        <v>0</v>
      </c>
      <c r="AO33" s="30" t="s">
        <v>191</v>
      </c>
      <c r="AP33" s="30" t="s">
        <v>198</v>
      </c>
      <c r="AQ33" s="21" t="s">
        <v>200</v>
      </c>
      <c r="AS33" s="29">
        <f t="shared" si="37"/>
        <v>0</v>
      </c>
      <c r="AT33" s="29">
        <f t="shared" si="38"/>
        <v>0</v>
      </c>
      <c r="AU33" s="29">
        <v>0</v>
      </c>
      <c r="AV33" s="29">
        <f t="shared" si="39"/>
        <v>0</v>
      </c>
    </row>
    <row r="34" spans="1:48" ht="12.75">
      <c r="A34" s="3" t="s">
        <v>24</v>
      </c>
      <c r="B34" s="3"/>
      <c r="C34" s="3" t="s">
        <v>80</v>
      </c>
      <c r="D34" s="3" t="s">
        <v>128</v>
      </c>
      <c r="E34" s="3" t="s">
        <v>160</v>
      </c>
      <c r="F34" s="13">
        <v>20</v>
      </c>
      <c r="G34" s="99">
        <v>0</v>
      </c>
      <c r="H34" s="13">
        <f t="shared" si="20"/>
        <v>0</v>
      </c>
      <c r="I34" s="13">
        <f t="shared" si="21"/>
        <v>0</v>
      </c>
      <c r="J34" s="13">
        <f t="shared" si="22"/>
        <v>0</v>
      </c>
      <c r="K34" s="13">
        <v>0</v>
      </c>
      <c r="L34" s="13">
        <f t="shared" si="23"/>
        <v>0</v>
      </c>
      <c r="M34" s="24" t="s">
        <v>178</v>
      </c>
      <c r="P34" s="29">
        <f t="shared" si="24"/>
        <v>0</v>
      </c>
      <c r="R34" s="29">
        <f t="shared" si="25"/>
        <v>0</v>
      </c>
      <c r="S34" s="29">
        <f t="shared" si="26"/>
        <v>0</v>
      </c>
      <c r="T34" s="29">
        <f t="shared" si="27"/>
        <v>0</v>
      </c>
      <c r="U34" s="29">
        <f t="shared" si="28"/>
        <v>0</v>
      </c>
      <c r="V34" s="29">
        <f t="shared" si="29"/>
        <v>0</v>
      </c>
      <c r="W34" s="29">
        <f t="shared" si="30"/>
        <v>0</v>
      </c>
      <c r="X34" s="29">
        <f t="shared" si="31"/>
        <v>0</v>
      </c>
      <c r="Y34" s="21"/>
      <c r="Z34" s="13">
        <f t="shared" si="32"/>
        <v>0</v>
      </c>
      <c r="AA34" s="13">
        <f t="shared" si="33"/>
        <v>0</v>
      </c>
      <c r="AB34" s="13">
        <f t="shared" si="34"/>
        <v>0</v>
      </c>
      <c r="AD34" s="29">
        <v>21</v>
      </c>
      <c r="AE34" s="29">
        <f>G34*0</f>
        <v>0</v>
      </c>
      <c r="AF34" s="29">
        <f>G34*(1-0)</f>
        <v>0</v>
      </c>
      <c r="AG34" s="24" t="s">
        <v>13</v>
      </c>
      <c r="AM34" s="29">
        <f t="shared" si="35"/>
        <v>0</v>
      </c>
      <c r="AN34" s="29">
        <f t="shared" si="36"/>
        <v>0</v>
      </c>
      <c r="AO34" s="30" t="s">
        <v>191</v>
      </c>
      <c r="AP34" s="30" t="s">
        <v>198</v>
      </c>
      <c r="AQ34" s="21" t="s">
        <v>200</v>
      </c>
      <c r="AS34" s="29">
        <f t="shared" si="37"/>
        <v>0</v>
      </c>
      <c r="AT34" s="29">
        <f t="shared" si="38"/>
        <v>0</v>
      </c>
      <c r="AU34" s="29">
        <v>0</v>
      </c>
      <c r="AV34" s="29">
        <f t="shared" si="39"/>
        <v>0</v>
      </c>
    </row>
    <row r="35" spans="1:37" ht="12.75">
      <c r="A35" s="69"/>
      <c r="B35" s="70"/>
      <c r="C35" s="70" t="s">
        <v>82</v>
      </c>
      <c r="D35" s="163" t="s">
        <v>130</v>
      </c>
      <c r="E35" s="164"/>
      <c r="F35" s="164"/>
      <c r="G35" s="164"/>
      <c r="H35" s="71">
        <f>SUM(H36:H42)</f>
        <v>0</v>
      </c>
      <c r="I35" s="71">
        <f>SUM(I36:I42)</f>
        <v>0</v>
      </c>
      <c r="J35" s="71">
        <f>H35+I35</f>
        <v>0</v>
      </c>
      <c r="K35" s="72"/>
      <c r="L35" s="71">
        <f>SUM(L36:L42)</f>
        <v>0.149408</v>
      </c>
      <c r="M35" s="72"/>
      <c r="Y35" s="21"/>
      <c r="AI35" s="31">
        <f>SUM(Z36:Z42)</f>
        <v>0</v>
      </c>
      <c r="AJ35" s="31">
        <f>SUM(AA36:AA42)</f>
        <v>0</v>
      </c>
      <c r="AK35" s="31">
        <f>SUM(AB36:AB42)</f>
        <v>0</v>
      </c>
    </row>
    <row r="36" spans="1:48" ht="12.75">
      <c r="A36" s="3" t="s">
        <v>25</v>
      </c>
      <c r="B36" s="3"/>
      <c r="C36" s="3" t="s">
        <v>83</v>
      </c>
      <c r="D36" s="3" t="s">
        <v>266</v>
      </c>
      <c r="E36" s="3" t="s">
        <v>158</v>
      </c>
      <c r="F36" s="13">
        <v>128.8</v>
      </c>
      <c r="G36" s="99">
        <v>0</v>
      </c>
      <c r="H36" s="13">
        <f aca="true" t="shared" si="40" ref="H36:H42">F36*AE36</f>
        <v>0</v>
      </c>
      <c r="I36" s="13">
        <f aca="true" t="shared" si="41" ref="I36:I42">J36-H36</f>
        <v>0</v>
      </c>
      <c r="J36" s="13">
        <f aca="true" t="shared" si="42" ref="J36:J42">F36*G36</f>
        <v>0</v>
      </c>
      <c r="K36" s="13">
        <v>0.00031</v>
      </c>
      <c r="L36" s="13">
        <f aca="true" t="shared" si="43" ref="L36:L42">F36*K36</f>
        <v>0.039928000000000005</v>
      </c>
      <c r="M36" s="24" t="s">
        <v>178</v>
      </c>
      <c r="P36" s="29">
        <f aca="true" t="shared" si="44" ref="P36:P42">IF(AG36="5",J36,0)</f>
        <v>0</v>
      </c>
      <c r="R36" s="29">
        <f aca="true" t="shared" si="45" ref="R36:R42">IF(AG36="1",H36,0)</f>
        <v>0</v>
      </c>
      <c r="S36" s="29">
        <f aca="true" t="shared" si="46" ref="S36:S42">IF(AG36="1",I36,0)</f>
        <v>0</v>
      </c>
      <c r="T36" s="29">
        <f aca="true" t="shared" si="47" ref="T36:T42">IF(AG36="7",H36,0)</f>
        <v>0</v>
      </c>
      <c r="U36" s="29">
        <f aca="true" t="shared" si="48" ref="U36:U42">IF(AG36="7",I36,0)</f>
        <v>0</v>
      </c>
      <c r="V36" s="29">
        <f aca="true" t="shared" si="49" ref="V36:V42">IF(AG36="2",H36,0)</f>
        <v>0</v>
      </c>
      <c r="W36" s="29">
        <f aca="true" t="shared" si="50" ref="W36:W42">IF(AG36="2",I36,0)</f>
        <v>0</v>
      </c>
      <c r="X36" s="29">
        <f aca="true" t="shared" si="51" ref="X36:X42">IF(AG36="0",J36,0)</f>
        <v>0</v>
      </c>
      <c r="Y36" s="21"/>
      <c r="Z36" s="13">
        <f aca="true" t="shared" si="52" ref="Z36:Z42">IF(AD36=0,J36,0)</f>
        <v>0</v>
      </c>
      <c r="AA36" s="13">
        <f aca="true" t="shared" si="53" ref="AA36:AA42">IF(AD36=15,J36,0)</f>
        <v>0</v>
      </c>
      <c r="AB36" s="13">
        <f aca="true" t="shared" si="54" ref="AB36:AB42">IF(AD36=21,J36,0)</f>
        <v>0</v>
      </c>
      <c r="AD36" s="29">
        <v>21</v>
      </c>
      <c r="AE36" s="29">
        <f>G36*0.161621670757204</f>
        <v>0</v>
      </c>
      <c r="AF36" s="29">
        <f>G36*(1-0.161621670757204)</f>
        <v>0</v>
      </c>
      <c r="AG36" s="24" t="s">
        <v>13</v>
      </c>
      <c r="AM36" s="29">
        <f aca="true" t="shared" si="55" ref="AM36:AM42">F36*AE36</f>
        <v>0</v>
      </c>
      <c r="AN36" s="29">
        <f aca="true" t="shared" si="56" ref="AN36:AN42">F36*AF36</f>
        <v>0</v>
      </c>
      <c r="AO36" s="30" t="s">
        <v>192</v>
      </c>
      <c r="AP36" s="30" t="s">
        <v>199</v>
      </c>
      <c r="AQ36" s="21" t="s">
        <v>200</v>
      </c>
      <c r="AS36" s="29">
        <f aca="true" t="shared" si="57" ref="AS36:AS42">AM36+AN36</f>
        <v>0</v>
      </c>
      <c r="AT36" s="29">
        <f aca="true" t="shared" si="58" ref="AT36:AT42">G36/(100-AU36)*100</f>
        <v>0</v>
      </c>
      <c r="AU36" s="29">
        <v>0</v>
      </c>
      <c r="AV36" s="29">
        <f aca="true" t="shared" si="59" ref="AV36:AV42">L36</f>
        <v>0.039928000000000005</v>
      </c>
    </row>
    <row r="37" spans="1:48" ht="12.75">
      <c r="A37" s="3" t="s">
        <v>26</v>
      </c>
      <c r="B37" s="3"/>
      <c r="C37" s="3" t="s">
        <v>84</v>
      </c>
      <c r="D37" s="3" t="s">
        <v>131</v>
      </c>
      <c r="E37" s="3" t="s">
        <v>158</v>
      </c>
      <c r="F37" s="13">
        <v>64.4</v>
      </c>
      <c r="G37" s="99">
        <v>0</v>
      </c>
      <c r="H37" s="13">
        <f t="shared" si="40"/>
        <v>0</v>
      </c>
      <c r="I37" s="13">
        <f t="shared" si="41"/>
        <v>0</v>
      </c>
      <c r="J37" s="13">
        <f t="shared" si="42"/>
        <v>0</v>
      </c>
      <c r="K37" s="13">
        <v>0.0001</v>
      </c>
      <c r="L37" s="13">
        <f t="shared" si="43"/>
        <v>0.006440000000000001</v>
      </c>
      <c r="M37" s="24" t="s">
        <v>178</v>
      </c>
      <c r="P37" s="29">
        <f t="shared" si="44"/>
        <v>0</v>
      </c>
      <c r="R37" s="29">
        <f t="shared" si="45"/>
        <v>0</v>
      </c>
      <c r="S37" s="29">
        <f t="shared" si="46"/>
        <v>0</v>
      </c>
      <c r="T37" s="29">
        <f t="shared" si="47"/>
        <v>0</v>
      </c>
      <c r="U37" s="29">
        <f t="shared" si="48"/>
        <v>0</v>
      </c>
      <c r="V37" s="29">
        <f t="shared" si="49"/>
        <v>0</v>
      </c>
      <c r="W37" s="29">
        <f t="shared" si="50"/>
        <v>0</v>
      </c>
      <c r="X37" s="29">
        <f t="shared" si="51"/>
        <v>0</v>
      </c>
      <c r="Y37" s="21"/>
      <c r="Z37" s="13">
        <f t="shared" si="52"/>
        <v>0</v>
      </c>
      <c r="AA37" s="13">
        <f t="shared" si="53"/>
        <v>0</v>
      </c>
      <c r="AB37" s="13">
        <f t="shared" si="54"/>
        <v>0</v>
      </c>
      <c r="AD37" s="29">
        <v>21</v>
      </c>
      <c r="AE37" s="29">
        <f>G37*0.0730285714285714</f>
        <v>0</v>
      </c>
      <c r="AF37" s="29">
        <f>G37*(1-0.0730285714285714)</f>
        <v>0</v>
      </c>
      <c r="AG37" s="24" t="s">
        <v>13</v>
      </c>
      <c r="AM37" s="29">
        <f t="shared" si="55"/>
        <v>0</v>
      </c>
      <c r="AN37" s="29">
        <f t="shared" si="56"/>
        <v>0</v>
      </c>
      <c r="AO37" s="30" t="s">
        <v>192</v>
      </c>
      <c r="AP37" s="30" t="s">
        <v>199</v>
      </c>
      <c r="AQ37" s="21" t="s">
        <v>200</v>
      </c>
      <c r="AS37" s="29">
        <f t="shared" si="57"/>
        <v>0</v>
      </c>
      <c r="AT37" s="29">
        <f t="shared" si="58"/>
        <v>0</v>
      </c>
      <c r="AU37" s="29">
        <v>0</v>
      </c>
      <c r="AV37" s="29">
        <f t="shared" si="59"/>
        <v>0.006440000000000001</v>
      </c>
    </row>
    <row r="38" spans="1:48" ht="12.75">
      <c r="A38" s="3" t="s">
        <v>27</v>
      </c>
      <c r="B38" s="3"/>
      <c r="C38" s="3" t="s">
        <v>84</v>
      </c>
      <c r="D38" s="3" t="s">
        <v>132</v>
      </c>
      <c r="E38" s="3" t="s">
        <v>158</v>
      </c>
      <c r="F38" s="13">
        <v>257.6</v>
      </c>
      <c r="G38" s="99">
        <v>0</v>
      </c>
      <c r="H38" s="13">
        <f t="shared" si="40"/>
        <v>0</v>
      </c>
      <c r="I38" s="13">
        <f t="shared" si="41"/>
        <v>0</v>
      </c>
      <c r="J38" s="13">
        <f t="shared" si="42"/>
        <v>0</v>
      </c>
      <c r="K38" s="13">
        <v>0.0001</v>
      </c>
      <c r="L38" s="13">
        <f t="shared" si="43"/>
        <v>0.025760000000000005</v>
      </c>
      <c r="M38" s="24" t="s">
        <v>178</v>
      </c>
      <c r="P38" s="29">
        <f t="shared" si="44"/>
        <v>0</v>
      </c>
      <c r="R38" s="29">
        <f t="shared" si="45"/>
        <v>0</v>
      </c>
      <c r="S38" s="29">
        <f t="shared" si="46"/>
        <v>0</v>
      </c>
      <c r="T38" s="29">
        <f t="shared" si="47"/>
        <v>0</v>
      </c>
      <c r="U38" s="29">
        <f t="shared" si="48"/>
        <v>0</v>
      </c>
      <c r="V38" s="29">
        <f t="shared" si="49"/>
        <v>0</v>
      </c>
      <c r="W38" s="29">
        <f t="shared" si="50"/>
        <v>0</v>
      </c>
      <c r="X38" s="29">
        <f t="shared" si="51"/>
        <v>0</v>
      </c>
      <c r="Y38" s="21"/>
      <c r="Z38" s="13">
        <f t="shared" si="52"/>
        <v>0</v>
      </c>
      <c r="AA38" s="13">
        <f t="shared" si="53"/>
        <v>0</v>
      </c>
      <c r="AB38" s="13">
        <f t="shared" si="54"/>
        <v>0</v>
      </c>
      <c r="AD38" s="29">
        <v>21</v>
      </c>
      <c r="AE38" s="29">
        <f>G38*0.0730285714285714</f>
        <v>0</v>
      </c>
      <c r="AF38" s="29">
        <f>G38*(1-0.0730285714285714)</f>
        <v>0</v>
      </c>
      <c r="AG38" s="24" t="s">
        <v>13</v>
      </c>
      <c r="AM38" s="29">
        <f t="shared" si="55"/>
        <v>0</v>
      </c>
      <c r="AN38" s="29">
        <f t="shared" si="56"/>
        <v>0</v>
      </c>
      <c r="AO38" s="30" t="s">
        <v>192</v>
      </c>
      <c r="AP38" s="30" t="s">
        <v>199</v>
      </c>
      <c r="AQ38" s="21" t="s">
        <v>200</v>
      </c>
      <c r="AS38" s="29">
        <f t="shared" si="57"/>
        <v>0</v>
      </c>
      <c r="AT38" s="29">
        <f t="shared" si="58"/>
        <v>0</v>
      </c>
      <c r="AU38" s="29">
        <v>0</v>
      </c>
      <c r="AV38" s="29">
        <f t="shared" si="59"/>
        <v>0.025760000000000005</v>
      </c>
    </row>
    <row r="39" spans="1:48" ht="12.75">
      <c r="A39" s="3" t="s">
        <v>28</v>
      </c>
      <c r="B39" s="3"/>
      <c r="C39" s="3" t="s">
        <v>85</v>
      </c>
      <c r="D39" s="3" t="s">
        <v>267</v>
      </c>
      <c r="E39" s="3" t="s">
        <v>158</v>
      </c>
      <c r="F39" s="13">
        <v>128.8</v>
      </c>
      <c r="G39" s="99">
        <v>0</v>
      </c>
      <c r="H39" s="13">
        <f t="shared" si="40"/>
        <v>0</v>
      </c>
      <c r="I39" s="13">
        <f t="shared" si="41"/>
        <v>0</v>
      </c>
      <c r="J39" s="13">
        <f t="shared" si="42"/>
        <v>0</v>
      </c>
      <c r="K39" s="13">
        <v>0.00013</v>
      </c>
      <c r="L39" s="13">
        <f t="shared" si="43"/>
        <v>0.016744</v>
      </c>
      <c r="M39" s="24" t="s">
        <v>178</v>
      </c>
      <c r="P39" s="29">
        <f t="shared" si="44"/>
        <v>0</v>
      </c>
      <c r="R39" s="29">
        <f t="shared" si="45"/>
        <v>0</v>
      </c>
      <c r="S39" s="29">
        <f t="shared" si="46"/>
        <v>0</v>
      </c>
      <c r="T39" s="29">
        <f t="shared" si="47"/>
        <v>0</v>
      </c>
      <c r="U39" s="29">
        <f t="shared" si="48"/>
        <v>0</v>
      </c>
      <c r="V39" s="29">
        <f t="shared" si="49"/>
        <v>0</v>
      </c>
      <c r="W39" s="29">
        <f t="shared" si="50"/>
        <v>0</v>
      </c>
      <c r="X39" s="29">
        <f t="shared" si="51"/>
        <v>0</v>
      </c>
      <c r="Y39" s="21"/>
      <c r="Z39" s="13">
        <f t="shared" si="52"/>
        <v>0</v>
      </c>
      <c r="AA39" s="13">
        <f t="shared" si="53"/>
        <v>0</v>
      </c>
      <c r="AB39" s="13">
        <f t="shared" si="54"/>
        <v>0</v>
      </c>
      <c r="AD39" s="29">
        <v>21</v>
      </c>
      <c r="AE39" s="29">
        <f>G39*0.471857281150602</f>
        <v>0</v>
      </c>
      <c r="AF39" s="29">
        <f>G39*(1-0.471857281150602)</f>
        <v>0</v>
      </c>
      <c r="AG39" s="24" t="s">
        <v>13</v>
      </c>
      <c r="AM39" s="29">
        <f t="shared" si="55"/>
        <v>0</v>
      </c>
      <c r="AN39" s="29">
        <f t="shared" si="56"/>
        <v>0</v>
      </c>
      <c r="AO39" s="30" t="s">
        <v>192</v>
      </c>
      <c r="AP39" s="30" t="s">
        <v>199</v>
      </c>
      <c r="AQ39" s="21" t="s">
        <v>200</v>
      </c>
      <c r="AS39" s="29">
        <f t="shared" si="57"/>
        <v>0</v>
      </c>
      <c r="AT39" s="29">
        <f t="shared" si="58"/>
        <v>0</v>
      </c>
      <c r="AU39" s="29">
        <v>0</v>
      </c>
      <c r="AV39" s="29">
        <f t="shared" si="59"/>
        <v>0.016744</v>
      </c>
    </row>
    <row r="40" spans="1:48" ht="12.75">
      <c r="A40" s="3" t="s">
        <v>29</v>
      </c>
      <c r="B40" s="3"/>
      <c r="C40" s="3" t="s">
        <v>86</v>
      </c>
      <c r="D40" s="3" t="s">
        <v>268</v>
      </c>
      <c r="E40" s="3" t="s">
        <v>158</v>
      </c>
      <c r="F40" s="13">
        <v>128.8</v>
      </c>
      <c r="G40" s="99">
        <v>0</v>
      </c>
      <c r="H40" s="13">
        <f t="shared" si="40"/>
        <v>0</v>
      </c>
      <c r="I40" s="13">
        <f t="shared" si="41"/>
        <v>0</v>
      </c>
      <c r="J40" s="13">
        <f t="shared" si="42"/>
        <v>0</v>
      </c>
      <c r="K40" s="13">
        <v>0.00025</v>
      </c>
      <c r="L40" s="13">
        <f t="shared" si="43"/>
        <v>0.032200000000000006</v>
      </c>
      <c r="M40" s="24" t="s">
        <v>178</v>
      </c>
      <c r="P40" s="29">
        <f t="shared" si="44"/>
        <v>0</v>
      </c>
      <c r="R40" s="29">
        <f t="shared" si="45"/>
        <v>0</v>
      </c>
      <c r="S40" s="29">
        <f t="shared" si="46"/>
        <v>0</v>
      </c>
      <c r="T40" s="29">
        <f t="shared" si="47"/>
        <v>0</v>
      </c>
      <c r="U40" s="29">
        <f t="shared" si="48"/>
        <v>0</v>
      </c>
      <c r="V40" s="29">
        <f t="shared" si="49"/>
        <v>0</v>
      </c>
      <c r="W40" s="29">
        <f t="shared" si="50"/>
        <v>0</v>
      </c>
      <c r="X40" s="29">
        <f t="shared" si="51"/>
        <v>0</v>
      </c>
      <c r="Y40" s="21"/>
      <c r="Z40" s="13">
        <f t="shared" si="52"/>
        <v>0</v>
      </c>
      <c r="AA40" s="13">
        <f t="shared" si="53"/>
        <v>0</v>
      </c>
      <c r="AB40" s="13">
        <f t="shared" si="54"/>
        <v>0</v>
      </c>
      <c r="AD40" s="29">
        <v>21</v>
      </c>
      <c r="AE40" s="29">
        <f>G40*0.616531791907514</f>
        <v>0</v>
      </c>
      <c r="AF40" s="29">
        <f>G40*(1-0.616531791907514)</f>
        <v>0</v>
      </c>
      <c r="AG40" s="24" t="s">
        <v>13</v>
      </c>
      <c r="AM40" s="29">
        <f t="shared" si="55"/>
        <v>0</v>
      </c>
      <c r="AN40" s="29">
        <f t="shared" si="56"/>
        <v>0</v>
      </c>
      <c r="AO40" s="30" t="s">
        <v>192</v>
      </c>
      <c r="AP40" s="30" t="s">
        <v>199</v>
      </c>
      <c r="AQ40" s="21" t="s">
        <v>200</v>
      </c>
      <c r="AS40" s="29">
        <f t="shared" si="57"/>
        <v>0</v>
      </c>
      <c r="AT40" s="29">
        <f t="shared" si="58"/>
        <v>0</v>
      </c>
      <c r="AU40" s="29">
        <v>0</v>
      </c>
      <c r="AV40" s="29">
        <f t="shared" si="59"/>
        <v>0.032200000000000006</v>
      </c>
    </row>
    <row r="41" spans="1:48" ht="12.75">
      <c r="A41" s="3" t="s">
        <v>30</v>
      </c>
      <c r="B41" s="3"/>
      <c r="C41" s="3" t="s">
        <v>87</v>
      </c>
      <c r="D41" s="3" t="s">
        <v>269</v>
      </c>
      <c r="E41" s="3" t="s">
        <v>158</v>
      </c>
      <c r="F41" s="13">
        <v>128.8</v>
      </c>
      <c r="G41" s="99">
        <v>0</v>
      </c>
      <c r="H41" s="13">
        <f t="shared" si="40"/>
        <v>0</v>
      </c>
      <c r="I41" s="13">
        <f t="shared" si="41"/>
        <v>0</v>
      </c>
      <c r="J41" s="13">
        <f t="shared" si="42"/>
        <v>0</v>
      </c>
      <c r="K41" s="13">
        <v>4E-05</v>
      </c>
      <c r="L41" s="13">
        <f t="shared" si="43"/>
        <v>0.005152000000000001</v>
      </c>
      <c r="M41" s="24" t="s">
        <v>178</v>
      </c>
      <c r="P41" s="29">
        <f t="shared" si="44"/>
        <v>0</v>
      </c>
      <c r="R41" s="29">
        <f t="shared" si="45"/>
        <v>0</v>
      </c>
      <c r="S41" s="29">
        <f t="shared" si="46"/>
        <v>0</v>
      </c>
      <c r="T41" s="29">
        <f t="shared" si="47"/>
        <v>0</v>
      </c>
      <c r="U41" s="29">
        <f t="shared" si="48"/>
        <v>0</v>
      </c>
      <c r="V41" s="29">
        <f t="shared" si="49"/>
        <v>0</v>
      </c>
      <c r="W41" s="29">
        <f t="shared" si="50"/>
        <v>0</v>
      </c>
      <c r="X41" s="29">
        <f t="shared" si="51"/>
        <v>0</v>
      </c>
      <c r="Y41" s="21"/>
      <c r="Z41" s="13">
        <f t="shared" si="52"/>
        <v>0</v>
      </c>
      <c r="AA41" s="13">
        <f t="shared" si="53"/>
        <v>0</v>
      </c>
      <c r="AB41" s="13">
        <f t="shared" si="54"/>
        <v>0</v>
      </c>
      <c r="AD41" s="29">
        <v>21</v>
      </c>
      <c r="AE41" s="29">
        <f>G41*0.14219298245614</f>
        <v>0</v>
      </c>
      <c r="AF41" s="29">
        <f>G41*(1-0.14219298245614)</f>
        <v>0</v>
      </c>
      <c r="AG41" s="24" t="s">
        <v>13</v>
      </c>
      <c r="AM41" s="29">
        <f t="shared" si="55"/>
        <v>0</v>
      </c>
      <c r="AN41" s="29">
        <f t="shared" si="56"/>
        <v>0</v>
      </c>
      <c r="AO41" s="30" t="s">
        <v>192</v>
      </c>
      <c r="AP41" s="30" t="s">
        <v>199</v>
      </c>
      <c r="AQ41" s="21" t="s">
        <v>200</v>
      </c>
      <c r="AS41" s="29">
        <f t="shared" si="57"/>
        <v>0</v>
      </c>
      <c r="AT41" s="29">
        <f t="shared" si="58"/>
        <v>0</v>
      </c>
      <c r="AU41" s="29">
        <v>0</v>
      </c>
      <c r="AV41" s="29">
        <f t="shared" si="59"/>
        <v>0.005152000000000001</v>
      </c>
    </row>
    <row r="42" spans="1:48" ht="12.75">
      <c r="A42" s="3" t="s">
        <v>31</v>
      </c>
      <c r="B42" s="3"/>
      <c r="C42" s="3" t="s">
        <v>88</v>
      </c>
      <c r="D42" s="3" t="s">
        <v>270</v>
      </c>
      <c r="E42" s="3" t="s">
        <v>158</v>
      </c>
      <c r="F42" s="13">
        <v>128.8</v>
      </c>
      <c r="G42" s="99">
        <v>0</v>
      </c>
      <c r="H42" s="13">
        <f t="shared" si="40"/>
        <v>0</v>
      </c>
      <c r="I42" s="13">
        <f t="shared" si="41"/>
        <v>0</v>
      </c>
      <c r="J42" s="13">
        <f t="shared" si="42"/>
        <v>0</v>
      </c>
      <c r="K42" s="13">
        <v>0.00018</v>
      </c>
      <c r="L42" s="13">
        <f t="shared" si="43"/>
        <v>0.023184000000000003</v>
      </c>
      <c r="M42" s="24" t="s">
        <v>178</v>
      </c>
      <c r="P42" s="29">
        <f t="shared" si="44"/>
        <v>0</v>
      </c>
      <c r="R42" s="29">
        <f t="shared" si="45"/>
        <v>0</v>
      </c>
      <c r="S42" s="29">
        <f t="shared" si="46"/>
        <v>0</v>
      </c>
      <c r="T42" s="29">
        <f t="shared" si="47"/>
        <v>0</v>
      </c>
      <c r="U42" s="29">
        <f t="shared" si="48"/>
        <v>0</v>
      </c>
      <c r="V42" s="29">
        <f t="shared" si="49"/>
        <v>0</v>
      </c>
      <c r="W42" s="29">
        <f t="shared" si="50"/>
        <v>0</v>
      </c>
      <c r="X42" s="29">
        <f t="shared" si="51"/>
        <v>0</v>
      </c>
      <c r="Y42" s="21"/>
      <c r="Z42" s="13">
        <f t="shared" si="52"/>
        <v>0</v>
      </c>
      <c r="AA42" s="13">
        <f t="shared" si="53"/>
        <v>0</v>
      </c>
      <c r="AB42" s="13">
        <f t="shared" si="54"/>
        <v>0</v>
      </c>
      <c r="AD42" s="29">
        <v>21</v>
      </c>
      <c r="AE42" s="29">
        <f>G42*0.213924129741891</f>
        <v>0</v>
      </c>
      <c r="AF42" s="29">
        <f>G42*(1-0.213924129741891)</f>
        <v>0</v>
      </c>
      <c r="AG42" s="24" t="s">
        <v>13</v>
      </c>
      <c r="AM42" s="29">
        <f t="shared" si="55"/>
        <v>0</v>
      </c>
      <c r="AN42" s="29">
        <f t="shared" si="56"/>
        <v>0</v>
      </c>
      <c r="AO42" s="30" t="s">
        <v>192</v>
      </c>
      <c r="AP42" s="30" t="s">
        <v>199</v>
      </c>
      <c r="AQ42" s="21" t="s">
        <v>200</v>
      </c>
      <c r="AS42" s="29">
        <f t="shared" si="57"/>
        <v>0</v>
      </c>
      <c r="AT42" s="29">
        <f t="shared" si="58"/>
        <v>0</v>
      </c>
      <c r="AU42" s="29">
        <v>0</v>
      </c>
      <c r="AV42" s="29">
        <f t="shared" si="59"/>
        <v>0.023184000000000003</v>
      </c>
    </row>
    <row r="43" spans="1:37" ht="12.75">
      <c r="A43" s="69"/>
      <c r="B43" s="70"/>
      <c r="C43" s="70" t="s">
        <v>89</v>
      </c>
      <c r="D43" s="163" t="s">
        <v>133</v>
      </c>
      <c r="E43" s="164"/>
      <c r="F43" s="164"/>
      <c r="G43" s="164"/>
      <c r="H43" s="71">
        <f>SUM(H44:H44)</f>
        <v>0</v>
      </c>
      <c r="I43" s="71">
        <f>SUM(I44:I44)</f>
        <v>0</v>
      </c>
      <c r="J43" s="71">
        <f>H43+I43</f>
        <v>0</v>
      </c>
      <c r="K43" s="72"/>
      <c r="L43" s="71">
        <f>SUM(L44:L44)</f>
        <v>1.288</v>
      </c>
      <c r="M43" s="72"/>
      <c r="Y43" s="21"/>
      <c r="AI43" s="31">
        <f>SUM(Z44:Z44)</f>
        <v>0</v>
      </c>
      <c r="AJ43" s="31">
        <f>SUM(AA44:AA44)</f>
        <v>0</v>
      </c>
      <c r="AK43" s="31">
        <f>SUM(AB44:AB44)</f>
        <v>0</v>
      </c>
    </row>
    <row r="44" spans="1:48" ht="12.75">
      <c r="A44" s="3" t="s">
        <v>32</v>
      </c>
      <c r="B44" s="3"/>
      <c r="C44" s="3" t="s">
        <v>90</v>
      </c>
      <c r="D44" s="3" t="s">
        <v>134</v>
      </c>
      <c r="E44" s="3" t="s">
        <v>158</v>
      </c>
      <c r="F44" s="13">
        <v>128.8</v>
      </c>
      <c r="G44" s="99">
        <v>0</v>
      </c>
      <c r="H44" s="13">
        <f>F44*AE44</f>
        <v>0</v>
      </c>
      <c r="I44" s="13">
        <f>J44-H44</f>
        <v>0</v>
      </c>
      <c r="J44" s="13">
        <f>F44*G44</f>
        <v>0</v>
      </c>
      <c r="K44" s="13">
        <v>0.01</v>
      </c>
      <c r="L44" s="13">
        <f>F44*K44</f>
        <v>1.288</v>
      </c>
      <c r="M44" s="24" t="s">
        <v>178</v>
      </c>
      <c r="P44" s="29">
        <f>IF(AG44="5",J44,0)</f>
        <v>0</v>
      </c>
      <c r="R44" s="29">
        <f>IF(AG44="1",H44,0)</f>
        <v>0</v>
      </c>
      <c r="S44" s="29">
        <f>IF(AG44="1",I44,0)</f>
        <v>0</v>
      </c>
      <c r="T44" s="29">
        <f>IF(AG44="7",H44,0)</f>
        <v>0</v>
      </c>
      <c r="U44" s="29">
        <f>IF(AG44="7",I44,0)</f>
        <v>0</v>
      </c>
      <c r="V44" s="29">
        <f>IF(AG44="2",H44,0)</f>
        <v>0</v>
      </c>
      <c r="W44" s="29">
        <f>IF(AG44="2",I44,0)</f>
        <v>0</v>
      </c>
      <c r="X44" s="29">
        <f>IF(AG44="0",J44,0)</f>
        <v>0</v>
      </c>
      <c r="Y44" s="21"/>
      <c r="Z44" s="13">
        <f>IF(AD44=0,J44,0)</f>
        <v>0</v>
      </c>
      <c r="AA44" s="13">
        <f>IF(AD44=15,J44,0)</f>
        <v>0</v>
      </c>
      <c r="AB44" s="13">
        <f>IF(AD44=21,J44,0)</f>
        <v>0</v>
      </c>
      <c r="AD44" s="29">
        <v>21</v>
      </c>
      <c r="AE44" s="29">
        <f>G44*0</f>
        <v>0</v>
      </c>
      <c r="AF44" s="29">
        <f>G44*(1-0)</f>
        <v>0</v>
      </c>
      <c r="AG44" s="24" t="s">
        <v>13</v>
      </c>
      <c r="AM44" s="29">
        <f>F44*AE44</f>
        <v>0</v>
      </c>
      <c r="AN44" s="29">
        <f>F44*AF44</f>
        <v>0</v>
      </c>
      <c r="AO44" s="30" t="s">
        <v>193</v>
      </c>
      <c r="AP44" s="30" t="s">
        <v>199</v>
      </c>
      <c r="AQ44" s="21" t="s">
        <v>200</v>
      </c>
      <c r="AS44" s="29">
        <f>AM44+AN44</f>
        <v>0</v>
      </c>
      <c r="AT44" s="29">
        <f>G44/(100-AU44)*100</f>
        <v>0</v>
      </c>
      <c r="AU44" s="29">
        <v>0</v>
      </c>
      <c r="AV44" s="29">
        <f>L44</f>
        <v>1.288</v>
      </c>
    </row>
    <row r="45" spans="1:37" ht="12.75">
      <c r="A45" s="69"/>
      <c r="B45" s="70"/>
      <c r="C45" s="70" t="s">
        <v>93</v>
      </c>
      <c r="D45" s="163" t="s">
        <v>137</v>
      </c>
      <c r="E45" s="164"/>
      <c r="F45" s="164"/>
      <c r="G45" s="164"/>
      <c r="H45" s="71">
        <f>SUM(H46:H46)</f>
        <v>0</v>
      </c>
      <c r="I45" s="71">
        <f>SUM(I46:I46)</f>
        <v>0</v>
      </c>
      <c r="J45" s="71">
        <f>H45+I45</f>
        <v>0</v>
      </c>
      <c r="K45" s="72"/>
      <c r="L45" s="71">
        <f>SUM(L46:L46)</f>
        <v>0.166848</v>
      </c>
      <c r="M45" s="72"/>
      <c r="Y45" s="21"/>
      <c r="AI45" s="31">
        <f>SUM(Z46:Z46)</f>
        <v>0</v>
      </c>
      <c r="AJ45" s="31">
        <f>SUM(AA46:AA46)</f>
        <v>0</v>
      </c>
      <c r="AK45" s="31">
        <f>SUM(AB46:AB46)</f>
        <v>0</v>
      </c>
    </row>
    <row r="46" spans="1:48" ht="12.75">
      <c r="A46" s="3" t="s">
        <v>33</v>
      </c>
      <c r="B46" s="3"/>
      <c r="C46" s="3" t="s">
        <v>94</v>
      </c>
      <c r="D46" s="3" t="s">
        <v>138</v>
      </c>
      <c r="E46" s="3" t="s">
        <v>158</v>
      </c>
      <c r="F46" s="13">
        <v>105.6</v>
      </c>
      <c r="G46" s="99">
        <v>0</v>
      </c>
      <c r="H46" s="13">
        <f>F46*AE46</f>
        <v>0</v>
      </c>
      <c r="I46" s="13">
        <f>J46-H46</f>
        <v>0</v>
      </c>
      <c r="J46" s="13">
        <f>F46*G46</f>
        <v>0</v>
      </c>
      <c r="K46" s="13">
        <v>0.00158</v>
      </c>
      <c r="L46" s="13">
        <f>F46*K46</f>
        <v>0.166848</v>
      </c>
      <c r="M46" s="24" t="s">
        <v>178</v>
      </c>
      <c r="P46" s="29">
        <f>IF(AG46="5",J46,0)</f>
        <v>0</v>
      </c>
      <c r="R46" s="29">
        <f>IF(AG46="1",H46,0)</f>
        <v>0</v>
      </c>
      <c r="S46" s="29">
        <f>IF(AG46="1",I46,0)</f>
        <v>0</v>
      </c>
      <c r="T46" s="29">
        <f>IF(AG46="7",H46,0)</f>
        <v>0</v>
      </c>
      <c r="U46" s="29">
        <f>IF(AG46="7",I46,0)</f>
        <v>0</v>
      </c>
      <c r="V46" s="29">
        <f>IF(AG46="2",H46,0)</f>
        <v>0</v>
      </c>
      <c r="W46" s="29">
        <f>IF(AG46="2",I46,0)</f>
        <v>0</v>
      </c>
      <c r="X46" s="29">
        <f>IF(AG46="0",J46,0)</f>
        <v>0</v>
      </c>
      <c r="Y46" s="21"/>
      <c r="Z46" s="13">
        <f>IF(AD46=0,J46,0)</f>
        <v>0</v>
      </c>
      <c r="AA46" s="13">
        <f>IF(AD46=15,J46,0)</f>
        <v>0</v>
      </c>
      <c r="AB46" s="13">
        <f>IF(AD46=21,J46,0)</f>
        <v>0</v>
      </c>
      <c r="AD46" s="29">
        <v>21</v>
      </c>
      <c r="AE46" s="29">
        <f>G46*0.412818181818182</f>
        <v>0</v>
      </c>
      <c r="AF46" s="29">
        <f>G46*(1-0.412818181818182)</f>
        <v>0</v>
      </c>
      <c r="AG46" s="24" t="s">
        <v>7</v>
      </c>
      <c r="AM46" s="29">
        <f>F46*AE46</f>
        <v>0</v>
      </c>
      <c r="AN46" s="29">
        <f>F46*AF46</f>
        <v>0</v>
      </c>
      <c r="AO46" s="30" t="s">
        <v>194</v>
      </c>
      <c r="AP46" s="30" t="s">
        <v>197</v>
      </c>
      <c r="AQ46" s="21" t="s">
        <v>200</v>
      </c>
      <c r="AS46" s="29">
        <f>AM46+AN46</f>
        <v>0</v>
      </c>
      <c r="AT46" s="29">
        <f>G46/(100-AU46)*100</f>
        <v>0</v>
      </c>
      <c r="AU46" s="29">
        <v>0</v>
      </c>
      <c r="AV46" s="29">
        <f>L46</f>
        <v>0.166848</v>
      </c>
    </row>
    <row r="47" spans="1:37" ht="12.75">
      <c r="A47" s="69"/>
      <c r="B47" s="70"/>
      <c r="C47" s="70" t="s">
        <v>96</v>
      </c>
      <c r="D47" s="163" t="s">
        <v>140</v>
      </c>
      <c r="E47" s="164"/>
      <c r="F47" s="164"/>
      <c r="G47" s="164"/>
      <c r="H47" s="71">
        <f>SUM(H48:H49)</f>
        <v>0</v>
      </c>
      <c r="I47" s="71">
        <f>SUM(I48:I49)</f>
        <v>0</v>
      </c>
      <c r="J47" s="71">
        <f>H47+I47</f>
        <v>0</v>
      </c>
      <c r="K47" s="72"/>
      <c r="L47" s="71">
        <f>SUM(L48:L49)</f>
        <v>4.057200000000001</v>
      </c>
      <c r="M47" s="72"/>
      <c r="Y47" s="21"/>
      <c r="AI47" s="31">
        <f>SUM(Z48:Z49)</f>
        <v>0</v>
      </c>
      <c r="AJ47" s="31">
        <f>SUM(AA48:AA49)</f>
        <v>0</v>
      </c>
      <c r="AK47" s="31">
        <f>SUM(AB48:AB49)</f>
        <v>0</v>
      </c>
    </row>
    <row r="48" spans="1:48" ht="12.75">
      <c r="A48" s="3" t="s">
        <v>34</v>
      </c>
      <c r="B48" s="3"/>
      <c r="C48" s="3" t="s">
        <v>97</v>
      </c>
      <c r="D48" s="3" t="s">
        <v>141</v>
      </c>
      <c r="E48" s="3" t="s">
        <v>160</v>
      </c>
      <c r="F48" s="13">
        <v>80</v>
      </c>
      <c r="G48" s="99">
        <v>0</v>
      </c>
      <c r="H48" s="13">
        <f>F48*AE48</f>
        <v>0</v>
      </c>
      <c r="I48" s="13">
        <f>J48-H48</f>
        <v>0</v>
      </c>
      <c r="J48" s="13">
        <f>F48*G48</f>
        <v>0</v>
      </c>
      <c r="K48" s="13">
        <v>0</v>
      </c>
      <c r="L48" s="13">
        <f>F48*K48</f>
        <v>0</v>
      </c>
      <c r="M48" s="24" t="s">
        <v>178</v>
      </c>
      <c r="P48" s="29">
        <f>IF(AG48="5",J48,0)</f>
        <v>0</v>
      </c>
      <c r="R48" s="29">
        <f>IF(AG48="1",H48,0)</f>
        <v>0</v>
      </c>
      <c r="S48" s="29">
        <f>IF(AG48="1",I48,0)</f>
        <v>0</v>
      </c>
      <c r="T48" s="29">
        <f>IF(AG48="7",H48,0)</f>
        <v>0</v>
      </c>
      <c r="U48" s="29">
        <f>IF(AG48="7",I48,0)</f>
        <v>0</v>
      </c>
      <c r="V48" s="29">
        <f>IF(AG48="2",H48,0)</f>
        <v>0</v>
      </c>
      <c r="W48" s="29">
        <f>IF(AG48="2",I48,0)</f>
        <v>0</v>
      </c>
      <c r="X48" s="29">
        <f>IF(AG48="0",J48,0)</f>
        <v>0</v>
      </c>
      <c r="Y48" s="21"/>
      <c r="Z48" s="13">
        <f>IF(AD48=0,J48,0)</f>
        <v>0</v>
      </c>
      <c r="AA48" s="13">
        <f>IF(AD48=15,J48,0)</f>
        <v>0</v>
      </c>
      <c r="AB48" s="13">
        <f>IF(AD48=21,J48,0)</f>
        <v>0</v>
      </c>
      <c r="AD48" s="29">
        <v>21</v>
      </c>
      <c r="AE48" s="29">
        <f>G48*0</f>
        <v>0</v>
      </c>
      <c r="AF48" s="29">
        <f>G48*(1-0)</f>
        <v>0</v>
      </c>
      <c r="AG48" s="24" t="s">
        <v>7</v>
      </c>
      <c r="AM48" s="29">
        <f>F48*AE48</f>
        <v>0</v>
      </c>
      <c r="AN48" s="29">
        <f>F48*AF48</f>
        <v>0</v>
      </c>
      <c r="AO48" s="30" t="s">
        <v>195</v>
      </c>
      <c r="AP48" s="30" t="s">
        <v>197</v>
      </c>
      <c r="AQ48" s="21" t="s">
        <v>200</v>
      </c>
      <c r="AS48" s="29">
        <f>AM48+AN48</f>
        <v>0</v>
      </c>
      <c r="AT48" s="29">
        <f>G48/(100-AU48)*100</f>
        <v>0</v>
      </c>
      <c r="AU48" s="29">
        <v>0</v>
      </c>
      <c r="AV48" s="29">
        <f>L48</f>
        <v>0</v>
      </c>
    </row>
    <row r="49" spans="1:48" ht="13.5" thickBot="1">
      <c r="A49" s="3" t="s">
        <v>35</v>
      </c>
      <c r="B49" s="3"/>
      <c r="C49" s="3" t="s">
        <v>98</v>
      </c>
      <c r="D49" s="3" t="s">
        <v>142</v>
      </c>
      <c r="E49" s="3" t="s">
        <v>158</v>
      </c>
      <c r="F49" s="13">
        <v>64.4</v>
      </c>
      <c r="G49" s="99">
        <v>0</v>
      </c>
      <c r="H49" s="13">
        <f>F49*AE49</f>
        <v>0</v>
      </c>
      <c r="I49" s="13">
        <f>J49-H49</f>
        <v>0</v>
      </c>
      <c r="J49" s="13">
        <f>F49*G49</f>
        <v>0</v>
      </c>
      <c r="K49" s="13">
        <v>0.063</v>
      </c>
      <c r="L49" s="13">
        <f>F49*K49</f>
        <v>4.057200000000001</v>
      </c>
      <c r="M49" s="24" t="s">
        <v>178</v>
      </c>
      <c r="P49" s="29">
        <f>IF(AG49="5",J49,0)</f>
        <v>0</v>
      </c>
      <c r="R49" s="29">
        <f>IF(AG49="1",H49,0)</f>
        <v>0</v>
      </c>
      <c r="S49" s="29">
        <f>IF(AG49="1",I49,0)</f>
        <v>0</v>
      </c>
      <c r="T49" s="29">
        <f>IF(AG49="7",H49,0)</f>
        <v>0</v>
      </c>
      <c r="U49" s="29">
        <f>IF(AG49="7",I49,0)</f>
        <v>0</v>
      </c>
      <c r="V49" s="29">
        <f>IF(AG49="2",H49,0)</f>
        <v>0</v>
      </c>
      <c r="W49" s="29">
        <f>IF(AG49="2",I49,0)</f>
        <v>0</v>
      </c>
      <c r="X49" s="29">
        <f>IF(AG49="0",J49,0)</f>
        <v>0</v>
      </c>
      <c r="Y49" s="21"/>
      <c r="Z49" s="13">
        <f>IF(AD49=0,J49,0)</f>
        <v>0</v>
      </c>
      <c r="AA49" s="13">
        <f>IF(AD49=15,J49,0)</f>
        <v>0</v>
      </c>
      <c r="AB49" s="13">
        <f>IF(AD49=21,J49,0)</f>
        <v>0</v>
      </c>
      <c r="AD49" s="29">
        <v>21</v>
      </c>
      <c r="AE49" s="29">
        <f>G49*0.12498687664042</f>
        <v>0</v>
      </c>
      <c r="AF49" s="29">
        <f>G49*(1-0.12498687664042)</f>
        <v>0</v>
      </c>
      <c r="AG49" s="24" t="s">
        <v>7</v>
      </c>
      <c r="AM49" s="29">
        <f>F49*AE49</f>
        <v>0</v>
      </c>
      <c r="AN49" s="29">
        <f>F49*AF49</f>
        <v>0</v>
      </c>
      <c r="AO49" s="30" t="s">
        <v>195</v>
      </c>
      <c r="AP49" s="30" t="s">
        <v>197</v>
      </c>
      <c r="AQ49" s="21" t="s">
        <v>200</v>
      </c>
      <c r="AS49" s="29">
        <f>AM49+AN49</f>
        <v>0</v>
      </c>
      <c r="AT49" s="29">
        <f>G49/(100-AU49)*100</f>
        <v>0</v>
      </c>
      <c r="AU49" s="29">
        <v>0</v>
      </c>
      <c r="AV49" s="29">
        <f>L49</f>
        <v>4.057200000000001</v>
      </c>
    </row>
    <row r="50" spans="1:48" ht="14.25" customHeight="1" thickBot="1">
      <c r="A50" s="60"/>
      <c r="B50" s="61"/>
      <c r="C50" s="61"/>
      <c r="D50" s="62" t="s">
        <v>273</v>
      </c>
      <c r="E50" s="61"/>
      <c r="F50" s="61"/>
      <c r="G50" s="73"/>
      <c r="H50" s="73"/>
      <c r="I50" s="73"/>
      <c r="J50" s="73">
        <f>SUM(J13+J15+J17+J25+J35+J43+J45+J47)</f>
        <v>0</v>
      </c>
      <c r="K50" s="63"/>
      <c r="L50" s="63"/>
      <c r="M50" s="64"/>
      <c r="P50" s="29"/>
      <c r="R50" s="29"/>
      <c r="S50" s="29"/>
      <c r="T50" s="29"/>
      <c r="U50" s="29"/>
      <c r="V50" s="29"/>
      <c r="W50" s="29"/>
      <c r="X50" s="29"/>
      <c r="Y50" s="21"/>
      <c r="Z50" s="13"/>
      <c r="AA50" s="13"/>
      <c r="AB50" s="13"/>
      <c r="AD50" s="29"/>
      <c r="AE50" s="29"/>
      <c r="AF50" s="29"/>
      <c r="AG50" s="24"/>
      <c r="AM50" s="29"/>
      <c r="AN50" s="29"/>
      <c r="AO50" s="30"/>
      <c r="AP50" s="30"/>
      <c r="AQ50" s="21"/>
      <c r="AS50" s="29"/>
      <c r="AT50" s="29"/>
      <c r="AU50" s="29"/>
      <c r="AV50" s="29"/>
    </row>
    <row r="51" spans="1:48" ht="6" customHeight="1" thickBot="1">
      <c r="A51" s="3"/>
      <c r="B51" s="3"/>
      <c r="C51" s="3"/>
      <c r="D51" s="3"/>
      <c r="E51" s="3"/>
      <c r="F51" s="13"/>
      <c r="G51" s="13"/>
      <c r="H51" s="13"/>
      <c r="I51" s="13"/>
      <c r="J51" s="13"/>
      <c r="K51" s="13"/>
      <c r="L51" s="13"/>
      <c r="M51" s="24"/>
      <c r="P51" s="29"/>
      <c r="R51" s="29"/>
      <c r="S51" s="29"/>
      <c r="T51" s="29"/>
      <c r="U51" s="29"/>
      <c r="V51" s="29"/>
      <c r="W51" s="29"/>
      <c r="X51" s="29"/>
      <c r="Y51" s="21"/>
      <c r="Z51" s="13"/>
      <c r="AA51" s="13"/>
      <c r="AB51" s="13"/>
      <c r="AD51" s="29"/>
      <c r="AE51" s="29"/>
      <c r="AF51" s="29"/>
      <c r="AG51" s="24"/>
      <c r="AM51" s="29"/>
      <c r="AN51" s="29"/>
      <c r="AO51" s="30"/>
      <c r="AP51" s="30"/>
      <c r="AQ51" s="21"/>
      <c r="AS51" s="29"/>
      <c r="AT51" s="29"/>
      <c r="AU51" s="29"/>
      <c r="AV51" s="29"/>
    </row>
    <row r="52" spans="1:48" ht="14.25" customHeight="1" thickBot="1">
      <c r="A52" s="60"/>
      <c r="B52" s="61"/>
      <c r="C52" s="61"/>
      <c r="D52" s="62" t="s">
        <v>272</v>
      </c>
      <c r="E52" s="61"/>
      <c r="F52" s="61"/>
      <c r="G52" s="63"/>
      <c r="H52" s="63"/>
      <c r="I52" s="63"/>
      <c r="J52" s="63"/>
      <c r="K52" s="63"/>
      <c r="L52" s="63"/>
      <c r="M52" s="64"/>
      <c r="P52" s="29"/>
      <c r="R52" s="29"/>
      <c r="S52" s="29"/>
      <c r="T52" s="29"/>
      <c r="U52" s="29"/>
      <c r="V52" s="29"/>
      <c r="W52" s="29"/>
      <c r="X52" s="29"/>
      <c r="Y52" s="21"/>
      <c r="Z52" s="13"/>
      <c r="AA52" s="13"/>
      <c r="AB52" s="13"/>
      <c r="AD52" s="29"/>
      <c r="AE52" s="29"/>
      <c r="AF52" s="29"/>
      <c r="AG52" s="24"/>
      <c r="AM52" s="29"/>
      <c r="AN52" s="29"/>
      <c r="AO52" s="30"/>
      <c r="AP52" s="30"/>
      <c r="AQ52" s="21"/>
      <c r="AS52" s="29"/>
      <c r="AT52" s="29"/>
      <c r="AU52" s="29"/>
      <c r="AV52" s="29"/>
    </row>
    <row r="53" spans="1:48" ht="12.75">
      <c r="A53" s="69"/>
      <c r="B53" s="70"/>
      <c r="C53" s="70" t="s">
        <v>58</v>
      </c>
      <c r="D53" s="163" t="s">
        <v>112</v>
      </c>
      <c r="E53" s="164"/>
      <c r="F53" s="164"/>
      <c r="G53" s="164"/>
      <c r="H53" s="71">
        <f>SUM(H54:H57)</f>
        <v>0</v>
      </c>
      <c r="I53" s="71">
        <f>SUM(I54:I57)</f>
        <v>0</v>
      </c>
      <c r="J53" s="71">
        <f>H53+I53</f>
        <v>0</v>
      </c>
      <c r="K53" s="72"/>
      <c r="L53" s="71">
        <f>SUM(L55:L57)</f>
        <v>0.0008</v>
      </c>
      <c r="M53" s="72"/>
      <c r="P53" s="29"/>
      <c r="R53" s="29"/>
      <c r="S53" s="29"/>
      <c r="T53" s="29"/>
      <c r="U53" s="29"/>
      <c r="V53" s="29"/>
      <c r="W53" s="29"/>
      <c r="X53" s="29"/>
      <c r="Y53" s="21"/>
      <c r="Z53" s="13"/>
      <c r="AA53" s="13"/>
      <c r="AB53" s="13"/>
      <c r="AD53" s="29"/>
      <c r="AE53" s="29"/>
      <c r="AF53" s="29"/>
      <c r="AG53" s="24"/>
      <c r="AM53" s="29"/>
      <c r="AN53" s="29"/>
      <c r="AO53" s="30"/>
      <c r="AP53" s="30"/>
      <c r="AQ53" s="21"/>
      <c r="AS53" s="29"/>
      <c r="AT53" s="29"/>
      <c r="AU53" s="29"/>
      <c r="AV53" s="29"/>
    </row>
    <row r="54" spans="1:48" ht="12.75">
      <c r="A54" s="3" t="s">
        <v>36</v>
      </c>
      <c r="B54" s="3"/>
      <c r="C54" s="3" t="s">
        <v>59</v>
      </c>
      <c r="D54" s="3" t="s">
        <v>113</v>
      </c>
      <c r="E54" s="3" t="s">
        <v>158</v>
      </c>
      <c r="F54" s="13">
        <v>64.4</v>
      </c>
      <c r="G54" s="99">
        <v>0</v>
      </c>
      <c r="H54" s="13">
        <f>F54*AE54</f>
        <v>0</v>
      </c>
      <c r="I54" s="13">
        <f>J54-H54</f>
        <v>0</v>
      </c>
      <c r="J54" s="13">
        <f>F54*G54</f>
        <v>0</v>
      </c>
      <c r="K54" s="13">
        <v>4E-05</v>
      </c>
      <c r="L54" s="13">
        <f>F54*K54</f>
        <v>0.0025760000000000006</v>
      </c>
      <c r="M54" s="24" t="s">
        <v>178</v>
      </c>
      <c r="P54" s="29">
        <f>IF(AG54="5",J54,0)</f>
        <v>0</v>
      </c>
      <c r="R54" s="29">
        <f>IF(AG54="1",H54,0)</f>
        <v>0</v>
      </c>
      <c r="S54" s="29">
        <f>IF(AG54="1",I54,0)</f>
        <v>0</v>
      </c>
      <c r="T54" s="29">
        <f>IF(AG54="7",H54,0)</f>
        <v>0</v>
      </c>
      <c r="U54" s="29">
        <f>IF(AG54="7",I54,0)</f>
        <v>0</v>
      </c>
      <c r="V54" s="29">
        <f>IF(AG54="2",H54,0)</f>
        <v>0</v>
      </c>
      <c r="W54" s="29">
        <f>IF(AG54="2",I54,0)</f>
        <v>0</v>
      </c>
      <c r="X54" s="29">
        <f>IF(AG54="0",J54,0)</f>
        <v>0</v>
      </c>
      <c r="Y54" s="21"/>
      <c r="Z54" s="13">
        <f>IF(AD54=0,J54,0)</f>
        <v>0</v>
      </c>
      <c r="AA54" s="13">
        <f>IF(AD54=15,J54,0)</f>
        <v>0</v>
      </c>
      <c r="AB54" s="13">
        <f>IF(AD54=21,J54,0)</f>
        <v>0</v>
      </c>
      <c r="AD54" s="29">
        <v>21</v>
      </c>
      <c r="AE54" s="29">
        <f>G54*0.34750656167979</f>
        <v>0</v>
      </c>
      <c r="AF54" s="29">
        <f>G54*(1-0.34750656167979)</f>
        <v>0</v>
      </c>
      <c r="AG54" s="24" t="s">
        <v>7</v>
      </c>
      <c r="AM54" s="29">
        <f>F54*AE54</f>
        <v>0</v>
      </c>
      <c r="AN54" s="29">
        <f>F54*AF54</f>
        <v>0</v>
      </c>
      <c r="AO54" s="30" t="s">
        <v>189</v>
      </c>
      <c r="AP54" s="30" t="s">
        <v>197</v>
      </c>
      <c r="AQ54" s="21" t="s">
        <v>200</v>
      </c>
      <c r="AS54" s="29">
        <f>AM54+AN54</f>
        <v>0</v>
      </c>
      <c r="AT54" s="29">
        <f>G54/(100-AU54)*100</f>
        <v>0</v>
      </c>
      <c r="AU54" s="29">
        <v>0</v>
      </c>
      <c r="AV54" s="29">
        <f>L54</f>
        <v>0.0025760000000000006</v>
      </c>
    </row>
    <row r="55" spans="1:48" ht="12.75">
      <c r="A55" s="3" t="s">
        <v>37</v>
      </c>
      <c r="B55" s="3"/>
      <c r="C55" s="3" t="s">
        <v>60</v>
      </c>
      <c r="D55" s="3" t="s">
        <v>114</v>
      </c>
      <c r="E55" s="3" t="s">
        <v>158</v>
      </c>
      <c r="F55" s="13">
        <v>80</v>
      </c>
      <c r="G55" s="99">
        <v>0</v>
      </c>
      <c r="H55" s="13">
        <f>F55*AE55</f>
        <v>0</v>
      </c>
      <c r="I55" s="13">
        <f>J55-H55</f>
        <v>0</v>
      </c>
      <c r="J55" s="13">
        <f>F55*G55</f>
        <v>0</v>
      </c>
      <c r="K55" s="13">
        <v>0</v>
      </c>
      <c r="L55" s="13">
        <f>F55*K55</f>
        <v>0</v>
      </c>
      <c r="M55" s="24" t="s">
        <v>178</v>
      </c>
      <c r="P55" s="93">
        <f>IF(AG55="5",J55,0)</f>
        <v>0</v>
      </c>
      <c r="Q55" s="94"/>
      <c r="R55" s="93">
        <f>IF(AG55="1",H55,0)</f>
        <v>0</v>
      </c>
      <c r="S55" s="93">
        <f>IF(AG55="1",I55,0)</f>
        <v>0</v>
      </c>
      <c r="T55" s="93">
        <f>IF(AG55="7",H55,0)</f>
        <v>0</v>
      </c>
      <c r="U55" s="93">
        <f>IF(AG55="7",I55,0)</f>
        <v>0</v>
      </c>
      <c r="V55" s="93">
        <f>IF(AG55="2",H55,0)</f>
        <v>0</v>
      </c>
      <c r="W55" s="93">
        <f>IF(AG55="2",I55,0)</f>
        <v>0</v>
      </c>
      <c r="X55" s="93">
        <f>IF(AG55="0",J55,0)</f>
        <v>0</v>
      </c>
      <c r="Y55" s="95"/>
      <c r="Z55" s="96">
        <f>IF(AD55=0,J55,0)</f>
        <v>0</v>
      </c>
      <c r="AA55" s="96">
        <f>IF(AD55=15,J55,0)</f>
        <v>0</v>
      </c>
      <c r="AB55" s="96">
        <f>IF(AD55=21,J55,0)</f>
        <v>0</v>
      </c>
      <c r="AC55" s="94"/>
      <c r="AD55" s="93">
        <v>21</v>
      </c>
      <c r="AE55" s="93">
        <f>G55*0</f>
        <v>0</v>
      </c>
      <c r="AF55" s="93">
        <f>G55*(1-0)</f>
        <v>0</v>
      </c>
      <c r="AG55" s="97" t="s">
        <v>7</v>
      </c>
      <c r="AH55" s="94"/>
      <c r="AI55" s="94"/>
      <c r="AJ55" s="94"/>
      <c r="AK55" s="94"/>
      <c r="AL55" s="94"/>
      <c r="AM55" s="93">
        <f>F55*AE55</f>
        <v>0</v>
      </c>
      <c r="AN55" s="93">
        <f>F55*AF55</f>
        <v>0</v>
      </c>
      <c r="AO55" s="98" t="s">
        <v>189</v>
      </c>
      <c r="AP55" s="98" t="s">
        <v>197</v>
      </c>
      <c r="AQ55" s="95" t="s">
        <v>200</v>
      </c>
      <c r="AR55" s="94"/>
      <c r="AS55" s="93">
        <f>AM55+AN55</f>
        <v>0</v>
      </c>
      <c r="AT55" s="93">
        <f>G55/(100-AU55)*100</f>
        <v>0</v>
      </c>
      <c r="AU55" s="93">
        <v>0</v>
      </c>
      <c r="AV55" s="93">
        <f>L55</f>
        <v>0</v>
      </c>
    </row>
    <row r="56" spans="1:48" ht="12.75">
      <c r="A56" s="4" t="s">
        <v>38</v>
      </c>
      <c r="B56" s="4"/>
      <c r="C56" s="4" t="s">
        <v>61</v>
      </c>
      <c r="D56" s="4" t="s">
        <v>115</v>
      </c>
      <c r="E56" s="4" t="s">
        <v>158</v>
      </c>
      <c r="F56" s="14">
        <v>80</v>
      </c>
      <c r="G56" s="100">
        <v>0</v>
      </c>
      <c r="H56" s="14">
        <f>F56*AE56</f>
        <v>0</v>
      </c>
      <c r="I56" s="14">
        <f>J56-H56</f>
        <v>0</v>
      </c>
      <c r="J56" s="14">
        <f>F56*G56</f>
        <v>0</v>
      </c>
      <c r="K56" s="14">
        <v>1E-05</v>
      </c>
      <c r="L56" s="14">
        <f>F56*K56</f>
        <v>0.0008</v>
      </c>
      <c r="M56" s="25" t="s">
        <v>178</v>
      </c>
      <c r="P56" s="29">
        <f>IF(AG56="5",J56,0)</f>
        <v>0</v>
      </c>
      <c r="R56" s="29">
        <f>IF(AG56="1",H56,0)</f>
        <v>0</v>
      </c>
      <c r="S56" s="29">
        <f>IF(AG56="1",I56,0)</f>
        <v>0</v>
      </c>
      <c r="T56" s="29">
        <f>IF(AG56="7",H56,0)</f>
        <v>0</v>
      </c>
      <c r="U56" s="29">
        <f>IF(AG56="7",I56,0)</f>
        <v>0</v>
      </c>
      <c r="V56" s="29">
        <f>IF(AG56="2",H56,0)</f>
        <v>0</v>
      </c>
      <c r="W56" s="29">
        <f>IF(AG56="2",I56,0)</f>
        <v>0</v>
      </c>
      <c r="X56" s="29">
        <f>IF(AG56="0",J56,0)</f>
        <v>0</v>
      </c>
      <c r="Y56" s="21"/>
      <c r="Z56" s="14">
        <f>IF(AD56=0,J56,0)</f>
        <v>0</v>
      </c>
      <c r="AA56" s="14">
        <f>IF(AD56=15,J56,0)</f>
        <v>0</v>
      </c>
      <c r="AB56" s="14">
        <f>IF(AD56=21,J56,0)</f>
        <v>0</v>
      </c>
      <c r="AD56" s="29">
        <v>21</v>
      </c>
      <c r="AE56" s="29">
        <f>G56*1</f>
        <v>0</v>
      </c>
      <c r="AF56" s="29">
        <f>G56*(1-1)</f>
        <v>0</v>
      </c>
      <c r="AG56" s="25" t="s">
        <v>7</v>
      </c>
      <c r="AM56" s="29">
        <f>F56*AE56</f>
        <v>0</v>
      </c>
      <c r="AN56" s="29">
        <f>F56*AF56</f>
        <v>0</v>
      </c>
      <c r="AO56" s="30" t="s">
        <v>189</v>
      </c>
      <c r="AP56" s="30" t="s">
        <v>197</v>
      </c>
      <c r="AQ56" s="21" t="s">
        <v>200</v>
      </c>
      <c r="AS56" s="29">
        <f>AM56+AN56</f>
        <v>0</v>
      </c>
      <c r="AT56" s="29">
        <f>G56/(100-AU56)*100</f>
        <v>0</v>
      </c>
      <c r="AU56" s="29">
        <v>0</v>
      </c>
      <c r="AV56" s="29">
        <f>L56</f>
        <v>0.0008</v>
      </c>
    </row>
    <row r="57" spans="1:48" ht="12.75">
      <c r="A57" s="3" t="s">
        <v>39</v>
      </c>
      <c r="B57" s="3"/>
      <c r="C57" s="3" t="s">
        <v>62</v>
      </c>
      <c r="D57" s="3" t="s">
        <v>116</v>
      </c>
      <c r="E57" s="3" t="s">
        <v>159</v>
      </c>
      <c r="F57" s="13">
        <v>0.0034</v>
      </c>
      <c r="G57" s="99">
        <v>0</v>
      </c>
      <c r="H57" s="13">
        <f>F57*AE57</f>
        <v>0</v>
      </c>
      <c r="I57" s="13">
        <f>J57-H57</f>
        <v>0</v>
      </c>
      <c r="J57" s="13">
        <f>F57*G57</f>
        <v>0</v>
      </c>
      <c r="K57" s="13">
        <v>0</v>
      </c>
      <c r="L57" s="13">
        <f>F57*K57</f>
        <v>0</v>
      </c>
      <c r="M57" s="24" t="s">
        <v>178</v>
      </c>
      <c r="P57" s="93">
        <f>IF(AG57="5",J57,0)</f>
        <v>0</v>
      </c>
      <c r="Q57" s="94"/>
      <c r="R57" s="93">
        <f>IF(AG57="1",H57,0)</f>
        <v>0</v>
      </c>
      <c r="S57" s="93">
        <f>IF(AG57="1",I57,0)</f>
        <v>0</v>
      </c>
      <c r="T57" s="93">
        <f>IF(AG57="7",H57,0)</f>
        <v>0</v>
      </c>
      <c r="U57" s="93">
        <f>IF(AG57="7",I57,0)</f>
        <v>0</v>
      </c>
      <c r="V57" s="93">
        <f>IF(AG57="2",H57,0)</f>
        <v>0</v>
      </c>
      <c r="W57" s="93">
        <f>IF(AG57="2",I57,0)</f>
        <v>0</v>
      </c>
      <c r="X57" s="93">
        <f>IF(AG57="0",J57,0)</f>
        <v>0</v>
      </c>
      <c r="Y57" s="95"/>
      <c r="Z57" s="96">
        <f>IF(AD57=0,J57,0)</f>
        <v>0</v>
      </c>
      <c r="AA57" s="96">
        <f>IF(AD57=15,J57,0)</f>
        <v>0</v>
      </c>
      <c r="AB57" s="96">
        <f>IF(AD57=21,J57,0)</f>
        <v>0</v>
      </c>
      <c r="AC57" s="94"/>
      <c r="AD57" s="93">
        <v>21</v>
      </c>
      <c r="AE57" s="93">
        <f>G57*0</f>
        <v>0</v>
      </c>
      <c r="AF57" s="93">
        <f>G57*(1-0)</f>
        <v>0</v>
      </c>
      <c r="AG57" s="97" t="s">
        <v>11</v>
      </c>
      <c r="AH57" s="94"/>
      <c r="AI57" s="94"/>
      <c r="AJ57" s="94"/>
      <c r="AK57" s="94"/>
      <c r="AL57" s="94"/>
      <c r="AM57" s="93">
        <f>F57*AE57</f>
        <v>0</v>
      </c>
      <c r="AN57" s="93">
        <f>F57*AF57</f>
        <v>0</v>
      </c>
      <c r="AO57" s="98" t="s">
        <v>189</v>
      </c>
      <c r="AP57" s="98" t="s">
        <v>197</v>
      </c>
      <c r="AQ57" s="95" t="s">
        <v>200</v>
      </c>
      <c r="AR57" s="94"/>
      <c r="AS57" s="93">
        <f>AM57+AN57</f>
        <v>0</v>
      </c>
      <c r="AT57" s="93">
        <f>G57/(100-AU57)*100</f>
        <v>0</v>
      </c>
      <c r="AU57" s="93">
        <v>0</v>
      </c>
      <c r="AV57" s="93">
        <f>L57</f>
        <v>0</v>
      </c>
    </row>
    <row r="58" spans="1:48" ht="12.75">
      <c r="A58" s="69"/>
      <c r="B58" s="70"/>
      <c r="C58" s="70" t="s">
        <v>63</v>
      </c>
      <c r="D58" s="163" t="s">
        <v>117</v>
      </c>
      <c r="E58" s="164"/>
      <c r="F58" s="164"/>
      <c r="G58" s="164"/>
      <c r="H58" s="71">
        <f>SUM(H59:H60)</f>
        <v>0</v>
      </c>
      <c r="I58" s="71">
        <f>SUM(I59:I60)</f>
        <v>0</v>
      </c>
      <c r="J58" s="71">
        <f>H58+I58</f>
        <v>0</v>
      </c>
      <c r="K58" s="72"/>
      <c r="L58" s="71">
        <f>SUM(L59:L60)</f>
        <v>0</v>
      </c>
      <c r="M58" s="72"/>
      <c r="P58" s="29"/>
      <c r="R58" s="29"/>
      <c r="S58" s="29"/>
      <c r="T58" s="29"/>
      <c r="U58" s="29"/>
      <c r="V58" s="29"/>
      <c r="W58" s="29"/>
      <c r="X58" s="29"/>
      <c r="Y58" s="21"/>
      <c r="Z58" s="13"/>
      <c r="AA58" s="13"/>
      <c r="AB58" s="13"/>
      <c r="AD58" s="29"/>
      <c r="AE58" s="29"/>
      <c r="AF58" s="29"/>
      <c r="AG58" s="24"/>
      <c r="AM58" s="29"/>
      <c r="AN58" s="29"/>
      <c r="AO58" s="30"/>
      <c r="AP58" s="30"/>
      <c r="AQ58" s="21"/>
      <c r="AS58" s="29"/>
      <c r="AT58" s="29"/>
      <c r="AU58" s="29"/>
      <c r="AV58" s="29"/>
    </row>
    <row r="59" spans="1:48" ht="12.75">
      <c r="A59" s="3" t="s">
        <v>40</v>
      </c>
      <c r="B59" s="3"/>
      <c r="C59" s="3" t="s">
        <v>70</v>
      </c>
      <c r="D59" s="3" t="s">
        <v>121</v>
      </c>
      <c r="E59" s="3" t="s">
        <v>160</v>
      </c>
      <c r="F59" s="13">
        <v>20</v>
      </c>
      <c r="G59" s="99">
        <v>0</v>
      </c>
      <c r="H59" s="13">
        <f>F59*AE59</f>
        <v>0</v>
      </c>
      <c r="I59" s="13">
        <f>J59-H59</f>
        <v>0</v>
      </c>
      <c r="J59" s="13">
        <f>F59*G59</f>
        <v>0</v>
      </c>
      <c r="K59" s="13">
        <v>0</v>
      </c>
      <c r="L59" s="13">
        <f>F59*K59</f>
        <v>0</v>
      </c>
      <c r="M59" s="24" t="s">
        <v>178</v>
      </c>
      <c r="P59" s="93">
        <f>IF(AG59="5",J59,0)</f>
        <v>0</v>
      </c>
      <c r="Q59" s="94"/>
      <c r="R59" s="93">
        <f>IF(AG59="1",H59,0)</f>
        <v>0</v>
      </c>
      <c r="S59" s="93">
        <f>IF(AG59="1",I59,0)</f>
        <v>0</v>
      </c>
      <c r="T59" s="93">
        <f>IF(AG59="7",H59,0)</f>
        <v>0</v>
      </c>
      <c r="U59" s="93">
        <f>IF(AG59="7",I59,0)</f>
        <v>0</v>
      </c>
      <c r="V59" s="93">
        <f>IF(AG59="2",H59,0)</f>
        <v>0</v>
      </c>
      <c r="W59" s="93">
        <f>IF(AG59="2",I59,0)</f>
        <v>0</v>
      </c>
      <c r="X59" s="93">
        <f>IF(AG59="0",J59,0)</f>
        <v>0</v>
      </c>
      <c r="Y59" s="95"/>
      <c r="Z59" s="96">
        <f>IF(AD59=0,J59,0)</f>
        <v>0</v>
      </c>
      <c r="AA59" s="96">
        <f>IF(AD59=15,J59,0)</f>
        <v>0</v>
      </c>
      <c r="AB59" s="96">
        <f>IF(AD59=21,J59,0)</f>
        <v>0</v>
      </c>
      <c r="AC59" s="94"/>
      <c r="AD59" s="93">
        <v>21</v>
      </c>
      <c r="AE59" s="93">
        <f>G59*0</f>
        <v>0</v>
      </c>
      <c r="AF59" s="93">
        <f>G59*(1-0)</f>
        <v>0</v>
      </c>
      <c r="AG59" s="97" t="s">
        <v>13</v>
      </c>
      <c r="AH59" s="94"/>
      <c r="AI59" s="94"/>
      <c r="AJ59" s="94"/>
      <c r="AK59" s="94"/>
      <c r="AL59" s="94"/>
      <c r="AM59" s="93">
        <f>F59*AE59</f>
        <v>0</v>
      </c>
      <c r="AN59" s="93">
        <f>F59*AF59</f>
        <v>0</v>
      </c>
      <c r="AO59" s="98" t="s">
        <v>190</v>
      </c>
      <c r="AP59" s="98" t="s">
        <v>198</v>
      </c>
      <c r="AQ59" s="95" t="s">
        <v>200</v>
      </c>
      <c r="AR59" s="94"/>
      <c r="AS59" s="93">
        <f>AM59+AN59</f>
        <v>0</v>
      </c>
      <c r="AT59" s="93">
        <f>G59/(100-AU59)*100</f>
        <v>0</v>
      </c>
      <c r="AU59" s="93">
        <v>0</v>
      </c>
      <c r="AV59" s="93">
        <f>L59</f>
        <v>0</v>
      </c>
    </row>
    <row r="60" spans="1:48" ht="12.75">
      <c r="A60" s="3" t="s">
        <v>41</v>
      </c>
      <c r="B60" s="3"/>
      <c r="C60" s="3" t="s">
        <v>71</v>
      </c>
      <c r="D60" s="3" t="s">
        <v>122</v>
      </c>
      <c r="E60" s="3" t="s">
        <v>159</v>
      </c>
      <c r="F60" s="13">
        <v>1.3182</v>
      </c>
      <c r="G60" s="99">
        <v>0</v>
      </c>
      <c r="H60" s="13">
        <f>F60*AE60</f>
        <v>0</v>
      </c>
      <c r="I60" s="13">
        <f>J60-H60</f>
        <v>0</v>
      </c>
      <c r="J60" s="13">
        <f>F60*G60</f>
        <v>0</v>
      </c>
      <c r="K60" s="13">
        <v>0</v>
      </c>
      <c r="L60" s="13">
        <f>F60*K60</f>
        <v>0</v>
      </c>
      <c r="M60" s="24" t="s">
        <v>178</v>
      </c>
      <c r="P60" s="93">
        <f>IF(AG60="5",J60,0)</f>
        <v>0</v>
      </c>
      <c r="Q60" s="94"/>
      <c r="R60" s="93">
        <f>IF(AG60="1",H60,0)</f>
        <v>0</v>
      </c>
      <c r="S60" s="93">
        <f>IF(AG60="1",I60,0)</f>
        <v>0</v>
      </c>
      <c r="T60" s="93">
        <f>IF(AG60="7",H60,0)</f>
        <v>0</v>
      </c>
      <c r="U60" s="93">
        <f>IF(AG60="7",I60,0)</f>
        <v>0</v>
      </c>
      <c r="V60" s="93">
        <f>IF(AG60="2",H60,0)</f>
        <v>0</v>
      </c>
      <c r="W60" s="93">
        <f>IF(AG60="2",I60,0)</f>
        <v>0</v>
      </c>
      <c r="X60" s="93">
        <f>IF(AG60="0",J60,0)</f>
        <v>0</v>
      </c>
      <c r="Y60" s="95"/>
      <c r="Z60" s="96">
        <f>IF(AD60=0,J60,0)</f>
        <v>0</v>
      </c>
      <c r="AA60" s="96">
        <f>IF(AD60=15,J60,0)</f>
        <v>0</v>
      </c>
      <c r="AB60" s="96">
        <f>IF(AD60=21,J60,0)</f>
        <v>0</v>
      </c>
      <c r="AC60" s="94"/>
      <c r="AD60" s="93">
        <v>21</v>
      </c>
      <c r="AE60" s="93">
        <f>G60*0</f>
        <v>0</v>
      </c>
      <c r="AF60" s="93">
        <f>G60*(1-0)</f>
        <v>0</v>
      </c>
      <c r="AG60" s="97" t="s">
        <v>11</v>
      </c>
      <c r="AH60" s="94"/>
      <c r="AI60" s="94"/>
      <c r="AJ60" s="94"/>
      <c r="AK60" s="94"/>
      <c r="AL60" s="94"/>
      <c r="AM60" s="93">
        <f>F60*AE60</f>
        <v>0</v>
      </c>
      <c r="AN60" s="93">
        <f>F60*AF60</f>
        <v>0</v>
      </c>
      <c r="AO60" s="98" t="s">
        <v>190</v>
      </c>
      <c r="AP60" s="98" t="s">
        <v>198</v>
      </c>
      <c r="AQ60" s="95" t="s">
        <v>200</v>
      </c>
      <c r="AR60" s="94"/>
      <c r="AS60" s="93">
        <f>AM60+AN60</f>
        <v>0</v>
      </c>
      <c r="AT60" s="93">
        <f>G60/(100-AU60)*100</f>
        <v>0</v>
      </c>
      <c r="AU60" s="93">
        <v>0</v>
      </c>
      <c r="AV60" s="93">
        <f>L60</f>
        <v>0</v>
      </c>
    </row>
    <row r="61" spans="1:48" ht="12.75">
      <c r="A61" s="69"/>
      <c r="B61" s="70"/>
      <c r="C61" s="70" t="s">
        <v>72</v>
      </c>
      <c r="D61" s="163" t="s">
        <v>123</v>
      </c>
      <c r="E61" s="164"/>
      <c r="F61" s="164"/>
      <c r="G61" s="164"/>
      <c r="H61" s="71">
        <f>SUM(H62:H62)</f>
        <v>0</v>
      </c>
      <c r="I61" s="71">
        <f>SUM(I62:I62)</f>
        <v>0</v>
      </c>
      <c r="J61" s="71">
        <f>H61+I61</f>
        <v>0</v>
      </c>
      <c r="K61" s="72"/>
      <c r="L61" s="71">
        <f>SUM(L62:L62)</f>
        <v>0</v>
      </c>
      <c r="M61" s="72"/>
      <c r="P61" s="29"/>
      <c r="R61" s="29"/>
      <c r="S61" s="29"/>
      <c r="T61" s="29"/>
      <c r="U61" s="29"/>
      <c r="V61" s="29"/>
      <c r="W61" s="29"/>
      <c r="X61" s="29"/>
      <c r="Y61" s="21"/>
      <c r="Z61" s="13"/>
      <c r="AA61" s="13"/>
      <c r="AB61" s="13"/>
      <c r="AD61" s="29"/>
      <c r="AE61" s="29"/>
      <c r="AF61" s="29"/>
      <c r="AG61" s="24"/>
      <c r="AM61" s="29"/>
      <c r="AN61" s="29"/>
      <c r="AO61" s="30"/>
      <c r="AP61" s="30"/>
      <c r="AQ61" s="21"/>
      <c r="AS61" s="29"/>
      <c r="AT61" s="29"/>
      <c r="AU61" s="29"/>
      <c r="AV61" s="29"/>
    </row>
    <row r="62" spans="1:48" ht="12.75">
      <c r="A62" s="3" t="s">
        <v>42</v>
      </c>
      <c r="B62" s="3"/>
      <c r="C62" s="3" t="s">
        <v>81</v>
      </c>
      <c r="D62" s="3" t="s">
        <v>129</v>
      </c>
      <c r="E62" s="3" t="s">
        <v>159</v>
      </c>
      <c r="F62" s="13">
        <v>0.0092</v>
      </c>
      <c r="G62" s="99">
        <v>0</v>
      </c>
      <c r="H62" s="13">
        <f>F62*AE62</f>
        <v>0</v>
      </c>
      <c r="I62" s="13">
        <f>J62-H62</f>
        <v>0</v>
      </c>
      <c r="J62" s="13">
        <f>F62*G62</f>
        <v>0</v>
      </c>
      <c r="K62" s="13">
        <v>0</v>
      </c>
      <c r="L62" s="13">
        <f>F62*K62</f>
        <v>0</v>
      </c>
      <c r="M62" s="24" t="s">
        <v>178</v>
      </c>
      <c r="P62" s="93">
        <f>IF(AG62="5",J62,0)</f>
        <v>0</v>
      </c>
      <c r="Q62" s="94"/>
      <c r="R62" s="93">
        <f>IF(AG62="1",H62,0)</f>
        <v>0</v>
      </c>
      <c r="S62" s="93">
        <f>IF(AG62="1",I62,0)</f>
        <v>0</v>
      </c>
      <c r="T62" s="93">
        <f>IF(AG62="7",H62,0)</f>
        <v>0</v>
      </c>
      <c r="U62" s="93">
        <f>IF(AG62="7",I62,0)</f>
        <v>0</v>
      </c>
      <c r="V62" s="93">
        <f>IF(AG62="2",H62,0)</f>
        <v>0</v>
      </c>
      <c r="W62" s="93">
        <f>IF(AG62="2",I62,0)</f>
        <v>0</v>
      </c>
      <c r="X62" s="93">
        <f>IF(AG62="0",J62,0)</f>
        <v>0</v>
      </c>
      <c r="Y62" s="95"/>
      <c r="Z62" s="96">
        <f>IF(AD62=0,J62,0)</f>
        <v>0</v>
      </c>
      <c r="AA62" s="96">
        <f>IF(AD62=15,J62,0)</f>
        <v>0</v>
      </c>
      <c r="AB62" s="96">
        <f>IF(AD62=21,J62,0)</f>
        <v>0</v>
      </c>
      <c r="AC62" s="94"/>
      <c r="AD62" s="93">
        <v>21</v>
      </c>
      <c r="AE62" s="93">
        <f>G62*0</f>
        <v>0</v>
      </c>
      <c r="AF62" s="93">
        <f>G62*(1-0)</f>
        <v>0</v>
      </c>
      <c r="AG62" s="97" t="s">
        <v>11</v>
      </c>
      <c r="AH62" s="94"/>
      <c r="AI62" s="94"/>
      <c r="AJ62" s="94"/>
      <c r="AK62" s="94"/>
      <c r="AL62" s="94"/>
      <c r="AM62" s="93">
        <f>F62*AE62</f>
        <v>0</v>
      </c>
      <c r="AN62" s="93">
        <f>F62*AF62</f>
        <v>0</v>
      </c>
      <c r="AO62" s="98" t="s">
        <v>191</v>
      </c>
      <c r="AP62" s="98" t="s">
        <v>198</v>
      </c>
      <c r="AQ62" s="95" t="s">
        <v>200</v>
      </c>
      <c r="AR62" s="94"/>
      <c r="AS62" s="93">
        <f>AM62+AN62</f>
        <v>0</v>
      </c>
      <c r="AT62" s="93">
        <f>G62/(100-AU62)*100</f>
        <v>0</v>
      </c>
      <c r="AU62" s="93">
        <v>0</v>
      </c>
      <c r="AV62" s="93">
        <f>L62</f>
        <v>0</v>
      </c>
    </row>
    <row r="63" spans="1:48" ht="12.75">
      <c r="A63" s="69"/>
      <c r="B63" s="70"/>
      <c r="C63" s="70" t="s">
        <v>89</v>
      </c>
      <c r="D63" s="163" t="s">
        <v>133</v>
      </c>
      <c r="E63" s="164"/>
      <c r="F63" s="164"/>
      <c r="G63" s="164"/>
      <c r="H63" s="71">
        <f>SUM(H64:H65)</f>
        <v>0</v>
      </c>
      <c r="I63" s="71">
        <f>SUM(I64:I65)</f>
        <v>0</v>
      </c>
      <c r="J63" s="71">
        <f>H63+I63</f>
        <v>0</v>
      </c>
      <c r="K63" s="72"/>
      <c r="L63" s="71">
        <f>SUM(L64:L65)</f>
        <v>1.7310720000000002</v>
      </c>
      <c r="M63" s="72"/>
      <c r="P63" s="29"/>
      <c r="R63" s="29"/>
      <c r="S63" s="29"/>
      <c r="T63" s="29"/>
      <c r="U63" s="29"/>
      <c r="V63" s="29"/>
      <c r="W63" s="29"/>
      <c r="X63" s="29"/>
      <c r="Y63" s="21"/>
      <c r="Z63" s="13"/>
      <c r="AA63" s="13"/>
      <c r="AB63" s="13"/>
      <c r="AD63" s="29"/>
      <c r="AE63" s="29"/>
      <c r="AF63" s="29"/>
      <c r="AG63" s="24"/>
      <c r="AM63" s="29"/>
      <c r="AN63" s="29"/>
      <c r="AO63" s="30"/>
      <c r="AP63" s="30"/>
      <c r="AQ63" s="21"/>
      <c r="AS63" s="29"/>
      <c r="AT63" s="29"/>
      <c r="AU63" s="29"/>
      <c r="AV63" s="29"/>
    </row>
    <row r="64" spans="1:48" ht="12.75">
      <c r="A64" s="3" t="s">
        <v>43</v>
      </c>
      <c r="B64" s="3"/>
      <c r="C64" s="3" t="s">
        <v>91</v>
      </c>
      <c r="D64" s="3" t="s">
        <v>135</v>
      </c>
      <c r="E64" s="3" t="s">
        <v>158</v>
      </c>
      <c r="F64" s="13">
        <v>64.4</v>
      </c>
      <c r="G64" s="99">
        <v>0</v>
      </c>
      <c r="H64" s="13">
        <f>F64*AE64</f>
        <v>0</v>
      </c>
      <c r="I64" s="13">
        <f>J64-H64</f>
        <v>0</v>
      </c>
      <c r="J64" s="13">
        <f>F64*G64</f>
        <v>0</v>
      </c>
      <c r="K64" s="13">
        <v>0.02688</v>
      </c>
      <c r="L64" s="13">
        <f>F64*K64</f>
        <v>1.7310720000000002</v>
      </c>
      <c r="M64" s="24" t="s">
        <v>178</v>
      </c>
      <c r="P64" s="93">
        <f>IF(AG64="5",J64,0)</f>
        <v>0</v>
      </c>
      <c r="Q64" s="94"/>
      <c r="R64" s="93">
        <f>IF(AG64="1",H64,0)</f>
        <v>0</v>
      </c>
      <c r="S64" s="93">
        <f>IF(AG64="1",I64,0)</f>
        <v>0</v>
      </c>
      <c r="T64" s="93">
        <f>IF(AG64="7",H64,0)</f>
        <v>0</v>
      </c>
      <c r="U64" s="93">
        <f>IF(AG64="7",I64,0)</f>
        <v>0</v>
      </c>
      <c r="V64" s="93">
        <f>IF(AG64="2",H64,0)</f>
        <v>0</v>
      </c>
      <c r="W64" s="93">
        <f>IF(AG64="2",I64,0)</f>
        <v>0</v>
      </c>
      <c r="X64" s="93">
        <f>IF(AG64="0",J64,0)</f>
        <v>0</v>
      </c>
      <c r="Y64" s="95"/>
      <c r="Z64" s="96">
        <f>IF(AD64=0,J64,0)</f>
        <v>0</v>
      </c>
      <c r="AA64" s="96">
        <f>IF(AD64=15,J64,0)</f>
        <v>0</v>
      </c>
      <c r="AB64" s="96">
        <f>IF(AD64=21,J64,0)</f>
        <v>0</v>
      </c>
      <c r="AC64" s="94"/>
      <c r="AD64" s="93">
        <v>21</v>
      </c>
      <c r="AE64" s="93">
        <f>G64*0.832523874488404</f>
        <v>0</v>
      </c>
      <c r="AF64" s="93">
        <f>G64*(1-0.832523874488404)</f>
        <v>0</v>
      </c>
      <c r="AG64" s="97" t="s">
        <v>13</v>
      </c>
      <c r="AH64" s="94"/>
      <c r="AI64" s="94"/>
      <c r="AJ64" s="94"/>
      <c r="AK64" s="94"/>
      <c r="AL64" s="94"/>
      <c r="AM64" s="93">
        <f>F64*AE64</f>
        <v>0</v>
      </c>
      <c r="AN64" s="93">
        <f>F64*AF64</f>
        <v>0</v>
      </c>
      <c r="AO64" s="98" t="s">
        <v>193</v>
      </c>
      <c r="AP64" s="98" t="s">
        <v>199</v>
      </c>
      <c r="AQ64" s="95" t="s">
        <v>200</v>
      </c>
      <c r="AR64" s="94"/>
      <c r="AS64" s="93">
        <f>AM64+AN64</f>
        <v>0</v>
      </c>
      <c r="AT64" s="93">
        <f>G64/(100-AU64)*100</f>
        <v>0</v>
      </c>
      <c r="AU64" s="93">
        <v>0</v>
      </c>
      <c r="AV64" s="93">
        <f>L64</f>
        <v>1.7310720000000002</v>
      </c>
    </row>
    <row r="65" spans="1:48" ht="12.75">
      <c r="A65" s="3" t="s">
        <v>44</v>
      </c>
      <c r="B65" s="3"/>
      <c r="C65" s="3" t="s">
        <v>92</v>
      </c>
      <c r="D65" s="3" t="s">
        <v>136</v>
      </c>
      <c r="E65" s="3" t="s">
        <v>159</v>
      </c>
      <c r="F65" s="13">
        <v>3.0191</v>
      </c>
      <c r="G65" s="99">
        <v>0</v>
      </c>
      <c r="H65" s="13">
        <f>F65*AE65</f>
        <v>0</v>
      </c>
      <c r="I65" s="13">
        <f>J65-H65</f>
        <v>0</v>
      </c>
      <c r="J65" s="13">
        <f>F65*G65</f>
        <v>0</v>
      </c>
      <c r="K65" s="13">
        <v>0</v>
      </c>
      <c r="L65" s="13">
        <f>F65*K65</f>
        <v>0</v>
      </c>
      <c r="M65" s="24" t="s">
        <v>178</v>
      </c>
      <c r="P65" s="93">
        <f>IF(AG65="5",J65,0)</f>
        <v>0</v>
      </c>
      <c r="Q65" s="94"/>
      <c r="R65" s="93">
        <f>IF(AG65="1",H65,0)</f>
        <v>0</v>
      </c>
      <c r="S65" s="93">
        <f>IF(AG65="1",I65,0)</f>
        <v>0</v>
      </c>
      <c r="T65" s="93">
        <f>IF(AG65="7",H65,0)</f>
        <v>0</v>
      </c>
      <c r="U65" s="93">
        <f>IF(AG65="7",I65,0)</f>
        <v>0</v>
      </c>
      <c r="V65" s="93">
        <f>IF(AG65="2",H65,0)</f>
        <v>0</v>
      </c>
      <c r="W65" s="93">
        <f>IF(AG65="2",I65,0)</f>
        <v>0</v>
      </c>
      <c r="X65" s="93">
        <f>IF(AG65="0",J65,0)</f>
        <v>0</v>
      </c>
      <c r="Y65" s="95"/>
      <c r="Z65" s="96">
        <f>IF(AD65=0,J65,0)</f>
        <v>0</v>
      </c>
      <c r="AA65" s="96">
        <f>IF(AD65=15,J65,0)</f>
        <v>0</v>
      </c>
      <c r="AB65" s="96">
        <f>IF(AD65=21,J65,0)</f>
        <v>0</v>
      </c>
      <c r="AC65" s="94"/>
      <c r="AD65" s="93">
        <v>21</v>
      </c>
      <c r="AE65" s="93">
        <f>G65*0</f>
        <v>0</v>
      </c>
      <c r="AF65" s="93">
        <f>G65*(1-0)</f>
        <v>0</v>
      </c>
      <c r="AG65" s="97" t="s">
        <v>11</v>
      </c>
      <c r="AH65" s="94"/>
      <c r="AI65" s="94"/>
      <c r="AJ65" s="94"/>
      <c r="AK65" s="94"/>
      <c r="AL65" s="94"/>
      <c r="AM65" s="93">
        <f>F65*AE65</f>
        <v>0</v>
      </c>
      <c r="AN65" s="93">
        <f>F65*AF65</f>
        <v>0</v>
      </c>
      <c r="AO65" s="98" t="s">
        <v>193</v>
      </c>
      <c r="AP65" s="98" t="s">
        <v>199</v>
      </c>
      <c r="AQ65" s="95" t="s">
        <v>200</v>
      </c>
      <c r="AR65" s="94"/>
      <c r="AS65" s="93">
        <f>AM65+AN65</f>
        <v>0</v>
      </c>
      <c r="AT65" s="93">
        <f>G65/(100-AU65)*100</f>
        <v>0</v>
      </c>
      <c r="AU65" s="93">
        <v>0</v>
      </c>
      <c r="AV65" s="93">
        <f>L65</f>
        <v>0</v>
      </c>
    </row>
    <row r="66" spans="1:48" ht="12.75">
      <c r="A66" s="69"/>
      <c r="B66" s="70"/>
      <c r="C66" s="70" t="s">
        <v>93</v>
      </c>
      <c r="D66" s="163" t="s">
        <v>137</v>
      </c>
      <c r="E66" s="164"/>
      <c r="F66" s="164"/>
      <c r="G66" s="164"/>
      <c r="H66" s="71">
        <f>SUM(H67:H67)</f>
        <v>0</v>
      </c>
      <c r="I66" s="71">
        <f>SUM(I67:I67)</f>
        <v>0</v>
      </c>
      <c r="J66" s="71">
        <f>H66+I66</f>
        <v>0</v>
      </c>
      <c r="K66" s="72"/>
      <c r="L66" s="71">
        <f>SUM(L67:L67)</f>
        <v>0</v>
      </c>
      <c r="M66" s="72"/>
      <c r="P66" s="29"/>
      <c r="R66" s="29"/>
      <c r="S66" s="29"/>
      <c r="T66" s="29"/>
      <c r="U66" s="29"/>
      <c r="V66" s="29"/>
      <c r="W66" s="29"/>
      <c r="X66" s="29"/>
      <c r="Y66" s="21"/>
      <c r="Z66" s="13"/>
      <c r="AA66" s="13"/>
      <c r="AB66" s="13"/>
      <c r="AD66" s="29"/>
      <c r="AE66" s="29"/>
      <c r="AF66" s="29"/>
      <c r="AG66" s="24"/>
      <c r="AM66" s="29"/>
      <c r="AN66" s="29"/>
      <c r="AO66" s="30"/>
      <c r="AP66" s="30"/>
      <c r="AQ66" s="21"/>
      <c r="AS66" s="29"/>
      <c r="AT66" s="29"/>
      <c r="AU66" s="29"/>
      <c r="AV66" s="29"/>
    </row>
    <row r="67" spans="1:48" ht="12.75">
      <c r="A67" s="3" t="s">
        <v>45</v>
      </c>
      <c r="B67" s="3"/>
      <c r="C67" s="3" t="s">
        <v>95</v>
      </c>
      <c r="D67" s="3" t="s">
        <v>139</v>
      </c>
      <c r="E67" s="3" t="s">
        <v>162</v>
      </c>
      <c r="F67" s="13">
        <v>20</v>
      </c>
      <c r="G67" s="99">
        <v>0</v>
      </c>
      <c r="H67" s="13">
        <f>F67*AE67</f>
        <v>0</v>
      </c>
      <c r="I67" s="13">
        <f>J67-H67</f>
        <v>0</v>
      </c>
      <c r="J67" s="13">
        <f>F67*G67</f>
        <v>0</v>
      </c>
      <c r="K67" s="13">
        <v>0</v>
      </c>
      <c r="L67" s="13">
        <f>F67*K67</f>
        <v>0</v>
      </c>
      <c r="M67" s="24" t="s">
        <v>178</v>
      </c>
      <c r="P67" s="93">
        <f>IF(AG67="5",J67,0)</f>
        <v>0</v>
      </c>
      <c r="Q67" s="94"/>
      <c r="R67" s="93">
        <f>IF(AG67="1",H67,0)</f>
        <v>0</v>
      </c>
      <c r="S67" s="93">
        <f>IF(AG67="1",I67,0)</f>
        <v>0</v>
      </c>
      <c r="T67" s="93">
        <f>IF(AG67="7",H67,0)</f>
        <v>0</v>
      </c>
      <c r="U67" s="93">
        <f>IF(AG67="7",I67,0)</f>
        <v>0</v>
      </c>
      <c r="V67" s="93">
        <f>IF(AG67="2",H67,0)</f>
        <v>0</v>
      </c>
      <c r="W67" s="93">
        <f>IF(AG67="2",I67,0)</f>
        <v>0</v>
      </c>
      <c r="X67" s="93">
        <f>IF(AG67="0",J67,0)</f>
        <v>0</v>
      </c>
      <c r="Y67" s="95"/>
      <c r="Z67" s="96">
        <f>IF(AD67=0,J67,0)</f>
        <v>0</v>
      </c>
      <c r="AA67" s="96">
        <f>IF(AD67=15,J67,0)</f>
        <v>0</v>
      </c>
      <c r="AB67" s="96">
        <f>IF(AD67=21,J67,0)</f>
        <v>0</v>
      </c>
      <c r="AC67" s="94"/>
      <c r="AD67" s="93">
        <v>21</v>
      </c>
      <c r="AE67" s="93">
        <f>G67*0</f>
        <v>0</v>
      </c>
      <c r="AF67" s="93">
        <f>G67*(1-0)</f>
        <v>0</v>
      </c>
      <c r="AG67" s="97" t="s">
        <v>7</v>
      </c>
      <c r="AH67" s="94"/>
      <c r="AI67" s="94"/>
      <c r="AJ67" s="94"/>
      <c r="AK67" s="94"/>
      <c r="AL67" s="94"/>
      <c r="AM67" s="93">
        <f>F67*AE67</f>
        <v>0</v>
      </c>
      <c r="AN67" s="93">
        <f>F67*AF67</f>
        <v>0</v>
      </c>
      <c r="AO67" s="98" t="s">
        <v>194</v>
      </c>
      <c r="AP67" s="98" t="s">
        <v>197</v>
      </c>
      <c r="AQ67" s="95" t="s">
        <v>200</v>
      </c>
      <c r="AR67" s="94"/>
      <c r="AS67" s="93">
        <f>AM67+AN67</f>
        <v>0</v>
      </c>
      <c r="AT67" s="93">
        <f>G67/(100-AU67)*100</f>
        <v>0</v>
      </c>
      <c r="AU67" s="93">
        <v>0</v>
      </c>
      <c r="AV67" s="93">
        <f>L67</f>
        <v>0</v>
      </c>
    </row>
    <row r="68" spans="1:48" ht="12.75">
      <c r="A68" s="69"/>
      <c r="B68" s="70"/>
      <c r="C68" s="70" t="s">
        <v>99</v>
      </c>
      <c r="D68" s="163" t="s">
        <v>143</v>
      </c>
      <c r="E68" s="164"/>
      <c r="F68" s="164"/>
      <c r="G68" s="164"/>
      <c r="H68" s="71">
        <f>SUM(H69:H76)</f>
        <v>0</v>
      </c>
      <c r="I68" s="71">
        <f>SUM(I69:I76)</f>
        <v>0</v>
      </c>
      <c r="J68" s="71">
        <f>H68+I68</f>
        <v>0</v>
      </c>
      <c r="K68" s="72"/>
      <c r="L68" s="71">
        <f>SUM(L69:L76)</f>
        <v>0</v>
      </c>
      <c r="M68" s="72"/>
      <c r="P68" s="29"/>
      <c r="R68" s="29"/>
      <c r="S68" s="29"/>
      <c r="T68" s="29"/>
      <c r="U68" s="29"/>
      <c r="V68" s="29"/>
      <c r="W68" s="29"/>
      <c r="X68" s="29"/>
      <c r="Y68" s="21"/>
      <c r="Z68" s="13"/>
      <c r="AA68" s="13"/>
      <c r="AB68" s="13"/>
      <c r="AD68" s="29"/>
      <c r="AE68" s="29"/>
      <c r="AF68" s="29"/>
      <c r="AG68" s="24"/>
      <c r="AM68" s="29"/>
      <c r="AN68" s="29"/>
      <c r="AO68" s="30"/>
      <c r="AP68" s="30"/>
      <c r="AQ68" s="21"/>
      <c r="AS68" s="29"/>
      <c r="AT68" s="29"/>
      <c r="AU68" s="29"/>
      <c r="AV68" s="29"/>
    </row>
    <row r="69" spans="1:48" ht="12.75">
      <c r="A69" s="3" t="s">
        <v>46</v>
      </c>
      <c r="B69" s="3"/>
      <c r="C69" s="3" t="s">
        <v>100</v>
      </c>
      <c r="D69" s="3" t="s">
        <v>144</v>
      </c>
      <c r="E69" s="3" t="s">
        <v>163</v>
      </c>
      <c r="F69" s="13">
        <v>25</v>
      </c>
      <c r="G69" s="99">
        <v>0</v>
      </c>
      <c r="H69" s="13">
        <f aca="true" t="shared" si="60" ref="H69:H76">F69*AE69</f>
        <v>0</v>
      </c>
      <c r="I69" s="13">
        <f aca="true" t="shared" si="61" ref="I69:I76">J69-H69</f>
        <v>0</v>
      </c>
      <c r="J69" s="13">
        <f aca="true" t="shared" si="62" ref="J69:J76">F69*G69</f>
        <v>0</v>
      </c>
      <c r="K69" s="13">
        <v>0</v>
      </c>
      <c r="L69" s="13">
        <f aca="true" t="shared" si="63" ref="L69:L76">F69*K69</f>
        <v>0</v>
      </c>
      <c r="M69" s="24" t="s">
        <v>178</v>
      </c>
      <c r="P69" s="93">
        <f aca="true" t="shared" si="64" ref="P69:P76">IF(AG69="5",J69,0)</f>
        <v>0</v>
      </c>
      <c r="Q69" s="94"/>
      <c r="R69" s="93">
        <f aca="true" t="shared" si="65" ref="R69:R76">IF(AG69="1",H69,0)</f>
        <v>0</v>
      </c>
      <c r="S69" s="93">
        <f aca="true" t="shared" si="66" ref="S69:S76">IF(AG69="1",I69,0)</f>
        <v>0</v>
      </c>
      <c r="T69" s="93">
        <f aca="true" t="shared" si="67" ref="T69:T76">IF(AG69="7",H69,0)</f>
        <v>0</v>
      </c>
      <c r="U69" s="93">
        <f aca="true" t="shared" si="68" ref="U69:U76">IF(AG69="7",I69,0)</f>
        <v>0</v>
      </c>
      <c r="V69" s="93">
        <f aca="true" t="shared" si="69" ref="V69:V76">IF(AG69="2",H69,0)</f>
        <v>0</v>
      </c>
      <c r="W69" s="93">
        <f aca="true" t="shared" si="70" ref="W69:W76">IF(AG69="2",I69,0)</f>
        <v>0</v>
      </c>
      <c r="X69" s="93">
        <f aca="true" t="shared" si="71" ref="X69:X76">IF(AG69="0",J69,0)</f>
        <v>0</v>
      </c>
      <c r="Y69" s="95"/>
      <c r="Z69" s="96">
        <f aca="true" t="shared" si="72" ref="Z69:Z76">IF(AD69=0,J69,0)</f>
        <v>0</v>
      </c>
      <c r="AA69" s="96">
        <f aca="true" t="shared" si="73" ref="AA69:AA76">IF(AD69=15,J69,0)</f>
        <v>0</v>
      </c>
      <c r="AB69" s="96">
        <f aca="true" t="shared" si="74" ref="AB69:AB76">IF(AD69=21,J69,0)</f>
        <v>0</v>
      </c>
      <c r="AC69" s="94"/>
      <c r="AD69" s="93">
        <v>21</v>
      </c>
      <c r="AE69" s="93">
        <f aca="true" t="shared" si="75" ref="AE69:AE76">G69*0</f>
        <v>0</v>
      </c>
      <c r="AF69" s="93">
        <f aca="true" t="shared" si="76" ref="AF69:AF76">G69*(1-0)</f>
        <v>0</v>
      </c>
      <c r="AG69" s="97" t="s">
        <v>11</v>
      </c>
      <c r="AH69" s="94"/>
      <c r="AI69" s="94"/>
      <c r="AJ69" s="94"/>
      <c r="AK69" s="94"/>
      <c r="AL69" s="94"/>
      <c r="AM69" s="93">
        <f aca="true" t="shared" si="77" ref="AM69:AM76">F69*AE69</f>
        <v>0</v>
      </c>
      <c r="AN69" s="93">
        <f aca="true" t="shared" si="78" ref="AN69:AN76">F69*AF69</f>
        <v>0</v>
      </c>
      <c r="AO69" s="98" t="s">
        <v>280</v>
      </c>
      <c r="AP69" s="98" t="s">
        <v>197</v>
      </c>
      <c r="AQ69" s="95" t="s">
        <v>200</v>
      </c>
      <c r="AR69" s="94"/>
      <c r="AS69" s="93">
        <f aca="true" t="shared" si="79" ref="AS69:AS76">AM69+AN69</f>
        <v>0</v>
      </c>
      <c r="AT69" s="93">
        <f aca="true" t="shared" si="80" ref="AT69:AT76">G69/(100-AU69)*100</f>
        <v>0</v>
      </c>
      <c r="AU69" s="93">
        <v>0</v>
      </c>
      <c r="AV69" s="93">
        <f aca="true" t="shared" si="81" ref="AV69:AV76">L69</f>
        <v>0</v>
      </c>
    </row>
    <row r="70" spans="1:48" ht="12.75">
      <c r="A70" s="3" t="s">
        <v>47</v>
      </c>
      <c r="B70" s="3"/>
      <c r="C70" s="3" t="s">
        <v>100</v>
      </c>
      <c r="D70" s="3" t="s">
        <v>145</v>
      </c>
      <c r="E70" s="3" t="s">
        <v>163</v>
      </c>
      <c r="F70" s="13">
        <v>10</v>
      </c>
      <c r="G70" s="99">
        <v>0</v>
      </c>
      <c r="H70" s="13">
        <f t="shared" si="60"/>
        <v>0</v>
      </c>
      <c r="I70" s="13">
        <f t="shared" si="61"/>
        <v>0</v>
      </c>
      <c r="J70" s="13">
        <f t="shared" si="62"/>
        <v>0</v>
      </c>
      <c r="K70" s="13">
        <v>0</v>
      </c>
      <c r="L70" s="13">
        <f t="shared" si="63"/>
        <v>0</v>
      </c>
      <c r="M70" s="24" t="s">
        <v>178</v>
      </c>
      <c r="P70" s="93">
        <f t="shared" si="64"/>
        <v>0</v>
      </c>
      <c r="Q70" s="94"/>
      <c r="R70" s="93">
        <f t="shared" si="65"/>
        <v>0</v>
      </c>
      <c r="S70" s="93">
        <f t="shared" si="66"/>
        <v>0</v>
      </c>
      <c r="T70" s="93">
        <f t="shared" si="67"/>
        <v>0</v>
      </c>
      <c r="U70" s="93">
        <f t="shared" si="68"/>
        <v>0</v>
      </c>
      <c r="V70" s="93">
        <f t="shared" si="69"/>
        <v>0</v>
      </c>
      <c r="W70" s="93">
        <f t="shared" si="70"/>
        <v>0</v>
      </c>
      <c r="X70" s="93">
        <f t="shared" si="71"/>
        <v>0</v>
      </c>
      <c r="Y70" s="95"/>
      <c r="Z70" s="96">
        <f t="shared" si="72"/>
        <v>0</v>
      </c>
      <c r="AA70" s="96">
        <f t="shared" si="73"/>
        <v>0</v>
      </c>
      <c r="AB70" s="96">
        <f t="shared" si="74"/>
        <v>0</v>
      </c>
      <c r="AC70" s="94"/>
      <c r="AD70" s="93">
        <v>21</v>
      </c>
      <c r="AE70" s="93">
        <f t="shared" si="75"/>
        <v>0</v>
      </c>
      <c r="AF70" s="93">
        <f t="shared" si="76"/>
        <v>0</v>
      </c>
      <c r="AG70" s="97" t="s">
        <v>11</v>
      </c>
      <c r="AH70" s="94"/>
      <c r="AI70" s="94"/>
      <c r="AJ70" s="94"/>
      <c r="AK70" s="94"/>
      <c r="AL70" s="94"/>
      <c r="AM70" s="93">
        <f t="shared" si="77"/>
        <v>0</v>
      </c>
      <c r="AN70" s="93">
        <f t="shared" si="78"/>
        <v>0</v>
      </c>
      <c r="AO70" s="98" t="s">
        <v>280</v>
      </c>
      <c r="AP70" s="98" t="s">
        <v>197</v>
      </c>
      <c r="AQ70" s="95" t="s">
        <v>200</v>
      </c>
      <c r="AR70" s="94"/>
      <c r="AS70" s="93">
        <f t="shared" si="79"/>
        <v>0</v>
      </c>
      <c r="AT70" s="93">
        <f t="shared" si="80"/>
        <v>0</v>
      </c>
      <c r="AU70" s="93">
        <v>0</v>
      </c>
      <c r="AV70" s="93">
        <f t="shared" si="81"/>
        <v>0</v>
      </c>
    </row>
    <row r="71" spans="1:48" ht="12.75">
      <c r="A71" s="3" t="s">
        <v>48</v>
      </c>
      <c r="B71" s="3"/>
      <c r="C71" s="3" t="s">
        <v>101</v>
      </c>
      <c r="D71" s="3" t="s">
        <v>146</v>
      </c>
      <c r="E71" s="3" t="s">
        <v>159</v>
      </c>
      <c r="F71" s="13">
        <v>1</v>
      </c>
      <c r="G71" s="99">
        <v>0</v>
      </c>
      <c r="H71" s="13">
        <f t="shared" si="60"/>
        <v>0</v>
      </c>
      <c r="I71" s="13">
        <f t="shared" si="61"/>
        <v>0</v>
      </c>
      <c r="J71" s="13">
        <f t="shared" si="62"/>
        <v>0</v>
      </c>
      <c r="K71" s="13">
        <v>0</v>
      </c>
      <c r="L71" s="13">
        <f t="shared" si="63"/>
        <v>0</v>
      </c>
      <c r="M71" s="24" t="s">
        <v>178</v>
      </c>
      <c r="P71" s="93">
        <f t="shared" si="64"/>
        <v>0</v>
      </c>
      <c r="Q71" s="94"/>
      <c r="R71" s="93">
        <f t="shared" si="65"/>
        <v>0</v>
      </c>
      <c r="S71" s="93">
        <f t="shared" si="66"/>
        <v>0</v>
      </c>
      <c r="T71" s="93">
        <f t="shared" si="67"/>
        <v>0</v>
      </c>
      <c r="U71" s="93">
        <f t="shared" si="68"/>
        <v>0</v>
      </c>
      <c r="V71" s="93">
        <f t="shared" si="69"/>
        <v>0</v>
      </c>
      <c r="W71" s="93">
        <f t="shared" si="70"/>
        <v>0</v>
      </c>
      <c r="X71" s="93">
        <f t="shared" si="71"/>
        <v>0</v>
      </c>
      <c r="Y71" s="95"/>
      <c r="Z71" s="96">
        <f t="shared" si="72"/>
        <v>0</v>
      </c>
      <c r="AA71" s="96">
        <f t="shared" si="73"/>
        <v>0</v>
      </c>
      <c r="AB71" s="96">
        <f t="shared" si="74"/>
        <v>0</v>
      </c>
      <c r="AC71" s="94"/>
      <c r="AD71" s="93">
        <v>21</v>
      </c>
      <c r="AE71" s="93">
        <f t="shared" si="75"/>
        <v>0</v>
      </c>
      <c r="AF71" s="93">
        <f t="shared" si="76"/>
        <v>0</v>
      </c>
      <c r="AG71" s="97" t="s">
        <v>11</v>
      </c>
      <c r="AH71" s="94"/>
      <c r="AI71" s="94"/>
      <c r="AJ71" s="94"/>
      <c r="AK71" s="94"/>
      <c r="AL71" s="94"/>
      <c r="AM71" s="93">
        <f t="shared" si="77"/>
        <v>0</v>
      </c>
      <c r="AN71" s="93">
        <f t="shared" si="78"/>
        <v>0</v>
      </c>
      <c r="AO71" s="98" t="s">
        <v>280</v>
      </c>
      <c r="AP71" s="98" t="s">
        <v>197</v>
      </c>
      <c r="AQ71" s="95" t="s">
        <v>200</v>
      </c>
      <c r="AR71" s="94"/>
      <c r="AS71" s="93">
        <f t="shared" si="79"/>
        <v>0</v>
      </c>
      <c r="AT71" s="93">
        <f t="shared" si="80"/>
        <v>0</v>
      </c>
      <c r="AU71" s="93">
        <v>0</v>
      </c>
      <c r="AV71" s="93">
        <f t="shared" si="81"/>
        <v>0</v>
      </c>
    </row>
    <row r="72" spans="1:48" ht="12.75">
      <c r="A72" s="3" t="s">
        <v>49</v>
      </c>
      <c r="B72" s="3"/>
      <c r="C72" s="3" t="s">
        <v>102</v>
      </c>
      <c r="D72" s="3" t="s">
        <v>147</v>
      </c>
      <c r="E72" s="3" t="s">
        <v>159</v>
      </c>
      <c r="F72" s="13">
        <v>30</v>
      </c>
      <c r="G72" s="99">
        <v>0</v>
      </c>
      <c r="H72" s="13">
        <f t="shared" si="60"/>
        <v>0</v>
      </c>
      <c r="I72" s="13">
        <f t="shared" si="61"/>
        <v>0</v>
      </c>
      <c r="J72" s="13">
        <f t="shared" si="62"/>
        <v>0</v>
      </c>
      <c r="K72" s="13">
        <v>0</v>
      </c>
      <c r="L72" s="13">
        <f t="shared" si="63"/>
        <v>0</v>
      </c>
      <c r="M72" s="24" t="s">
        <v>178</v>
      </c>
      <c r="P72" s="93">
        <f t="shared" si="64"/>
        <v>0</v>
      </c>
      <c r="Q72" s="94"/>
      <c r="R72" s="93">
        <f t="shared" si="65"/>
        <v>0</v>
      </c>
      <c r="S72" s="93">
        <f t="shared" si="66"/>
        <v>0</v>
      </c>
      <c r="T72" s="93">
        <f t="shared" si="67"/>
        <v>0</v>
      </c>
      <c r="U72" s="93">
        <f t="shared" si="68"/>
        <v>0</v>
      </c>
      <c r="V72" s="93">
        <f t="shared" si="69"/>
        <v>0</v>
      </c>
      <c r="W72" s="93">
        <f t="shared" si="70"/>
        <v>0</v>
      </c>
      <c r="X72" s="93">
        <f t="shared" si="71"/>
        <v>0</v>
      </c>
      <c r="Y72" s="95"/>
      <c r="Z72" s="96">
        <f t="shared" si="72"/>
        <v>0</v>
      </c>
      <c r="AA72" s="96">
        <f t="shared" si="73"/>
        <v>0</v>
      </c>
      <c r="AB72" s="96">
        <f t="shared" si="74"/>
        <v>0</v>
      </c>
      <c r="AC72" s="94"/>
      <c r="AD72" s="93">
        <v>21</v>
      </c>
      <c r="AE72" s="93">
        <f t="shared" si="75"/>
        <v>0</v>
      </c>
      <c r="AF72" s="93">
        <f t="shared" si="76"/>
        <v>0</v>
      </c>
      <c r="AG72" s="97" t="s">
        <v>11</v>
      </c>
      <c r="AH72" s="94"/>
      <c r="AI72" s="94"/>
      <c r="AJ72" s="94"/>
      <c r="AK72" s="94"/>
      <c r="AL72" s="94"/>
      <c r="AM72" s="93">
        <f t="shared" si="77"/>
        <v>0</v>
      </c>
      <c r="AN72" s="93">
        <f t="shared" si="78"/>
        <v>0</v>
      </c>
      <c r="AO72" s="98" t="s">
        <v>280</v>
      </c>
      <c r="AP72" s="98" t="s">
        <v>197</v>
      </c>
      <c r="AQ72" s="95" t="s">
        <v>200</v>
      </c>
      <c r="AR72" s="94"/>
      <c r="AS72" s="93">
        <f t="shared" si="79"/>
        <v>0</v>
      </c>
      <c r="AT72" s="93">
        <f t="shared" si="80"/>
        <v>0</v>
      </c>
      <c r="AU72" s="93">
        <v>0</v>
      </c>
      <c r="AV72" s="93">
        <f t="shared" si="81"/>
        <v>0</v>
      </c>
    </row>
    <row r="73" spans="1:48" ht="12.75">
      <c r="A73" s="3" t="s">
        <v>50</v>
      </c>
      <c r="B73" s="3"/>
      <c r="C73" s="3" t="s">
        <v>103</v>
      </c>
      <c r="D73" s="3" t="s">
        <v>148</v>
      </c>
      <c r="E73" s="3" t="s">
        <v>159</v>
      </c>
      <c r="F73" s="13">
        <v>1</v>
      </c>
      <c r="G73" s="99">
        <v>0</v>
      </c>
      <c r="H73" s="13">
        <f t="shared" si="60"/>
        <v>0</v>
      </c>
      <c r="I73" s="13">
        <f t="shared" si="61"/>
        <v>0</v>
      </c>
      <c r="J73" s="13">
        <f t="shared" si="62"/>
        <v>0</v>
      </c>
      <c r="K73" s="13">
        <v>0</v>
      </c>
      <c r="L73" s="13">
        <f t="shared" si="63"/>
        <v>0</v>
      </c>
      <c r="M73" s="24" t="s">
        <v>178</v>
      </c>
      <c r="P73" s="93">
        <f t="shared" si="64"/>
        <v>0</v>
      </c>
      <c r="Q73" s="94"/>
      <c r="R73" s="93">
        <f t="shared" si="65"/>
        <v>0</v>
      </c>
      <c r="S73" s="93">
        <f t="shared" si="66"/>
        <v>0</v>
      </c>
      <c r="T73" s="93">
        <f t="shared" si="67"/>
        <v>0</v>
      </c>
      <c r="U73" s="93">
        <f t="shared" si="68"/>
        <v>0</v>
      </c>
      <c r="V73" s="93">
        <f t="shared" si="69"/>
        <v>0</v>
      </c>
      <c r="W73" s="93">
        <f t="shared" si="70"/>
        <v>0</v>
      </c>
      <c r="X73" s="93">
        <f t="shared" si="71"/>
        <v>0</v>
      </c>
      <c r="Y73" s="95"/>
      <c r="Z73" s="96">
        <f t="shared" si="72"/>
        <v>0</v>
      </c>
      <c r="AA73" s="96">
        <f t="shared" si="73"/>
        <v>0</v>
      </c>
      <c r="AB73" s="96">
        <f t="shared" si="74"/>
        <v>0</v>
      </c>
      <c r="AC73" s="94"/>
      <c r="AD73" s="93">
        <v>21</v>
      </c>
      <c r="AE73" s="93">
        <f t="shared" si="75"/>
        <v>0</v>
      </c>
      <c r="AF73" s="93">
        <f t="shared" si="76"/>
        <v>0</v>
      </c>
      <c r="AG73" s="97" t="s">
        <v>11</v>
      </c>
      <c r="AH73" s="94"/>
      <c r="AI73" s="94"/>
      <c r="AJ73" s="94"/>
      <c r="AK73" s="94"/>
      <c r="AL73" s="94"/>
      <c r="AM73" s="93">
        <f t="shared" si="77"/>
        <v>0</v>
      </c>
      <c r="AN73" s="93">
        <f t="shared" si="78"/>
        <v>0</v>
      </c>
      <c r="AO73" s="98" t="s">
        <v>280</v>
      </c>
      <c r="AP73" s="98" t="s">
        <v>197</v>
      </c>
      <c r="AQ73" s="95" t="s">
        <v>200</v>
      </c>
      <c r="AR73" s="94"/>
      <c r="AS73" s="93">
        <f t="shared" si="79"/>
        <v>0</v>
      </c>
      <c r="AT73" s="93">
        <f t="shared" si="80"/>
        <v>0</v>
      </c>
      <c r="AU73" s="93">
        <v>0</v>
      </c>
      <c r="AV73" s="93">
        <f t="shared" si="81"/>
        <v>0</v>
      </c>
    </row>
    <row r="74" spans="1:48" ht="12.75">
      <c r="A74" s="3" t="s">
        <v>51</v>
      </c>
      <c r="B74" s="3"/>
      <c r="C74" s="3" t="s">
        <v>104</v>
      </c>
      <c r="D74" s="3" t="s">
        <v>149</v>
      </c>
      <c r="E74" s="3" t="s">
        <v>159</v>
      </c>
      <c r="F74" s="13">
        <v>1</v>
      </c>
      <c r="G74" s="99">
        <v>0</v>
      </c>
      <c r="H74" s="13">
        <f t="shared" si="60"/>
        <v>0</v>
      </c>
      <c r="I74" s="13">
        <f t="shared" si="61"/>
        <v>0</v>
      </c>
      <c r="J74" s="13">
        <f t="shared" si="62"/>
        <v>0</v>
      </c>
      <c r="K74" s="13">
        <v>0</v>
      </c>
      <c r="L74" s="13">
        <f t="shared" si="63"/>
        <v>0</v>
      </c>
      <c r="M74" s="24" t="s">
        <v>178</v>
      </c>
      <c r="P74" s="93">
        <f t="shared" si="64"/>
        <v>0</v>
      </c>
      <c r="Q74" s="94"/>
      <c r="R74" s="93">
        <f t="shared" si="65"/>
        <v>0</v>
      </c>
      <c r="S74" s="93">
        <f t="shared" si="66"/>
        <v>0</v>
      </c>
      <c r="T74" s="93">
        <f t="shared" si="67"/>
        <v>0</v>
      </c>
      <c r="U74" s="93">
        <f t="shared" si="68"/>
        <v>0</v>
      </c>
      <c r="V74" s="93">
        <f t="shared" si="69"/>
        <v>0</v>
      </c>
      <c r="W74" s="93">
        <f t="shared" si="70"/>
        <v>0</v>
      </c>
      <c r="X74" s="93">
        <f t="shared" si="71"/>
        <v>0</v>
      </c>
      <c r="Y74" s="95"/>
      <c r="Z74" s="96">
        <f t="shared" si="72"/>
        <v>0</v>
      </c>
      <c r="AA74" s="96">
        <f t="shared" si="73"/>
        <v>0</v>
      </c>
      <c r="AB74" s="96">
        <f t="shared" si="74"/>
        <v>0</v>
      </c>
      <c r="AC74" s="94"/>
      <c r="AD74" s="93">
        <v>21</v>
      </c>
      <c r="AE74" s="93">
        <f t="shared" si="75"/>
        <v>0</v>
      </c>
      <c r="AF74" s="93">
        <f t="shared" si="76"/>
        <v>0</v>
      </c>
      <c r="AG74" s="97" t="s">
        <v>11</v>
      </c>
      <c r="AH74" s="94"/>
      <c r="AI74" s="94"/>
      <c r="AJ74" s="94"/>
      <c r="AK74" s="94"/>
      <c r="AL74" s="94"/>
      <c r="AM74" s="93">
        <f t="shared" si="77"/>
        <v>0</v>
      </c>
      <c r="AN74" s="93">
        <f t="shared" si="78"/>
        <v>0</v>
      </c>
      <c r="AO74" s="98" t="s">
        <v>280</v>
      </c>
      <c r="AP74" s="98" t="s">
        <v>197</v>
      </c>
      <c r="AQ74" s="95" t="s">
        <v>200</v>
      </c>
      <c r="AR74" s="94"/>
      <c r="AS74" s="93">
        <f t="shared" si="79"/>
        <v>0</v>
      </c>
      <c r="AT74" s="93">
        <f t="shared" si="80"/>
        <v>0</v>
      </c>
      <c r="AU74" s="93">
        <v>0</v>
      </c>
      <c r="AV74" s="93">
        <f t="shared" si="81"/>
        <v>0</v>
      </c>
    </row>
    <row r="75" spans="1:48" ht="12.75">
      <c r="A75" s="3" t="s">
        <v>52</v>
      </c>
      <c r="B75" s="3"/>
      <c r="C75" s="3" t="s">
        <v>105</v>
      </c>
      <c r="D75" s="3" t="s">
        <v>150</v>
      </c>
      <c r="E75" s="3" t="s">
        <v>159</v>
      </c>
      <c r="F75" s="13">
        <v>1</v>
      </c>
      <c r="G75" s="99">
        <v>0</v>
      </c>
      <c r="H75" s="13">
        <f t="shared" si="60"/>
        <v>0</v>
      </c>
      <c r="I75" s="13">
        <f t="shared" si="61"/>
        <v>0</v>
      </c>
      <c r="J75" s="13">
        <f t="shared" si="62"/>
        <v>0</v>
      </c>
      <c r="K75" s="13">
        <v>0</v>
      </c>
      <c r="L75" s="13">
        <f t="shared" si="63"/>
        <v>0</v>
      </c>
      <c r="M75" s="24" t="s">
        <v>178</v>
      </c>
      <c r="P75" s="93">
        <f t="shared" si="64"/>
        <v>0</v>
      </c>
      <c r="Q75" s="94"/>
      <c r="R75" s="93">
        <f t="shared" si="65"/>
        <v>0</v>
      </c>
      <c r="S75" s="93">
        <f t="shared" si="66"/>
        <v>0</v>
      </c>
      <c r="T75" s="93">
        <f t="shared" si="67"/>
        <v>0</v>
      </c>
      <c r="U75" s="93">
        <f t="shared" si="68"/>
        <v>0</v>
      </c>
      <c r="V75" s="93">
        <f t="shared" si="69"/>
        <v>0</v>
      </c>
      <c r="W75" s="93">
        <f t="shared" si="70"/>
        <v>0</v>
      </c>
      <c r="X75" s="93">
        <f t="shared" si="71"/>
        <v>0</v>
      </c>
      <c r="Y75" s="95"/>
      <c r="Z75" s="96">
        <f t="shared" si="72"/>
        <v>0</v>
      </c>
      <c r="AA75" s="96">
        <f t="shared" si="73"/>
        <v>0</v>
      </c>
      <c r="AB75" s="96">
        <f t="shared" si="74"/>
        <v>0</v>
      </c>
      <c r="AC75" s="94"/>
      <c r="AD75" s="93">
        <v>21</v>
      </c>
      <c r="AE75" s="93">
        <f t="shared" si="75"/>
        <v>0</v>
      </c>
      <c r="AF75" s="93">
        <f t="shared" si="76"/>
        <v>0</v>
      </c>
      <c r="AG75" s="97" t="s">
        <v>11</v>
      </c>
      <c r="AH75" s="94"/>
      <c r="AI75" s="94"/>
      <c r="AJ75" s="94"/>
      <c r="AK75" s="94"/>
      <c r="AL75" s="94"/>
      <c r="AM75" s="93">
        <f t="shared" si="77"/>
        <v>0</v>
      </c>
      <c r="AN75" s="93">
        <f t="shared" si="78"/>
        <v>0</v>
      </c>
      <c r="AO75" s="98" t="s">
        <v>280</v>
      </c>
      <c r="AP75" s="98" t="s">
        <v>197</v>
      </c>
      <c r="AQ75" s="95" t="s">
        <v>200</v>
      </c>
      <c r="AR75" s="94"/>
      <c r="AS75" s="93">
        <f t="shared" si="79"/>
        <v>0</v>
      </c>
      <c r="AT75" s="93">
        <f t="shared" si="80"/>
        <v>0</v>
      </c>
      <c r="AU75" s="93">
        <v>0</v>
      </c>
      <c r="AV75" s="93">
        <f t="shared" si="81"/>
        <v>0</v>
      </c>
    </row>
    <row r="76" spans="1:48" ht="13.5" thickBot="1">
      <c r="A76" s="5" t="s">
        <v>277</v>
      </c>
      <c r="B76" s="5"/>
      <c r="C76" s="5" t="s">
        <v>106</v>
      </c>
      <c r="D76" s="5" t="s">
        <v>151</v>
      </c>
      <c r="E76" s="5" t="s">
        <v>159</v>
      </c>
      <c r="F76" s="15">
        <v>1</v>
      </c>
      <c r="G76" s="101">
        <v>0</v>
      </c>
      <c r="H76" s="15">
        <f t="shared" si="60"/>
        <v>0</v>
      </c>
      <c r="I76" s="15">
        <f t="shared" si="61"/>
        <v>0</v>
      </c>
      <c r="J76" s="15">
        <f t="shared" si="62"/>
        <v>0</v>
      </c>
      <c r="K76" s="15">
        <v>0</v>
      </c>
      <c r="L76" s="15">
        <f t="shared" si="63"/>
        <v>0</v>
      </c>
      <c r="M76" s="26" t="s">
        <v>178</v>
      </c>
      <c r="P76" s="93">
        <f t="shared" si="64"/>
        <v>0</v>
      </c>
      <c r="Q76" s="94"/>
      <c r="R76" s="93">
        <f t="shared" si="65"/>
        <v>0</v>
      </c>
      <c r="S76" s="93">
        <f t="shared" si="66"/>
        <v>0</v>
      </c>
      <c r="T76" s="93">
        <f t="shared" si="67"/>
        <v>0</v>
      </c>
      <c r="U76" s="93">
        <f t="shared" si="68"/>
        <v>0</v>
      </c>
      <c r="V76" s="93">
        <f t="shared" si="69"/>
        <v>0</v>
      </c>
      <c r="W76" s="93">
        <f t="shared" si="70"/>
        <v>0</v>
      </c>
      <c r="X76" s="93">
        <f t="shared" si="71"/>
        <v>0</v>
      </c>
      <c r="Y76" s="95"/>
      <c r="Z76" s="96">
        <f t="shared" si="72"/>
        <v>0</v>
      </c>
      <c r="AA76" s="96">
        <f t="shared" si="73"/>
        <v>0</v>
      </c>
      <c r="AB76" s="96">
        <f t="shared" si="74"/>
        <v>0</v>
      </c>
      <c r="AC76" s="94"/>
      <c r="AD76" s="93">
        <v>21</v>
      </c>
      <c r="AE76" s="93">
        <f t="shared" si="75"/>
        <v>0</v>
      </c>
      <c r="AF76" s="93">
        <f t="shared" si="76"/>
        <v>0</v>
      </c>
      <c r="AG76" s="97" t="s">
        <v>11</v>
      </c>
      <c r="AH76" s="94"/>
      <c r="AI76" s="94"/>
      <c r="AJ76" s="94"/>
      <c r="AK76" s="94"/>
      <c r="AL76" s="94"/>
      <c r="AM76" s="93">
        <f t="shared" si="77"/>
        <v>0</v>
      </c>
      <c r="AN76" s="93">
        <f t="shared" si="78"/>
        <v>0</v>
      </c>
      <c r="AO76" s="98" t="s">
        <v>280</v>
      </c>
      <c r="AP76" s="98" t="s">
        <v>197</v>
      </c>
      <c r="AQ76" s="95" t="s">
        <v>200</v>
      </c>
      <c r="AR76" s="94"/>
      <c r="AS76" s="93">
        <f t="shared" si="79"/>
        <v>0</v>
      </c>
      <c r="AT76" s="93">
        <f t="shared" si="80"/>
        <v>0</v>
      </c>
      <c r="AU76" s="93">
        <v>0</v>
      </c>
      <c r="AV76" s="93">
        <f t="shared" si="81"/>
        <v>0</v>
      </c>
    </row>
    <row r="77" spans="1:48" ht="14.25" customHeight="1" thickBot="1">
      <c r="A77" s="60"/>
      <c r="B77" s="61"/>
      <c r="C77" s="61"/>
      <c r="D77" s="62" t="s">
        <v>274</v>
      </c>
      <c r="E77" s="61"/>
      <c r="F77" s="61"/>
      <c r="G77" s="63"/>
      <c r="H77" s="73"/>
      <c r="I77" s="73"/>
      <c r="J77" s="73">
        <f>SUM(J53+J58+J61+J63+J66+J7+J68)</f>
        <v>0</v>
      </c>
      <c r="K77" s="63"/>
      <c r="L77" s="63"/>
      <c r="M77" s="64"/>
      <c r="P77" s="29"/>
      <c r="R77" s="29"/>
      <c r="S77" s="29"/>
      <c r="T77" s="29"/>
      <c r="U77" s="29"/>
      <c r="V77" s="29"/>
      <c r="W77" s="29"/>
      <c r="X77" s="29"/>
      <c r="Y77" s="21"/>
      <c r="Z77" s="13"/>
      <c r="AA77" s="13"/>
      <c r="AB77" s="13"/>
      <c r="AD77" s="29"/>
      <c r="AE77" s="29"/>
      <c r="AF77" s="29"/>
      <c r="AG77" s="24"/>
      <c r="AM77" s="29"/>
      <c r="AN77" s="29"/>
      <c r="AO77" s="30"/>
      <c r="AP77" s="30"/>
      <c r="AQ77" s="21"/>
      <c r="AS77" s="29"/>
      <c r="AT77" s="29"/>
      <c r="AU77" s="29"/>
      <c r="AV77" s="29"/>
    </row>
    <row r="78" spans="1:48" ht="6" customHeight="1" thickBot="1">
      <c r="A78" s="3"/>
      <c r="B78" s="3"/>
      <c r="C78" s="3"/>
      <c r="D78" s="3"/>
      <c r="E78" s="3"/>
      <c r="F78" s="13"/>
      <c r="G78" s="13"/>
      <c r="H78" s="13"/>
      <c r="I78" s="13"/>
      <c r="J78" s="13"/>
      <c r="K78" s="13"/>
      <c r="L78" s="13"/>
      <c r="M78" s="24"/>
      <c r="P78" s="29"/>
      <c r="R78" s="29"/>
      <c r="S78" s="29"/>
      <c r="T78" s="29"/>
      <c r="U78" s="29"/>
      <c r="V78" s="29"/>
      <c r="W78" s="29"/>
      <c r="X78" s="29"/>
      <c r="Y78" s="21"/>
      <c r="Z78" s="13"/>
      <c r="AA78" s="13"/>
      <c r="AB78" s="13"/>
      <c r="AD78" s="29"/>
      <c r="AE78" s="29"/>
      <c r="AF78" s="29"/>
      <c r="AG78" s="24"/>
      <c r="AM78" s="29"/>
      <c r="AN78" s="29"/>
      <c r="AO78" s="30"/>
      <c r="AP78" s="30"/>
      <c r="AQ78" s="21"/>
      <c r="AS78" s="29"/>
      <c r="AT78" s="29"/>
      <c r="AU78" s="29"/>
      <c r="AV78" s="29"/>
    </row>
    <row r="79" spans="1:13" ht="14.25" customHeight="1" thickBot="1">
      <c r="A79" s="83"/>
      <c r="B79" s="84"/>
      <c r="C79" s="84"/>
      <c r="D79" s="85" t="s">
        <v>275</v>
      </c>
      <c r="E79" s="85"/>
      <c r="F79" s="86"/>
      <c r="G79" s="86"/>
      <c r="H79" s="87"/>
      <c r="I79" s="87"/>
      <c r="J79" s="87">
        <f>SUM(J50+J77)</f>
        <v>0</v>
      </c>
      <c r="K79" s="84"/>
      <c r="L79" s="84"/>
      <c r="M79" s="88"/>
    </row>
    <row r="80" ht="11.25" customHeight="1">
      <c r="A80" s="7"/>
    </row>
    <row r="81" spans="1:13" ht="12.75">
      <c r="A81" s="116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</row>
  </sheetData>
  <sheetProtection password="F5AD" sheet="1"/>
  <mergeCells count="42">
    <mergeCell ref="D63:G63"/>
    <mergeCell ref="D66:G66"/>
    <mergeCell ref="D68:G68"/>
    <mergeCell ref="D13:G13"/>
    <mergeCell ref="A81:M81"/>
    <mergeCell ref="D35:G35"/>
    <mergeCell ref="D43:G43"/>
    <mergeCell ref="D45:G45"/>
    <mergeCell ref="D47:G47"/>
    <mergeCell ref="D53:G53"/>
    <mergeCell ref="D58:G58"/>
    <mergeCell ref="D61:G61"/>
    <mergeCell ref="H10:J10"/>
    <mergeCell ref="K10:L10"/>
    <mergeCell ref="D15:G15"/>
    <mergeCell ref="D17:G17"/>
    <mergeCell ref="D25:G25"/>
    <mergeCell ref="A8:C9"/>
    <mergeCell ref="D8:D9"/>
    <mergeCell ref="E8:F9"/>
    <mergeCell ref="G8:H9"/>
    <mergeCell ref="I8:I9"/>
    <mergeCell ref="J8:M9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I4:I5"/>
    <mergeCell ref="J4:M5"/>
    <mergeCell ref="A1:M1"/>
    <mergeCell ref="A2:C3"/>
    <mergeCell ref="D2:D3"/>
    <mergeCell ref="E2:F3"/>
    <mergeCell ref="G2:H3"/>
    <mergeCell ref="I2:I3"/>
    <mergeCell ref="J2:M3"/>
  </mergeCells>
  <printOptions/>
  <pageMargins left="0.3937007874015748" right="0.3937007874015748" top="0.1968503937007874" bottom="0.1968503937007874" header="0.5118110236220472" footer="0.5118110236220472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JDSTAV</dc:creator>
  <cp:keywords/>
  <dc:description/>
  <cp:lastModifiedBy>JDSTAV</cp:lastModifiedBy>
  <cp:lastPrinted>2018-06-07T10:26:24Z</cp:lastPrinted>
  <dcterms:created xsi:type="dcterms:W3CDTF">2018-06-05T11:55:29Z</dcterms:created>
  <dcterms:modified xsi:type="dcterms:W3CDTF">2018-06-07T10:50:30Z</dcterms:modified>
  <cp:category/>
  <cp:version/>
  <cp:contentType/>
  <cp:contentStatus/>
</cp:coreProperties>
</file>