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pssoa.cz\data$\home_adm\smrkozuz\VŘ\2024\Rekonstrukce kuchyně\Spojené\"/>
    </mc:Choice>
  </mc:AlternateContent>
  <xr:revisionPtr revIDLastSave="0" documentId="13_ncr:1_{FE8FC221-6393-4CC8-9D7D-EB6E6AAC4AC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ozpočet - součet" sheetId="2" r:id="rId1"/>
    <sheet name="Krycí list rozpočtu" sheetId="3" r:id="rId2"/>
    <sheet name="Stavební práce" sheetId="1" r:id="rId3"/>
    <sheet name="elektroinstalace" sheetId="5" r:id="rId4"/>
    <sheet name="vzduchotechnika" sheetId="6" r:id="rId5"/>
    <sheet name="technologie" sheetId="7" r:id="rId6"/>
    <sheet name="info k instalaci technologie" sheetId="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6" l="1"/>
  <c r="J42" i="6"/>
  <c r="J41" i="6"/>
  <c r="J36" i="6"/>
  <c r="J37" i="6"/>
  <c r="J38" i="6"/>
  <c r="J39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13" i="6"/>
  <c r="F43" i="6"/>
  <c r="F42" i="6"/>
  <c r="F41" i="6"/>
  <c r="D28" i="6"/>
  <c r="I9" i="6"/>
  <c r="C28" i="3"/>
  <c r="G55" i="2"/>
  <c r="L156" i="1"/>
  <c r="I22" i="3"/>
  <c r="F22" i="3"/>
  <c r="C22" i="3"/>
  <c r="I23" i="3" s="1"/>
  <c r="I87" i="5"/>
  <c r="H87" i="5"/>
  <c r="I70" i="5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5" i="2"/>
  <c r="F10" i="2"/>
  <c r="C10" i="2"/>
  <c r="F8" i="2"/>
  <c r="C8" i="2"/>
  <c r="F6" i="2"/>
  <c r="C6" i="2"/>
  <c r="F4" i="2"/>
  <c r="J37" i="7"/>
  <c r="H37" i="7"/>
  <c r="K37" i="7" s="1"/>
  <c r="J36" i="7"/>
  <c r="H36" i="7"/>
  <c r="J35" i="7"/>
  <c r="H35" i="7"/>
  <c r="K35" i="7" s="1"/>
  <c r="J34" i="7"/>
  <c r="H34" i="7"/>
  <c r="K34" i="7" s="1"/>
  <c r="J33" i="7"/>
  <c r="H33" i="7"/>
  <c r="K33" i="7" s="1"/>
  <c r="J32" i="7"/>
  <c r="H32" i="7"/>
  <c r="K32" i="7" s="1"/>
  <c r="J31" i="7"/>
  <c r="H31" i="7"/>
  <c r="K31" i="7" s="1"/>
  <c r="J30" i="7"/>
  <c r="H30" i="7"/>
  <c r="K30" i="7" s="1"/>
  <c r="J29" i="7"/>
  <c r="H29" i="7"/>
  <c r="J28" i="7"/>
  <c r="H28" i="7"/>
  <c r="K28" i="7" s="1"/>
  <c r="J27" i="7"/>
  <c r="H27" i="7"/>
  <c r="J26" i="7"/>
  <c r="H26" i="7"/>
  <c r="J25" i="7"/>
  <c r="H25" i="7"/>
  <c r="K25" i="7" s="1"/>
  <c r="J24" i="7"/>
  <c r="H24" i="7"/>
  <c r="K24" i="7" s="1"/>
  <c r="J23" i="7"/>
  <c r="H23" i="7"/>
  <c r="K23" i="7" s="1"/>
  <c r="J22" i="7"/>
  <c r="H22" i="7"/>
  <c r="K22" i="7" s="1"/>
  <c r="J21" i="7"/>
  <c r="H21" i="7"/>
  <c r="J20" i="7"/>
  <c r="H20" i="7"/>
  <c r="K20" i="7" s="1"/>
  <c r="J19" i="7"/>
  <c r="H19" i="7"/>
  <c r="K19" i="7" s="1"/>
  <c r="J18" i="7"/>
  <c r="H18" i="7"/>
  <c r="K18" i="7" s="1"/>
  <c r="J17" i="7"/>
  <c r="H17" i="7"/>
  <c r="K17" i="7" s="1"/>
  <c r="J16" i="7"/>
  <c r="H16" i="7"/>
  <c r="K16" i="7" s="1"/>
  <c r="K15" i="7"/>
  <c r="J15" i="7"/>
  <c r="H15" i="7"/>
  <c r="J14" i="7"/>
  <c r="H14" i="7"/>
  <c r="K14" i="7" s="1"/>
  <c r="J13" i="7"/>
  <c r="H13" i="7"/>
  <c r="K13" i="7" s="1"/>
  <c r="J12" i="7"/>
  <c r="H12" i="7"/>
  <c r="K12" i="7" s="1"/>
  <c r="J11" i="7"/>
  <c r="H11" i="7"/>
  <c r="J10" i="7"/>
  <c r="K10" i="7" s="1"/>
  <c r="H10" i="7"/>
  <c r="J9" i="7"/>
  <c r="H9" i="7"/>
  <c r="K9" i="7" s="1"/>
  <c r="J8" i="7"/>
  <c r="H8" i="7"/>
  <c r="K8" i="7" s="1"/>
  <c r="J7" i="7"/>
  <c r="H7" i="7"/>
  <c r="K7" i="7" s="1"/>
  <c r="J6" i="7"/>
  <c r="H6" i="7"/>
  <c r="K6" i="7" s="1"/>
  <c r="J5" i="7"/>
  <c r="H5" i="7"/>
  <c r="K5" i="7" s="1"/>
  <c r="J4" i="7"/>
  <c r="H4" i="7"/>
  <c r="K4" i="7" s="1"/>
  <c r="J3" i="7"/>
  <c r="H3" i="7"/>
  <c r="K3" i="7" s="1"/>
  <c r="K12" i="6" l="1"/>
  <c r="I8" i="6" s="1"/>
  <c r="G52" i="2"/>
  <c r="K11" i="7"/>
  <c r="K26" i="7"/>
  <c r="K27" i="7"/>
  <c r="K21" i="7"/>
  <c r="K29" i="7"/>
  <c r="K36" i="7"/>
  <c r="K38" i="7"/>
  <c r="H121" i="5"/>
  <c r="H120" i="5"/>
  <c r="I120" i="5" s="1"/>
  <c r="H119" i="5"/>
  <c r="I119" i="5" s="1"/>
  <c r="I118" i="5"/>
  <c r="H118" i="5"/>
  <c r="H117" i="5"/>
  <c r="I117" i="5" s="1"/>
  <c r="H116" i="5"/>
  <c r="I116" i="5" s="1"/>
  <c r="H115" i="5"/>
  <c r="I115" i="5" s="1"/>
  <c r="I114" i="5"/>
  <c r="H114" i="5"/>
  <c r="H113" i="5"/>
  <c r="I113" i="5" s="1"/>
  <c r="H112" i="5"/>
  <c r="I112" i="5" s="1"/>
  <c r="H111" i="5"/>
  <c r="I111" i="5" s="1"/>
  <c r="I110" i="5"/>
  <c r="H110" i="5"/>
  <c r="H109" i="5"/>
  <c r="I109" i="5" s="1"/>
  <c r="H108" i="5"/>
  <c r="I108" i="5" s="1"/>
  <c r="H102" i="5"/>
  <c r="I102" i="5" s="1"/>
  <c r="H101" i="5"/>
  <c r="I101" i="5" s="1"/>
  <c r="I100" i="5"/>
  <c r="H100" i="5"/>
  <c r="I99" i="5"/>
  <c r="H99" i="5"/>
  <c r="H98" i="5"/>
  <c r="I98" i="5" s="1"/>
  <c r="H97" i="5"/>
  <c r="I97" i="5" s="1"/>
  <c r="I94" i="5"/>
  <c r="H94" i="5"/>
  <c r="H93" i="5"/>
  <c r="I93" i="5" s="1"/>
  <c r="H92" i="5"/>
  <c r="I92" i="5" s="1"/>
  <c r="H91" i="5"/>
  <c r="I91" i="5" s="1"/>
  <c r="I90" i="5"/>
  <c r="H90" i="5"/>
  <c r="I89" i="5"/>
  <c r="H89" i="5"/>
  <c r="H88" i="5"/>
  <c r="I88" i="5" s="1"/>
  <c r="H86" i="5"/>
  <c r="I86" i="5" s="1"/>
  <c r="I85" i="5"/>
  <c r="H85" i="5"/>
  <c r="H84" i="5"/>
  <c r="I84" i="5" s="1"/>
  <c r="H83" i="5"/>
  <c r="I83" i="5" s="1"/>
  <c r="H82" i="5"/>
  <c r="I82" i="5" s="1"/>
  <c r="I81" i="5"/>
  <c r="H81" i="5"/>
  <c r="I80" i="5"/>
  <c r="H80" i="5"/>
  <c r="H79" i="5"/>
  <c r="I79" i="5" s="1"/>
  <c r="H78" i="5"/>
  <c r="I78" i="5" s="1"/>
  <c r="I77" i="5"/>
  <c r="H77" i="5"/>
  <c r="H76" i="5"/>
  <c r="I76" i="5" s="1"/>
  <c r="H75" i="5"/>
  <c r="I75" i="5" s="1"/>
  <c r="H74" i="5"/>
  <c r="I74" i="5" s="1"/>
  <c r="I73" i="5"/>
  <c r="H73" i="5"/>
  <c r="I72" i="5"/>
  <c r="H72" i="5"/>
  <c r="H71" i="5"/>
  <c r="I71" i="5" s="1"/>
  <c r="H69" i="5"/>
  <c r="I69" i="5" s="1"/>
  <c r="I68" i="5"/>
  <c r="H68" i="5"/>
  <c r="H67" i="5"/>
  <c r="I67" i="5" s="1"/>
  <c r="I61" i="5"/>
  <c r="H61" i="5"/>
  <c r="H60" i="5"/>
  <c r="I60" i="5" s="1"/>
  <c r="H59" i="5"/>
  <c r="I59" i="5" s="1"/>
  <c r="H58" i="5"/>
  <c r="I58" i="5" s="1"/>
  <c r="I57" i="5"/>
  <c r="H57" i="5"/>
  <c r="H56" i="5"/>
  <c r="I56" i="5" s="1"/>
  <c r="H55" i="5"/>
  <c r="I55" i="5" s="1"/>
  <c r="H54" i="5"/>
  <c r="I54" i="5" s="1"/>
  <c r="I63" i="5" s="1"/>
  <c r="H48" i="5"/>
  <c r="I48" i="5" s="1"/>
  <c r="I47" i="5"/>
  <c r="H47" i="5"/>
  <c r="I46" i="5"/>
  <c r="H46" i="5"/>
  <c r="H45" i="5"/>
  <c r="I45" i="5" s="1"/>
  <c r="H44" i="5"/>
  <c r="I44" i="5" s="1"/>
  <c r="I43" i="5"/>
  <c r="H43" i="5"/>
  <c r="H42" i="5"/>
  <c r="I42" i="5" s="1"/>
  <c r="H41" i="5"/>
  <c r="I41" i="5" s="1"/>
  <c r="H40" i="5"/>
  <c r="I40" i="5" s="1"/>
  <c r="H34" i="5"/>
  <c r="I34" i="5" s="1"/>
  <c r="H33" i="5"/>
  <c r="I33" i="5" s="1"/>
  <c r="I32" i="5"/>
  <c r="H32" i="5"/>
  <c r="H31" i="5"/>
  <c r="I31" i="5" s="1"/>
  <c r="H30" i="5"/>
  <c r="I30" i="5" s="1"/>
  <c r="H29" i="5"/>
  <c r="I29" i="5" s="1"/>
  <c r="I28" i="5"/>
  <c r="H28" i="5"/>
  <c r="H27" i="5"/>
  <c r="I27" i="5" s="1"/>
  <c r="H26" i="5"/>
  <c r="I26" i="5" s="1"/>
  <c r="H25" i="5"/>
  <c r="I25" i="5" s="1"/>
  <c r="I24" i="5"/>
  <c r="H24" i="5"/>
  <c r="H23" i="5"/>
  <c r="I23" i="5" s="1"/>
  <c r="H22" i="5"/>
  <c r="I22" i="5" s="1"/>
  <c r="H21" i="5"/>
  <c r="I21" i="5" s="1"/>
  <c r="I20" i="5"/>
  <c r="H20" i="5"/>
  <c r="H19" i="5"/>
  <c r="I19" i="5" s="1"/>
  <c r="H18" i="5"/>
  <c r="I18" i="5" s="1"/>
  <c r="H17" i="5"/>
  <c r="I17" i="5" s="1"/>
  <c r="I16" i="5"/>
  <c r="H16" i="5"/>
  <c r="H15" i="5"/>
  <c r="I15" i="5" s="1"/>
  <c r="H14" i="5"/>
  <c r="I14" i="5" s="1"/>
  <c r="H9" i="5"/>
  <c r="I9" i="5" s="1"/>
  <c r="H8" i="5"/>
  <c r="I8" i="5" s="1"/>
  <c r="I7" i="5"/>
  <c r="H7" i="5"/>
  <c r="I6" i="5"/>
  <c r="H6" i="5"/>
  <c r="I49" i="5" l="1"/>
  <c r="I122" i="5"/>
  <c r="I124" i="5" s="1"/>
  <c r="I11" i="5"/>
  <c r="I36" i="5"/>
  <c r="I104" i="5"/>
  <c r="I125" i="5" l="1"/>
  <c r="I126" i="5" s="1"/>
  <c r="F10" i="3" l="1"/>
  <c r="C10" i="3"/>
  <c r="F8" i="3"/>
  <c r="C8" i="3"/>
  <c r="F6" i="3"/>
  <c r="C6" i="3"/>
  <c r="F4" i="3"/>
  <c r="AS1" i="1"/>
  <c r="AT1" i="1"/>
  <c r="AU1" i="1"/>
  <c r="L5" i="1"/>
  <c r="AH5" i="1"/>
  <c r="AO5" i="1"/>
  <c r="BH5" i="1" s="1"/>
  <c r="AB5" i="1" s="1"/>
  <c r="AP5" i="1"/>
  <c r="K5" i="1" s="1"/>
  <c r="K4" i="1" s="1"/>
  <c r="BD5" i="1"/>
  <c r="BF5" i="1"/>
  <c r="BJ5" i="1"/>
  <c r="Z5" i="1"/>
  <c r="L7" i="1"/>
  <c r="L6" i="1" s="1"/>
  <c r="Z7" i="1"/>
  <c r="AE7" i="1"/>
  <c r="AJ7" i="1"/>
  <c r="AS6" i="1" s="1"/>
  <c r="AK7" i="1"/>
  <c r="AT6" i="1" s="1"/>
  <c r="AL7" i="1"/>
  <c r="AU6" i="1" s="1"/>
  <c r="AO7" i="1"/>
  <c r="J7" i="1" s="1"/>
  <c r="J6" i="1" s="1"/>
  <c r="AP7" i="1"/>
  <c r="BI7" i="1" s="1"/>
  <c r="BD7" i="1"/>
  <c r="BF7" i="1"/>
  <c r="BH7" i="1"/>
  <c r="AB7" i="1" s="1"/>
  <c r="BJ7" i="1"/>
  <c r="AH7" i="1"/>
  <c r="L10" i="1"/>
  <c r="AL10" i="1" s="1"/>
  <c r="AO10" i="1"/>
  <c r="AP10" i="1"/>
  <c r="BI10" i="1" s="1"/>
  <c r="AC10" i="1" s="1"/>
  <c r="BD10" i="1"/>
  <c r="BF10" i="1"/>
  <c r="BH10" i="1"/>
  <c r="BJ10" i="1"/>
  <c r="L11" i="1"/>
  <c r="AL11" i="1" s="1"/>
  <c r="Z11" i="1"/>
  <c r="AG11" i="1"/>
  <c r="AJ11" i="1"/>
  <c r="AK11" i="1"/>
  <c r="AO11" i="1"/>
  <c r="J11" i="1" s="1"/>
  <c r="AP11" i="1"/>
  <c r="BI11" i="1" s="1"/>
  <c r="AC11" i="1" s="1"/>
  <c r="AW11" i="1"/>
  <c r="BD11" i="1"/>
  <c r="BF11" i="1"/>
  <c r="AE11" i="1"/>
  <c r="BJ11" i="1"/>
  <c r="AH11" i="1"/>
  <c r="L12" i="1"/>
  <c r="AH12" i="1"/>
  <c r="AO12" i="1"/>
  <c r="BH12" i="1" s="1"/>
  <c r="AB12" i="1" s="1"/>
  <c r="AP12" i="1"/>
  <c r="BI12" i="1" s="1"/>
  <c r="AC12" i="1" s="1"/>
  <c r="BD12" i="1"/>
  <c r="BF12" i="1"/>
  <c r="BJ12" i="1"/>
  <c r="Z12" i="1"/>
  <c r="L15" i="1"/>
  <c r="AL15" i="1" s="1"/>
  <c r="Z15" i="1"/>
  <c r="AE15" i="1"/>
  <c r="AJ15" i="1"/>
  <c r="AK15" i="1"/>
  <c r="AO15" i="1"/>
  <c r="J15" i="1" s="1"/>
  <c r="AP15" i="1"/>
  <c r="AX15" i="1" s="1"/>
  <c r="AW15" i="1"/>
  <c r="BD15" i="1"/>
  <c r="BF15" i="1"/>
  <c r="BH15" i="1"/>
  <c r="AB15" i="1" s="1"/>
  <c r="BJ15" i="1"/>
  <c r="AH15" i="1"/>
  <c r="L16" i="1"/>
  <c r="AF16" i="1"/>
  <c r="AK16" i="1"/>
  <c r="AO16" i="1"/>
  <c r="AP16" i="1"/>
  <c r="BD16" i="1"/>
  <c r="BF16" i="1"/>
  <c r="AD16" i="1"/>
  <c r="BJ16" i="1"/>
  <c r="Z16" i="1"/>
  <c r="L17" i="1"/>
  <c r="AL17" i="1" s="1"/>
  <c r="Z17" i="1"/>
  <c r="AJ17" i="1"/>
  <c r="AK17" i="1"/>
  <c r="AO17" i="1"/>
  <c r="AP17" i="1"/>
  <c r="BD17" i="1"/>
  <c r="BF17" i="1"/>
  <c r="BJ17" i="1"/>
  <c r="AH17" i="1"/>
  <c r="L18" i="1"/>
  <c r="AL18" i="1" s="1"/>
  <c r="AF18" i="1"/>
  <c r="AK18" i="1"/>
  <c r="AO18" i="1"/>
  <c r="AW18" i="1" s="1"/>
  <c r="AP18" i="1"/>
  <c r="BI18" i="1" s="1"/>
  <c r="K18" i="1"/>
  <c r="BD18" i="1"/>
  <c r="BF18" i="1"/>
  <c r="AD18" i="1"/>
  <c r="BJ18" i="1"/>
  <c r="Z18" i="1"/>
  <c r="L20" i="1"/>
  <c r="AO20" i="1"/>
  <c r="AP20" i="1"/>
  <c r="AX20" i="1" s="1"/>
  <c r="BD20" i="1"/>
  <c r="BF20" i="1"/>
  <c r="BH20" i="1"/>
  <c r="AB20" i="1" s="1"/>
  <c r="BJ20" i="1"/>
  <c r="L21" i="1"/>
  <c r="AL21" i="1" s="1"/>
  <c r="Z21" i="1"/>
  <c r="AG21" i="1"/>
  <c r="AJ21" i="1"/>
  <c r="AK21" i="1"/>
  <c r="AO21" i="1"/>
  <c r="J21" i="1"/>
  <c r="AP21" i="1"/>
  <c r="AX21" i="1" s="1"/>
  <c r="AW21" i="1"/>
  <c r="BD21" i="1"/>
  <c r="BF21" i="1"/>
  <c r="BH21" i="1"/>
  <c r="AB21" i="1" s="1"/>
  <c r="AE21" i="1"/>
  <c r="BJ21" i="1"/>
  <c r="AH21" i="1"/>
  <c r="L22" i="1"/>
  <c r="AH22" i="1"/>
  <c r="AO22" i="1"/>
  <c r="BH22" i="1" s="1"/>
  <c r="AP22" i="1"/>
  <c r="AX22" i="1" s="1"/>
  <c r="BD22" i="1"/>
  <c r="BF22" i="1"/>
  <c r="BJ22" i="1"/>
  <c r="Z22" i="1"/>
  <c r="L25" i="1"/>
  <c r="AL25" i="1" s="1"/>
  <c r="Z25" i="1"/>
  <c r="AE25" i="1"/>
  <c r="AJ25" i="1"/>
  <c r="AK25" i="1"/>
  <c r="AO25" i="1"/>
  <c r="AP25" i="1"/>
  <c r="AX25" i="1" s="1"/>
  <c r="BD25" i="1"/>
  <c r="BF25" i="1"/>
  <c r="BJ25" i="1"/>
  <c r="AH25" i="1"/>
  <c r="L27" i="1"/>
  <c r="AF27" i="1"/>
  <c r="AK27" i="1"/>
  <c r="AO27" i="1"/>
  <c r="AW27" i="1" s="1"/>
  <c r="AP27" i="1"/>
  <c r="BD27" i="1"/>
  <c r="BF27" i="1"/>
  <c r="AD27" i="1"/>
  <c r="BJ27" i="1"/>
  <c r="Z27" i="1"/>
  <c r="L28" i="1"/>
  <c r="AL28" i="1" s="1"/>
  <c r="Z28" i="1"/>
  <c r="AJ28" i="1"/>
  <c r="AK28" i="1"/>
  <c r="AO28" i="1"/>
  <c r="J28" i="1" s="1"/>
  <c r="AP28" i="1"/>
  <c r="BI28" i="1" s="1"/>
  <c r="BD28" i="1"/>
  <c r="BF28" i="1"/>
  <c r="BJ28" i="1"/>
  <c r="AH28" i="1"/>
  <c r="L30" i="1"/>
  <c r="AF30" i="1"/>
  <c r="AK30" i="1"/>
  <c r="AO30" i="1"/>
  <c r="AW30" i="1" s="1"/>
  <c r="AP30" i="1"/>
  <c r="AX30" i="1" s="1"/>
  <c r="BD30" i="1"/>
  <c r="BF30" i="1"/>
  <c r="AD30" i="1"/>
  <c r="BJ30" i="1"/>
  <c r="Z30" i="1"/>
  <c r="L32" i="1"/>
  <c r="AL32" i="1" s="1"/>
  <c r="Z32" i="1"/>
  <c r="AE32" i="1"/>
  <c r="AJ32" i="1"/>
  <c r="AK32" i="1"/>
  <c r="AT24" i="1" s="1"/>
  <c r="AO32" i="1"/>
  <c r="J32" i="1" s="1"/>
  <c r="AP32" i="1"/>
  <c r="AX32" i="1" s="1"/>
  <c r="BD32" i="1"/>
  <c r="BF32" i="1"/>
  <c r="BJ32" i="1"/>
  <c r="AH32" i="1"/>
  <c r="L33" i="1"/>
  <c r="AF33" i="1"/>
  <c r="AK33" i="1"/>
  <c r="AO33" i="1"/>
  <c r="J33" i="1" s="1"/>
  <c r="AW33" i="1"/>
  <c r="AP33" i="1"/>
  <c r="K33" i="1" s="1"/>
  <c r="AX33" i="1"/>
  <c r="BD33" i="1"/>
  <c r="BF33" i="1"/>
  <c r="AD33" i="1"/>
  <c r="BJ33" i="1"/>
  <c r="Z33" i="1"/>
  <c r="L34" i="1"/>
  <c r="AL34" i="1" s="1"/>
  <c r="Z34" i="1"/>
  <c r="AJ34" i="1"/>
  <c r="AK34" i="1"/>
  <c r="AO34" i="1"/>
  <c r="BH34" i="1" s="1"/>
  <c r="AB34" i="1" s="1"/>
  <c r="AP34" i="1"/>
  <c r="BI34" i="1" s="1"/>
  <c r="AC34" i="1" s="1"/>
  <c r="BD34" i="1"/>
  <c r="BF34" i="1"/>
  <c r="BJ34" i="1"/>
  <c r="AH34" i="1"/>
  <c r="L35" i="1"/>
  <c r="AF35" i="1"/>
  <c r="AK35" i="1"/>
  <c r="AO35" i="1"/>
  <c r="AW35" i="1" s="1"/>
  <c r="AP35" i="1"/>
  <c r="BI35" i="1" s="1"/>
  <c r="AC35" i="1" s="1"/>
  <c r="BD35" i="1"/>
  <c r="BF35" i="1"/>
  <c r="AD35" i="1"/>
  <c r="BJ35" i="1"/>
  <c r="Z35" i="1"/>
  <c r="L37" i="1"/>
  <c r="AL37" i="1" s="1"/>
  <c r="Z37" i="1"/>
  <c r="AG37" i="1"/>
  <c r="AJ37" i="1"/>
  <c r="AK37" i="1"/>
  <c r="AO37" i="1"/>
  <c r="BH37" i="1" s="1"/>
  <c r="AB37" i="1" s="1"/>
  <c r="AP37" i="1"/>
  <c r="AX37" i="1" s="1"/>
  <c r="BD37" i="1"/>
  <c r="BF37" i="1"/>
  <c r="AE37" i="1"/>
  <c r="BJ37" i="1"/>
  <c r="AH37" i="1"/>
  <c r="L38" i="1"/>
  <c r="AL38" i="1" s="1"/>
  <c r="AH38" i="1"/>
  <c r="AO38" i="1"/>
  <c r="BH38" i="1" s="1"/>
  <c r="AP38" i="1"/>
  <c r="BI38" i="1" s="1"/>
  <c r="AC38" i="1" s="1"/>
  <c r="BD38" i="1"/>
  <c r="BF38" i="1"/>
  <c r="BJ38" i="1"/>
  <c r="Z38" i="1"/>
  <c r="L39" i="1"/>
  <c r="Z39" i="1"/>
  <c r="AG39" i="1"/>
  <c r="AJ39" i="1"/>
  <c r="AK39" i="1"/>
  <c r="AL39" i="1"/>
  <c r="AO39" i="1"/>
  <c r="AP39" i="1"/>
  <c r="BI39" i="1" s="1"/>
  <c r="AC39" i="1" s="1"/>
  <c r="AX39" i="1"/>
  <c r="BD39" i="1"/>
  <c r="BF39" i="1"/>
  <c r="AE39" i="1"/>
  <c r="BJ39" i="1"/>
  <c r="AH39" i="1"/>
  <c r="L40" i="1"/>
  <c r="AO40" i="1"/>
  <c r="BH40" i="1" s="1"/>
  <c r="AB40" i="1" s="1"/>
  <c r="AP40" i="1"/>
  <c r="BI40" i="1" s="1"/>
  <c r="AC40" i="1" s="1"/>
  <c r="BD40" i="1"/>
  <c r="BF40" i="1"/>
  <c r="BJ40" i="1"/>
  <c r="L41" i="1"/>
  <c r="AF41" i="1"/>
  <c r="AK41" i="1"/>
  <c r="AO41" i="1"/>
  <c r="BH41" i="1" s="1"/>
  <c r="AB41" i="1" s="1"/>
  <c r="AP41" i="1"/>
  <c r="AX41" i="1" s="1"/>
  <c r="BD41" i="1"/>
  <c r="BF41" i="1"/>
  <c r="AD41" i="1"/>
  <c r="BI41" i="1"/>
  <c r="AC41" i="1" s="1"/>
  <c r="BJ41" i="1"/>
  <c r="Z41" i="1"/>
  <c r="L42" i="1"/>
  <c r="Z42" i="1"/>
  <c r="AE42" i="1"/>
  <c r="AJ42" i="1"/>
  <c r="AK42" i="1"/>
  <c r="AL42" i="1"/>
  <c r="AO42" i="1"/>
  <c r="AP42" i="1"/>
  <c r="BD42" i="1"/>
  <c r="BF42" i="1"/>
  <c r="BJ42" i="1"/>
  <c r="AH42" i="1"/>
  <c r="L43" i="1"/>
  <c r="AF43" i="1"/>
  <c r="AK43" i="1"/>
  <c r="AO43" i="1"/>
  <c r="AP43" i="1"/>
  <c r="BI43" i="1" s="1"/>
  <c r="AC43" i="1" s="1"/>
  <c r="AX43" i="1"/>
  <c r="BD43" i="1"/>
  <c r="BF43" i="1"/>
  <c r="AD43" i="1"/>
  <c r="BJ43" i="1"/>
  <c r="Z43" i="1"/>
  <c r="L45" i="1"/>
  <c r="AL45" i="1" s="1"/>
  <c r="AU44" i="1" s="1"/>
  <c r="Z45" i="1"/>
  <c r="AG45" i="1"/>
  <c r="AJ45" i="1"/>
  <c r="AS44" i="1"/>
  <c r="AK45" i="1"/>
  <c r="AT44" i="1"/>
  <c r="AO45" i="1"/>
  <c r="J45" i="1" s="1"/>
  <c r="J44" i="1" s="1"/>
  <c r="AP45" i="1"/>
  <c r="BI45" i="1" s="1"/>
  <c r="AC45" i="1" s="1"/>
  <c r="BD45" i="1"/>
  <c r="BF45" i="1"/>
  <c r="AE45" i="1"/>
  <c r="BJ45" i="1"/>
  <c r="AH45" i="1"/>
  <c r="L48" i="1"/>
  <c r="AF48" i="1"/>
  <c r="AK48" i="1"/>
  <c r="AT47" i="1" s="1"/>
  <c r="AO48" i="1"/>
  <c r="AW48" i="1" s="1"/>
  <c r="AP48" i="1"/>
  <c r="AX48" i="1" s="1"/>
  <c r="BD48" i="1"/>
  <c r="BF48" i="1"/>
  <c r="AD48" i="1"/>
  <c r="BJ48" i="1"/>
  <c r="Z48" i="1"/>
  <c r="L49" i="1"/>
  <c r="Z49" i="1"/>
  <c r="AE49" i="1"/>
  <c r="AJ49" i="1"/>
  <c r="AK49" i="1"/>
  <c r="AO49" i="1"/>
  <c r="J49" i="1" s="1"/>
  <c r="AP49" i="1"/>
  <c r="AX49" i="1" s="1"/>
  <c r="BD49" i="1"/>
  <c r="BF49" i="1"/>
  <c r="BI49" i="1"/>
  <c r="AC49" i="1" s="1"/>
  <c r="BJ49" i="1"/>
  <c r="AH49" i="1"/>
  <c r="L51" i="1"/>
  <c r="AL51" i="1" s="1"/>
  <c r="AD51" i="1"/>
  <c r="AO51" i="1"/>
  <c r="AP51" i="1"/>
  <c r="K51" i="1" s="1"/>
  <c r="BD51" i="1"/>
  <c r="BF51" i="1"/>
  <c r="BJ51" i="1"/>
  <c r="L52" i="1"/>
  <c r="AL52" i="1" s="1"/>
  <c r="Z52" i="1"/>
  <c r="AG52" i="1"/>
  <c r="AJ52" i="1"/>
  <c r="AK52" i="1"/>
  <c r="AO52" i="1"/>
  <c r="BH52" i="1" s="1"/>
  <c r="AB52" i="1" s="1"/>
  <c r="J52" i="1"/>
  <c r="AP52" i="1"/>
  <c r="BI52" i="1" s="1"/>
  <c r="AC52" i="1" s="1"/>
  <c r="BD52" i="1"/>
  <c r="BF52" i="1"/>
  <c r="AE52" i="1"/>
  <c r="BJ52" i="1"/>
  <c r="AH52" i="1"/>
  <c r="L54" i="1"/>
  <c r="AF54" i="1"/>
  <c r="AK54" i="1"/>
  <c r="AO54" i="1"/>
  <c r="AP54" i="1"/>
  <c r="BI54" i="1" s="1"/>
  <c r="AC54" i="1" s="1"/>
  <c r="BD54" i="1"/>
  <c r="BF54" i="1"/>
  <c r="BH54" i="1"/>
  <c r="AB54" i="1" s="1"/>
  <c r="AD54" i="1"/>
  <c r="BJ54" i="1"/>
  <c r="Z54" i="1"/>
  <c r="L56" i="1"/>
  <c r="AL56" i="1" s="1"/>
  <c r="Z56" i="1"/>
  <c r="AJ56" i="1"/>
  <c r="AK56" i="1"/>
  <c r="AO56" i="1"/>
  <c r="AW56" i="1" s="1"/>
  <c r="AP56" i="1"/>
  <c r="BD56" i="1"/>
  <c r="BF56" i="1"/>
  <c r="BJ56" i="1"/>
  <c r="AH56" i="1"/>
  <c r="L58" i="1"/>
  <c r="AF58" i="1"/>
  <c r="AK58" i="1"/>
  <c r="AO58" i="1"/>
  <c r="AP58" i="1"/>
  <c r="BI58" i="1" s="1"/>
  <c r="AC58" i="1" s="1"/>
  <c r="BD58" i="1"/>
  <c r="BF58" i="1"/>
  <c r="AD58" i="1"/>
  <c r="BJ58" i="1"/>
  <c r="Z58" i="1"/>
  <c r="L60" i="1"/>
  <c r="AL60" i="1" s="1"/>
  <c r="Z60" i="1"/>
  <c r="AE60" i="1"/>
  <c r="AJ60" i="1"/>
  <c r="AK60" i="1"/>
  <c r="AO60" i="1"/>
  <c r="J60" i="1" s="1"/>
  <c r="AP60" i="1"/>
  <c r="AX60" i="1" s="1"/>
  <c r="BD60" i="1"/>
  <c r="BF60" i="1"/>
  <c r="BI60" i="1"/>
  <c r="AC60" i="1" s="1"/>
  <c r="BJ60" i="1"/>
  <c r="AH60" i="1"/>
  <c r="L62" i="1"/>
  <c r="AF62" i="1"/>
  <c r="AK62" i="1"/>
  <c r="AO62" i="1"/>
  <c r="AW62" i="1" s="1"/>
  <c r="AP62" i="1"/>
  <c r="AX62" i="1" s="1"/>
  <c r="BD62" i="1"/>
  <c r="BF62" i="1"/>
  <c r="AD62" i="1"/>
  <c r="BJ62" i="1"/>
  <c r="Z62" i="1"/>
  <c r="L63" i="1"/>
  <c r="AL63" i="1" s="1"/>
  <c r="Z63" i="1"/>
  <c r="AJ63" i="1"/>
  <c r="AK63" i="1"/>
  <c r="AO63" i="1"/>
  <c r="AP63" i="1"/>
  <c r="AX63" i="1" s="1"/>
  <c r="BD63" i="1"/>
  <c r="BF63" i="1"/>
  <c r="BI63" i="1"/>
  <c r="BJ63" i="1"/>
  <c r="AH63" i="1"/>
  <c r="L64" i="1"/>
  <c r="AF64" i="1"/>
  <c r="AK64" i="1"/>
  <c r="AO64" i="1"/>
  <c r="AW64" i="1" s="1"/>
  <c r="AP64" i="1"/>
  <c r="BI64" i="1" s="1"/>
  <c r="AC64" i="1" s="1"/>
  <c r="K64" i="1"/>
  <c r="BD64" i="1"/>
  <c r="BF64" i="1"/>
  <c r="AD64" i="1"/>
  <c r="BJ64" i="1"/>
  <c r="Z64" i="1"/>
  <c r="L65" i="1"/>
  <c r="AL65" i="1" s="1"/>
  <c r="Z65" i="1"/>
  <c r="AE65" i="1"/>
  <c r="AJ65" i="1"/>
  <c r="AK65" i="1"/>
  <c r="AO65" i="1"/>
  <c r="AW65" i="1" s="1"/>
  <c r="AP65" i="1"/>
  <c r="BD65" i="1"/>
  <c r="BF65" i="1"/>
  <c r="BJ65" i="1"/>
  <c r="AH65" i="1"/>
  <c r="L67" i="1"/>
  <c r="AD67" i="1"/>
  <c r="AO67" i="1"/>
  <c r="AP67" i="1"/>
  <c r="BI67" i="1" s="1"/>
  <c r="AC67" i="1" s="1"/>
  <c r="BD67" i="1"/>
  <c r="BF67" i="1"/>
  <c r="BH67" i="1"/>
  <c r="AB67" i="1" s="1"/>
  <c r="BJ67" i="1"/>
  <c r="L68" i="1"/>
  <c r="AL68" i="1" s="1"/>
  <c r="Z68" i="1"/>
  <c r="AG68" i="1"/>
  <c r="AJ68" i="1"/>
  <c r="AK68" i="1"/>
  <c r="AO68" i="1"/>
  <c r="J68" i="1" s="1"/>
  <c r="AP68" i="1"/>
  <c r="BD68" i="1"/>
  <c r="BF68" i="1"/>
  <c r="AE68" i="1"/>
  <c r="BJ68" i="1"/>
  <c r="AH68" i="1"/>
  <c r="L69" i="1"/>
  <c r="AL69" i="1" s="1"/>
  <c r="AH69" i="1"/>
  <c r="AO69" i="1"/>
  <c r="AP69" i="1"/>
  <c r="K69" i="1" s="1"/>
  <c r="BD69" i="1"/>
  <c r="BF69" i="1"/>
  <c r="BJ69" i="1"/>
  <c r="Z69" i="1"/>
  <c r="L70" i="1"/>
  <c r="AL70" i="1" s="1"/>
  <c r="Z70" i="1"/>
  <c r="AG70" i="1"/>
  <c r="AJ70" i="1"/>
  <c r="AK70" i="1"/>
  <c r="AO70" i="1"/>
  <c r="AP70" i="1"/>
  <c r="BI70" i="1" s="1"/>
  <c r="AC70" i="1" s="1"/>
  <c r="BD70" i="1"/>
  <c r="BF70" i="1"/>
  <c r="AE70" i="1"/>
  <c r="BJ70" i="1"/>
  <c r="AH70" i="1"/>
  <c r="L72" i="1"/>
  <c r="AF72" i="1"/>
  <c r="AK72" i="1"/>
  <c r="AO72" i="1"/>
  <c r="AP72" i="1"/>
  <c r="K72" i="1"/>
  <c r="AX72" i="1"/>
  <c r="BD72" i="1"/>
  <c r="BF72" i="1"/>
  <c r="AD72" i="1"/>
  <c r="BI72" i="1"/>
  <c r="AC72" i="1" s="1"/>
  <c r="BJ72" i="1"/>
  <c r="Z72" i="1"/>
  <c r="L74" i="1"/>
  <c r="Z74" i="1"/>
  <c r="AE74" i="1"/>
  <c r="AJ74" i="1"/>
  <c r="AK74" i="1"/>
  <c r="AO74" i="1"/>
  <c r="J74" i="1" s="1"/>
  <c r="AP74" i="1"/>
  <c r="BD74" i="1"/>
  <c r="BF74" i="1"/>
  <c r="BJ74" i="1"/>
  <c r="AH74" i="1"/>
  <c r="L75" i="1"/>
  <c r="AF75" i="1"/>
  <c r="AK75" i="1"/>
  <c r="AO75" i="1"/>
  <c r="J75" i="1" s="1"/>
  <c r="AP75" i="1"/>
  <c r="K75" i="1" s="1"/>
  <c r="AX75" i="1"/>
  <c r="BD75" i="1"/>
  <c r="BF75" i="1"/>
  <c r="AD75" i="1"/>
  <c r="BJ75" i="1"/>
  <c r="Z75" i="1"/>
  <c r="L77" i="1"/>
  <c r="Z77" i="1"/>
  <c r="AJ77" i="1"/>
  <c r="AK77" i="1"/>
  <c r="AL77" i="1"/>
  <c r="AO77" i="1"/>
  <c r="AP77" i="1"/>
  <c r="K77" i="1" s="1"/>
  <c r="BD77" i="1"/>
  <c r="BF77" i="1"/>
  <c r="BJ77" i="1"/>
  <c r="AH77" i="1"/>
  <c r="L79" i="1"/>
  <c r="AF79" i="1"/>
  <c r="AK79" i="1"/>
  <c r="AO79" i="1"/>
  <c r="BH79" i="1" s="1"/>
  <c r="AB79" i="1" s="1"/>
  <c r="AP79" i="1"/>
  <c r="AX79" i="1" s="1"/>
  <c r="BD79" i="1"/>
  <c r="BF79" i="1"/>
  <c r="AD79" i="1"/>
  <c r="BJ79" i="1"/>
  <c r="Z79" i="1"/>
  <c r="L82" i="1"/>
  <c r="AL82" i="1" s="1"/>
  <c r="Z82" i="1"/>
  <c r="AG82" i="1"/>
  <c r="AJ82" i="1"/>
  <c r="AK82" i="1"/>
  <c r="AO82" i="1"/>
  <c r="J82" i="1" s="1"/>
  <c r="AP82" i="1"/>
  <c r="BI82" i="1" s="1"/>
  <c r="AC82" i="1" s="1"/>
  <c r="BD82" i="1"/>
  <c r="BF82" i="1"/>
  <c r="AE82" i="1"/>
  <c r="BJ82" i="1"/>
  <c r="AH82" i="1"/>
  <c r="L84" i="1"/>
  <c r="AH84" i="1"/>
  <c r="AO84" i="1"/>
  <c r="AP84" i="1"/>
  <c r="K84" i="1" s="1"/>
  <c r="BD84" i="1"/>
  <c r="BF84" i="1"/>
  <c r="BJ84" i="1"/>
  <c r="Z84" i="1"/>
  <c r="L86" i="1"/>
  <c r="Z86" i="1"/>
  <c r="AG86" i="1"/>
  <c r="AJ86" i="1"/>
  <c r="AK86" i="1"/>
  <c r="AL86" i="1"/>
  <c r="AO86" i="1"/>
  <c r="AW86" i="1" s="1"/>
  <c r="AV86" i="1" s="1"/>
  <c r="AP86" i="1"/>
  <c r="AX86" i="1" s="1"/>
  <c r="BD86" i="1"/>
  <c r="BF86" i="1"/>
  <c r="AE86" i="1"/>
  <c r="BJ86" i="1"/>
  <c r="AH86" i="1"/>
  <c r="L87" i="1"/>
  <c r="AD87" i="1"/>
  <c r="AO87" i="1"/>
  <c r="BH87" i="1" s="1"/>
  <c r="AP87" i="1"/>
  <c r="AX87" i="1" s="1"/>
  <c r="BD87" i="1"/>
  <c r="BF87" i="1"/>
  <c r="BJ87" i="1"/>
  <c r="L88" i="1"/>
  <c r="AL88" i="1" s="1"/>
  <c r="Z88" i="1"/>
  <c r="AG88" i="1"/>
  <c r="AJ88" i="1"/>
  <c r="AK88" i="1"/>
  <c r="AO88" i="1"/>
  <c r="J88" i="1" s="1"/>
  <c r="AP88" i="1"/>
  <c r="AX88" i="1" s="1"/>
  <c r="BD88" i="1"/>
  <c r="BF88" i="1"/>
  <c r="AE88" i="1"/>
  <c r="BJ88" i="1"/>
  <c r="AH88" i="1"/>
  <c r="L91" i="1"/>
  <c r="L90" i="1" s="1"/>
  <c r="AJ91" i="1"/>
  <c r="AS90" i="1" s="1"/>
  <c r="AK91" i="1"/>
  <c r="AT90" i="1" s="1"/>
  <c r="AO91" i="1"/>
  <c r="BH91" i="1" s="1"/>
  <c r="AB91" i="1" s="1"/>
  <c r="AP91" i="1"/>
  <c r="AX91" i="1" s="1"/>
  <c r="BD91" i="1"/>
  <c r="BF91" i="1"/>
  <c r="AD91" i="1"/>
  <c r="BJ91" i="1"/>
  <c r="Z91" i="1"/>
  <c r="L94" i="1"/>
  <c r="AH94" i="1"/>
  <c r="AO94" i="1"/>
  <c r="AP94" i="1"/>
  <c r="K94" i="1" s="1"/>
  <c r="K93" i="1" s="1"/>
  <c r="BD94" i="1"/>
  <c r="BF94" i="1"/>
  <c r="BH94" i="1"/>
  <c r="BJ94" i="1"/>
  <c r="Z94" i="1"/>
  <c r="L96" i="1"/>
  <c r="AL96" i="1" s="1"/>
  <c r="AU95" i="1" s="1"/>
  <c r="Z96" i="1"/>
  <c r="AE96" i="1"/>
  <c r="AJ96" i="1"/>
  <c r="AS95" i="1" s="1"/>
  <c r="AK96" i="1"/>
  <c r="AT95" i="1" s="1"/>
  <c r="AO96" i="1"/>
  <c r="J96" i="1" s="1"/>
  <c r="J95" i="1" s="1"/>
  <c r="AP96" i="1"/>
  <c r="BI96" i="1" s="1"/>
  <c r="BD96" i="1"/>
  <c r="BF96" i="1"/>
  <c r="BJ96" i="1"/>
  <c r="AH96" i="1"/>
  <c r="L98" i="1"/>
  <c r="AO98" i="1"/>
  <c r="BH98" i="1" s="1"/>
  <c r="AB98" i="1" s="1"/>
  <c r="AP98" i="1"/>
  <c r="K98" i="1" s="1"/>
  <c r="BD98" i="1"/>
  <c r="BF98" i="1"/>
  <c r="BJ98" i="1"/>
  <c r="Z98" i="1"/>
  <c r="L99" i="1"/>
  <c r="AL99" i="1" s="1"/>
  <c r="Z99" i="1"/>
  <c r="AG99" i="1"/>
  <c r="AJ99" i="1"/>
  <c r="AK99" i="1"/>
  <c r="AO99" i="1"/>
  <c r="AP99" i="1"/>
  <c r="AX99" i="1" s="1"/>
  <c r="BD99" i="1"/>
  <c r="BF99" i="1"/>
  <c r="BI99" i="1"/>
  <c r="AC99" i="1" s="1"/>
  <c r="AE99" i="1"/>
  <c r="BJ99" i="1"/>
  <c r="AH99" i="1"/>
  <c r="J101" i="1"/>
  <c r="L102" i="1"/>
  <c r="L101" i="1" s="1"/>
  <c r="AB102" i="1"/>
  <c r="AF102" i="1"/>
  <c r="AK102" i="1"/>
  <c r="AT101" i="1" s="1"/>
  <c r="AO102" i="1"/>
  <c r="J102" i="1" s="1"/>
  <c r="AP102" i="1"/>
  <c r="BI102" i="1" s="1"/>
  <c r="BD102" i="1"/>
  <c r="BF102" i="1"/>
  <c r="AD102" i="1"/>
  <c r="AC102" i="1"/>
  <c r="BJ102" i="1"/>
  <c r="Z102" i="1" s="1"/>
  <c r="L104" i="1"/>
  <c r="AL104" i="1" s="1"/>
  <c r="Z104" i="1"/>
  <c r="AG104" i="1"/>
  <c r="AJ104" i="1"/>
  <c r="AK104" i="1"/>
  <c r="AO104" i="1"/>
  <c r="J104" i="1" s="1"/>
  <c r="AP104" i="1"/>
  <c r="BD104" i="1"/>
  <c r="BF104" i="1"/>
  <c r="AE104" i="1"/>
  <c r="BJ104" i="1"/>
  <c r="AH104" i="1"/>
  <c r="L106" i="1"/>
  <c r="AO106" i="1"/>
  <c r="BH106" i="1" s="1"/>
  <c r="AB106" i="1" s="1"/>
  <c r="AP106" i="1"/>
  <c r="BI106" i="1" s="1"/>
  <c r="AC106" i="1" s="1"/>
  <c r="BD106" i="1"/>
  <c r="BF106" i="1"/>
  <c r="BJ106" i="1"/>
  <c r="Z106" i="1"/>
  <c r="L107" i="1"/>
  <c r="AL107" i="1" s="1"/>
  <c r="Z107" i="1"/>
  <c r="AG107" i="1"/>
  <c r="AJ107" i="1"/>
  <c r="AK107" i="1"/>
  <c r="AO107" i="1"/>
  <c r="J107" i="1" s="1"/>
  <c r="AP107" i="1"/>
  <c r="BD107" i="1"/>
  <c r="BF107" i="1"/>
  <c r="AE107" i="1"/>
  <c r="BJ107" i="1"/>
  <c r="AH107" i="1"/>
  <c r="L108" i="1"/>
  <c r="AH108" i="1"/>
  <c r="AO108" i="1"/>
  <c r="BH108" i="1" s="1"/>
  <c r="AP108" i="1"/>
  <c r="K108" i="1" s="1"/>
  <c r="BD108" i="1"/>
  <c r="BF108" i="1"/>
  <c r="BJ108" i="1"/>
  <c r="Z108" i="1"/>
  <c r="L109" i="1"/>
  <c r="AL109" i="1" s="1"/>
  <c r="Z109" i="1"/>
  <c r="AG109" i="1"/>
  <c r="AJ109" i="1"/>
  <c r="AK109" i="1"/>
  <c r="AO109" i="1"/>
  <c r="BH109" i="1" s="1"/>
  <c r="AB109" i="1" s="1"/>
  <c r="AP109" i="1"/>
  <c r="AX109" i="1" s="1"/>
  <c r="AW109" i="1"/>
  <c r="BD109" i="1"/>
  <c r="BF109" i="1"/>
  <c r="AE109" i="1"/>
  <c r="BJ109" i="1"/>
  <c r="AH109" i="1"/>
  <c r="L110" i="1"/>
  <c r="AO110" i="1"/>
  <c r="AP110" i="1"/>
  <c r="K110" i="1" s="1"/>
  <c r="BD110" i="1"/>
  <c r="BF110" i="1"/>
  <c r="BJ110" i="1"/>
  <c r="Z110" i="1"/>
  <c r="L111" i="1"/>
  <c r="AL111" i="1" s="1"/>
  <c r="Z111" i="1"/>
  <c r="AG111" i="1"/>
  <c r="AJ111" i="1"/>
  <c r="AK111" i="1"/>
  <c r="AO111" i="1"/>
  <c r="BH111" i="1" s="1"/>
  <c r="AB111" i="1" s="1"/>
  <c r="AP111" i="1"/>
  <c r="AX111" i="1" s="1"/>
  <c r="BD111" i="1"/>
  <c r="BF111" i="1"/>
  <c r="AE111" i="1"/>
  <c r="BJ111" i="1"/>
  <c r="AH111" i="1"/>
  <c r="L113" i="1"/>
  <c r="AH113" i="1"/>
  <c r="AO113" i="1"/>
  <c r="AP113" i="1"/>
  <c r="K113" i="1" s="1"/>
  <c r="BD113" i="1"/>
  <c r="BF113" i="1"/>
  <c r="BH113" i="1"/>
  <c r="BJ113" i="1"/>
  <c r="Z113" i="1"/>
  <c r="L114" i="1"/>
  <c r="AL114" i="1" s="1"/>
  <c r="Z114" i="1"/>
  <c r="AG114" i="1"/>
  <c r="AJ114" i="1"/>
  <c r="AK114" i="1"/>
  <c r="AO114" i="1"/>
  <c r="BH114" i="1" s="1"/>
  <c r="AB114" i="1" s="1"/>
  <c r="AP114" i="1"/>
  <c r="AW114" i="1"/>
  <c r="BD114" i="1"/>
  <c r="BF114" i="1"/>
  <c r="AE114" i="1"/>
  <c r="BJ114" i="1"/>
  <c r="AH114" i="1"/>
  <c r="L115" i="1"/>
  <c r="AL115" i="1" s="1"/>
  <c r="AO115" i="1"/>
  <c r="BH115" i="1" s="1"/>
  <c r="AB115" i="1" s="1"/>
  <c r="AP115" i="1"/>
  <c r="BD115" i="1"/>
  <c r="BF115" i="1"/>
  <c r="BJ115" i="1"/>
  <c r="Z115" i="1"/>
  <c r="L116" i="1"/>
  <c r="AL116" i="1" s="1"/>
  <c r="Z116" i="1"/>
  <c r="AG116" i="1"/>
  <c r="AJ116" i="1"/>
  <c r="AK116" i="1"/>
  <c r="AO116" i="1"/>
  <c r="AP116" i="1"/>
  <c r="BD116" i="1"/>
  <c r="BF116" i="1"/>
  <c r="AE116" i="1"/>
  <c r="BJ116" i="1"/>
  <c r="AH116" i="1"/>
  <c r="L117" i="1"/>
  <c r="AH117" i="1"/>
  <c r="AO117" i="1"/>
  <c r="BH117" i="1" s="1"/>
  <c r="AB117" i="1" s="1"/>
  <c r="AP117" i="1"/>
  <c r="BI117" i="1" s="1"/>
  <c r="AC117" i="1" s="1"/>
  <c r="K117" i="1"/>
  <c r="BD117" i="1"/>
  <c r="BF117" i="1"/>
  <c r="BJ117" i="1"/>
  <c r="Z117" i="1"/>
  <c r="L118" i="1"/>
  <c r="AL118" i="1" s="1"/>
  <c r="Z118" i="1"/>
  <c r="AG118" i="1"/>
  <c r="AJ118" i="1"/>
  <c r="AK118" i="1"/>
  <c r="AO118" i="1"/>
  <c r="AW118" i="1" s="1"/>
  <c r="AP118" i="1"/>
  <c r="AX118" i="1" s="1"/>
  <c r="BD118" i="1"/>
  <c r="BF118" i="1"/>
  <c r="AE118" i="1"/>
  <c r="BJ118" i="1"/>
  <c r="AH118" i="1"/>
  <c r="L119" i="1"/>
  <c r="AO119" i="1"/>
  <c r="J119" i="1" s="1"/>
  <c r="AP119" i="1"/>
  <c r="AX119" i="1" s="1"/>
  <c r="K119" i="1"/>
  <c r="BD119" i="1"/>
  <c r="BF119" i="1"/>
  <c r="BJ119" i="1"/>
  <c r="Z119" i="1"/>
  <c r="L120" i="1"/>
  <c r="AL120" i="1" s="1"/>
  <c r="Z120" i="1"/>
  <c r="AG120" i="1"/>
  <c r="AJ120" i="1"/>
  <c r="AK120" i="1"/>
  <c r="AO120" i="1"/>
  <c r="AW120" i="1" s="1"/>
  <c r="AP120" i="1"/>
  <c r="BD120" i="1"/>
  <c r="BF120" i="1"/>
  <c r="BI120" i="1"/>
  <c r="AC120" i="1" s="1"/>
  <c r="AE120" i="1"/>
  <c r="BJ120" i="1"/>
  <c r="AH120" i="1"/>
  <c r="L121" i="1"/>
  <c r="AH121" i="1"/>
  <c r="AO121" i="1"/>
  <c r="BH121" i="1" s="1"/>
  <c r="AB121" i="1" s="1"/>
  <c r="AP121" i="1"/>
  <c r="AX121" i="1" s="1"/>
  <c r="BD121" i="1"/>
  <c r="BF121" i="1"/>
  <c r="BJ121" i="1"/>
  <c r="Z121" i="1"/>
  <c r="L123" i="1"/>
  <c r="AL123" i="1" s="1"/>
  <c r="Z123" i="1"/>
  <c r="AG123" i="1"/>
  <c r="AJ123" i="1"/>
  <c r="AK123" i="1"/>
  <c r="AO123" i="1"/>
  <c r="AP123" i="1"/>
  <c r="BD123" i="1"/>
  <c r="BF123" i="1"/>
  <c r="AE123" i="1"/>
  <c r="BJ123" i="1"/>
  <c r="AH123" i="1"/>
  <c r="L124" i="1"/>
  <c r="AO124" i="1"/>
  <c r="BH124" i="1" s="1"/>
  <c r="AB124" i="1" s="1"/>
  <c r="AP124" i="1"/>
  <c r="K124" i="1" s="1"/>
  <c r="BD124" i="1"/>
  <c r="BF124" i="1"/>
  <c r="BJ124" i="1"/>
  <c r="Z124" i="1"/>
  <c r="L126" i="1"/>
  <c r="AL126" i="1" s="1"/>
  <c r="Z126" i="1"/>
  <c r="AG126" i="1"/>
  <c r="AJ126" i="1"/>
  <c r="AK126" i="1"/>
  <c r="AO126" i="1"/>
  <c r="AP126" i="1"/>
  <c r="BD126" i="1"/>
  <c r="BF126" i="1"/>
  <c r="AE126" i="1"/>
  <c r="BJ126" i="1"/>
  <c r="AH126" i="1"/>
  <c r="L129" i="1"/>
  <c r="AF129" i="1"/>
  <c r="AK129" i="1"/>
  <c r="AO129" i="1"/>
  <c r="J129" i="1" s="1"/>
  <c r="AP129" i="1"/>
  <c r="K129" i="1" s="1"/>
  <c r="BD129" i="1"/>
  <c r="BF129" i="1"/>
  <c r="AD129" i="1"/>
  <c r="BJ129" i="1"/>
  <c r="Z129" i="1"/>
  <c r="L130" i="1"/>
  <c r="AL130" i="1" s="1"/>
  <c r="Z130" i="1"/>
  <c r="AJ130" i="1"/>
  <c r="AK130" i="1"/>
  <c r="AO130" i="1"/>
  <c r="J130" i="1" s="1"/>
  <c r="AP130" i="1"/>
  <c r="BI130" i="1" s="1"/>
  <c r="BD130" i="1"/>
  <c r="BF130" i="1"/>
  <c r="BH130" i="1"/>
  <c r="AB130" i="1" s="1"/>
  <c r="BJ130" i="1"/>
  <c r="AH130" i="1"/>
  <c r="L131" i="1"/>
  <c r="AL131" i="1" s="1"/>
  <c r="AF131" i="1"/>
  <c r="AK131" i="1"/>
  <c r="AO131" i="1"/>
  <c r="BH131" i="1" s="1"/>
  <c r="AB131" i="1" s="1"/>
  <c r="AP131" i="1"/>
  <c r="BD131" i="1"/>
  <c r="BF131" i="1"/>
  <c r="AD131" i="1"/>
  <c r="BJ131" i="1"/>
  <c r="Z131" i="1"/>
  <c r="L132" i="1"/>
  <c r="AL132" i="1" s="1"/>
  <c r="Z132" i="1"/>
  <c r="AE132" i="1"/>
  <c r="AJ132" i="1"/>
  <c r="AK132" i="1"/>
  <c r="AO132" i="1"/>
  <c r="AP132" i="1"/>
  <c r="BD132" i="1"/>
  <c r="BF132" i="1"/>
  <c r="BJ132" i="1"/>
  <c r="AH132" i="1"/>
  <c r="L133" i="1"/>
  <c r="AL133" i="1" s="1"/>
  <c r="AF133" i="1"/>
  <c r="AK133" i="1"/>
  <c r="AO133" i="1"/>
  <c r="AP133" i="1"/>
  <c r="BI133" i="1" s="1"/>
  <c r="AC133" i="1" s="1"/>
  <c r="K133" i="1"/>
  <c r="BD133" i="1"/>
  <c r="BF133" i="1"/>
  <c r="AD133" i="1"/>
  <c r="BJ133" i="1"/>
  <c r="Z133" i="1"/>
  <c r="L134" i="1"/>
  <c r="AL134" i="1" s="1"/>
  <c r="Z134" i="1"/>
  <c r="AJ134" i="1"/>
  <c r="AK134" i="1"/>
  <c r="AO134" i="1"/>
  <c r="AP134" i="1"/>
  <c r="BI134" i="1" s="1"/>
  <c r="AC134" i="1" s="1"/>
  <c r="BD134" i="1"/>
  <c r="BF134" i="1"/>
  <c r="BJ134" i="1"/>
  <c r="AH134" i="1"/>
  <c r="L135" i="1"/>
  <c r="AF135" i="1"/>
  <c r="AK135" i="1"/>
  <c r="AO135" i="1"/>
  <c r="J135" i="1" s="1"/>
  <c r="AP135" i="1"/>
  <c r="K135" i="1" s="1"/>
  <c r="BD135" i="1"/>
  <c r="BF135" i="1"/>
  <c r="AD135" i="1"/>
  <c r="BJ135" i="1"/>
  <c r="Z135" i="1"/>
  <c r="L136" i="1"/>
  <c r="AL136" i="1" s="1"/>
  <c r="Z136" i="1"/>
  <c r="AE136" i="1"/>
  <c r="AJ136" i="1"/>
  <c r="AK136" i="1"/>
  <c r="AO136" i="1"/>
  <c r="BH136" i="1" s="1"/>
  <c r="AB136" i="1" s="1"/>
  <c r="AP136" i="1"/>
  <c r="AX136" i="1" s="1"/>
  <c r="BD136" i="1"/>
  <c r="BF136" i="1"/>
  <c r="BJ136" i="1"/>
  <c r="AH136" i="1"/>
  <c r="L137" i="1"/>
  <c r="AF137" i="1"/>
  <c r="AK137" i="1"/>
  <c r="AO137" i="1"/>
  <c r="J137" i="1" s="1"/>
  <c r="AP137" i="1"/>
  <c r="BI137" i="1" s="1"/>
  <c r="AC137" i="1" s="1"/>
  <c r="BD137" i="1"/>
  <c r="BF137" i="1"/>
  <c r="AD137" i="1"/>
  <c r="BJ137" i="1"/>
  <c r="Z137" i="1"/>
  <c r="L138" i="1"/>
  <c r="AL138" i="1" s="1"/>
  <c r="Z138" i="1"/>
  <c r="AJ138" i="1"/>
  <c r="AK138" i="1"/>
  <c r="AO138" i="1"/>
  <c r="J138" i="1" s="1"/>
  <c r="AP138" i="1"/>
  <c r="BD138" i="1"/>
  <c r="BF138" i="1"/>
  <c r="BH138" i="1"/>
  <c r="AB138" i="1" s="1"/>
  <c r="BJ138" i="1"/>
  <c r="AH138" i="1"/>
  <c r="L139" i="1"/>
  <c r="AF139" i="1"/>
  <c r="AK139" i="1"/>
  <c r="AO139" i="1"/>
  <c r="BH139" i="1" s="1"/>
  <c r="AB139" i="1" s="1"/>
  <c r="AP139" i="1"/>
  <c r="BI139" i="1" s="1"/>
  <c r="AC139" i="1" s="1"/>
  <c r="AX139" i="1"/>
  <c r="BD139" i="1"/>
  <c r="BF139" i="1"/>
  <c r="AD139" i="1"/>
  <c r="BJ139" i="1"/>
  <c r="Z139" i="1"/>
  <c r="L140" i="1"/>
  <c r="AL140" i="1" s="1"/>
  <c r="Z140" i="1"/>
  <c r="AE140" i="1"/>
  <c r="AJ140" i="1"/>
  <c r="AK140" i="1"/>
  <c r="AO140" i="1"/>
  <c r="J140" i="1" s="1"/>
  <c r="AP140" i="1"/>
  <c r="BI140" i="1" s="1"/>
  <c r="BD140" i="1"/>
  <c r="BF140" i="1"/>
  <c r="BJ140" i="1"/>
  <c r="AH140" i="1"/>
  <c r="L141" i="1"/>
  <c r="AF141" i="1"/>
  <c r="AK141" i="1"/>
  <c r="AO141" i="1"/>
  <c r="AP141" i="1"/>
  <c r="K141" i="1" s="1"/>
  <c r="BD141" i="1"/>
  <c r="BF141" i="1"/>
  <c r="AD141" i="1"/>
  <c r="BI141" i="1"/>
  <c r="AC141" i="1" s="1"/>
  <c r="BJ141" i="1"/>
  <c r="Z141" i="1"/>
  <c r="L142" i="1"/>
  <c r="AL142" i="1" s="1"/>
  <c r="Z142" i="1"/>
  <c r="AJ142" i="1"/>
  <c r="AK142" i="1"/>
  <c r="AO142" i="1"/>
  <c r="J142" i="1" s="1"/>
  <c r="AP142" i="1"/>
  <c r="AX142" i="1" s="1"/>
  <c r="BD142" i="1"/>
  <c r="BF142" i="1"/>
  <c r="BJ142" i="1"/>
  <c r="AH142" i="1"/>
  <c r="L145" i="1"/>
  <c r="AH145" i="1"/>
  <c r="AO145" i="1"/>
  <c r="BH145" i="1" s="1"/>
  <c r="AP145" i="1"/>
  <c r="AX145" i="1" s="1"/>
  <c r="BD145" i="1"/>
  <c r="BF145" i="1"/>
  <c r="AC145" i="1"/>
  <c r="BJ145" i="1"/>
  <c r="Z145" i="1" s="1"/>
  <c r="L146" i="1"/>
  <c r="AL146" i="1" s="1"/>
  <c r="AC146" i="1"/>
  <c r="AG146" i="1"/>
  <c r="AJ146" i="1"/>
  <c r="AK146" i="1"/>
  <c r="AO146" i="1"/>
  <c r="J146" i="1" s="1"/>
  <c r="AP146" i="1"/>
  <c r="AX146" i="1" s="1"/>
  <c r="BD146" i="1"/>
  <c r="BF146" i="1"/>
  <c r="AB146" i="1"/>
  <c r="AE146" i="1"/>
  <c r="BJ146" i="1"/>
  <c r="Z146" i="1" s="1"/>
  <c r="AH146" i="1"/>
  <c r="L147" i="1"/>
  <c r="AO147" i="1"/>
  <c r="AP147" i="1"/>
  <c r="AX147" i="1" s="1"/>
  <c r="BD147" i="1"/>
  <c r="BF147" i="1"/>
  <c r="AC147" i="1"/>
  <c r="BJ147" i="1"/>
  <c r="Z147" i="1" s="1"/>
  <c r="L149" i="1"/>
  <c r="AL149" i="1" s="1"/>
  <c r="AC149" i="1"/>
  <c r="AG149" i="1"/>
  <c r="AJ149" i="1"/>
  <c r="AK149" i="1"/>
  <c r="AO149" i="1"/>
  <c r="AP149" i="1"/>
  <c r="BI149" i="1" s="1"/>
  <c r="AX149" i="1"/>
  <c r="BD149" i="1"/>
  <c r="BF149" i="1"/>
  <c r="AB149" i="1"/>
  <c r="AE149" i="1"/>
  <c r="BJ149" i="1"/>
  <c r="Z149" i="1" s="1"/>
  <c r="AH149" i="1"/>
  <c r="L150" i="1"/>
  <c r="AH150" i="1"/>
  <c r="AO150" i="1"/>
  <c r="BH150" i="1" s="1"/>
  <c r="AP150" i="1"/>
  <c r="BI150" i="1" s="1"/>
  <c r="BD150" i="1"/>
  <c r="BF150" i="1"/>
  <c r="AC150" i="1"/>
  <c r="BJ150" i="1"/>
  <c r="Z150" i="1" s="1"/>
  <c r="L151" i="1"/>
  <c r="AC151" i="1"/>
  <c r="AG151" i="1"/>
  <c r="AJ151" i="1"/>
  <c r="AK151" i="1"/>
  <c r="AL151" i="1"/>
  <c r="AO151" i="1"/>
  <c r="AW151" i="1" s="1"/>
  <c r="AP151" i="1"/>
  <c r="BI151" i="1" s="1"/>
  <c r="BD151" i="1"/>
  <c r="BF151" i="1"/>
  <c r="AB151" i="1"/>
  <c r="AE151" i="1"/>
  <c r="BJ151" i="1"/>
  <c r="Z151" i="1" s="1"/>
  <c r="AH151" i="1"/>
  <c r="L152" i="1"/>
  <c r="AO152" i="1"/>
  <c r="BH152" i="1" s="1"/>
  <c r="AP152" i="1"/>
  <c r="BI152" i="1" s="1"/>
  <c r="BD152" i="1"/>
  <c r="BF152" i="1"/>
  <c r="AC152" i="1"/>
  <c r="BJ152" i="1"/>
  <c r="Z152" i="1"/>
  <c r="L153" i="1"/>
  <c r="AL153" i="1" s="1"/>
  <c r="AU144" i="1" s="1"/>
  <c r="AC153" i="1"/>
  <c r="AG153" i="1"/>
  <c r="AJ153" i="1"/>
  <c r="AK153" i="1"/>
  <c r="AO153" i="1"/>
  <c r="AP153" i="1"/>
  <c r="BI153" i="1" s="1"/>
  <c r="BD153" i="1"/>
  <c r="BF153" i="1"/>
  <c r="AB153" i="1"/>
  <c r="AE153" i="1"/>
  <c r="BJ153" i="1"/>
  <c r="Z153" i="1" s="1"/>
  <c r="AH153" i="1"/>
  <c r="L154" i="1"/>
  <c r="AH154" i="1"/>
  <c r="AO154" i="1"/>
  <c r="AP154" i="1"/>
  <c r="K154" i="1" s="1"/>
  <c r="BD154" i="1"/>
  <c r="BF154" i="1"/>
  <c r="AC154" i="1"/>
  <c r="BJ154" i="1"/>
  <c r="Z154" i="1" s="1"/>
  <c r="AL156" i="1"/>
  <c r="AU155" i="1" s="1"/>
  <c r="Z156" i="1"/>
  <c r="AE156" i="1"/>
  <c r="AJ156" i="1"/>
  <c r="AS155" i="1" s="1"/>
  <c r="AK156" i="1"/>
  <c r="AT155" i="1" s="1"/>
  <c r="AO156" i="1"/>
  <c r="J155" i="1" s="1"/>
  <c r="AP156" i="1"/>
  <c r="AX156" i="1" s="1"/>
  <c r="BD156" i="1"/>
  <c r="BF156" i="1"/>
  <c r="AB156" i="1"/>
  <c r="BJ156" i="1"/>
  <c r="AH156" i="1"/>
  <c r="L159" i="1"/>
  <c r="AO159" i="1"/>
  <c r="BH159" i="1" s="1"/>
  <c r="AP159" i="1"/>
  <c r="BI159" i="1" s="1"/>
  <c r="AG159" i="1" s="1"/>
  <c r="K158" i="1"/>
  <c r="AX159" i="1"/>
  <c r="BD159" i="1"/>
  <c r="BF159" i="1"/>
  <c r="AC159" i="1"/>
  <c r="BJ159" i="1"/>
  <c r="Z159" i="1"/>
  <c r="L162" i="1"/>
  <c r="AL162" i="1" s="1"/>
  <c r="Z162" i="1"/>
  <c r="AJ162" i="1"/>
  <c r="AK162" i="1"/>
  <c r="AO162" i="1"/>
  <c r="AW162" i="1" s="1"/>
  <c r="AP162" i="1"/>
  <c r="BD162" i="1"/>
  <c r="BF162" i="1"/>
  <c r="AB162" i="1"/>
  <c r="BJ162" i="1"/>
  <c r="AH162" i="1"/>
  <c r="L164" i="1"/>
  <c r="AB164" i="1"/>
  <c r="AF164" i="1"/>
  <c r="AK164" i="1"/>
  <c r="AO164" i="1"/>
  <c r="AP164" i="1"/>
  <c r="BD164" i="1"/>
  <c r="BF164" i="1"/>
  <c r="AC164" i="1"/>
  <c r="BJ164" i="1"/>
  <c r="Z164" i="1"/>
  <c r="L166" i="1"/>
  <c r="AL166" i="1" s="1"/>
  <c r="Z166" i="1"/>
  <c r="AJ166" i="1"/>
  <c r="AK166" i="1"/>
  <c r="AO166" i="1"/>
  <c r="J166" i="1" s="1"/>
  <c r="AP166" i="1"/>
  <c r="AX166" i="1" s="1"/>
  <c r="AW166" i="1"/>
  <c r="BD166" i="1"/>
  <c r="BF166" i="1"/>
  <c r="BH166" i="1"/>
  <c r="AB166" i="1"/>
  <c r="BJ166" i="1"/>
  <c r="AH166" i="1"/>
  <c r="L168" i="1"/>
  <c r="AB168" i="1"/>
  <c r="AF168" i="1"/>
  <c r="AK168" i="1"/>
  <c r="AO168" i="1"/>
  <c r="J168" i="1" s="1"/>
  <c r="AP168" i="1"/>
  <c r="K168" i="1" s="1"/>
  <c r="BD168" i="1"/>
  <c r="BF168" i="1"/>
  <c r="AD168" i="1"/>
  <c r="AC168" i="1"/>
  <c r="BJ168" i="1"/>
  <c r="Z168" i="1" s="1"/>
  <c r="L170" i="1"/>
  <c r="AL170" i="1" s="1"/>
  <c r="Z170" i="1"/>
  <c r="AC170" i="1"/>
  <c r="AG170" i="1"/>
  <c r="AJ170" i="1"/>
  <c r="AK170" i="1"/>
  <c r="AO170" i="1"/>
  <c r="AP170" i="1"/>
  <c r="BI170" i="1" s="1"/>
  <c r="AE170" i="1" s="1"/>
  <c r="BD170" i="1"/>
  <c r="BF170" i="1"/>
  <c r="AB170" i="1"/>
  <c r="BJ170" i="1"/>
  <c r="AH170" i="1"/>
  <c r="L171" i="1"/>
  <c r="AO171" i="1"/>
  <c r="BH171" i="1" s="1"/>
  <c r="AP171" i="1"/>
  <c r="BI171" i="1" s="1"/>
  <c r="AE171" i="1" s="1"/>
  <c r="BD171" i="1"/>
  <c r="BF171" i="1"/>
  <c r="AC171" i="1"/>
  <c r="BJ171" i="1"/>
  <c r="Z171" i="1"/>
  <c r="L172" i="1"/>
  <c r="AL172" i="1" s="1"/>
  <c r="Z172" i="1"/>
  <c r="AC172" i="1"/>
  <c r="AG172" i="1"/>
  <c r="AJ172" i="1"/>
  <c r="AK172" i="1"/>
  <c r="AO172" i="1"/>
  <c r="J172" i="1" s="1"/>
  <c r="AP172" i="1"/>
  <c r="BD172" i="1"/>
  <c r="BF172" i="1"/>
  <c r="AB172" i="1"/>
  <c r="BJ172" i="1"/>
  <c r="AH172" i="1"/>
  <c r="L173" i="1"/>
  <c r="AL173" i="1" s="1"/>
  <c r="AH173" i="1"/>
  <c r="AO173" i="1"/>
  <c r="J173" i="1" s="1"/>
  <c r="AP173" i="1"/>
  <c r="BI173" i="1" s="1"/>
  <c r="AE173" i="1" s="1"/>
  <c r="BD173" i="1"/>
  <c r="BF173" i="1"/>
  <c r="AC173" i="1"/>
  <c r="BJ173" i="1"/>
  <c r="Z173" i="1"/>
  <c r="L174" i="1"/>
  <c r="AL174" i="1" s="1"/>
  <c r="Z174" i="1"/>
  <c r="AC174" i="1"/>
  <c r="AG174" i="1"/>
  <c r="AJ174" i="1"/>
  <c r="AK174" i="1"/>
  <c r="AO174" i="1"/>
  <c r="AP174" i="1"/>
  <c r="BD174" i="1"/>
  <c r="BF174" i="1"/>
  <c r="AB174" i="1"/>
  <c r="BJ174" i="1"/>
  <c r="AH174" i="1"/>
  <c r="L175" i="1"/>
  <c r="AO175" i="1"/>
  <c r="AP175" i="1"/>
  <c r="AX175" i="1" s="1"/>
  <c r="BD175" i="1"/>
  <c r="BF175" i="1"/>
  <c r="BH175" i="1"/>
  <c r="AD175" i="1" s="1"/>
  <c r="AC175" i="1"/>
  <c r="BJ175" i="1"/>
  <c r="Z175" i="1"/>
  <c r="L176" i="1"/>
  <c r="AL176" i="1" s="1"/>
  <c r="Z176" i="1"/>
  <c r="AC176" i="1"/>
  <c r="AG176" i="1"/>
  <c r="AJ176" i="1"/>
  <c r="AK176" i="1"/>
  <c r="AO176" i="1"/>
  <c r="BH176" i="1" s="1"/>
  <c r="AP176" i="1"/>
  <c r="AX176" i="1" s="1"/>
  <c r="BD176" i="1"/>
  <c r="BF176" i="1"/>
  <c r="AB176" i="1"/>
  <c r="BJ176" i="1"/>
  <c r="AH176" i="1"/>
  <c r="L177" i="1"/>
  <c r="AH177" i="1"/>
  <c r="AO177" i="1"/>
  <c r="BH177" i="1" s="1"/>
  <c r="AD177" i="1" s="1"/>
  <c r="AP177" i="1"/>
  <c r="K177" i="1" s="1"/>
  <c r="BD177" i="1"/>
  <c r="BF177" i="1"/>
  <c r="BI177" i="1"/>
  <c r="AC177" i="1"/>
  <c r="BJ177" i="1"/>
  <c r="Z177" i="1"/>
  <c r="L178" i="1"/>
  <c r="AL178" i="1" s="1"/>
  <c r="Z178" i="1"/>
  <c r="AC178" i="1"/>
  <c r="AG178" i="1"/>
  <c r="AJ178" i="1"/>
  <c r="AK178" i="1"/>
  <c r="AO178" i="1"/>
  <c r="AP178" i="1"/>
  <c r="AX178" i="1" s="1"/>
  <c r="BD178" i="1"/>
  <c r="BF178" i="1"/>
  <c r="AB178" i="1"/>
  <c r="BJ178" i="1"/>
  <c r="AH178" i="1"/>
  <c r="L180" i="1"/>
  <c r="AL180" i="1" s="1"/>
  <c r="AH180" i="1"/>
  <c r="AO180" i="1"/>
  <c r="AP180" i="1"/>
  <c r="BD180" i="1"/>
  <c r="BF180" i="1"/>
  <c r="AB180" i="1"/>
  <c r="BJ180" i="1"/>
  <c r="Z180" i="1"/>
  <c r="L181" i="1"/>
  <c r="AB181" i="1"/>
  <c r="AF181" i="1"/>
  <c r="AK181" i="1"/>
  <c r="AO181" i="1"/>
  <c r="BH181" i="1" s="1"/>
  <c r="AD181" i="1" s="1"/>
  <c r="AP181" i="1"/>
  <c r="AX181" i="1"/>
  <c r="BD181" i="1"/>
  <c r="BF181" i="1"/>
  <c r="AC181" i="1"/>
  <c r="BJ181" i="1"/>
  <c r="Z181" i="1"/>
  <c r="L182" i="1"/>
  <c r="AL182" i="1" s="1"/>
  <c r="Z182" i="1"/>
  <c r="AJ182" i="1"/>
  <c r="AK182" i="1"/>
  <c r="AO182" i="1"/>
  <c r="J182" i="1" s="1"/>
  <c r="AP182" i="1"/>
  <c r="AX182" i="1" s="1"/>
  <c r="BD182" i="1"/>
  <c r="BF182" i="1"/>
  <c r="AB182" i="1"/>
  <c r="AC182" i="1"/>
  <c r="BJ182" i="1"/>
  <c r="AH182" i="1"/>
  <c r="L183" i="1"/>
  <c r="AB183" i="1"/>
  <c r="AF183" i="1"/>
  <c r="AK183" i="1"/>
  <c r="AO183" i="1"/>
  <c r="BH183" i="1" s="1"/>
  <c r="AD183" i="1" s="1"/>
  <c r="AP183" i="1"/>
  <c r="K183" i="1" s="1"/>
  <c r="BD183" i="1"/>
  <c r="BF183" i="1"/>
  <c r="AC183" i="1"/>
  <c r="BJ183" i="1"/>
  <c r="Z183" i="1"/>
  <c r="L184" i="1"/>
  <c r="AL184" i="1" s="1"/>
  <c r="Z184" i="1"/>
  <c r="AJ184" i="1"/>
  <c r="AK184" i="1"/>
  <c r="AO184" i="1"/>
  <c r="AW184" i="1" s="1"/>
  <c r="AP184" i="1"/>
  <c r="BI184" i="1" s="1"/>
  <c r="BD184" i="1"/>
  <c r="BF184" i="1"/>
  <c r="AB184" i="1"/>
  <c r="AC184" i="1"/>
  <c r="BJ184" i="1"/>
  <c r="AH184" i="1"/>
  <c r="L185" i="1"/>
  <c r="AB185" i="1"/>
  <c r="AF185" i="1"/>
  <c r="AK185" i="1"/>
  <c r="AO185" i="1"/>
  <c r="AP185" i="1"/>
  <c r="BI185" i="1" s="1"/>
  <c r="BD185" i="1"/>
  <c r="BF185" i="1"/>
  <c r="AC185" i="1"/>
  <c r="BJ185" i="1"/>
  <c r="Z185" i="1"/>
  <c r="L186" i="1"/>
  <c r="AL186" i="1" s="1"/>
  <c r="Z186" i="1"/>
  <c r="AJ186" i="1"/>
  <c r="AK186" i="1"/>
  <c r="AO186" i="1"/>
  <c r="AP186" i="1"/>
  <c r="BI186" i="1" s="1"/>
  <c r="AE186" i="1" s="1"/>
  <c r="BD186" i="1"/>
  <c r="BF186" i="1"/>
  <c r="AB186" i="1"/>
  <c r="AC186" i="1"/>
  <c r="BJ186" i="1"/>
  <c r="AH186" i="1"/>
  <c r="L187" i="1"/>
  <c r="AB187" i="1"/>
  <c r="AF187" i="1"/>
  <c r="AK187" i="1"/>
  <c r="AO187" i="1"/>
  <c r="AP187" i="1"/>
  <c r="BD187" i="1"/>
  <c r="BF187" i="1"/>
  <c r="AC187" i="1"/>
  <c r="BJ187" i="1"/>
  <c r="Z187" i="1"/>
  <c r="L188" i="1"/>
  <c r="AL188" i="1" s="1"/>
  <c r="AJ188" i="1"/>
  <c r="AK188" i="1"/>
  <c r="AO188" i="1"/>
  <c r="J188" i="1" s="1"/>
  <c r="AP188" i="1"/>
  <c r="AX188" i="1" s="1"/>
  <c r="BD188" i="1"/>
  <c r="BF188" i="1"/>
  <c r="AB188" i="1"/>
  <c r="AC188" i="1"/>
  <c r="BJ188" i="1"/>
  <c r="Z188" i="1" s="1"/>
  <c r="AH188" i="1"/>
  <c r="L190" i="1"/>
  <c r="AL190" i="1" s="1"/>
  <c r="AO190" i="1"/>
  <c r="AP190" i="1"/>
  <c r="K190" i="1" s="1"/>
  <c r="BD190" i="1"/>
  <c r="BF190" i="1"/>
  <c r="AB190" i="1"/>
  <c r="AC190" i="1"/>
  <c r="BJ190" i="1"/>
  <c r="Z190" i="1"/>
  <c r="L192" i="1"/>
  <c r="AL192" i="1" s="1"/>
  <c r="Z192" i="1"/>
  <c r="AC192" i="1"/>
  <c r="AG192" i="1"/>
  <c r="AJ192" i="1"/>
  <c r="AK192" i="1"/>
  <c r="AO192" i="1"/>
  <c r="AP192" i="1"/>
  <c r="BD192" i="1"/>
  <c r="BF192" i="1"/>
  <c r="AB192" i="1"/>
  <c r="BJ192" i="1"/>
  <c r="AH192" i="1"/>
  <c r="L194" i="1"/>
  <c r="AO194" i="1"/>
  <c r="AW194" i="1" s="1"/>
  <c r="AV194" i="1" s="1"/>
  <c r="AP194" i="1"/>
  <c r="BI194" i="1" s="1"/>
  <c r="AE194" i="1" s="1"/>
  <c r="AX194" i="1"/>
  <c r="BD194" i="1"/>
  <c r="BF194" i="1"/>
  <c r="AB194" i="1"/>
  <c r="AC194" i="1"/>
  <c r="BJ194" i="1"/>
  <c r="Z194" i="1"/>
  <c r="L196" i="1"/>
  <c r="AL196" i="1" s="1"/>
  <c r="Z196" i="1"/>
  <c r="AC196" i="1"/>
  <c r="AG196" i="1"/>
  <c r="AJ196" i="1"/>
  <c r="AK196" i="1"/>
  <c r="AO196" i="1"/>
  <c r="AW196" i="1" s="1"/>
  <c r="AP196" i="1"/>
  <c r="BI196" i="1" s="1"/>
  <c r="AE196" i="1" s="1"/>
  <c r="BD196" i="1"/>
  <c r="BF196" i="1"/>
  <c r="AB196" i="1"/>
  <c r="BJ196" i="1"/>
  <c r="AH196" i="1"/>
  <c r="L197" i="1"/>
  <c r="AO197" i="1"/>
  <c r="AW197" i="1" s="1"/>
  <c r="AP197" i="1"/>
  <c r="BI197" i="1" s="1"/>
  <c r="AE197" i="1" s="1"/>
  <c r="AX197" i="1"/>
  <c r="BD197" i="1"/>
  <c r="BF197" i="1"/>
  <c r="AB197" i="1"/>
  <c r="AC197" i="1"/>
  <c r="BJ197" i="1"/>
  <c r="Z197" i="1"/>
  <c r="L198" i="1"/>
  <c r="AL198" i="1" s="1"/>
  <c r="Z198" i="1"/>
  <c r="AC198" i="1"/>
  <c r="AG198" i="1"/>
  <c r="AJ198" i="1"/>
  <c r="AK198" i="1"/>
  <c r="AO198" i="1"/>
  <c r="AP198" i="1"/>
  <c r="BI198" i="1" s="1"/>
  <c r="AE198" i="1" s="1"/>
  <c r="BD198" i="1"/>
  <c r="BF198" i="1"/>
  <c r="AB198" i="1"/>
  <c r="BJ198" i="1"/>
  <c r="AH198" i="1"/>
  <c r="L199" i="1"/>
  <c r="AO199" i="1"/>
  <c r="AP199" i="1"/>
  <c r="AX199" i="1" s="1"/>
  <c r="BD199" i="1"/>
  <c r="BF199" i="1"/>
  <c r="AB199" i="1"/>
  <c r="AC199" i="1"/>
  <c r="BJ199" i="1"/>
  <c r="Z199" i="1"/>
  <c r="L200" i="1"/>
  <c r="AL200" i="1" s="1"/>
  <c r="Z200" i="1"/>
  <c r="AC200" i="1"/>
  <c r="AG200" i="1"/>
  <c r="AJ200" i="1"/>
  <c r="AK200" i="1"/>
  <c r="AO200" i="1"/>
  <c r="J200" i="1" s="1"/>
  <c r="AP200" i="1"/>
  <c r="BI200" i="1" s="1"/>
  <c r="AE200" i="1" s="1"/>
  <c r="AW200" i="1"/>
  <c r="BD200" i="1"/>
  <c r="BF200" i="1"/>
  <c r="BH200" i="1"/>
  <c r="AB200" i="1"/>
  <c r="BJ200" i="1"/>
  <c r="AH200" i="1"/>
  <c r="L201" i="1"/>
  <c r="AO201" i="1"/>
  <c r="AW201" i="1" s="1"/>
  <c r="AP201" i="1"/>
  <c r="AX201" i="1"/>
  <c r="BD201" i="1"/>
  <c r="BF201" i="1"/>
  <c r="AB201" i="1"/>
  <c r="AC201" i="1"/>
  <c r="BJ201" i="1"/>
  <c r="Z201" i="1"/>
  <c r="L202" i="1"/>
  <c r="AL202" i="1" s="1"/>
  <c r="Z202" i="1"/>
  <c r="AC202" i="1"/>
  <c r="AG202" i="1"/>
  <c r="AJ202" i="1"/>
  <c r="AK202" i="1"/>
  <c r="AO202" i="1"/>
  <c r="AW202" i="1" s="1"/>
  <c r="AP202" i="1"/>
  <c r="BD202" i="1"/>
  <c r="BF202" i="1"/>
  <c r="AB202" i="1"/>
  <c r="BJ202" i="1"/>
  <c r="AH202" i="1"/>
  <c r="L203" i="1"/>
  <c r="AL203" i="1" s="1"/>
  <c r="AO203" i="1"/>
  <c r="AW203" i="1" s="1"/>
  <c r="AP203" i="1"/>
  <c r="BI203" i="1" s="1"/>
  <c r="BD203" i="1"/>
  <c r="BF203" i="1"/>
  <c r="AB203" i="1"/>
  <c r="AC203" i="1"/>
  <c r="BJ203" i="1"/>
  <c r="Z203" i="1"/>
  <c r="L204" i="1"/>
  <c r="AL204" i="1" s="1"/>
  <c r="Z204" i="1"/>
  <c r="AC204" i="1"/>
  <c r="AG204" i="1"/>
  <c r="AJ204" i="1"/>
  <c r="AK204" i="1"/>
  <c r="AO204" i="1"/>
  <c r="AP204" i="1"/>
  <c r="AX204" i="1"/>
  <c r="BD204" i="1"/>
  <c r="BF204" i="1"/>
  <c r="AB204" i="1"/>
  <c r="BJ204" i="1"/>
  <c r="AH204" i="1"/>
  <c r="L205" i="1"/>
  <c r="AO205" i="1"/>
  <c r="BH205" i="1" s="1"/>
  <c r="AD205" i="1" s="1"/>
  <c r="AP205" i="1"/>
  <c r="AX205" i="1" s="1"/>
  <c r="BD205" i="1"/>
  <c r="BF205" i="1"/>
  <c r="AB205" i="1"/>
  <c r="AC205" i="1"/>
  <c r="BJ205" i="1"/>
  <c r="Z205" i="1"/>
  <c r="L206" i="1"/>
  <c r="AL206" i="1" s="1"/>
  <c r="Z206" i="1"/>
  <c r="AC206" i="1"/>
  <c r="AG206" i="1"/>
  <c r="AJ206" i="1"/>
  <c r="AK206" i="1"/>
  <c r="AO206" i="1"/>
  <c r="AW206" i="1" s="1"/>
  <c r="AP206" i="1"/>
  <c r="BI206" i="1" s="1"/>
  <c r="AE206" i="1" s="1"/>
  <c r="BD206" i="1"/>
  <c r="BF206" i="1"/>
  <c r="AB206" i="1"/>
  <c r="BJ206" i="1"/>
  <c r="AH206" i="1"/>
  <c r="L207" i="1"/>
  <c r="AO207" i="1"/>
  <c r="BH207" i="1" s="1"/>
  <c r="AP207" i="1"/>
  <c r="BI207" i="1" s="1"/>
  <c r="BD207" i="1"/>
  <c r="BF207" i="1"/>
  <c r="AB207" i="1"/>
  <c r="AC207" i="1"/>
  <c r="BJ207" i="1"/>
  <c r="Z207" i="1"/>
  <c r="L208" i="1"/>
  <c r="AL208" i="1" s="1"/>
  <c r="Z208" i="1"/>
  <c r="AC208" i="1"/>
  <c r="AG208" i="1"/>
  <c r="AJ208" i="1"/>
  <c r="AK208" i="1"/>
  <c r="AO208" i="1"/>
  <c r="BH208" i="1" s="1"/>
  <c r="AP208" i="1"/>
  <c r="AX208" i="1"/>
  <c r="BD208" i="1"/>
  <c r="BF208" i="1"/>
  <c r="AB208" i="1"/>
  <c r="BI208" i="1"/>
  <c r="AE208" i="1" s="1"/>
  <c r="BJ208" i="1"/>
  <c r="AH208" i="1"/>
  <c r="L209" i="1"/>
  <c r="AO209" i="1"/>
  <c r="AW209" i="1" s="1"/>
  <c r="AP209" i="1"/>
  <c r="K209" i="1" s="1"/>
  <c r="AX209" i="1"/>
  <c r="BD209" i="1"/>
  <c r="BF209" i="1"/>
  <c r="AB209" i="1"/>
  <c r="AC209" i="1"/>
  <c r="BJ209" i="1"/>
  <c r="Z209" i="1"/>
  <c r="L210" i="1"/>
  <c r="AL210" i="1" s="1"/>
  <c r="Z210" i="1"/>
  <c r="AC210" i="1"/>
  <c r="AG210" i="1"/>
  <c r="AJ210" i="1"/>
  <c r="AK210" i="1"/>
  <c r="AO210" i="1"/>
  <c r="J210" i="1" s="1"/>
  <c r="AP210" i="1"/>
  <c r="AX210" i="1" s="1"/>
  <c r="BD210" i="1"/>
  <c r="BF210" i="1"/>
  <c r="BH210" i="1"/>
  <c r="AD210" i="1" s="1"/>
  <c r="AB210" i="1"/>
  <c r="BJ210" i="1"/>
  <c r="AH210" i="1"/>
  <c r="L211" i="1"/>
  <c r="AO211" i="1"/>
  <c r="AP211" i="1"/>
  <c r="BD211" i="1"/>
  <c r="BF211" i="1"/>
  <c r="AB211" i="1"/>
  <c r="AC211" i="1"/>
  <c r="BJ211" i="1"/>
  <c r="Z211" i="1"/>
  <c r="L212" i="1"/>
  <c r="Z212" i="1"/>
  <c r="AC212" i="1"/>
  <c r="AG212" i="1"/>
  <c r="AJ212" i="1"/>
  <c r="AK212" i="1"/>
  <c r="AL212" i="1"/>
  <c r="AO212" i="1"/>
  <c r="AP212" i="1"/>
  <c r="BD212" i="1"/>
  <c r="BF212" i="1"/>
  <c r="AB212" i="1"/>
  <c r="BJ212" i="1"/>
  <c r="AH212" i="1"/>
  <c r="L213" i="1"/>
  <c r="AL213" i="1" s="1"/>
  <c r="AO213" i="1"/>
  <c r="BH213" i="1" s="1"/>
  <c r="AP213" i="1"/>
  <c r="BI213" i="1" s="1"/>
  <c r="BD213" i="1"/>
  <c r="BF213" i="1"/>
  <c r="AB213" i="1"/>
  <c r="AC213" i="1"/>
  <c r="BJ213" i="1"/>
  <c r="Z213" i="1"/>
  <c r="L214" i="1"/>
  <c r="AL214" i="1" s="1"/>
  <c r="Z214" i="1"/>
  <c r="AC214" i="1"/>
  <c r="AG214" i="1"/>
  <c r="AJ214" i="1"/>
  <c r="AK214" i="1"/>
  <c r="AO214" i="1"/>
  <c r="J214" i="1" s="1"/>
  <c r="AP214" i="1"/>
  <c r="AX214" i="1" s="1"/>
  <c r="BD214" i="1"/>
  <c r="BF214" i="1"/>
  <c r="AB214" i="1"/>
  <c r="BI214" i="1"/>
  <c r="AE214" i="1" s="1"/>
  <c r="BJ214" i="1"/>
  <c r="AH214" i="1"/>
  <c r="L215" i="1"/>
  <c r="AL215" i="1" s="1"/>
  <c r="AO215" i="1"/>
  <c r="AW215" i="1"/>
  <c r="AP215" i="1"/>
  <c r="BD215" i="1"/>
  <c r="BF215" i="1"/>
  <c r="BH215" i="1"/>
  <c r="AD215" i="1" s="1"/>
  <c r="AB215" i="1"/>
  <c r="AC215" i="1"/>
  <c r="BJ215" i="1"/>
  <c r="Z215" i="1"/>
  <c r="L216" i="1"/>
  <c r="AL216" i="1" s="1"/>
  <c r="Z216" i="1"/>
  <c r="AC216" i="1"/>
  <c r="AG216" i="1"/>
  <c r="AJ216" i="1"/>
  <c r="AK216" i="1"/>
  <c r="AO216" i="1"/>
  <c r="BH216" i="1" s="1"/>
  <c r="AD216" i="1" s="1"/>
  <c r="AP216" i="1"/>
  <c r="BD216" i="1"/>
  <c r="BF216" i="1"/>
  <c r="AB216" i="1"/>
  <c r="BJ216" i="1"/>
  <c r="AH216" i="1"/>
  <c r="L217" i="1"/>
  <c r="AL217" i="1" s="1"/>
  <c r="AO217" i="1"/>
  <c r="AP217" i="1"/>
  <c r="AX217" i="1" s="1"/>
  <c r="BD217" i="1"/>
  <c r="BF217" i="1"/>
  <c r="AB217" i="1"/>
  <c r="AC217" i="1"/>
  <c r="BJ217" i="1"/>
  <c r="Z217" i="1"/>
  <c r="L218" i="1"/>
  <c r="AL218" i="1" s="1"/>
  <c r="Z218" i="1"/>
  <c r="AC218" i="1"/>
  <c r="AG218" i="1"/>
  <c r="AJ218" i="1"/>
  <c r="AK218" i="1"/>
  <c r="AO218" i="1"/>
  <c r="AP218" i="1"/>
  <c r="AX218" i="1"/>
  <c r="BD218" i="1"/>
  <c r="BF218" i="1"/>
  <c r="AB218" i="1"/>
  <c r="BI218" i="1"/>
  <c r="AE218" i="1" s="1"/>
  <c r="BJ218" i="1"/>
  <c r="AH218" i="1"/>
  <c r="L219" i="1"/>
  <c r="AL219" i="1" s="1"/>
  <c r="AO219" i="1"/>
  <c r="BH219" i="1" s="1"/>
  <c r="AP219" i="1"/>
  <c r="K219" i="1" s="1"/>
  <c r="BD219" i="1"/>
  <c r="BF219" i="1"/>
  <c r="AB219" i="1"/>
  <c r="AC219" i="1"/>
  <c r="BJ219" i="1"/>
  <c r="Z219" i="1"/>
  <c r="L220" i="1"/>
  <c r="AL220" i="1" s="1"/>
  <c r="Z220" i="1"/>
  <c r="AC220" i="1"/>
  <c r="AG220" i="1"/>
  <c r="AJ220" i="1"/>
  <c r="AK220" i="1"/>
  <c r="AO220" i="1"/>
  <c r="BH220" i="1" s="1"/>
  <c r="AD220" i="1" s="1"/>
  <c r="AP220" i="1"/>
  <c r="K220" i="1" s="1"/>
  <c r="BD220" i="1"/>
  <c r="BF220" i="1"/>
  <c r="AB220" i="1"/>
  <c r="BJ220" i="1"/>
  <c r="AH220" i="1"/>
  <c r="L221" i="1"/>
  <c r="AL221" i="1" s="1"/>
  <c r="AO221" i="1"/>
  <c r="AP221" i="1"/>
  <c r="AX221" i="1" s="1"/>
  <c r="BD221" i="1"/>
  <c r="BF221" i="1"/>
  <c r="AB221" i="1"/>
  <c r="AC221" i="1"/>
  <c r="BJ221" i="1"/>
  <c r="Z221" i="1"/>
  <c r="L222" i="1"/>
  <c r="AL222" i="1" s="1"/>
  <c r="Z222" i="1"/>
  <c r="AC222" i="1"/>
  <c r="AG222" i="1"/>
  <c r="AJ222" i="1"/>
  <c r="AK222" i="1"/>
  <c r="AO222" i="1"/>
  <c r="AP222" i="1"/>
  <c r="AX222" i="1" s="1"/>
  <c r="BD222" i="1"/>
  <c r="BF222" i="1"/>
  <c r="AB222" i="1"/>
  <c r="BJ222" i="1"/>
  <c r="AH222" i="1"/>
  <c r="L223" i="1"/>
  <c r="AO223" i="1"/>
  <c r="BH223" i="1" s="1"/>
  <c r="AD223" i="1" s="1"/>
  <c r="AP223" i="1"/>
  <c r="AX223" i="1" s="1"/>
  <c r="BD223" i="1"/>
  <c r="BF223" i="1"/>
  <c r="AB223" i="1"/>
  <c r="AC223" i="1"/>
  <c r="BJ223" i="1"/>
  <c r="Z223" i="1"/>
  <c r="L224" i="1"/>
  <c r="AL224" i="1" s="1"/>
  <c r="Z224" i="1"/>
  <c r="AC224" i="1"/>
  <c r="AG224" i="1"/>
  <c r="AJ224" i="1"/>
  <c r="AK224" i="1"/>
  <c r="AO224" i="1"/>
  <c r="AW224" i="1" s="1"/>
  <c r="AP224" i="1"/>
  <c r="K224" i="1" s="1"/>
  <c r="BD224" i="1"/>
  <c r="BF224" i="1"/>
  <c r="AB224" i="1"/>
  <c r="BJ224" i="1"/>
  <c r="AH224" i="1"/>
  <c r="L225" i="1"/>
  <c r="AO225" i="1"/>
  <c r="AP225" i="1"/>
  <c r="BD225" i="1"/>
  <c r="BF225" i="1"/>
  <c r="AB225" i="1"/>
  <c r="AC225" i="1"/>
  <c r="BJ225" i="1"/>
  <c r="Z225" i="1"/>
  <c r="L226" i="1"/>
  <c r="AL226" i="1" s="1"/>
  <c r="Z226" i="1"/>
  <c r="AC226" i="1"/>
  <c r="AG226" i="1"/>
  <c r="AJ226" i="1"/>
  <c r="AK226" i="1"/>
  <c r="AO226" i="1"/>
  <c r="J226" i="1" s="1"/>
  <c r="AP226" i="1"/>
  <c r="BD226" i="1"/>
  <c r="BF226" i="1"/>
  <c r="BH226" i="1"/>
  <c r="AB226" i="1"/>
  <c r="BJ226" i="1"/>
  <c r="AH226" i="1"/>
  <c r="L227" i="1"/>
  <c r="AL227" i="1" s="1"/>
  <c r="AO227" i="1"/>
  <c r="BH227" i="1" s="1"/>
  <c r="AD227" i="1" s="1"/>
  <c r="AP227" i="1"/>
  <c r="AX227" i="1" s="1"/>
  <c r="BD227" i="1"/>
  <c r="BF227" i="1"/>
  <c r="AB227" i="1"/>
  <c r="AC227" i="1"/>
  <c r="BJ227" i="1"/>
  <c r="Z227" i="1"/>
  <c r="L228" i="1"/>
  <c r="AL228" i="1" s="1"/>
  <c r="Z228" i="1"/>
  <c r="AC228" i="1"/>
  <c r="AG228" i="1"/>
  <c r="AJ228" i="1"/>
  <c r="AK228" i="1"/>
  <c r="AO228" i="1"/>
  <c r="J228" i="1" s="1"/>
  <c r="AP228" i="1"/>
  <c r="BD228" i="1"/>
  <c r="BF228" i="1"/>
  <c r="AB228" i="1"/>
  <c r="BJ228" i="1"/>
  <c r="AH228" i="1"/>
  <c r="L229" i="1"/>
  <c r="AO229" i="1"/>
  <c r="AP229" i="1"/>
  <c r="AX229" i="1" s="1"/>
  <c r="BD229" i="1"/>
  <c r="BF229" i="1"/>
  <c r="AB229" i="1"/>
  <c r="AC229" i="1"/>
  <c r="BJ229" i="1"/>
  <c r="Z229" i="1" s="1"/>
  <c r="L231" i="1"/>
  <c r="AL231" i="1" s="1"/>
  <c r="Z231" i="1"/>
  <c r="AJ231" i="1"/>
  <c r="AK231" i="1"/>
  <c r="AO231" i="1"/>
  <c r="J231" i="1" s="1"/>
  <c r="AP231" i="1"/>
  <c r="K231" i="1" s="1"/>
  <c r="BD231" i="1"/>
  <c r="BF231" i="1"/>
  <c r="AB231" i="1"/>
  <c r="AC231" i="1"/>
  <c r="BJ231" i="1"/>
  <c r="AH231" i="1"/>
  <c r="L232" i="1"/>
  <c r="AB232" i="1"/>
  <c r="AF232" i="1"/>
  <c r="AK232" i="1"/>
  <c r="AO232" i="1"/>
  <c r="J232" i="1" s="1"/>
  <c r="AP232" i="1"/>
  <c r="AX232" i="1" s="1"/>
  <c r="BD232" i="1"/>
  <c r="BF232" i="1"/>
  <c r="AC232" i="1"/>
  <c r="BJ232" i="1"/>
  <c r="Z232" i="1"/>
  <c r="L233" i="1"/>
  <c r="AL233" i="1" s="1"/>
  <c r="Z233" i="1"/>
  <c r="AJ233" i="1"/>
  <c r="AK233" i="1"/>
  <c r="AO233" i="1"/>
  <c r="J233" i="1" s="1"/>
  <c r="AP233" i="1"/>
  <c r="AX233" i="1" s="1"/>
  <c r="AW233" i="1"/>
  <c r="BD233" i="1"/>
  <c r="BF233" i="1"/>
  <c r="BH233" i="1"/>
  <c r="AB233" i="1"/>
  <c r="AC233" i="1"/>
  <c r="BJ233" i="1"/>
  <c r="AH233" i="1"/>
  <c r="L235" i="1"/>
  <c r="AB235" i="1"/>
  <c r="AF235" i="1"/>
  <c r="AK235" i="1"/>
  <c r="AO235" i="1"/>
  <c r="J235" i="1" s="1"/>
  <c r="AP235" i="1"/>
  <c r="K235" i="1" s="1"/>
  <c r="BD235" i="1"/>
  <c r="BF235" i="1"/>
  <c r="AD235" i="1"/>
  <c r="AC235" i="1"/>
  <c r="BJ235" i="1"/>
  <c r="Z235" i="1" s="1"/>
  <c r="L237" i="1"/>
  <c r="AL237" i="1" s="1"/>
  <c r="Z237" i="1"/>
  <c r="AC237" i="1"/>
  <c r="AG237" i="1"/>
  <c r="AJ237" i="1"/>
  <c r="AK237" i="1"/>
  <c r="AO237" i="1"/>
  <c r="BH237" i="1" s="1"/>
  <c r="AD237" i="1" s="1"/>
  <c r="AP237" i="1"/>
  <c r="AX237" i="1" s="1"/>
  <c r="BD237" i="1"/>
  <c r="BF237" i="1"/>
  <c r="AB237" i="1"/>
  <c r="BJ237" i="1"/>
  <c r="AH237" i="1"/>
  <c r="L238" i="1"/>
  <c r="AO238" i="1"/>
  <c r="BH238" i="1" s="1"/>
  <c r="AD238" i="1" s="1"/>
  <c r="AP238" i="1"/>
  <c r="AX238" i="1" s="1"/>
  <c r="BD238" i="1"/>
  <c r="BF238" i="1"/>
  <c r="AB238" i="1"/>
  <c r="AC238" i="1"/>
  <c r="BJ238" i="1"/>
  <c r="Z238" i="1"/>
  <c r="L239" i="1"/>
  <c r="Z239" i="1"/>
  <c r="AC239" i="1"/>
  <c r="AG239" i="1"/>
  <c r="AJ239" i="1"/>
  <c r="AK239" i="1"/>
  <c r="AL239" i="1"/>
  <c r="AO239" i="1"/>
  <c r="BH239" i="1" s="1"/>
  <c r="AP239" i="1"/>
  <c r="BD239" i="1"/>
  <c r="BF239" i="1"/>
  <c r="AB239" i="1"/>
  <c r="BJ239" i="1"/>
  <c r="AH239" i="1"/>
  <c r="L240" i="1"/>
  <c r="AL240" i="1" s="1"/>
  <c r="AO240" i="1"/>
  <c r="AW240" i="1" s="1"/>
  <c r="AP240" i="1"/>
  <c r="AX240" i="1" s="1"/>
  <c r="BD240" i="1"/>
  <c r="BF240" i="1"/>
  <c r="AB240" i="1"/>
  <c r="AC240" i="1"/>
  <c r="BJ240" i="1"/>
  <c r="Z240" i="1"/>
  <c r="L242" i="1"/>
  <c r="AL242" i="1" s="1"/>
  <c r="Z242" i="1"/>
  <c r="AJ242" i="1"/>
  <c r="AK242" i="1"/>
  <c r="AO242" i="1"/>
  <c r="AW242" i="1" s="1"/>
  <c r="AP242" i="1"/>
  <c r="BI242" i="1" s="1"/>
  <c r="AE242" i="1" s="1"/>
  <c r="BD242" i="1"/>
  <c r="BF242" i="1"/>
  <c r="AB242" i="1"/>
  <c r="AC242" i="1"/>
  <c r="BJ242" i="1"/>
  <c r="AH242" i="1"/>
  <c r="L243" i="1"/>
  <c r="AB243" i="1"/>
  <c r="AF243" i="1"/>
  <c r="AK243" i="1"/>
  <c r="AO243" i="1"/>
  <c r="BH243" i="1" s="1"/>
  <c r="AD243" i="1" s="1"/>
  <c r="AP243" i="1"/>
  <c r="K243" i="1" s="1"/>
  <c r="BD243" i="1"/>
  <c r="BF243" i="1"/>
  <c r="AC243" i="1"/>
  <c r="BJ243" i="1"/>
  <c r="Z243" i="1"/>
  <c r="L244" i="1"/>
  <c r="AL244" i="1" s="1"/>
  <c r="Z244" i="1"/>
  <c r="AJ244" i="1"/>
  <c r="AK244" i="1"/>
  <c r="AO244" i="1"/>
  <c r="J244" i="1" s="1"/>
  <c r="AP244" i="1"/>
  <c r="BI244" i="1" s="1"/>
  <c r="BD244" i="1"/>
  <c r="BF244" i="1"/>
  <c r="AB244" i="1"/>
  <c r="AC244" i="1"/>
  <c r="BJ244" i="1"/>
  <c r="AH244" i="1"/>
  <c r="L245" i="1"/>
  <c r="AL245" i="1" s="1"/>
  <c r="AB245" i="1"/>
  <c r="AF245" i="1"/>
  <c r="AK245" i="1"/>
  <c r="AO245" i="1"/>
  <c r="AP245" i="1"/>
  <c r="AX245" i="1" s="1"/>
  <c r="K245" i="1"/>
  <c r="BD245" i="1"/>
  <c r="BF245" i="1"/>
  <c r="AC245" i="1"/>
  <c r="BJ245" i="1"/>
  <c r="Z245" i="1"/>
  <c r="L246" i="1"/>
  <c r="AL246" i="1" s="1"/>
  <c r="Z246" i="1"/>
  <c r="AJ246" i="1"/>
  <c r="AK246" i="1"/>
  <c r="AO246" i="1"/>
  <c r="AP246" i="1"/>
  <c r="BI246" i="1" s="1"/>
  <c r="AE246" i="1" s="1"/>
  <c r="BD246" i="1"/>
  <c r="BF246" i="1"/>
  <c r="AB246" i="1"/>
  <c r="AC246" i="1"/>
  <c r="BJ246" i="1"/>
  <c r="AH246" i="1"/>
  <c r="L247" i="1"/>
  <c r="AB247" i="1"/>
  <c r="AF247" i="1"/>
  <c r="AK247" i="1"/>
  <c r="AO247" i="1"/>
  <c r="AP247" i="1"/>
  <c r="BD247" i="1"/>
  <c r="BF247" i="1"/>
  <c r="AC247" i="1"/>
  <c r="BJ247" i="1"/>
  <c r="Z247" i="1"/>
  <c r="L248" i="1"/>
  <c r="AL248" i="1" s="1"/>
  <c r="AJ248" i="1"/>
  <c r="AK248" i="1"/>
  <c r="AO248" i="1"/>
  <c r="AP248" i="1"/>
  <c r="BD248" i="1"/>
  <c r="BF248" i="1"/>
  <c r="AB248" i="1"/>
  <c r="BI248" i="1"/>
  <c r="AC248" i="1"/>
  <c r="BJ248" i="1"/>
  <c r="Z248" i="1" s="1"/>
  <c r="AH248" i="1"/>
  <c r="L250" i="1"/>
  <c r="AO250" i="1"/>
  <c r="BH250" i="1" s="1"/>
  <c r="AD250" i="1" s="1"/>
  <c r="AW250" i="1"/>
  <c r="AP250" i="1"/>
  <c r="AX250" i="1" s="1"/>
  <c r="BD250" i="1"/>
  <c r="BF250" i="1"/>
  <c r="AB250" i="1"/>
  <c r="AC250" i="1"/>
  <c r="BJ250" i="1"/>
  <c r="Z250" i="1"/>
  <c r="L251" i="1"/>
  <c r="AL251" i="1" s="1"/>
  <c r="Z251" i="1"/>
  <c r="AC251" i="1"/>
  <c r="AG251" i="1"/>
  <c r="AJ251" i="1"/>
  <c r="AK251" i="1"/>
  <c r="AO251" i="1"/>
  <c r="AW251" i="1" s="1"/>
  <c r="AP251" i="1"/>
  <c r="BD251" i="1"/>
  <c r="BF251" i="1"/>
  <c r="AB251" i="1"/>
  <c r="BJ251" i="1"/>
  <c r="AH251" i="1"/>
  <c r="L252" i="1"/>
  <c r="AL252" i="1" s="1"/>
  <c r="AO252" i="1"/>
  <c r="AW252" i="1" s="1"/>
  <c r="AP252" i="1"/>
  <c r="K252" i="1" s="1"/>
  <c r="BD252" i="1"/>
  <c r="BF252" i="1"/>
  <c r="BH252" i="1"/>
  <c r="AD252" i="1" s="1"/>
  <c r="AB252" i="1"/>
  <c r="AC252" i="1"/>
  <c r="BJ252" i="1"/>
  <c r="Z252" i="1"/>
  <c r="L253" i="1"/>
  <c r="Z253" i="1"/>
  <c r="AC253" i="1"/>
  <c r="AG253" i="1"/>
  <c r="AJ253" i="1"/>
  <c r="AK253" i="1"/>
  <c r="AO253" i="1"/>
  <c r="AW253" i="1" s="1"/>
  <c r="AP253" i="1"/>
  <c r="AX253" i="1" s="1"/>
  <c r="BD253" i="1"/>
  <c r="BF253" i="1"/>
  <c r="AB253" i="1"/>
  <c r="BI253" i="1"/>
  <c r="AE253" i="1" s="1"/>
  <c r="BJ253" i="1"/>
  <c r="AH253" i="1"/>
  <c r="L254" i="1"/>
  <c r="AO254" i="1"/>
  <c r="AW254" i="1" s="1"/>
  <c r="AP254" i="1"/>
  <c r="K254" i="1" s="1"/>
  <c r="BD254" i="1"/>
  <c r="BF254" i="1"/>
  <c r="AB254" i="1"/>
  <c r="AC254" i="1"/>
  <c r="BJ254" i="1"/>
  <c r="Z254" i="1"/>
  <c r="L255" i="1"/>
  <c r="AL255" i="1" s="1"/>
  <c r="Z255" i="1"/>
  <c r="AC255" i="1"/>
  <c r="AG255" i="1"/>
  <c r="AJ255" i="1"/>
  <c r="AK255" i="1"/>
  <c r="AO255" i="1"/>
  <c r="J255" i="1" s="1"/>
  <c r="AP255" i="1"/>
  <c r="BI255" i="1" s="1"/>
  <c r="AE255" i="1" s="1"/>
  <c r="BD255" i="1"/>
  <c r="BF255" i="1"/>
  <c r="AB255" i="1"/>
  <c r="BJ255" i="1"/>
  <c r="AH255" i="1"/>
  <c r="L256" i="1"/>
  <c r="AO256" i="1"/>
  <c r="AW256" i="1" s="1"/>
  <c r="AP256" i="1"/>
  <c r="BI256" i="1" s="1"/>
  <c r="AE256" i="1" s="1"/>
  <c r="K256" i="1"/>
  <c r="BD256" i="1"/>
  <c r="BF256" i="1"/>
  <c r="AB256" i="1"/>
  <c r="AC256" i="1"/>
  <c r="BJ256" i="1"/>
  <c r="Z256" i="1"/>
  <c r="L257" i="1"/>
  <c r="AC257" i="1"/>
  <c r="AG257" i="1"/>
  <c r="AJ257" i="1"/>
  <c r="AK257" i="1"/>
  <c r="AL257" i="1"/>
  <c r="AO257" i="1"/>
  <c r="J257" i="1" s="1"/>
  <c r="AP257" i="1"/>
  <c r="AW257" i="1"/>
  <c r="BD257" i="1"/>
  <c r="BF257" i="1"/>
  <c r="AB257" i="1"/>
  <c r="AE257" i="1"/>
  <c r="BJ257" i="1"/>
  <c r="Z257" i="1" s="1"/>
  <c r="AH257" i="1"/>
  <c r="L259" i="1"/>
  <c r="AB259" i="1"/>
  <c r="AF259" i="1"/>
  <c r="AK259" i="1"/>
  <c r="AO259" i="1"/>
  <c r="AP259" i="1"/>
  <c r="K259" i="1" s="1"/>
  <c r="BD259" i="1"/>
  <c r="BF259" i="1"/>
  <c r="AC259" i="1"/>
  <c r="BJ259" i="1"/>
  <c r="Z259" i="1"/>
  <c r="L260" i="1"/>
  <c r="Z260" i="1"/>
  <c r="AJ260" i="1"/>
  <c r="AK260" i="1"/>
  <c r="AO260" i="1"/>
  <c r="J260" i="1" s="1"/>
  <c r="AP260" i="1"/>
  <c r="BD260" i="1"/>
  <c r="BF260" i="1"/>
  <c r="AB260" i="1"/>
  <c r="AC260" i="1"/>
  <c r="BJ260" i="1"/>
  <c r="AH260" i="1"/>
  <c r="L261" i="1"/>
  <c r="AL261" i="1" s="1"/>
  <c r="AB261" i="1"/>
  <c r="AF261" i="1"/>
  <c r="AK261" i="1"/>
  <c r="AO261" i="1"/>
  <c r="J261" i="1" s="1"/>
  <c r="AP261" i="1"/>
  <c r="BI261" i="1" s="1"/>
  <c r="AE261" i="1" s="1"/>
  <c r="BD261" i="1"/>
  <c r="BF261" i="1"/>
  <c r="AC261" i="1"/>
  <c r="BJ261" i="1"/>
  <c r="Z261" i="1"/>
  <c r="L262" i="1"/>
  <c r="AL262" i="1" s="1"/>
  <c r="Z262" i="1"/>
  <c r="AJ262" i="1"/>
  <c r="AK262" i="1"/>
  <c r="AO262" i="1"/>
  <c r="AP262" i="1"/>
  <c r="BI262" i="1" s="1"/>
  <c r="AE262" i="1" s="1"/>
  <c r="BD262" i="1"/>
  <c r="BF262" i="1"/>
  <c r="AB262" i="1"/>
  <c r="AC262" i="1"/>
  <c r="BJ262" i="1"/>
  <c r="AH262" i="1"/>
  <c r="L263" i="1"/>
  <c r="AB263" i="1"/>
  <c r="AF263" i="1"/>
  <c r="AK263" i="1"/>
  <c r="AO263" i="1"/>
  <c r="AP263" i="1"/>
  <c r="BD263" i="1"/>
  <c r="BF263" i="1"/>
  <c r="AC263" i="1"/>
  <c r="BJ263" i="1"/>
  <c r="Z263" i="1"/>
  <c r="L264" i="1"/>
  <c r="AL264" i="1" s="1"/>
  <c r="Z264" i="1"/>
  <c r="AJ264" i="1"/>
  <c r="AK264" i="1"/>
  <c r="AO264" i="1"/>
  <c r="J264" i="1" s="1"/>
  <c r="AP264" i="1"/>
  <c r="BD264" i="1"/>
  <c r="BF264" i="1"/>
  <c r="AB264" i="1"/>
  <c r="AC264" i="1"/>
  <c r="BJ264" i="1"/>
  <c r="AH264" i="1"/>
  <c r="L265" i="1"/>
  <c r="AL265" i="1" s="1"/>
  <c r="AB265" i="1"/>
  <c r="AF265" i="1"/>
  <c r="AK265" i="1"/>
  <c r="AO265" i="1"/>
  <c r="AW265" i="1" s="1"/>
  <c r="AP265" i="1"/>
  <c r="BI265" i="1" s="1"/>
  <c r="AE265" i="1" s="1"/>
  <c r="BD265" i="1"/>
  <c r="BF265" i="1"/>
  <c r="AC265" i="1"/>
  <c r="BJ265" i="1"/>
  <c r="Z265" i="1"/>
  <c r="L266" i="1"/>
  <c r="AL266" i="1" s="1"/>
  <c r="Z266" i="1"/>
  <c r="AJ266" i="1"/>
  <c r="AK266" i="1"/>
  <c r="AO266" i="1"/>
  <c r="J266" i="1" s="1"/>
  <c r="AP266" i="1"/>
  <c r="BI266" i="1" s="1"/>
  <c r="AE266" i="1" s="1"/>
  <c r="BD266" i="1"/>
  <c r="BF266" i="1"/>
  <c r="AB266" i="1"/>
  <c r="AC266" i="1"/>
  <c r="BJ266" i="1"/>
  <c r="AH266" i="1"/>
  <c r="L267" i="1"/>
  <c r="AB267" i="1"/>
  <c r="AF267" i="1"/>
  <c r="AK267" i="1"/>
  <c r="AO267" i="1"/>
  <c r="BH267" i="1" s="1"/>
  <c r="AD267" i="1" s="1"/>
  <c r="AW267" i="1"/>
  <c r="AP267" i="1"/>
  <c r="K267" i="1" s="1"/>
  <c r="BD267" i="1"/>
  <c r="BF267" i="1"/>
  <c r="AC267" i="1"/>
  <c r="BJ267" i="1"/>
  <c r="Z267" i="1"/>
  <c r="L268" i="1"/>
  <c r="AL268" i="1" s="1"/>
  <c r="Z268" i="1"/>
  <c r="AJ268" i="1"/>
  <c r="AK268" i="1"/>
  <c r="AO268" i="1"/>
  <c r="AW268" i="1" s="1"/>
  <c r="AP268" i="1"/>
  <c r="BI268" i="1" s="1"/>
  <c r="AE268" i="1" s="1"/>
  <c r="BD268" i="1"/>
  <c r="BF268" i="1"/>
  <c r="AB268" i="1"/>
  <c r="AC268" i="1"/>
  <c r="BJ268" i="1"/>
  <c r="AH268" i="1"/>
  <c r="L269" i="1"/>
  <c r="AB269" i="1"/>
  <c r="AF269" i="1"/>
  <c r="AK269" i="1"/>
  <c r="AO269" i="1"/>
  <c r="AP269" i="1"/>
  <c r="AX269" i="1" s="1"/>
  <c r="BD269" i="1"/>
  <c r="BF269" i="1"/>
  <c r="AC269" i="1"/>
  <c r="BJ269" i="1"/>
  <c r="Z269" i="1"/>
  <c r="L270" i="1"/>
  <c r="AL270" i="1" s="1"/>
  <c r="Z270" i="1"/>
  <c r="AJ270" i="1"/>
  <c r="AK270" i="1"/>
  <c r="AO270" i="1"/>
  <c r="BH270" i="1" s="1"/>
  <c r="AD270" i="1" s="1"/>
  <c r="AP270" i="1"/>
  <c r="AX270" i="1" s="1"/>
  <c r="BD270" i="1"/>
  <c r="BF270" i="1"/>
  <c r="AB270" i="1"/>
  <c r="BI270" i="1"/>
  <c r="AE270" i="1" s="1"/>
  <c r="AC270" i="1"/>
  <c r="BJ270" i="1"/>
  <c r="AH270" i="1"/>
  <c r="L271" i="1"/>
  <c r="AB271" i="1"/>
  <c r="AF271" i="1"/>
  <c r="AK271" i="1"/>
  <c r="AO271" i="1"/>
  <c r="BH271" i="1" s="1"/>
  <c r="AD271" i="1" s="1"/>
  <c r="AP271" i="1"/>
  <c r="K271" i="1" s="1"/>
  <c r="BD271" i="1"/>
  <c r="BF271" i="1"/>
  <c r="AC271" i="1"/>
  <c r="BJ271" i="1"/>
  <c r="Z271" i="1"/>
  <c r="L272" i="1"/>
  <c r="AL272" i="1" s="1"/>
  <c r="Z272" i="1"/>
  <c r="AJ272" i="1"/>
  <c r="AK272" i="1"/>
  <c r="AO272" i="1"/>
  <c r="BH272" i="1" s="1"/>
  <c r="AD272" i="1" s="1"/>
  <c r="AP272" i="1"/>
  <c r="AX272" i="1" s="1"/>
  <c r="BD272" i="1"/>
  <c r="BF272" i="1"/>
  <c r="AB272" i="1"/>
  <c r="BJ272" i="1"/>
  <c r="AH272" i="1"/>
  <c r="L273" i="1"/>
  <c r="AL273" i="1" s="1"/>
  <c r="AB273" i="1"/>
  <c r="AF273" i="1"/>
  <c r="AK273" i="1"/>
  <c r="AO273" i="1"/>
  <c r="BH273" i="1" s="1"/>
  <c r="AD273" i="1" s="1"/>
  <c r="AW273" i="1"/>
  <c r="AP273" i="1"/>
  <c r="K273" i="1" s="1"/>
  <c r="BD273" i="1"/>
  <c r="BF273" i="1"/>
  <c r="AC273" i="1"/>
  <c r="BJ273" i="1"/>
  <c r="Z273" i="1"/>
  <c r="L274" i="1"/>
  <c r="AL274" i="1" s="1"/>
  <c r="Z274" i="1"/>
  <c r="AJ274" i="1"/>
  <c r="AK274" i="1"/>
  <c r="AO274" i="1"/>
  <c r="AW274" i="1" s="1"/>
  <c r="AP274" i="1"/>
  <c r="AX274" i="1" s="1"/>
  <c r="BD274" i="1"/>
  <c r="BF274" i="1"/>
  <c r="AB274" i="1"/>
  <c r="BI274" i="1"/>
  <c r="AE274" i="1" s="1"/>
  <c r="AC274" i="1"/>
  <c r="BJ274" i="1"/>
  <c r="AH274" i="1"/>
  <c r="L275" i="1"/>
  <c r="AL275" i="1" s="1"/>
  <c r="AB275" i="1"/>
  <c r="AF275" i="1"/>
  <c r="AK275" i="1"/>
  <c r="AO275" i="1"/>
  <c r="AP275" i="1"/>
  <c r="BI275" i="1" s="1"/>
  <c r="AE275" i="1" s="1"/>
  <c r="BD275" i="1"/>
  <c r="BF275" i="1"/>
  <c r="AC275" i="1"/>
  <c r="BJ275" i="1"/>
  <c r="Z275" i="1"/>
  <c r="L276" i="1"/>
  <c r="AL276" i="1" s="1"/>
  <c r="Z276" i="1"/>
  <c r="AJ276" i="1"/>
  <c r="AK276" i="1"/>
  <c r="AO276" i="1"/>
  <c r="AW276" i="1" s="1"/>
  <c r="AP276" i="1"/>
  <c r="BI276" i="1" s="1"/>
  <c r="AE276" i="1" s="1"/>
  <c r="BD276" i="1"/>
  <c r="BF276" i="1"/>
  <c r="AB276" i="1"/>
  <c r="AC276" i="1"/>
  <c r="BJ276" i="1"/>
  <c r="AH276" i="1"/>
  <c r="L277" i="1"/>
  <c r="AB277" i="1"/>
  <c r="AF277" i="1"/>
  <c r="AK277" i="1"/>
  <c r="AO277" i="1"/>
  <c r="J277" i="1" s="1"/>
  <c r="AP277" i="1"/>
  <c r="K277" i="1" s="1"/>
  <c r="BD277" i="1"/>
  <c r="BF277" i="1"/>
  <c r="AC277" i="1"/>
  <c r="BJ277" i="1"/>
  <c r="Z277" i="1"/>
  <c r="L278" i="1"/>
  <c r="Z278" i="1"/>
  <c r="AJ278" i="1"/>
  <c r="AK278" i="1"/>
  <c r="AL278" i="1"/>
  <c r="AO278" i="1"/>
  <c r="BH278" i="1" s="1"/>
  <c r="AD278" i="1" s="1"/>
  <c r="AP278" i="1"/>
  <c r="AW278" i="1"/>
  <c r="BD278" i="1"/>
  <c r="BF278" i="1"/>
  <c r="AB278" i="1"/>
  <c r="AC278" i="1"/>
  <c r="BJ278" i="1"/>
  <c r="AH278" i="1"/>
  <c r="L279" i="1"/>
  <c r="AB279" i="1"/>
  <c r="AF279" i="1"/>
  <c r="AK279" i="1"/>
  <c r="AO279" i="1"/>
  <c r="BH279" i="1" s="1"/>
  <c r="AW279" i="1"/>
  <c r="AP279" i="1"/>
  <c r="BI279" i="1" s="1"/>
  <c r="BD279" i="1"/>
  <c r="BF279" i="1"/>
  <c r="AD279" i="1"/>
  <c r="AC279" i="1"/>
  <c r="BJ279" i="1"/>
  <c r="Z279" i="1" s="1"/>
  <c r="L281" i="1"/>
  <c r="AO281" i="1"/>
  <c r="BH281" i="1" s="1"/>
  <c r="AD281" i="1" s="1"/>
  <c r="AP281" i="1"/>
  <c r="BI281" i="1" s="1"/>
  <c r="BD281" i="1"/>
  <c r="BF281" i="1"/>
  <c r="BJ281" i="1"/>
  <c r="AH281" i="1" s="1"/>
  <c r="L282" i="1"/>
  <c r="AL282" i="1" s="1"/>
  <c r="AO282" i="1"/>
  <c r="AW282" i="1" s="1"/>
  <c r="AP282" i="1"/>
  <c r="BI282" i="1" s="1"/>
  <c r="AE282" i="1" s="1"/>
  <c r="BD282" i="1"/>
  <c r="BF282" i="1"/>
  <c r="AB282" i="1"/>
  <c r="AC282" i="1"/>
  <c r="BJ282" i="1"/>
  <c r="Z282" i="1"/>
  <c r="L284" i="1"/>
  <c r="AL284" i="1" s="1"/>
  <c r="Z284" i="1"/>
  <c r="AC284" i="1"/>
  <c r="AG284" i="1"/>
  <c r="AJ284" i="1"/>
  <c r="AK284" i="1"/>
  <c r="AO284" i="1"/>
  <c r="AW284" i="1" s="1"/>
  <c r="AP284" i="1"/>
  <c r="BI284" i="1" s="1"/>
  <c r="AE284" i="1" s="1"/>
  <c r="BD284" i="1"/>
  <c r="BF284" i="1"/>
  <c r="AB284" i="1"/>
  <c r="BJ284" i="1"/>
  <c r="AH284" i="1"/>
  <c r="L286" i="1"/>
  <c r="AL286" i="1" s="1"/>
  <c r="AO286" i="1"/>
  <c r="AW286" i="1" s="1"/>
  <c r="AP286" i="1"/>
  <c r="AX286" i="1" s="1"/>
  <c r="K286" i="1"/>
  <c r="BD286" i="1"/>
  <c r="BF286" i="1"/>
  <c r="AB286" i="1"/>
  <c r="AC286" i="1"/>
  <c r="BJ286" i="1"/>
  <c r="Z286" i="1"/>
  <c r="L288" i="1"/>
  <c r="AL288" i="1" s="1"/>
  <c r="AC288" i="1"/>
  <c r="AG288" i="1"/>
  <c r="AJ288" i="1"/>
  <c r="AK288" i="1"/>
  <c r="AO288" i="1"/>
  <c r="AW288" i="1" s="1"/>
  <c r="AP288" i="1"/>
  <c r="BD288" i="1"/>
  <c r="BF288" i="1"/>
  <c r="AB288" i="1"/>
  <c r="AE288" i="1"/>
  <c r="BJ288" i="1"/>
  <c r="Z288" i="1" s="1"/>
  <c r="AH288" i="1"/>
  <c r="L290" i="1"/>
  <c r="AL290" i="1" s="1"/>
  <c r="AB290" i="1"/>
  <c r="AF290" i="1"/>
  <c r="AK290" i="1"/>
  <c r="AO290" i="1"/>
  <c r="J290" i="1" s="1"/>
  <c r="AW290" i="1"/>
  <c r="AP290" i="1"/>
  <c r="AX290" i="1" s="1"/>
  <c r="AV290" i="1" s="1"/>
  <c r="BD290" i="1"/>
  <c r="BF290" i="1"/>
  <c r="AC290" i="1"/>
  <c r="BJ290" i="1"/>
  <c r="Z290" i="1"/>
  <c r="L292" i="1"/>
  <c r="AL292" i="1" s="1"/>
  <c r="Z292" i="1"/>
  <c r="AJ292" i="1"/>
  <c r="AK292" i="1"/>
  <c r="AO292" i="1"/>
  <c r="AW292" i="1" s="1"/>
  <c r="AP292" i="1"/>
  <c r="AX292" i="1" s="1"/>
  <c r="BD292" i="1"/>
  <c r="BF292" i="1"/>
  <c r="AB292" i="1"/>
  <c r="AC292" i="1"/>
  <c r="BJ292" i="1"/>
  <c r="AH292" i="1"/>
  <c r="L293" i="1"/>
  <c r="AB293" i="1"/>
  <c r="AF293" i="1"/>
  <c r="AK293" i="1"/>
  <c r="AO293" i="1"/>
  <c r="AP293" i="1"/>
  <c r="AX293" i="1" s="1"/>
  <c r="BD293" i="1"/>
  <c r="BF293" i="1"/>
  <c r="AC293" i="1"/>
  <c r="BJ293" i="1"/>
  <c r="Z293" i="1"/>
  <c r="L294" i="1"/>
  <c r="AL294" i="1" s="1"/>
  <c r="Z294" i="1"/>
  <c r="AJ294" i="1"/>
  <c r="AK294" i="1"/>
  <c r="AO294" i="1"/>
  <c r="AP294" i="1"/>
  <c r="BD294" i="1"/>
  <c r="BF294" i="1"/>
  <c r="AB294" i="1"/>
  <c r="AC294" i="1"/>
  <c r="BJ294" i="1"/>
  <c r="AH294" i="1"/>
  <c r="L295" i="1"/>
  <c r="AL295" i="1" s="1"/>
  <c r="AB295" i="1"/>
  <c r="AF295" i="1"/>
  <c r="AK295" i="1"/>
  <c r="AO295" i="1"/>
  <c r="BH295" i="1" s="1"/>
  <c r="AD295" i="1" s="1"/>
  <c r="AP295" i="1"/>
  <c r="K295" i="1" s="1"/>
  <c r="BD295" i="1"/>
  <c r="BF295" i="1"/>
  <c r="AC295" i="1"/>
  <c r="BJ295" i="1"/>
  <c r="Z295" i="1"/>
  <c r="L297" i="1"/>
  <c r="AL297" i="1" s="1"/>
  <c r="Z297" i="1"/>
  <c r="AJ297" i="1"/>
  <c r="AK297" i="1"/>
  <c r="AO297" i="1"/>
  <c r="AP297" i="1"/>
  <c r="BI297" i="1" s="1"/>
  <c r="AE297" i="1" s="1"/>
  <c r="BD297" i="1"/>
  <c r="BF297" i="1"/>
  <c r="AB297" i="1"/>
  <c r="AC297" i="1"/>
  <c r="BJ297" i="1"/>
  <c r="AH297" i="1"/>
  <c r="L298" i="1"/>
  <c r="AL298" i="1" s="1"/>
  <c r="AB298" i="1"/>
  <c r="AF298" i="1"/>
  <c r="AK298" i="1"/>
  <c r="AO298" i="1"/>
  <c r="BH298" i="1" s="1"/>
  <c r="AD298" i="1" s="1"/>
  <c r="AP298" i="1"/>
  <c r="K298" i="1" s="1"/>
  <c r="BD298" i="1"/>
  <c r="BF298" i="1"/>
  <c r="AC298" i="1"/>
  <c r="BJ298" i="1"/>
  <c r="Z298" i="1"/>
  <c r="L299" i="1"/>
  <c r="AL299" i="1" s="1"/>
  <c r="Z299" i="1"/>
  <c r="AJ299" i="1"/>
  <c r="AK299" i="1"/>
  <c r="AO299" i="1"/>
  <c r="AW299" i="1" s="1"/>
  <c r="AP299" i="1"/>
  <c r="K299" i="1" s="1"/>
  <c r="BD299" i="1"/>
  <c r="BF299" i="1"/>
  <c r="AB299" i="1"/>
  <c r="AC299" i="1"/>
  <c r="BJ299" i="1"/>
  <c r="AH299" i="1"/>
  <c r="L300" i="1"/>
  <c r="AL300" i="1" s="1"/>
  <c r="AB300" i="1"/>
  <c r="AF300" i="1"/>
  <c r="AK300" i="1"/>
  <c r="AO300" i="1"/>
  <c r="BH300" i="1" s="1"/>
  <c r="AD300" i="1" s="1"/>
  <c r="AP300" i="1"/>
  <c r="K300" i="1" s="1"/>
  <c r="BD300" i="1"/>
  <c r="BF300" i="1"/>
  <c r="AC300" i="1"/>
  <c r="BJ300" i="1"/>
  <c r="Z300" i="1"/>
  <c r="L302" i="1"/>
  <c r="AL302" i="1" s="1"/>
  <c r="Z302" i="1"/>
  <c r="AJ302" i="1"/>
  <c r="AK302" i="1"/>
  <c r="AO302" i="1"/>
  <c r="J302" i="1" s="1"/>
  <c r="AP302" i="1"/>
  <c r="AX302" i="1" s="1"/>
  <c r="BD302" i="1"/>
  <c r="BF302" i="1"/>
  <c r="AB302" i="1"/>
  <c r="BI302" i="1"/>
  <c r="AE302" i="1" s="1"/>
  <c r="AC302" i="1"/>
  <c r="BJ302" i="1"/>
  <c r="AH302" i="1"/>
  <c r="L303" i="1"/>
  <c r="AB303" i="1"/>
  <c r="AF303" i="1"/>
  <c r="AK303" i="1"/>
  <c r="AO303" i="1"/>
  <c r="J303" i="1" s="1"/>
  <c r="AP303" i="1"/>
  <c r="BD303" i="1"/>
  <c r="BF303" i="1"/>
  <c r="BH303" i="1"/>
  <c r="AD303" i="1" s="1"/>
  <c r="AC303" i="1"/>
  <c r="BJ303" i="1"/>
  <c r="Z303" i="1"/>
  <c r="L304" i="1"/>
  <c r="AL304" i="1" s="1"/>
  <c r="Z304" i="1"/>
  <c r="AJ304" i="1"/>
  <c r="AK304" i="1"/>
  <c r="AO304" i="1"/>
  <c r="BH304" i="1" s="1"/>
  <c r="AD304" i="1" s="1"/>
  <c r="AP304" i="1"/>
  <c r="BI304" i="1" s="1"/>
  <c r="AE304" i="1" s="1"/>
  <c r="BD304" i="1"/>
  <c r="BF304" i="1"/>
  <c r="AB304" i="1"/>
  <c r="AC304" i="1"/>
  <c r="BJ304" i="1"/>
  <c r="AH304" i="1"/>
  <c r="L305" i="1"/>
  <c r="AL305" i="1" s="1"/>
  <c r="AB305" i="1"/>
  <c r="AF305" i="1"/>
  <c r="AK305" i="1"/>
  <c r="AO305" i="1"/>
  <c r="BH305" i="1" s="1"/>
  <c r="AD305" i="1" s="1"/>
  <c r="AW305" i="1"/>
  <c r="AP305" i="1"/>
  <c r="BD305" i="1"/>
  <c r="BF305" i="1"/>
  <c r="AC305" i="1"/>
  <c r="BJ305" i="1"/>
  <c r="Z305" i="1"/>
  <c r="L306" i="1"/>
  <c r="AL306" i="1" s="1"/>
  <c r="AJ306" i="1"/>
  <c r="AK306" i="1"/>
  <c r="AO306" i="1"/>
  <c r="BH306" i="1" s="1"/>
  <c r="AP306" i="1"/>
  <c r="AX306" i="1" s="1"/>
  <c r="BD306" i="1"/>
  <c r="BF306" i="1"/>
  <c r="AB306" i="1"/>
  <c r="AC306" i="1"/>
  <c r="BJ306" i="1"/>
  <c r="Z306" i="1" s="1"/>
  <c r="AH306" i="1"/>
  <c r="L308" i="1"/>
  <c r="AO308" i="1"/>
  <c r="AP308" i="1"/>
  <c r="BD308" i="1"/>
  <c r="BF308" i="1"/>
  <c r="AB308" i="1"/>
  <c r="AC308" i="1"/>
  <c r="BJ308" i="1"/>
  <c r="Z308" i="1"/>
  <c r="L310" i="1"/>
  <c r="AL310" i="1" s="1"/>
  <c r="Z310" i="1"/>
  <c r="AC310" i="1"/>
  <c r="AG310" i="1"/>
  <c r="AJ310" i="1"/>
  <c r="AK310" i="1"/>
  <c r="AO310" i="1"/>
  <c r="BH310" i="1" s="1"/>
  <c r="AP310" i="1"/>
  <c r="BD310" i="1"/>
  <c r="BF310" i="1"/>
  <c r="AB310" i="1"/>
  <c r="BJ310" i="1"/>
  <c r="AH310" i="1"/>
  <c r="L311" i="1"/>
  <c r="AL311" i="1" s="1"/>
  <c r="AO311" i="1"/>
  <c r="AP311" i="1"/>
  <c r="K311" i="1" s="1"/>
  <c r="BD311" i="1"/>
  <c r="BF311" i="1"/>
  <c r="AB311" i="1"/>
  <c r="AC311" i="1"/>
  <c r="BJ311" i="1"/>
  <c r="Z311" i="1"/>
  <c r="L312" i="1"/>
  <c r="AL312" i="1" s="1"/>
  <c r="Z312" i="1"/>
  <c r="AC312" i="1"/>
  <c r="AG312" i="1"/>
  <c r="AJ312" i="1"/>
  <c r="AK312" i="1"/>
  <c r="AO312" i="1"/>
  <c r="BH312" i="1" s="1"/>
  <c r="AD312" i="1" s="1"/>
  <c r="AP312" i="1"/>
  <c r="BI312" i="1" s="1"/>
  <c r="AE312" i="1" s="1"/>
  <c r="BD312" i="1"/>
  <c r="BF312" i="1"/>
  <c r="AB312" i="1"/>
  <c r="BJ312" i="1"/>
  <c r="AH312" i="1"/>
  <c r="L313" i="1"/>
  <c r="AO313" i="1"/>
  <c r="AP313" i="1"/>
  <c r="BI313" i="1" s="1"/>
  <c r="AE313" i="1" s="1"/>
  <c r="BD313" i="1"/>
  <c r="BF313" i="1"/>
  <c r="AB313" i="1"/>
  <c r="AC313" i="1"/>
  <c r="BJ313" i="1"/>
  <c r="Z313" i="1"/>
  <c r="L314" i="1"/>
  <c r="AL314" i="1" s="1"/>
  <c r="Z314" i="1"/>
  <c r="AC314" i="1"/>
  <c r="AG314" i="1"/>
  <c r="AJ314" i="1"/>
  <c r="AK314" i="1"/>
  <c r="AO314" i="1"/>
  <c r="AP314" i="1"/>
  <c r="AX314" i="1" s="1"/>
  <c r="BD314" i="1"/>
  <c r="BF314" i="1"/>
  <c r="AB314" i="1"/>
  <c r="BI314" i="1"/>
  <c r="AE314" i="1" s="1"/>
  <c r="BJ314" i="1"/>
  <c r="AH314" i="1"/>
  <c r="L315" i="1"/>
  <c r="AL315" i="1" s="1"/>
  <c r="AO315" i="1"/>
  <c r="AW315" i="1" s="1"/>
  <c r="AP315" i="1"/>
  <c r="AX315" i="1" s="1"/>
  <c r="BD315" i="1"/>
  <c r="BF315" i="1"/>
  <c r="AB315" i="1"/>
  <c r="AC315" i="1"/>
  <c r="BJ315" i="1"/>
  <c r="Z315" i="1"/>
  <c r="L316" i="1"/>
  <c r="AL316" i="1" s="1"/>
  <c r="AC316" i="1"/>
  <c r="AG316" i="1"/>
  <c r="AJ316" i="1"/>
  <c r="AK316" i="1"/>
  <c r="AO316" i="1"/>
  <c r="J316" i="1" s="1"/>
  <c r="AP316" i="1"/>
  <c r="BD316" i="1"/>
  <c r="BF316" i="1"/>
  <c r="BH316" i="1"/>
  <c r="AB316" i="1"/>
  <c r="AE316" i="1"/>
  <c r="BJ316" i="1"/>
  <c r="Z316" i="1" s="1"/>
  <c r="AH316" i="1"/>
  <c r="L318" i="1"/>
  <c r="AB318" i="1"/>
  <c r="AF318" i="1"/>
  <c r="AK318" i="1"/>
  <c r="AO318" i="1"/>
  <c r="J318" i="1" s="1"/>
  <c r="AP318" i="1"/>
  <c r="AX318" i="1" s="1"/>
  <c r="BD318" i="1"/>
  <c r="BF318" i="1"/>
  <c r="AC318" i="1"/>
  <c r="BJ318" i="1"/>
  <c r="Z318" i="1"/>
  <c r="L319" i="1"/>
  <c r="AL319" i="1" s="1"/>
  <c r="Z319" i="1"/>
  <c r="AJ319" i="1"/>
  <c r="AK319" i="1"/>
  <c r="AO319" i="1"/>
  <c r="AP319" i="1"/>
  <c r="AX319" i="1" s="1"/>
  <c r="BD319" i="1"/>
  <c r="BF319" i="1"/>
  <c r="AB319" i="1"/>
  <c r="AC319" i="1"/>
  <c r="BJ319" i="1"/>
  <c r="AH319" i="1"/>
  <c r="L320" i="1"/>
  <c r="AB320" i="1"/>
  <c r="AF320" i="1"/>
  <c r="AK320" i="1"/>
  <c r="AO320" i="1"/>
  <c r="AW320" i="1" s="1"/>
  <c r="AP320" i="1"/>
  <c r="BI320" i="1" s="1"/>
  <c r="AE320" i="1" s="1"/>
  <c r="BD320" i="1"/>
  <c r="BF320" i="1"/>
  <c r="AC320" i="1"/>
  <c r="BJ320" i="1"/>
  <c r="Z320" i="1"/>
  <c r="L322" i="1"/>
  <c r="AL322" i="1" s="1"/>
  <c r="Z322" i="1"/>
  <c r="AJ322" i="1"/>
  <c r="AK322" i="1"/>
  <c r="AO322" i="1"/>
  <c r="AW322" i="1" s="1"/>
  <c r="AP322" i="1"/>
  <c r="BD322" i="1"/>
  <c r="BF322" i="1"/>
  <c r="AB322" i="1"/>
  <c r="AC322" i="1"/>
  <c r="BJ322" i="1"/>
  <c r="AH322" i="1"/>
  <c r="L323" i="1"/>
  <c r="AL323" i="1" s="1"/>
  <c r="AB323" i="1"/>
  <c r="AF323" i="1"/>
  <c r="AK323" i="1"/>
  <c r="AO323" i="1"/>
  <c r="BH323" i="1" s="1"/>
  <c r="AD323" i="1" s="1"/>
  <c r="AP323" i="1"/>
  <c r="BI323" i="1" s="1"/>
  <c r="AE323" i="1" s="1"/>
  <c r="BD323" i="1"/>
  <c r="BF323" i="1"/>
  <c r="AC323" i="1"/>
  <c r="BJ323" i="1"/>
  <c r="Z323" i="1"/>
  <c r="L324" i="1"/>
  <c r="AL324" i="1" s="1"/>
  <c r="Z324" i="1"/>
  <c r="AJ324" i="1"/>
  <c r="AK324" i="1"/>
  <c r="AO324" i="1"/>
  <c r="BH324" i="1" s="1"/>
  <c r="AD324" i="1" s="1"/>
  <c r="AP324" i="1"/>
  <c r="K324" i="1" s="1"/>
  <c r="BD324" i="1"/>
  <c r="BF324" i="1"/>
  <c r="AB324" i="1"/>
  <c r="AC324" i="1"/>
  <c r="BJ324" i="1"/>
  <c r="AH324" i="1"/>
  <c r="L326" i="1"/>
  <c r="AO326" i="1"/>
  <c r="BH326" i="1" s="1"/>
  <c r="AD326" i="1" s="1"/>
  <c r="AP326" i="1"/>
  <c r="BD326" i="1"/>
  <c r="BF326" i="1"/>
  <c r="AB326" i="1"/>
  <c r="AC326" i="1"/>
  <c r="BJ326" i="1"/>
  <c r="Z326" i="1"/>
  <c r="L327" i="1"/>
  <c r="AL327" i="1" s="1"/>
  <c r="Z327" i="1"/>
  <c r="AC327" i="1"/>
  <c r="AG327" i="1"/>
  <c r="AJ327" i="1"/>
  <c r="AK327" i="1"/>
  <c r="AO327" i="1"/>
  <c r="AP327" i="1"/>
  <c r="AX327" i="1" s="1"/>
  <c r="BD327" i="1"/>
  <c r="BF327" i="1"/>
  <c r="AB327" i="1"/>
  <c r="BI327" i="1"/>
  <c r="AE327" i="1" s="1"/>
  <c r="BJ327" i="1"/>
  <c r="AH327" i="1"/>
  <c r="L328" i="1"/>
  <c r="L325" i="1" s="1"/>
  <c r="AO328" i="1"/>
  <c r="AP328" i="1"/>
  <c r="BD328" i="1"/>
  <c r="BF328" i="1"/>
  <c r="AB328" i="1"/>
  <c r="AC328" i="1"/>
  <c r="BJ328" i="1"/>
  <c r="Z328" i="1"/>
  <c r="AH328" i="1"/>
  <c r="AJ328" i="1"/>
  <c r="AS325" i="1" s="1"/>
  <c r="AH326" i="1"/>
  <c r="AJ326" i="1"/>
  <c r="AL326" i="1"/>
  <c r="AH315" i="1"/>
  <c r="AJ315" i="1"/>
  <c r="AH313" i="1"/>
  <c r="AJ313" i="1"/>
  <c r="AL313" i="1"/>
  <c r="AH311" i="1"/>
  <c r="AJ311" i="1"/>
  <c r="AH308" i="1"/>
  <c r="AJ308" i="1"/>
  <c r="AL308" i="1"/>
  <c r="AE306" i="1"/>
  <c r="K306" i="1"/>
  <c r="K304" i="1"/>
  <c r="K302" i="1"/>
  <c r="K294" i="1"/>
  <c r="AH286" i="1"/>
  <c r="AJ286" i="1"/>
  <c r="AH282" i="1"/>
  <c r="AJ282" i="1"/>
  <c r="K276" i="1"/>
  <c r="K274" i="1"/>
  <c r="BI272" i="1"/>
  <c r="K272" i="1"/>
  <c r="K270" i="1"/>
  <c r="K268" i="1"/>
  <c r="K266" i="1"/>
  <c r="K262" i="1"/>
  <c r="AH256" i="1"/>
  <c r="AJ256" i="1"/>
  <c r="AL256" i="1"/>
  <c r="AH254" i="1"/>
  <c r="AJ254" i="1"/>
  <c r="AL254" i="1"/>
  <c r="AH252" i="1"/>
  <c r="AJ252" i="1"/>
  <c r="AH250" i="1"/>
  <c r="AJ250" i="1"/>
  <c r="AL250" i="1"/>
  <c r="AE248" i="1"/>
  <c r="K246" i="1"/>
  <c r="AE244" i="1"/>
  <c r="K244" i="1"/>
  <c r="K242" i="1"/>
  <c r="AH240" i="1"/>
  <c r="AJ240" i="1"/>
  <c r="AH238" i="1"/>
  <c r="AJ238" i="1"/>
  <c r="AS236" i="1" s="1"/>
  <c r="AL238" i="1"/>
  <c r="AU236" i="1" s="1"/>
  <c r="K233" i="1"/>
  <c r="AH229" i="1"/>
  <c r="AD229" i="1"/>
  <c r="AJ229" i="1"/>
  <c r="AL229" i="1"/>
  <c r="AH227" i="1"/>
  <c r="AJ227" i="1"/>
  <c r="AH225" i="1"/>
  <c r="AJ225" i="1"/>
  <c r="AL225" i="1"/>
  <c r="AH223" i="1"/>
  <c r="AJ223" i="1"/>
  <c r="AL223" i="1"/>
  <c r="AH221" i="1"/>
  <c r="AJ221" i="1"/>
  <c r="AH219" i="1"/>
  <c r="AD219" i="1"/>
  <c r="AJ219" i="1"/>
  <c r="AH217" i="1"/>
  <c r="AJ217" i="1"/>
  <c r="AH215" i="1"/>
  <c r="AJ215" i="1"/>
  <c r="AH213" i="1"/>
  <c r="AD213" i="1"/>
  <c r="AJ213" i="1"/>
  <c r="AH211" i="1"/>
  <c r="AJ211" i="1"/>
  <c r="AL211" i="1"/>
  <c r="AH209" i="1"/>
  <c r="AJ209" i="1"/>
  <c r="AL209" i="1"/>
  <c r="AH207" i="1"/>
  <c r="AD207" i="1"/>
  <c r="AJ207" i="1"/>
  <c r="AL207" i="1"/>
  <c r="AH205" i="1"/>
  <c r="AJ205" i="1"/>
  <c r="AH203" i="1"/>
  <c r="AJ203" i="1"/>
  <c r="AH201" i="1"/>
  <c r="AJ201" i="1"/>
  <c r="AL201" i="1"/>
  <c r="AH199" i="1"/>
  <c r="AJ199" i="1"/>
  <c r="AL199" i="1"/>
  <c r="AH197" i="1"/>
  <c r="AJ197" i="1"/>
  <c r="AL197" i="1"/>
  <c r="AH194" i="1"/>
  <c r="AJ194" i="1"/>
  <c r="AL194" i="1"/>
  <c r="AH190" i="1"/>
  <c r="AJ190" i="1"/>
  <c r="AE188" i="1"/>
  <c r="K188" i="1"/>
  <c r="K186" i="1"/>
  <c r="AE184" i="1"/>
  <c r="K184" i="1"/>
  <c r="K182" i="1"/>
  <c r="AC180" i="1"/>
  <c r="AG180" i="1"/>
  <c r="K180" i="1"/>
  <c r="AJ177" i="1"/>
  <c r="AL177" i="1"/>
  <c r="AK177" i="1"/>
  <c r="AB175" i="1"/>
  <c r="AF175" i="1"/>
  <c r="AW175" i="1"/>
  <c r="J175" i="1"/>
  <c r="AJ173" i="1"/>
  <c r="AK173" i="1"/>
  <c r="AB171" i="1"/>
  <c r="AF171" i="1"/>
  <c r="AW171" i="1"/>
  <c r="J171" i="1"/>
  <c r="AD171" i="1"/>
  <c r="AC162" i="1"/>
  <c r="AG162" i="1"/>
  <c r="K162" i="1"/>
  <c r="AB159" i="1"/>
  <c r="AF159" i="1"/>
  <c r="AW159" i="1"/>
  <c r="J158" i="1"/>
  <c r="AD159" i="1"/>
  <c r="AJ154" i="1"/>
  <c r="AL154" i="1"/>
  <c r="AK154" i="1"/>
  <c r="AB152" i="1"/>
  <c r="AF152" i="1"/>
  <c r="AW152" i="1"/>
  <c r="J152" i="1"/>
  <c r="AD152" i="1"/>
  <c r="AJ150" i="1"/>
  <c r="AL150" i="1"/>
  <c r="AK150" i="1"/>
  <c r="AB147" i="1"/>
  <c r="AF147" i="1"/>
  <c r="AW147" i="1"/>
  <c r="AD147" i="1"/>
  <c r="AJ145" i="1"/>
  <c r="AL145" i="1"/>
  <c r="L144" i="1"/>
  <c r="AK145" i="1"/>
  <c r="AG142" i="1"/>
  <c r="K142" i="1"/>
  <c r="AG138" i="1"/>
  <c r="AG134" i="1"/>
  <c r="K134" i="1"/>
  <c r="AC130" i="1"/>
  <c r="AG130" i="1"/>
  <c r="K130" i="1"/>
  <c r="AF124" i="1"/>
  <c r="AD124" i="1"/>
  <c r="AJ121" i="1"/>
  <c r="AL121" i="1"/>
  <c r="AK121" i="1"/>
  <c r="AF119" i="1"/>
  <c r="AW119" i="1"/>
  <c r="AD119" i="1"/>
  <c r="AJ117" i="1"/>
  <c r="AL117" i="1"/>
  <c r="AK117" i="1"/>
  <c r="AF115" i="1"/>
  <c r="AW115" i="1"/>
  <c r="J115" i="1"/>
  <c r="AD115" i="1"/>
  <c r="AJ113" i="1"/>
  <c r="AL113" i="1"/>
  <c r="AK113" i="1"/>
  <c r="AF110" i="1"/>
  <c r="J110" i="1"/>
  <c r="AD110" i="1"/>
  <c r="AJ108" i="1"/>
  <c r="AL108" i="1"/>
  <c r="AK108" i="1"/>
  <c r="AF106" i="1"/>
  <c r="AW106" i="1"/>
  <c r="J106" i="1"/>
  <c r="AD106" i="1"/>
  <c r="AF98" i="1"/>
  <c r="AW98" i="1"/>
  <c r="J98" i="1"/>
  <c r="AD98" i="1"/>
  <c r="AJ94" i="1"/>
  <c r="AS93" i="1" s="1"/>
  <c r="AK94" i="1"/>
  <c r="AT93" i="1" s="1"/>
  <c r="AG91" i="1"/>
  <c r="AJ84" i="1"/>
  <c r="AK84" i="1"/>
  <c r="AC63" i="1"/>
  <c r="AG63" i="1"/>
  <c r="AE63" i="1"/>
  <c r="AG56" i="1"/>
  <c r="AE56" i="1"/>
  <c r="AC28" i="1"/>
  <c r="AG28" i="1"/>
  <c r="AE28" i="1"/>
  <c r="AX28" i="1"/>
  <c r="K28" i="1"/>
  <c r="AK328" i="1"/>
  <c r="AF328" i="1"/>
  <c r="K327" i="1"/>
  <c r="AK326" i="1"/>
  <c r="AF326" i="1"/>
  <c r="J326" i="1"/>
  <c r="AG324" i="1"/>
  <c r="AH323" i="1"/>
  <c r="AJ323" i="1"/>
  <c r="AG322" i="1"/>
  <c r="AH320" i="1"/>
  <c r="AJ320" i="1"/>
  <c r="AL320" i="1"/>
  <c r="AG319" i="1"/>
  <c r="AH318" i="1"/>
  <c r="AJ318" i="1"/>
  <c r="AL318" i="1"/>
  <c r="AK315" i="1"/>
  <c r="AF315" i="1"/>
  <c r="K314" i="1"/>
  <c r="AK313" i="1"/>
  <c r="AF313" i="1"/>
  <c r="AK311" i="1"/>
  <c r="AF311" i="1"/>
  <c r="AK308" i="1"/>
  <c r="AF308" i="1"/>
  <c r="AG306" i="1"/>
  <c r="AH305" i="1"/>
  <c r="AJ305" i="1"/>
  <c r="AG304" i="1"/>
  <c r="AH303" i="1"/>
  <c r="AJ303" i="1"/>
  <c r="AL303" i="1"/>
  <c r="AG302" i="1"/>
  <c r="AH300" i="1"/>
  <c r="AJ300" i="1"/>
  <c r="AG299" i="1"/>
  <c r="AH298" i="1"/>
  <c r="AJ298" i="1"/>
  <c r="AG297" i="1"/>
  <c r="AH295" i="1"/>
  <c r="AJ295" i="1"/>
  <c r="AG294" i="1"/>
  <c r="AH293" i="1"/>
  <c r="AJ293" i="1"/>
  <c r="AL293" i="1"/>
  <c r="AG292" i="1"/>
  <c r="AH290" i="1"/>
  <c r="AJ290" i="1"/>
  <c r="AK286" i="1"/>
  <c r="AF286" i="1"/>
  <c r="AK282" i="1"/>
  <c r="AF282" i="1"/>
  <c r="J282" i="1"/>
  <c r="K281" i="1"/>
  <c r="AH279" i="1"/>
  <c r="AJ279" i="1"/>
  <c r="AL279" i="1"/>
  <c r="AG278" i="1"/>
  <c r="AH277" i="1"/>
  <c r="AJ277" i="1"/>
  <c r="AL277" i="1"/>
  <c r="AG276" i="1"/>
  <c r="AH275" i="1"/>
  <c r="AJ275" i="1"/>
  <c r="AG274" i="1"/>
  <c r="AH273" i="1"/>
  <c r="AJ273" i="1"/>
  <c r="AH271" i="1"/>
  <c r="AJ271" i="1"/>
  <c r="AL271" i="1"/>
  <c r="AG270" i="1"/>
  <c r="AH269" i="1"/>
  <c r="AJ269" i="1"/>
  <c r="AL269" i="1"/>
  <c r="AG268" i="1"/>
  <c r="AH267" i="1"/>
  <c r="AJ267" i="1"/>
  <c r="AL267" i="1"/>
  <c r="AG266" i="1"/>
  <c r="AH265" i="1"/>
  <c r="AJ265" i="1"/>
  <c r="AG264" i="1"/>
  <c r="AH263" i="1"/>
  <c r="AJ263" i="1"/>
  <c r="AL263" i="1"/>
  <c r="AG262" i="1"/>
  <c r="AH261" i="1"/>
  <c r="AJ261" i="1"/>
  <c r="AG260" i="1"/>
  <c r="AH259" i="1"/>
  <c r="AJ259" i="1"/>
  <c r="AL259" i="1"/>
  <c r="AK256" i="1"/>
  <c r="AF256" i="1"/>
  <c r="J256" i="1"/>
  <c r="K255" i="1"/>
  <c r="AK254" i="1"/>
  <c r="AF254" i="1"/>
  <c r="K253" i="1"/>
  <c r="AK252" i="1"/>
  <c r="AF252" i="1"/>
  <c r="J252" i="1"/>
  <c r="AK250" i="1"/>
  <c r="AF250" i="1"/>
  <c r="J250" i="1"/>
  <c r="AG248" i="1"/>
  <c r="AH247" i="1"/>
  <c r="AJ247" i="1"/>
  <c r="AL247" i="1"/>
  <c r="AG246" i="1"/>
  <c r="AH245" i="1"/>
  <c r="AJ245" i="1"/>
  <c r="AG244" i="1"/>
  <c r="AH243" i="1"/>
  <c r="AJ243" i="1"/>
  <c r="AL243" i="1"/>
  <c r="AG242" i="1"/>
  <c r="AK240" i="1"/>
  <c r="AF240" i="1"/>
  <c r="J240" i="1"/>
  <c r="K239" i="1"/>
  <c r="AK238" i="1"/>
  <c r="AF238" i="1"/>
  <c r="J238" i="1"/>
  <c r="K237" i="1"/>
  <c r="AH235" i="1"/>
  <c r="AJ235" i="1"/>
  <c r="AL235" i="1"/>
  <c r="AG233" i="1"/>
  <c r="AH232" i="1"/>
  <c r="AJ232" i="1"/>
  <c r="AG231" i="1"/>
  <c r="AK229" i="1"/>
  <c r="AF229" i="1"/>
  <c r="AK227" i="1"/>
  <c r="AF227" i="1"/>
  <c r="K226" i="1"/>
  <c r="AK225" i="1"/>
  <c r="AF225" i="1"/>
  <c r="AK223" i="1"/>
  <c r="AF223" i="1"/>
  <c r="J223" i="1"/>
  <c r="AK221" i="1"/>
  <c r="AF221" i="1"/>
  <c r="AK219" i="1"/>
  <c r="AF219" i="1"/>
  <c r="J219" i="1"/>
  <c r="K218" i="1"/>
  <c r="AK217" i="1"/>
  <c r="AF217" i="1"/>
  <c r="J217" i="1"/>
  <c r="K216" i="1"/>
  <c r="AK215" i="1"/>
  <c r="AF215" i="1"/>
  <c r="J215" i="1"/>
  <c r="K214" i="1"/>
  <c r="AK213" i="1"/>
  <c r="AF213" i="1"/>
  <c r="J213" i="1"/>
  <c r="AK211" i="1"/>
  <c r="AF211" i="1"/>
  <c r="J211" i="1"/>
  <c r="K210" i="1"/>
  <c r="AK209" i="1"/>
  <c r="AF209" i="1"/>
  <c r="K208" i="1"/>
  <c r="AK207" i="1"/>
  <c r="AF207" i="1"/>
  <c r="J207" i="1"/>
  <c r="K206" i="1"/>
  <c r="AK205" i="1"/>
  <c r="AF205" i="1"/>
  <c r="AK203" i="1"/>
  <c r="AF203" i="1"/>
  <c r="J203" i="1"/>
  <c r="K202" i="1"/>
  <c r="AK201" i="1"/>
  <c r="AF201" i="1"/>
  <c r="K200" i="1"/>
  <c r="AK199" i="1"/>
  <c r="AF199" i="1"/>
  <c r="J199" i="1"/>
  <c r="K198" i="1"/>
  <c r="AK197" i="1"/>
  <c r="AF197" i="1"/>
  <c r="J197" i="1"/>
  <c r="K196" i="1"/>
  <c r="AK194" i="1"/>
  <c r="AF194" i="1"/>
  <c r="J194" i="1"/>
  <c r="AK190" i="1"/>
  <c r="AF190" i="1"/>
  <c r="J190" i="1"/>
  <c r="AG188" i="1"/>
  <c r="AH187" i="1"/>
  <c r="AJ187" i="1"/>
  <c r="AL187" i="1"/>
  <c r="AG186" i="1"/>
  <c r="AH185" i="1"/>
  <c r="AJ185" i="1"/>
  <c r="AL185" i="1"/>
  <c r="AG184" i="1"/>
  <c r="AH183" i="1"/>
  <c r="AJ183" i="1"/>
  <c r="AG182" i="1"/>
  <c r="AH181" i="1"/>
  <c r="AJ181" i="1"/>
  <c r="AL181" i="1"/>
  <c r="AJ180" i="1"/>
  <c r="AK180" i="1"/>
  <c r="AB177" i="1"/>
  <c r="AF177" i="1"/>
  <c r="J177" i="1"/>
  <c r="AH175" i="1"/>
  <c r="AJ175" i="1"/>
  <c r="AS169" i="1" s="1"/>
  <c r="AL175" i="1"/>
  <c r="AK175" i="1"/>
  <c r="AB173" i="1"/>
  <c r="AF173" i="1"/>
  <c r="AW173" i="1"/>
  <c r="AH171" i="1"/>
  <c r="AJ171" i="1"/>
  <c r="AL171" i="1"/>
  <c r="AK171" i="1"/>
  <c r="AC166" i="1"/>
  <c r="AG166" i="1"/>
  <c r="AH159" i="1"/>
  <c r="AJ159" i="1"/>
  <c r="AS158" i="1" s="1"/>
  <c r="AL159" i="1"/>
  <c r="AU158" i="1" s="1"/>
  <c r="L158" i="1"/>
  <c r="AK159" i="1"/>
  <c r="AT158" i="1" s="1"/>
  <c r="AC156" i="1"/>
  <c r="K155" i="1"/>
  <c r="AB154" i="1"/>
  <c r="AF154" i="1"/>
  <c r="J154" i="1"/>
  <c r="AD154" i="1"/>
  <c r="AH152" i="1"/>
  <c r="AJ152" i="1"/>
  <c r="AL152" i="1"/>
  <c r="AK152" i="1"/>
  <c r="AB150" i="1"/>
  <c r="AF150" i="1"/>
  <c r="AW150" i="1"/>
  <c r="J150" i="1"/>
  <c r="AD150" i="1"/>
  <c r="AH147" i="1"/>
  <c r="AJ147" i="1"/>
  <c r="AL147" i="1"/>
  <c r="AK147" i="1"/>
  <c r="AB145" i="1"/>
  <c r="AF145" i="1"/>
  <c r="AW145" i="1"/>
  <c r="J145" i="1"/>
  <c r="AD145" i="1"/>
  <c r="AE142" i="1"/>
  <c r="AC140" i="1"/>
  <c r="AG140" i="1"/>
  <c r="K140" i="1"/>
  <c r="AE138" i="1"/>
  <c r="AG136" i="1"/>
  <c r="K136" i="1"/>
  <c r="AE134" i="1"/>
  <c r="AG132" i="1"/>
  <c r="AE130" i="1"/>
  <c r="AH124" i="1"/>
  <c r="AJ124" i="1"/>
  <c r="AL124" i="1"/>
  <c r="AK124" i="1"/>
  <c r="AF121" i="1"/>
  <c r="AW121" i="1"/>
  <c r="BC121" i="1" s="1"/>
  <c r="J121" i="1"/>
  <c r="AD121" i="1"/>
  <c r="AH119" i="1"/>
  <c r="AJ119" i="1"/>
  <c r="AL119" i="1"/>
  <c r="AK119" i="1"/>
  <c r="AF117" i="1"/>
  <c r="AW117" i="1"/>
  <c r="J117" i="1"/>
  <c r="AD117" i="1"/>
  <c r="AH115" i="1"/>
  <c r="AJ115" i="1"/>
  <c r="AK115" i="1"/>
  <c r="AB113" i="1"/>
  <c r="AF113" i="1"/>
  <c r="AW113" i="1"/>
  <c r="J113" i="1"/>
  <c r="AD113" i="1"/>
  <c r="AH110" i="1"/>
  <c r="AJ110" i="1"/>
  <c r="AL110" i="1"/>
  <c r="AK110" i="1"/>
  <c r="AB108" i="1"/>
  <c r="AF108" i="1"/>
  <c r="AW108" i="1"/>
  <c r="J108" i="1"/>
  <c r="AD108" i="1"/>
  <c r="AH106" i="1"/>
  <c r="AJ106" i="1"/>
  <c r="AL106" i="1"/>
  <c r="AK106" i="1"/>
  <c r="AH98" i="1"/>
  <c r="AJ98" i="1"/>
  <c r="AL98" i="1"/>
  <c r="AU97" i="1" s="1"/>
  <c r="L97" i="1"/>
  <c r="AK98" i="1"/>
  <c r="AT97" i="1"/>
  <c r="AC96" i="1"/>
  <c r="AG96" i="1"/>
  <c r="K96" i="1"/>
  <c r="K95" i="1" s="1"/>
  <c r="AB94" i="1"/>
  <c r="AF94" i="1"/>
  <c r="AW94" i="1"/>
  <c r="J94" i="1"/>
  <c r="J93" i="1" s="1"/>
  <c r="AD94" i="1"/>
  <c r="AE91" i="1"/>
  <c r="Z87" i="1"/>
  <c r="AH87" i="1"/>
  <c r="AB87" i="1"/>
  <c r="AF87" i="1"/>
  <c r="AW87" i="1"/>
  <c r="BC87" i="1" s="1"/>
  <c r="J87" i="1"/>
  <c r="AG77" i="1"/>
  <c r="AE77" i="1"/>
  <c r="AJ69" i="1"/>
  <c r="AK69" i="1"/>
  <c r="Z67" i="1"/>
  <c r="AH67" i="1"/>
  <c r="AF67" i="1"/>
  <c r="AW67" i="1"/>
  <c r="J67" i="1"/>
  <c r="K63" i="1"/>
  <c r="K56" i="1"/>
  <c r="Z51" i="1"/>
  <c r="AH51" i="1"/>
  <c r="AF51" i="1"/>
  <c r="J51" i="1"/>
  <c r="J50" i="1" s="1"/>
  <c r="Z40" i="1"/>
  <c r="AH40" i="1"/>
  <c r="AF40" i="1"/>
  <c r="AD40" i="1"/>
  <c r="AW40" i="1"/>
  <c r="J40" i="1"/>
  <c r="AG34" i="1"/>
  <c r="AE34" i="1"/>
  <c r="AX34" i="1"/>
  <c r="AJ22" i="1"/>
  <c r="AL22" i="1"/>
  <c r="AK22" i="1"/>
  <c r="AV21" i="1"/>
  <c r="Z20" i="1"/>
  <c r="AH20" i="1"/>
  <c r="AF20" i="1"/>
  <c r="AD20" i="1"/>
  <c r="AW20" i="1"/>
  <c r="BC20" i="1" s="1"/>
  <c r="J20" i="1"/>
  <c r="AJ12" i="1"/>
  <c r="AL12" i="1"/>
  <c r="AK12" i="1"/>
  <c r="Z10" i="1"/>
  <c r="AH10" i="1"/>
  <c r="AB10" i="1"/>
  <c r="AF10" i="1"/>
  <c r="AD10" i="1"/>
  <c r="AW10" i="1"/>
  <c r="J10" i="1"/>
  <c r="AG328" i="1"/>
  <c r="AF327" i="1"/>
  <c r="AG326" i="1"/>
  <c r="AF324" i="1"/>
  <c r="AG323" i="1"/>
  <c r="AF322" i="1"/>
  <c r="AG320" i="1"/>
  <c r="AF319" i="1"/>
  <c r="AG318" i="1"/>
  <c r="AF316" i="1"/>
  <c r="AD316" i="1"/>
  <c r="AG315" i="1"/>
  <c r="AF314" i="1"/>
  <c r="AG313" i="1"/>
  <c r="AF312" i="1"/>
  <c r="AG311" i="1"/>
  <c r="AF310" i="1"/>
  <c r="AD310" i="1"/>
  <c r="AG308" i="1"/>
  <c r="AF306" i="1"/>
  <c r="AD306" i="1"/>
  <c r="AG305" i="1"/>
  <c r="AF304" i="1"/>
  <c r="AG303" i="1"/>
  <c r="AF302" i="1"/>
  <c r="AG300" i="1"/>
  <c r="AF299" i="1"/>
  <c r="AG298" i="1"/>
  <c r="AF297" i="1"/>
  <c r="AG295" i="1"/>
  <c r="AF294" i="1"/>
  <c r="AG293" i="1"/>
  <c r="AF292" i="1"/>
  <c r="AG290" i="1"/>
  <c r="AF288" i="1"/>
  <c r="AD288" i="1"/>
  <c r="AG286" i="1"/>
  <c r="AF284" i="1"/>
  <c r="AG282" i="1"/>
  <c r="AG279" i="1"/>
  <c r="AE279" i="1"/>
  <c r="AF278" i="1"/>
  <c r="AG277" i="1"/>
  <c r="AF276" i="1"/>
  <c r="AG275" i="1"/>
  <c r="AF274" i="1"/>
  <c r="AG273" i="1"/>
  <c r="AF272" i="1"/>
  <c r="AG271" i="1"/>
  <c r="AF270" i="1"/>
  <c r="AG269" i="1"/>
  <c r="AF268" i="1"/>
  <c r="AG267" i="1"/>
  <c r="AF266" i="1"/>
  <c r="AG265" i="1"/>
  <c r="AF264" i="1"/>
  <c r="AG263" i="1"/>
  <c r="AF262" i="1"/>
  <c r="AG261" i="1"/>
  <c r="AF260" i="1"/>
  <c r="AG259" i="1"/>
  <c r="AF257" i="1"/>
  <c r="AD257" i="1"/>
  <c r="AG256" i="1"/>
  <c r="AF255" i="1"/>
  <c r="AG254" i="1"/>
  <c r="AF253" i="1"/>
  <c r="AG252" i="1"/>
  <c r="AF251" i="1"/>
  <c r="AG250" i="1"/>
  <c r="AF248" i="1"/>
  <c r="AD248" i="1"/>
  <c r="AG247" i="1"/>
  <c r="AF246" i="1"/>
  <c r="AG245" i="1"/>
  <c r="AF244" i="1"/>
  <c r="AG243" i="1"/>
  <c r="AF242" i="1"/>
  <c r="AG240" i="1"/>
  <c r="AF239" i="1"/>
  <c r="AD239" i="1"/>
  <c r="AG238" i="1"/>
  <c r="AF237" i="1"/>
  <c r="AG235" i="1"/>
  <c r="AE235" i="1"/>
  <c r="AF233" i="1"/>
  <c r="AD233" i="1"/>
  <c r="AG232" i="1"/>
  <c r="AF231" i="1"/>
  <c r="AG229" i="1"/>
  <c r="AE229" i="1"/>
  <c r="AF228" i="1"/>
  <c r="AG227" i="1"/>
  <c r="AF226" i="1"/>
  <c r="AD226" i="1"/>
  <c r="AG225" i="1"/>
  <c r="AF224" i="1"/>
  <c r="AG223" i="1"/>
  <c r="AF222" i="1"/>
  <c r="AG221" i="1"/>
  <c r="AF220" i="1"/>
  <c r="AG219" i="1"/>
  <c r="AF218" i="1"/>
  <c r="AG217" i="1"/>
  <c r="AF216" i="1"/>
  <c r="AG215" i="1"/>
  <c r="AF214" i="1"/>
  <c r="AG213" i="1"/>
  <c r="AE213" i="1"/>
  <c r="AF212" i="1"/>
  <c r="AG211" i="1"/>
  <c r="AF210" i="1"/>
  <c r="AG209" i="1"/>
  <c r="AF208" i="1"/>
  <c r="AD208" i="1"/>
  <c r="AG207" i="1"/>
  <c r="AE207" i="1"/>
  <c r="AF206" i="1"/>
  <c r="AG205" i="1"/>
  <c r="AF204" i="1"/>
  <c r="AG203" i="1"/>
  <c r="AE203" i="1"/>
  <c r="AF202" i="1"/>
  <c r="AG201" i="1"/>
  <c r="AF200" i="1"/>
  <c r="AD200" i="1"/>
  <c r="AG199" i="1"/>
  <c r="AF198" i="1"/>
  <c r="AG197" i="1"/>
  <c r="AF196" i="1"/>
  <c r="AG194" i="1"/>
  <c r="AF192" i="1"/>
  <c r="AG190" i="1"/>
  <c r="AF188" i="1"/>
  <c r="AD188" i="1"/>
  <c r="AG187" i="1"/>
  <c r="AF186" i="1"/>
  <c r="AG185" i="1"/>
  <c r="AE185" i="1"/>
  <c r="AF184" i="1"/>
  <c r="AG183" i="1"/>
  <c r="AF182" i="1"/>
  <c r="AG181" i="1"/>
  <c r="AF180" i="1"/>
  <c r="K176" i="1"/>
  <c r="K174" i="1"/>
  <c r="K170" i="1"/>
  <c r="AH168" i="1"/>
  <c r="AJ168" i="1"/>
  <c r="AL168" i="1"/>
  <c r="AV166" i="1"/>
  <c r="AH164" i="1"/>
  <c r="AJ164" i="1"/>
  <c r="AL164" i="1"/>
  <c r="L161" i="1"/>
  <c r="K153" i="1"/>
  <c r="K151" i="1"/>
  <c r="K149" i="1"/>
  <c r="K146" i="1"/>
  <c r="AH141" i="1"/>
  <c r="AJ141" i="1"/>
  <c r="AL141" i="1"/>
  <c r="AH139" i="1"/>
  <c r="AJ139" i="1"/>
  <c r="AL139" i="1"/>
  <c r="AH137" i="1"/>
  <c r="AJ137" i="1"/>
  <c r="AL137" i="1"/>
  <c r="AH135" i="1"/>
  <c r="AJ135" i="1"/>
  <c r="AL135" i="1"/>
  <c r="AH133" i="1"/>
  <c r="AJ133" i="1"/>
  <c r="AH131" i="1"/>
  <c r="AJ131" i="1"/>
  <c r="AH129" i="1"/>
  <c r="AJ129" i="1"/>
  <c r="AS128" i="1" s="1"/>
  <c r="AL129" i="1"/>
  <c r="K126" i="1"/>
  <c r="K123" i="1"/>
  <c r="K116" i="1"/>
  <c r="K114" i="1"/>
  <c r="K111" i="1"/>
  <c r="K107" i="1"/>
  <c r="AH102" i="1"/>
  <c r="AJ102" i="1"/>
  <c r="AS101" i="1" s="1"/>
  <c r="AL102" i="1"/>
  <c r="AU101" i="1" s="1"/>
  <c r="K99" i="1"/>
  <c r="K97" i="1" s="1"/>
  <c r="AJ87" i="1"/>
  <c r="AL87" i="1"/>
  <c r="AK87" i="1"/>
  <c r="AF84" i="1"/>
  <c r="AW84" i="1"/>
  <c r="AD84" i="1"/>
  <c r="AG74" i="1"/>
  <c r="K74" i="1"/>
  <c r="AF69" i="1"/>
  <c r="J69" i="1"/>
  <c r="AD69" i="1"/>
  <c r="AJ67" i="1"/>
  <c r="AS66" i="1" s="1"/>
  <c r="AL67" i="1"/>
  <c r="AK67" i="1"/>
  <c r="AG65" i="1"/>
  <c r="K65" i="1"/>
  <c r="AG60" i="1"/>
  <c r="K60" i="1"/>
  <c r="AJ51" i="1"/>
  <c r="AS50" i="1"/>
  <c r="AK51" i="1"/>
  <c r="AT50" i="1" s="1"/>
  <c r="AG49" i="1"/>
  <c r="K49" i="1"/>
  <c r="AG42" i="1"/>
  <c r="K42" i="1"/>
  <c r="AJ38" i="1"/>
  <c r="AK38" i="1"/>
  <c r="AG17" i="1"/>
  <c r="AE17" i="1"/>
  <c r="AX17" i="1"/>
  <c r="AF178" i="1"/>
  <c r="AG177" i="1"/>
  <c r="AE177" i="1"/>
  <c r="AF176" i="1"/>
  <c r="AD176" i="1"/>
  <c r="AG175" i="1"/>
  <c r="AF174" i="1"/>
  <c r="AG173" i="1"/>
  <c r="AF172" i="1"/>
  <c r="AG171" i="1"/>
  <c r="AF170" i="1"/>
  <c r="AG168" i="1"/>
  <c r="AE168" i="1"/>
  <c r="AF166" i="1"/>
  <c r="AD166" i="1"/>
  <c r="AG164" i="1"/>
  <c r="AF162" i="1"/>
  <c r="AE159" i="1"/>
  <c r="AD156" i="1"/>
  <c r="AG154" i="1"/>
  <c r="AE154" i="1"/>
  <c r="AF153" i="1"/>
  <c r="AD153" i="1"/>
  <c r="AG152" i="1"/>
  <c r="AE152" i="1"/>
  <c r="AF151" i="1"/>
  <c r="AD151" i="1"/>
  <c r="AG150" i="1"/>
  <c r="AE150" i="1"/>
  <c r="AF149" i="1"/>
  <c r="AD149" i="1"/>
  <c r="AG147" i="1"/>
  <c r="AE147" i="1"/>
  <c r="AF146" i="1"/>
  <c r="AD146" i="1"/>
  <c r="AG145" i="1"/>
  <c r="AE145" i="1"/>
  <c r="AF142" i="1"/>
  <c r="AD142" i="1"/>
  <c r="AG141" i="1"/>
  <c r="AE141" i="1"/>
  <c r="AF140" i="1"/>
  <c r="AD140" i="1"/>
  <c r="AG139" i="1"/>
  <c r="AE139" i="1"/>
  <c r="AF138" i="1"/>
  <c r="AD138" i="1"/>
  <c r="AG137" i="1"/>
  <c r="AE137" i="1"/>
  <c r="AF136" i="1"/>
  <c r="AD136" i="1"/>
  <c r="AG135" i="1"/>
  <c r="AE135" i="1"/>
  <c r="AF134" i="1"/>
  <c r="AD134" i="1"/>
  <c r="AG133" i="1"/>
  <c r="AE133" i="1"/>
  <c r="AF132" i="1"/>
  <c r="AD132" i="1"/>
  <c r="AG131" i="1"/>
  <c r="AE131" i="1"/>
  <c r="AF130" i="1"/>
  <c r="AD130" i="1"/>
  <c r="AG129" i="1"/>
  <c r="AE129" i="1"/>
  <c r="AF126" i="1"/>
  <c r="AD126" i="1"/>
  <c r="AG124" i="1"/>
  <c r="AE124" i="1"/>
  <c r="AF123" i="1"/>
  <c r="AD123" i="1"/>
  <c r="AG121" i="1"/>
  <c r="AE121" i="1"/>
  <c r="AF120" i="1"/>
  <c r="AD120" i="1"/>
  <c r="AG119" i="1"/>
  <c r="AE119" i="1"/>
  <c r="AF118" i="1"/>
  <c r="AD118" i="1"/>
  <c r="AG117" i="1"/>
  <c r="AE117" i="1"/>
  <c r="AF116" i="1"/>
  <c r="AD116" i="1"/>
  <c r="AG115" i="1"/>
  <c r="AE115" i="1"/>
  <c r="AF114" i="1"/>
  <c r="AD114" i="1"/>
  <c r="AG113" i="1"/>
  <c r="AE113" i="1"/>
  <c r="AF111" i="1"/>
  <c r="AD111" i="1"/>
  <c r="AG110" i="1"/>
  <c r="AE110" i="1"/>
  <c r="AF109" i="1"/>
  <c r="AD109" i="1"/>
  <c r="AG108" i="1"/>
  <c r="AE108" i="1"/>
  <c r="AF107" i="1"/>
  <c r="AD107" i="1"/>
  <c r="AG106" i="1"/>
  <c r="AE106" i="1"/>
  <c r="AF104" i="1"/>
  <c r="AD104" i="1"/>
  <c r="AG102" i="1"/>
  <c r="AE102" i="1"/>
  <c r="AF99" i="1"/>
  <c r="AD99" i="1"/>
  <c r="AG98" i="1"/>
  <c r="AE98" i="1"/>
  <c r="AF96" i="1"/>
  <c r="AD96" i="1"/>
  <c r="AG94" i="1"/>
  <c r="AE94" i="1"/>
  <c r="AH91" i="1"/>
  <c r="AF91" i="1"/>
  <c r="K88" i="1"/>
  <c r="K82" i="1"/>
  <c r="AH79" i="1"/>
  <c r="AJ79" i="1"/>
  <c r="AL79" i="1"/>
  <c r="AH75" i="1"/>
  <c r="AJ75" i="1"/>
  <c r="AL75" i="1"/>
  <c r="AH72" i="1"/>
  <c r="AJ72" i="1"/>
  <c r="AL72" i="1"/>
  <c r="K70" i="1"/>
  <c r="K68" i="1"/>
  <c r="AH64" i="1"/>
  <c r="AJ64" i="1"/>
  <c r="AL64" i="1"/>
  <c r="AH62" i="1"/>
  <c r="AJ62" i="1"/>
  <c r="AL62" i="1"/>
  <c r="AH58" i="1"/>
  <c r="AJ58" i="1"/>
  <c r="AL58" i="1"/>
  <c r="AH54" i="1"/>
  <c r="AJ54" i="1"/>
  <c r="AL54" i="1"/>
  <c r="K52" i="1"/>
  <c r="BC48" i="1"/>
  <c r="AH48" i="1"/>
  <c r="AJ48" i="1"/>
  <c r="AS47" i="1" s="1"/>
  <c r="AL48" i="1"/>
  <c r="K45" i="1"/>
  <c r="K44" i="1" s="1"/>
  <c r="AH43" i="1"/>
  <c r="AJ43" i="1"/>
  <c r="AL43" i="1"/>
  <c r="J41" i="1"/>
  <c r="AW41" i="1"/>
  <c r="BC41" i="1" s="1"/>
  <c r="AH41" i="1"/>
  <c r="AJ41" i="1"/>
  <c r="AL41" i="1"/>
  <c r="AJ40" i="1"/>
  <c r="AL40" i="1"/>
  <c r="AK40" i="1"/>
  <c r="AB38" i="1"/>
  <c r="AF38" i="1"/>
  <c r="AW38" i="1"/>
  <c r="J38" i="1"/>
  <c r="AD38" i="1"/>
  <c r="L36" i="1"/>
  <c r="AG32" i="1"/>
  <c r="K32" i="1"/>
  <c r="AG25" i="1"/>
  <c r="K25" i="1"/>
  <c r="AB22" i="1"/>
  <c r="AF22" i="1"/>
  <c r="AW22" i="1"/>
  <c r="BC22" i="1" s="1"/>
  <c r="J22" i="1"/>
  <c r="AD22" i="1"/>
  <c r="AJ20" i="1"/>
  <c r="AL20" i="1"/>
  <c r="AK20" i="1"/>
  <c r="AT14" i="1" s="1"/>
  <c r="AJ5" i="1"/>
  <c r="AS4" i="1" s="1"/>
  <c r="AL5" i="1"/>
  <c r="AU4" i="1" s="1"/>
  <c r="L4" i="1"/>
  <c r="AK5" i="1"/>
  <c r="AT4" i="1" s="1"/>
  <c r="AF88" i="1"/>
  <c r="AD88" i="1"/>
  <c r="AG87" i="1"/>
  <c r="AE87" i="1"/>
  <c r="AF86" i="1"/>
  <c r="AD86" i="1"/>
  <c r="AG84" i="1"/>
  <c r="AE84" i="1"/>
  <c r="AF82" i="1"/>
  <c r="AD82" i="1"/>
  <c r="AG79" i="1"/>
  <c r="AE79" i="1"/>
  <c r="AF77" i="1"/>
  <c r="AD77" i="1"/>
  <c r="AG75" i="1"/>
  <c r="AE75" i="1"/>
  <c r="AF74" i="1"/>
  <c r="AD74" i="1"/>
  <c r="AG72" i="1"/>
  <c r="AE72" i="1"/>
  <c r="AF70" i="1"/>
  <c r="AD70" i="1"/>
  <c r="AG69" i="1"/>
  <c r="AE69" i="1"/>
  <c r="AF68" i="1"/>
  <c r="AD68" i="1"/>
  <c r="AG67" i="1"/>
  <c r="AE67" i="1"/>
  <c r="AF65" i="1"/>
  <c r="AD65" i="1"/>
  <c r="AG64" i="1"/>
  <c r="AE64" i="1"/>
  <c r="AF63" i="1"/>
  <c r="AD63" i="1"/>
  <c r="AG62" i="1"/>
  <c r="AE62" i="1"/>
  <c r="AF60" i="1"/>
  <c r="AD60" i="1"/>
  <c r="AG58" i="1"/>
  <c r="AE58" i="1"/>
  <c r="AF56" i="1"/>
  <c r="AD56" i="1"/>
  <c r="AG54" i="1"/>
  <c r="AE54" i="1"/>
  <c r="AF52" i="1"/>
  <c r="AD52" i="1"/>
  <c r="AG51" i="1"/>
  <c r="AE51" i="1"/>
  <c r="AF49" i="1"/>
  <c r="AD49" i="1"/>
  <c r="AG48" i="1"/>
  <c r="AE48" i="1"/>
  <c r="AF45" i="1"/>
  <c r="AD45" i="1"/>
  <c r="AG43" i="1"/>
  <c r="AE43" i="1"/>
  <c r="AF42" i="1"/>
  <c r="AD42" i="1"/>
  <c r="AG41" i="1"/>
  <c r="AE41" i="1"/>
  <c r="K39" i="1"/>
  <c r="K37" i="1"/>
  <c r="AH35" i="1"/>
  <c r="AJ35" i="1"/>
  <c r="AL35" i="1"/>
  <c r="AH33" i="1"/>
  <c r="AJ33" i="1"/>
  <c r="AL33" i="1"/>
  <c r="BC30" i="1"/>
  <c r="AH30" i="1"/>
  <c r="AJ30" i="1"/>
  <c r="AL30" i="1"/>
  <c r="AH27" i="1"/>
  <c r="AJ27" i="1"/>
  <c r="AL27" i="1"/>
  <c r="L24" i="1"/>
  <c r="K21" i="1"/>
  <c r="AC18" i="1"/>
  <c r="AE18" i="1"/>
  <c r="AG18" i="1"/>
  <c r="AG15" i="1"/>
  <c r="K15" i="1"/>
  <c r="AF12" i="1"/>
  <c r="AW12" i="1"/>
  <c r="J12" i="1"/>
  <c r="J9" i="1" s="1"/>
  <c r="AD12" i="1"/>
  <c r="AJ10" i="1"/>
  <c r="AS9" i="1" s="1"/>
  <c r="AK10" i="1"/>
  <c r="AT9" i="1" s="1"/>
  <c r="AC7" i="1"/>
  <c r="AG7" i="1"/>
  <c r="K7" i="1"/>
  <c r="K6" i="1" s="1"/>
  <c r="AF5" i="1"/>
  <c r="AW5" i="1"/>
  <c r="J5" i="1"/>
  <c r="J4" i="1" s="1"/>
  <c r="AD5" i="1"/>
  <c r="AG40" i="1"/>
  <c r="AE40" i="1"/>
  <c r="AF39" i="1"/>
  <c r="AD39" i="1"/>
  <c r="AG38" i="1"/>
  <c r="AE38" i="1"/>
  <c r="AF37" i="1"/>
  <c r="AD37" i="1"/>
  <c r="AG35" i="1"/>
  <c r="AE35" i="1"/>
  <c r="AF34" i="1"/>
  <c r="AD34" i="1"/>
  <c r="AG33" i="1"/>
  <c r="AE33" i="1"/>
  <c r="AF32" i="1"/>
  <c r="AD32" i="1"/>
  <c r="AG30" i="1"/>
  <c r="AE30" i="1"/>
  <c r="AF28" i="1"/>
  <c r="AD28" i="1"/>
  <c r="AG27" i="1"/>
  <c r="AE27" i="1"/>
  <c r="AF25" i="1"/>
  <c r="AD25" i="1"/>
  <c r="AG22" i="1"/>
  <c r="AE22" i="1"/>
  <c r="AF21" i="1"/>
  <c r="AD21" i="1"/>
  <c r="AG20" i="1"/>
  <c r="AE20" i="1"/>
  <c r="AH18" i="1"/>
  <c r="AJ18" i="1"/>
  <c r="AH16" i="1"/>
  <c r="AJ16" i="1"/>
  <c r="AL16" i="1"/>
  <c r="AV15" i="1"/>
  <c r="K11" i="1"/>
  <c r="AF17" i="1"/>
  <c r="AD17" i="1"/>
  <c r="AG16" i="1"/>
  <c r="AE16" i="1"/>
  <c r="AF15" i="1"/>
  <c r="AD15" i="1"/>
  <c r="AG12" i="1"/>
  <c r="AE12" i="1"/>
  <c r="AF11" i="1"/>
  <c r="AD11" i="1"/>
  <c r="AG10" i="1"/>
  <c r="AE10" i="1"/>
  <c r="AF7" i="1"/>
  <c r="AD7" i="1"/>
  <c r="AG5" i="1"/>
  <c r="AE5" i="1"/>
  <c r="BC145" i="1"/>
  <c r="AV145" i="1"/>
  <c r="BC119" i="1"/>
  <c r="AV119" i="1"/>
  <c r="BC175" i="1"/>
  <c r="AV175" i="1"/>
  <c r="AV87" i="1"/>
  <c r="BC147" i="1"/>
  <c r="AV147" i="1"/>
  <c r="BC159" i="1"/>
  <c r="AV159" i="1"/>
  <c r="AC272" i="1"/>
  <c r="AG272" i="1"/>
  <c r="AE272" i="1"/>
  <c r="BI209" i="1" l="1"/>
  <c r="AE209" i="1" s="1"/>
  <c r="AX134" i="1"/>
  <c r="AU66" i="1"/>
  <c r="AU9" i="1"/>
  <c r="J118" i="1"/>
  <c r="K62" i="1"/>
  <c r="AX35" i="1"/>
  <c r="BC35" i="1" s="1"/>
  <c r="AW232" i="1"/>
  <c r="AV232" i="1" s="1"/>
  <c r="K227" i="1"/>
  <c r="BH32" i="1"/>
  <c r="AB32" i="1" s="1"/>
  <c r="BI237" i="1"/>
  <c r="AE237" i="1" s="1"/>
  <c r="BH235" i="1"/>
  <c r="AW210" i="1"/>
  <c r="AX141" i="1"/>
  <c r="BH107" i="1"/>
  <c r="AB107" i="1" s="1"/>
  <c r="BH88" i="1"/>
  <c r="AB88" i="1" s="1"/>
  <c r="AT71" i="1"/>
  <c r="K43" i="1"/>
  <c r="K40" i="1"/>
  <c r="BI33" i="1"/>
  <c r="AC33" i="1" s="1"/>
  <c r="BI21" i="1"/>
  <c r="AC21" i="1" s="1"/>
  <c r="AS230" i="1"/>
  <c r="AS241" i="1"/>
  <c r="BI48" i="1"/>
  <c r="AC48" i="1" s="1"/>
  <c r="AW32" i="1"/>
  <c r="AV32" i="1" s="1"/>
  <c r="J286" i="1"/>
  <c r="BI311" i="1"/>
  <c r="AE311" i="1" s="1"/>
  <c r="BI306" i="1"/>
  <c r="J265" i="1"/>
  <c r="BI259" i="1"/>
  <c r="AE259" i="1" s="1"/>
  <c r="BI229" i="1"/>
  <c r="J206" i="1"/>
  <c r="AU50" i="1"/>
  <c r="J35" i="1"/>
  <c r="AV41" i="1"/>
  <c r="J324" i="1"/>
  <c r="AW235" i="1"/>
  <c r="BH194" i="1"/>
  <c r="AD194" i="1" s="1"/>
  <c r="BH173" i="1"/>
  <c r="AD173" i="1" s="1"/>
  <c r="AW88" i="1"/>
  <c r="K58" i="1"/>
  <c r="AW52" i="1"/>
  <c r="AT230" i="1"/>
  <c r="BH260" i="1"/>
  <c r="AD260" i="1" s="1"/>
  <c r="AV250" i="1"/>
  <c r="K229" i="1"/>
  <c r="K199" i="1"/>
  <c r="AT161" i="1"/>
  <c r="BC33" i="1"/>
  <c r="BI22" i="1"/>
  <c r="AC22" i="1" s="1"/>
  <c r="BI277" i="1"/>
  <c r="AE277" i="1" s="1"/>
  <c r="AX276" i="1"/>
  <c r="AX133" i="1"/>
  <c r="L95" i="1"/>
  <c r="AU161" i="1"/>
  <c r="BH118" i="1"/>
  <c r="AB118" i="1" s="1"/>
  <c r="BI62" i="1"/>
  <c r="AC62" i="1" s="1"/>
  <c r="L44" i="1"/>
  <c r="AW28" i="1"/>
  <c r="BI269" i="1"/>
  <c r="AE269" i="1" s="1"/>
  <c r="BH261" i="1"/>
  <c r="AD261" i="1" s="1"/>
  <c r="AW208" i="1"/>
  <c r="AV208" i="1" s="1"/>
  <c r="AL91" i="1"/>
  <c r="AU90" i="1" s="1"/>
  <c r="BI69" i="1"/>
  <c r="AC69" i="1" s="1"/>
  <c r="BH35" i="1"/>
  <c r="AB35" i="1" s="1"/>
  <c r="K292" i="1"/>
  <c r="AW239" i="1"/>
  <c r="BI227" i="1"/>
  <c r="AE227" i="1" s="1"/>
  <c r="K145" i="1"/>
  <c r="J64" i="1"/>
  <c r="AV109" i="1"/>
  <c r="BC109" i="1"/>
  <c r="AV62" i="1"/>
  <c r="BC62" i="1"/>
  <c r="AU103" i="1"/>
  <c r="L14" i="1"/>
  <c r="L9" i="1"/>
  <c r="AW177" i="1"/>
  <c r="AS317" i="1"/>
  <c r="AW324" i="1"/>
  <c r="BH302" i="1"/>
  <c r="AD302" i="1" s="1"/>
  <c r="J299" i="1"/>
  <c r="AX279" i="1"/>
  <c r="BC253" i="1"/>
  <c r="AT236" i="1"/>
  <c r="AW223" i="1"/>
  <c r="BI156" i="1"/>
  <c r="AG156" i="1" s="1"/>
  <c r="AX140" i="1"/>
  <c r="K139" i="1"/>
  <c r="BI87" i="1"/>
  <c r="AC87" i="1" s="1"/>
  <c r="J86" i="1"/>
  <c r="AX70" i="1"/>
  <c r="J65" i="1"/>
  <c r="AX45" i="1"/>
  <c r="J34" i="1"/>
  <c r="K318" i="1"/>
  <c r="AW300" i="1"/>
  <c r="K279" i="1"/>
  <c r="AX268" i="1"/>
  <c r="BC268" i="1" s="1"/>
  <c r="J253" i="1"/>
  <c r="AX252" i="1"/>
  <c r="BC252" i="1" s="1"/>
  <c r="AW243" i="1"/>
  <c r="K194" i="1"/>
  <c r="AX11" i="1"/>
  <c r="L66" i="1"/>
  <c r="J227" i="1"/>
  <c r="AS14" i="1"/>
  <c r="BH286" i="1"/>
  <c r="AD286" i="1" s="1"/>
  <c r="AX244" i="1"/>
  <c r="BH203" i="1"/>
  <c r="AD203" i="1" s="1"/>
  <c r="AX198" i="1"/>
  <c r="J183" i="1"/>
  <c r="BI142" i="1"/>
  <c r="AC142" i="1" s="1"/>
  <c r="AW136" i="1"/>
  <c r="AV136" i="1" s="1"/>
  <c r="J114" i="1"/>
  <c r="K87" i="1"/>
  <c r="AW79" i="1"/>
  <c r="BC79" i="1" s="1"/>
  <c r="K48" i="1"/>
  <c r="AW37" i="1"/>
  <c r="K35" i="1"/>
  <c r="BC86" i="1"/>
  <c r="K47" i="1"/>
  <c r="AT66" i="1"/>
  <c r="J124" i="1"/>
  <c r="J298" i="1"/>
  <c r="BI295" i="1"/>
  <c r="AE295" i="1" s="1"/>
  <c r="BH288" i="1"/>
  <c r="K269" i="1"/>
  <c r="BH265" i="1"/>
  <c r="AD265" i="1" s="1"/>
  <c r="J239" i="1"/>
  <c r="AW238" i="1"/>
  <c r="BC238" i="1" s="1"/>
  <c r="BH214" i="1"/>
  <c r="AD214" i="1" s="1"/>
  <c r="BI168" i="1"/>
  <c r="J151" i="1"/>
  <c r="BH142" i="1"/>
  <c r="AB142" i="1" s="1"/>
  <c r="BH68" i="1"/>
  <c r="AB68" i="1" s="1"/>
  <c r="AX67" i="1"/>
  <c r="K86" i="1"/>
  <c r="K178" i="1"/>
  <c r="AW124" i="1"/>
  <c r="AX207" i="1"/>
  <c r="BH137" i="1"/>
  <c r="AB137" i="1" s="1"/>
  <c r="J136" i="1"/>
  <c r="K67" i="1"/>
  <c r="K54" i="1"/>
  <c r="J37" i="1"/>
  <c r="BC21" i="1"/>
  <c r="BH320" i="1"/>
  <c r="AD320" i="1" s="1"/>
  <c r="AX313" i="1"/>
  <c r="AW310" i="1"/>
  <c r="BH255" i="1"/>
  <c r="AD255" i="1" s="1"/>
  <c r="AX203" i="1"/>
  <c r="BI199" i="1"/>
  <c r="AE199" i="1" s="1"/>
  <c r="BI111" i="1"/>
  <c r="AC111" i="1" s="1"/>
  <c r="BI32" i="1"/>
  <c r="AC32" i="1" s="1"/>
  <c r="BI25" i="1"/>
  <c r="AC25" i="1" s="1"/>
  <c r="AT307" i="1"/>
  <c r="BH322" i="1"/>
  <c r="AD322" i="1" s="1"/>
  <c r="AW304" i="1"/>
  <c r="J300" i="1"/>
  <c r="AW281" i="1"/>
  <c r="BI271" i="1"/>
  <c r="AE271" i="1" s="1"/>
  <c r="AX265" i="1"/>
  <c r="BH240" i="1"/>
  <c r="AD240" i="1" s="1"/>
  <c r="AW214" i="1"/>
  <c r="BC214" i="1" s="1"/>
  <c r="K203" i="1"/>
  <c r="AW176" i="1"/>
  <c r="BC176" i="1" s="1"/>
  <c r="AW142" i="1"/>
  <c r="BH119" i="1"/>
  <c r="AB119" i="1" s="1"/>
  <c r="BH104" i="1"/>
  <c r="AB104" i="1" s="1"/>
  <c r="BH96" i="1"/>
  <c r="AB96" i="1" s="1"/>
  <c r="AW68" i="1"/>
  <c r="K22" i="1"/>
  <c r="K66" i="1"/>
  <c r="L50" i="1"/>
  <c r="AL328" i="1"/>
  <c r="J310" i="1"/>
  <c r="BI292" i="1"/>
  <c r="AE292" i="1" s="1"/>
  <c r="J288" i="1"/>
  <c r="K265" i="1"/>
  <c r="AV214" i="1"/>
  <c r="AX186" i="1"/>
  <c r="AW181" i="1"/>
  <c r="BC181" i="1" s="1"/>
  <c r="BI108" i="1"/>
  <c r="AC108" i="1" s="1"/>
  <c r="BI94" i="1"/>
  <c r="AC94" i="1" s="1"/>
  <c r="J79" i="1"/>
  <c r="BI75" i="1"/>
  <c r="AC75" i="1" s="1"/>
  <c r="K109" i="1"/>
  <c r="AT189" i="1"/>
  <c r="BI315" i="1"/>
  <c r="AE315" i="1" s="1"/>
  <c r="K261" i="1"/>
  <c r="BC250" i="1"/>
  <c r="BH228" i="1"/>
  <c r="AD228" i="1" s="1"/>
  <c r="AW137" i="1"/>
  <c r="AU24" i="1"/>
  <c r="J205" i="1"/>
  <c r="BH120" i="1"/>
  <c r="AB120" i="1" s="1"/>
  <c r="BI109" i="1"/>
  <c r="AC109" i="1" s="1"/>
  <c r="AW96" i="1"/>
  <c r="AU53" i="1"/>
  <c r="AS71" i="1"/>
  <c r="J322" i="1"/>
  <c r="AV233" i="1"/>
  <c r="BI178" i="1"/>
  <c r="AE178" i="1" s="1"/>
  <c r="AW130" i="1"/>
  <c r="AX96" i="1"/>
  <c r="BH86" i="1"/>
  <c r="AB86" i="1" s="1"/>
  <c r="BI77" i="1"/>
  <c r="AC77" i="1" s="1"/>
  <c r="K41" i="1"/>
  <c r="BC32" i="1"/>
  <c r="BH299" i="1"/>
  <c r="AD299" i="1" s="1"/>
  <c r="BI293" i="1"/>
  <c r="AE293" i="1" s="1"/>
  <c r="BI252" i="1"/>
  <c r="AE252" i="1" s="1"/>
  <c r="AW228" i="1"/>
  <c r="AX94" i="1"/>
  <c r="BH65" i="1"/>
  <c r="AB65" i="1" s="1"/>
  <c r="K50" i="1"/>
  <c r="L47" i="1"/>
  <c r="K315" i="1"/>
  <c r="AX196" i="1"/>
  <c r="BC196" i="1" s="1"/>
  <c r="AW183" i="1"/>
  <c r="AT128" i="1"/>
  <c r="AS36" i="1"/>
  <c r="K34" i="1"/>
  <c r="BI318" i="1"/>
  <c r="AE318" i="1" s="1"/>
  <c r="AW298" i="1"/>
  <c r="BH282" i="1"/>
  <c r="AD282" i="1" s="1"/>
  <c r="AW277" i="1"/>
  <c r="AX256" i="1"/>
  <c r="AV256" i="1" s="1"/>
  <c r="K223" i="1"/>
  <c r="AW205" i="1"/>
  <c r="BH202" i="1"/>
  <c r="AD202" i="1" s="1"/>
  <c r="J181" i="1"/>
  <c r="BH146" i="1"/>
  <c r="J120" i="1"/>
  <c r="BI98" i="1"/>
  <c r="AC98" i="1" s="1"/>
  <c r="AX77" i="1"/>
  <c r="AX58" i="1"/>
  <c r="AW34" i="1"/>
  <c r="AV34" i="1" s="1"/>
  <c r="BI20" i="1"/>
  <c r="AC20" i="1" s="1"/>
  <c r="BC209" i="1"/>
  <c r="AV209" i="1"/>
  <c r="AT81" i="1"/>
  <c r="AT249" i="1"/>
  <c r="BC290" i="1"/>
  <c r="AW295" i="1"/>
  <c r="BH262" i="1"/>
  <c r="AD262" i="1" s="1"/>
  <c r="AW262" i="1"/>
  <c r="AX212" i="1"/>
  <c r="BI212" i="1"/>
  <c r="AE212" i="1" s="1"/>
  <c r="K212" i="1"/>
  <c r="K205" i="1"/>
  <c r="BH199" i="1"/>
  <c r="AD199" i="1" s="1"/>
  <c r="AW199" i="1"/>
  <c r="BC199" i="1" s="1"/>
  <c r="J185" i="1"/>
  <c r="AW185" i="1"/>
  <c r="J180" i="1"/>
  <c r="AW180" i="1"/>
  <c r="BH180" i="1"/>
  <c r="AD180" i="1" s="1"/>
  <c r="AW70" i="1"/>
  <c r="J70" i="1"/>
  <c r="J66" i="1" s="1"/>
  <c r="BH70" i="1"/>
  <c r="AB70" i="1" s="1"/>
  <c r="AU36" i="1"/>
  <c r="AW25" i="1"/>
  <c r="BH25" i="1"/>
  <c r="AB25" i="1" s="1"/>
  <c r="BC15" i="1"/>
  <c r="AU317" i="1"/>
  <c r="AW245" i="1"/>
  <c r="J245" i="1"/>
  <c r="AX226" i="1"/>
  <c r="BI226" i="1"/>
  <c r="AE226" i="1" s="1"/>
  <c r="AW225" i="1"/>
  <c r="J225" i="1"/>
  <c r="AV181" i="1"/>
  <c r="AX171" i="1"/>
  <c r="AS161" i="1"/>
  <c r="AW153" i="1"/>
  <c r="J153" i="1"/>
  <c r="BH153" i="1"/>
  <c r="J149" i="1"/>
  <c r="BH149" i="1"/>
  <c r="BH110" i="1"/>
  <c r="AB110" i="1" s="1"/>
  <c r="AW110" i="1"/>
  <c r="BI107" i="1"/>
  <c r="AC107" i="1" s="1"/>
  <c r="AX107" i="1"/>
  <c r="K328" i="1"/>
  <c r="BI328" i="1"/>
  <c r="AE328" i="1" s="1"/>
  <c r="AX316" i="1"/>
  <c r="K316" i="1"/>
  <c r="BI316" i="1"/>
  <c r="AX288" i="1"/>
  <c r="AV288" i="1" s="1"/>
  <c r="BI288" i="1"/>
  <c r="BI273" i="1"/>
  <c r="AE273" i="1" s="1"/>
  <c r="AX273" i="1"/>
  <c r="AV273" i="1" s="1"/>
  <c r="AX251" i="1"/>
  <c r="K251" i="1"/>
  <c r="K192" i="1"/>
  <c r="AX192" i="1"/>
  <c r="K171" i="1"/>
  <c r="BI138" i="1"/>
  <c r="AC138" i="1" s="1"/>
  <c r="AX138" i="1"/>
  <c r="K138" i="1"/>
  <c r="BH133" i="1"/>
  <c r="AB133" i="1" s="1"/>
  <c r="AW133" i="1"/>
  <c r="AW99" i="1"/>
  <c r="J99" i="1"/>
  <c r="J97" i="1" s="1"/>
  <c r="BH99" i="1"/>
  <c r="AB99" i="1" s="1"/>
  <c r="AV88" i="1"/>
  <c r="BC88" i="1"/>
  <c r="AT53" i="1"/>
  <c r="J186" i="1"/>
  <c r="AW186" i="1"/>
  <c r="AV186" i="1" s="1"/>
  <c r="BI172" i="1"/>
  <c r="AE172" i="1" s="1"/>
  <c r="K172" i="1"/>
  <c r="AS144" i="1"/>
  <c r="K222" i="1"/>
  <c r="K297" i="1"/>
  <c r="AW312" i="1"/>
  <c r="BI298" i="1"/>
  <c r="AE298" i="1" s="1"/>
  <c r="AX298" i="1"/>
  <c r="BC298" i="1" s="1"/>
  <c r="BI290" i="1"/>
  <c r="AE290" i="1" s="1"/>
  <c r="K290" i="1"/>
  <c r="BC232" i="1"/>
  <c r="K201" i="1"/>
  <c r="BI201" i="1"/>
  <c r="AE201" i="1" s="1"/>
  <c r="J196" i="1"/>
  <c r="BH196" i="1"/>
  <c r="AD196" i="1" s="1"/>
  <c r="BH151" i="1"/>
  <c r="AX74" i="1"/>
  <c r="BI74" i="1"/>
  <c r="AC74" i="1" s="1"/>
  <c r="BH27" i="1"/>
  <c r="AB27" i="1" s="1"/>
  <c r="J27" i="1"/>
  <c r="BH263" i="1"/>
  <c r="AD263" i="1" s="1"/>
  <c r="AW263" i="1"/>
  <c r="BI257" i="1"/>
  <c r="K257" i="1"/>
  <c r="K115" i="1"/>
  <c r="AX115" i="1"/>
  <c r="BI115" i="1"/>
  <c r="AC115" i="1" s="1"/>
  <c r="J254" i="1"/>
  <c r="K91" i="1"/>
  <c r="K90" i="1" s="1"/>
  <c r="K319" i="1"/>
  <c r="AW311" i="1"/>
  <c r="J311" i="1"/>
  <c r="AU307" i="1"/>
  <c r="BI219" i="1"/>
  <c r="AE219" i="1" s="1"/>
  <c r="AW217" i="1"/>
  <c r="BH217" i="1"/>
  <c r="AD217" i="1" s="1"/>
  <c r="BI202" i="1"/>
  <c r="AE202" i="1" s="1"/>
  <c r="AX202" i="1"/>
  <c r="BC201" i="1"/>
  <c r="AW172" i="1"/>
  <c r="BH172" i="1"/>
  <c r="AD172" i="1" s="1"/>
  <c r="AX120" i="1"/>
  <c r="AV120" i="1" s="1"/>
  <c r="K120" i="1"/>
  <c r="AW54" i="1"/>
  <c r="J54" i="1"/>
  <c r="AW45" i="1"/>
  <c r="BH45" i="1"/>
  <c r="AB45" i="1" s="1"/>
  <c r="AX16" i="1"/>
  <c r="K16" i="1"/>
  <c r="BI16" i="1"/>
  <c r="AC16" i="1" s="1"/>
  <c r="BH297" i="1"/>
  <c r="AD297" i="1" s="1"/>
  <c r="AW297" i="1"/>
  <c r="AV20" i="1"/>
  <c r="AS53" i="1"/>
  <c r="L307" i="1"/>
  <c r="AX299" i="1"/>
  <c r="AV299" i="1" s="1"/>
  <c r="BI299" i="1"/>
  <c r="AE299" i="1" s="1"/>
  <c r="J295" i="1"/>
  <c r="J259" i="1"/>
  <c r="AW259" i="1"/>
  <c r="BH259" i="1"/>
  <c r="AD259" i="1" s="1"/>
  <c r="L236" i="1"/>
  <c r="BH201" i="1"/>
  <c r="AD201" i="1" s="1"/>
  <c r="J201" i="1"/>
  <c r="AX154" i="1"/>
  <c r="BI154" i="1"/>
  <c r="AX124" i="1"/>
  <c r="BI124" i="1"/>
  <c r="AC124" i="1" s="1"/>
  <c r="AX104" i="1"/>
  <c r="K104" i="1"/>
  <c r="BI104" i="1"/>
  <c r="AC104" i="1" s="1"/>
  <c r="AW16" i="1"/>
  <c r="BH16" i="1"/>
  <c r="AB16" i="1" s="1"/>
  <c r="J16" i="1"/>
  <c r="BI324" i="1"/>
  <c r="AE324" i="1" s="1"/>
  <c r="AX324" i="1"/>
  <c r="BH315" i="1"/>
  <c r="AD315" i="1" s="1"/>
  <c r="J315" i="1"/>
  <c r="J251" i="1"/>
  <c r="BH251" i="1"/>
  <c r="AD251" i="1" s="1"/>
  <c r="J192" i="1"/>
  <c r="AW192" i="1"/>
  <c r="AU14" i="1"/>
  <c r="AT169" i="1"/>
  <c r="AS189" i="1"/>
  <c r="AU325" i="1"/>
  <c r="AT317" i="1"/>
  <c r="AX300" i="1"/>
  <c r="BC300" i="1" s="1"/>
  <c r="BI300" i="1"/>
  <c r="AE300" i="1" s="1"/>
  <c r="AL281" i="1"/>
  <c r="AU280" i="1" s="1"/>
  <c r="L280" i="1"/>
  <c r="AX275" i="1"/>
  <c r="K275" i="1"/>
  <c r="AX264" i="1"/>
  <c r="K264" i="1"/>
  <c r="BI264" i="1"/>
  <c r="AE264" i="1" s="1"/>
  <c r="AX228" i="1"/>
  <c r="BC228" i="1" s="1"/>
  <c r="BI228" i="1"/>
  <c r="AE228" i="1" s="1"/>
  <c r="K228" i="1"/>
  <c r="BH218" i="1"/>
  <c r="AD218" i="1" s="1"/>
  <c r="J218" i="1"/>
  <c r="AW182" i="1"/>
  <c r="BH182" i="1"/>
  <c r="AD182" i="1" s="1"/>
  <c r="BH154" i="1"/>
  <c r="AW154" i="1"/>
  <c r="AW139" i="1"/>
  <c r="BI131" i="1"/>
  <c r="AC131" i="1" s="1"/>
  <c r="K131" i="1"/>
  <c r="J116" i="1"/>
  <c r="AW116" i="1"/>
  <c r="BH116" i="1"/>
  <c r="AB116" i="1" s="1"/>
  <c r="BH75" i="1"/>
  <c r="AB75" i="1" s="1"/>
  <c r="J63" i="1"/>
  <c r="BH63" i="1"/>
  <c r="AB63" i="1" s="1"/>
  <c r="BH62" i="1"/>
  <c r="AB62" i="1" s="1"/>
  <c r="J62" i="1"/>
  <c r="BI56" i="1"/>
  <c r="AC56" i="1" s="1"/>
  <c r="AX56" i="1"/>
  <c r="AV56" i="1" s="1"/>
  <c r="J306" i="1"/>
  <c r="AW306" i="1"/>
  <c r="BC306" i="1" s="1"/>
  <c r="J263" i="1"/>
  <c r="J242" i="1"/>
  <c r="BH242" i="1"/>
  <c r="AD242" i="1" s="1"/>
  <c r="AW49" i="1"/>
  <c r="BH49" i="1"/>
  <c r="AB49" i="1" s="1"/>
  <c r="AV176" i="1"/>
  <c r="BI326" i="1"/>
  <c r="AE326" i="1" s="1"/>
  <c r="K326" i="1"/>
  <c r="AX326" i="1"/>
  <c r="BC276" i="1"/>
  <c r="AX260" i="1"/>
  <c r="K260" i="1"/>
  <c r="AX219" i="1"/>
  <c r="AL49" i="1"/>
  <c r="AU47" i="1" s="1"/>
  <c r="J270" i="1"/>
  <c r="AW270" i="1"/>
  <c r="BC270" i="1" s="1"/>
  <c r="BH254" i="1"/>
  <c r="AD254" i="1" s="1"/>
  <c r="J224" i="1"/>
  <c r="BH224" i="1"/>
  <c r="AD224" i="1" s="1"/>
  <c r="AX173" i="1"/>
  <c r="K173" i="1"/>
  <c r="AW156" i="1"/>
  <c r="BH156" i="1"/>
  <c r="AF156" i="1" s="1"/>
  <c r="BI132" i="1"/>
  <c r="AC132" i="1" s="1"/>
  <c r="AX132" i="1"/>
  <c r="K132" i="1"/>
  <c r="BH84" i="1"/>
  <c r="AB84" i="1" s="1"/>
  <c r="J84" i="1"/>
  <c r="BI17" i="1"/>
  <c r="AC17" i="1" s="1"/>
  <c r="K17" i="1"/>
  <c r="AV22" i="1"/>
  <c r="K312" i="1"/>
  <c r="AW220" i="1"/>
  <c r="J220" i="1"/>
  <c r="AW219" i="1"/>
  <c r="BC219" i="1" s="1"/>
  <c r="BI204" i="1"/>
  <c r="AE204" i="1" s="1"/>
  <c r="K204" i="1"/>
  <c r="BH178" i="1"/>
  <c r="AD178" i="1" s="1"/>
  <c r="AW178" i="1"/>
  <c r="BI174" i="1"/>
  <c r="AE174" i="1" s="1"/>
  <c r="AX174" i="1"/>
  <c r="AW132" i="1"/>
  <c r="BH132" i="1"/>
  <c r="AB132" i="1" s="1"/>
  <c r="AU128" i="1"/>
  <c r="AX117" i="1"/>
  <c r="BC117" i="1" s="1"/>
  <c r="J17" i="1"/>
  <c r="AW17" i="1"/>
  <c r="AV121" i="1"/>
  <c r="K288" i="1"/>
  <c r="J327" i="1"/>
  <c r="AW327" i="1"/>
  <c r="AV327" i="1" s="1"/>
  <c r="BH327" i="1"/>
  <c r="AD327" i="1" s="1"/>
  <c r="K320" i="1"/>
  <c r="AX320" i="1"/>
  <c r="K308" i="1"/>
  <c r="BI308" i="1"/>
  <c r="AE308" i="1" s="1"/>
  <c r="BI303" i="1"/>
  <c r="AE303" i="1" s="1"/>
  <c r="K303" i="1"/>
  <c r="K284" i="1"/>
  <c r="AX284" i="1"/>
  <c r="AX282" i="1"/>
  <c r="J276" i="1"/>
  <c r="BH276" i="1"/>
  <c r="AD276" i="1" s="1"/>
  <c r="AW271" i="1"/>
  <c r="J271" i="1"/>
  <c r="K248" i="1"/>
  <c r="AX248" i="1"/>
  <c r="BH245" i="1"/>
  <c r="AD245" i="1" s="1"/>
  <c r="K215" i="1"/>
  <c r="AX215" i="1"/>
  <c r="AV215" i="1" s="1"/>
  <c r="BI215" i="1"/>
  <c r="AE215" i="1" s="1"/>
  <c r="BI205" i="1"/>
  <c r="AE205" i="1" s="1"/>
  <c r="BH185" i="1"/>
  <c r="AD185" i="1" s="1"/>
  <c r="BH174" i="1"/>
  <c r="AD174" i="1" s="1"/>
  <c r="AW174" i="1"/>
  <c r="J170" i="1"/>
  <c r="AW170" i="1"/>
  <c r="BH170" i="1"/>
  <c r="AD170" i="1" s="1"/>
  <c r="BC142" i="1"/>
  <c r="AV142" i="1"/>
  <c r="AL94" i="1"/>
  <c r="AU93" i="1" s="1"/>
  <c r="L93" i="1"/>
  <c r="BH69" i="1"/>
  <c r="AB69" i="1" s="1"/>
  <c r="AW69" i="1"/>
  <c r="BC69" i="1" s="1"/>
  <c r="AX51" i="1"/>
  <c r="BI51" i="1"/>
  <c r="AC51" i="1" s="1"/>
  <c r="BI15" i="1"/>
  <c r="AC15" i="1" s="1"/>
  <c r="K53" i="1"/>
  <c r="J236" i="1"/>
  <c r="AS258" i="1"/>
  <c r="AV276" i="1"/>
  <c r="AU289" i="1"/>
  <c r="AX322" i="1"/>
  <c r="BI322" i="1"/>
  <c r="AE322" i="1" s="1"/>
  <c r="K322" i="1"/>
  <c r="AW313" i="1"/>
  <c r="BC313" i="1" s="1"/>
  <c r="BH313" i="1"/>
  <c r="AD313" i="1" s="1"/>
  <c r="J313" i="1"/>
  <c r="AX310" i="1"/>
  <c r="BC310" i="1" s="1"/>
  <c r="BI310" i="1"/>
  <c r="AE310" i="1" s="1"/>
  <c r="K310" i="1"/>
  <c r="AX294" i="1"/>
  <c r="BI294" i="1"/>
  <c r="AE294" i="1" s="1"/>
  <c r="K282" i="1"/>
  <c r="BC279" i="1"/>
  <c r="BI278" i="1"/>
  <c r="AE278" i="1" s="1"/>
  <c r="K278" i="1"/>
  <c r="AX255" i="1"/>
  <c r="BI251" i="1"/>
  <c r="AE251" i="1" s="1"/>
  <c r="AV238" i="1"/>
  <c r="BH206" i="1"/>
  <c r="AD206" i="1" s="1"/>
  <c r="BI192" i="1"/>
  <c r="AE192" i="1" s="1"/>
  <c r="BH184" i="1"/>
  <c r="AD184" i="1" s="1"/>
  <c r="J184" i="1"/>
  <c r="BH147" i="1"/>
  <c r="J147" i="1"/>
  <c r="BH141" i="1"/>
  <c r="AB141" i="1" s="1"/>
  <c r="J141" i="1"/>
  <c r="AW141" i="1"/>
  <c r="BI110" i="1"/>
  <c r="AC110" i="1" s="1"/>
  <c r="L103" i="1"/>
  <c r="BH77" i="1"/>
  <c r="AB77" i="1" s="1"/>
  <c r="AW77" i="1"/>
  <c r="BH51" i="1"/>
  <c r="AB51" i="1" s="1"/>
  <c r="AW51" i="1"/>
  <c r="AS24" i="1"/>
  <c r="J294" i="1"/>
  <c r="AW294" i="1"/>
  <c r="BC294" i="1" s="1"/>
  <c r="BH294" i="1"/>
  <c r="AD294" i="1" s="1"/>
  <c r="BH209" i="1"/>
  <c r="AD209" i="1" s="1"/>
  <c r="J209" i="1"/>
  <c r="BH186" i="1"/>
  <c r="AD186" i="1" s="1"/>
  <c r="BI118" i="1"/>
  <c r="AC118" i="1" s="1"/>
  <c r="K118" i="1"/>
  <c r="AX323" i="1"/>
  <c r="BI267" i="1"/>
  <c r="AE267" i="1" s="1"/>
  <c r="AX267" i="1"/>
  <c r="BC267" i="1" s="1"/>
  <c r="BH257" i="1"/>
  <c r="BH256" i="1"/>
  <c r="AD256" i="1" s="1"/>
  <c r="AT241" i="1"/>
  <c r="L241" i="1"/>
  <c r="BI222" i="1"/>
  <c r="AE222" i="1" s="1"/>
  <c r="K211" i="1"/>
  <c r="AX211" i="1"/>
  <c r="BH192" i="1"/>
  <c r="AD192" i="1" s="1"/>
  <c r="BI180" i="1"/>
  <c r="AE180" i="1" s="1"/>
  <c r="AX180" i="1"/>
  <c r="BH162" i="1"/>
  <c r="AD162" i="1" s="1"/>
  <c r="J162" i="1"/>
  <c r="BI119" i="1"/>
  <c r="AC119" i="1" s="1"/>
  <c r="BI91" i="1"/>
  <c r="AC91" i="1" s="1"/>
  <c r="BH58" i="1"/>
  <c r="AB58" i="1" s="1"/>
  <c r="AW58" i="1"/>
  <c r="AX52" i="1"/>
  <c r="AV52" i="1" s="1"/>
  <c r="J25" i="1"/>
  <c r="AT36" i="1"/>
  <c r="BC34" i="1"/>
  <c r="AS289" i="1"/>
  <c r="BH277" i="1"/>
  <c r="AD277" i="1" s="1"/>
  <c r="AV196" i="1"/>
  <c r="BI176" i="1"/>
  <c r="AE176" i="1" s="1"/>
  <c r="BI146" i="1"/>
  <c r="BI136" i="1"/>
  <c r="AC136" i="1" s="1"/>
  <c r="AW111" i="1"/>
  <c r="AW107" i="1"/>
  <c r="AV107" i="1" s="1"/>
  <c r="BH11" i="1"/>
  <c r="AB11" i="1" s="1"/>
  <c r="AS81" i="1"/>
  <c r="AT325" i="1"/>
  <c r="L317" i="1"/>
  <c r="BI286" i="1"/>
  <c r="AE286" i="1" s="1"/>
  <c r="BI250" i="1"/>
  <c r="AE250" i="1" s="1"/>
  <c r="BH232" i="1"/>
  <c r="AD232" i="1" s="1"/>
  <c r="BH231" i="1"/>
  <c r="AD231" i="1" s="1"/>
  <c r="BI223" i="1"/>
  <c r="AE223" i="1" s="1"/>
  <c r="BH197" i="1"/>
  <c r="AD197" i="1" s="1"/>
  <c r="BI175" i="1"/>
  <c r="AE175" i="1" s="1"/>
  <c r="BH135" i="1"/>
  <c r="AB135" i="1" s="1"/>
  <c r="BH129" i="1"/>
  <c r="AB129" i="1" s="1"/>
  <c r="BI121" i="1"/>
  <c r="AC121" i="1" s="1"/>
  <c r="BI113" i="1"/>
  <c r="AC113" i="1" s="1"/>
  <c r="AX40" i="1"/>
  <c r="BC40" i="1" s="1"/>
  <c r="BH33" i="1"/>
  <c r="AB33" i="1" s="1"/>
  <c r="BI30" i="1"/>
  <c r="AC30" i="1" s="1"/>
  <c r="AX18" i="1"/>
  <c r="BC18" i="1" s="1"/>
  <c r="AT144" i="1"/>
  <c r="AS307" i="1"/>
  <c r="AW260" i="1"/>
  <c r="BC260" i="1" s="1"/>
  <c r="J230" i="1"/>
  <c r="K197" i="1"/>
  <c r="K175" i="1"/>
  <c r="L155" i="1"/>
  <c r="L330" i="1" s="1"/>
  <c r="AW135" i="1"/>
  <c r="AW129" i="1"/>
  <c r="K121" i="1"/>
  <c r="AX113" i="1"/>
  <c r="AV113" i="1" s="1"/>
  <c r="AX82" i="1"/>
  <c r="L53" i="1"/>
  <c r="K30" i="1"/>
  <c r="BC194" i="1"/>
  <c r="AV79" i="1"/>
  <c r="AV33" i="1"/>
  <c r="AT258" i="1"/>
  <c r="BC233" i="1"/>
  <c r="AV30" i="1"/>
  <c r="AS97" i="1"/>
  <c r="K166" i="1"/>
  <c r="AV223" i="1"/>
  <c r="AX98" i="1"/>
  <c r="AX69" i="1"/>
  <c r="AX38" i="1"/>
  <c r="BC38" i="1" s="1"/>
  <c r="K20" i="1"/>
  <c r="AW7" i="1"/>
  <c r="AS103" i="1"/>
  <c r="BC327" i="1"/>
  <c r="K293" i="1"/>
  <c r="K289" i="1" s="1"/>
  <c r="AT289" i="1"/>
  <c r="AV253" i="1"/>
  <c r="AX246" i="1"/>
  <c r="J237" i="1"/>
  <c r="K147" i="1"/>
  <c r="AW138" i="1"/>
  <c r="AW104" i="1"/>
  <c r="J91" i="1"/>
  <c r="J90" i="1" s="1"/>
  <c r="K38" i="1"/>
  <c r="K36" i="1" s="1"/>
  <c r="AW316" i="1"/>
  <c r="AU241" i="1"/>
  <c r="AT103" i="1"/>
  <c r="J305" i="1"/>
  <c r="J279" i="1"/>
  <c r="BH264" i="1"/>
  <c r="AD264" i="1" s="1"/>
  <c r="BH64" i="1"/>
  <c r="AB64" i="1" s="1"/>
  <c r="BC299" i="1"/>
  <c r="BC324" i="1"/>
  <c r="AV324" i="1"/>
  <c r="BC274" i="1"/>
  <c r="AV274" i="1"/>
  <c r="AV265" i="1"/>
  <c r="BC265" i="1"/>
  <c r="AL253" i="1"/>
  <c r="AU249" i="1" s="1"/>
  <c r="L249" i="1"/>
  <c r="AL84" i="1"/>
  <c r="AU81" i="1" s="1"/>
  <c r="L81" i="1"/>
  <c r="BC320" i="1"/>
  <c r="AV320" i="1"/>
  <c r="AX126" i="1"/>
  <c r="BI126" i="1"/>
  <c r="AC126" i="1" s="1"/>
  <c r="AV118" i="1"/>
  <c r="BC118" i="1"/>
  <c r="K305" i="1"/>
  <c r="AX305" i="1"/>
  <c r="BC305" i="1" s="1"/>
  <c r="BI305" i="1"/>
  <c r="AE305" i="1" s="1"/>
  <c r="AV284" i="1"/>
  <c r="BC284" i="1"/>
  <c r="AW275" i="1"/>
  <c r="BH275" i="1"/>
  <c r="AD275" i="1" s="1"/>
  <c r="J275" i="1"/>
  <c r="AW221" i="1"/>
  <c r="BH221" i="1"/>
  <c r="AD221" i="1" s="1"/>
  <c r="J221" i="1"/>
  <c r="AS249" i="1"/>
  <c r="BC240" i="1"/>
  <c r="AV240" i="1"/>
  <c r="BC282" i="1"/>
  <c r="AV282" i="1"/>
  <c r="J248" i="1"/>
  <c r="AW248" i="1"/>
  <c r="BH248" i="1"/>
  <c r="BH222" i="1"/>
  <c r="AD222" i="1" s="1"/>
  <c r="J222" i="1"/>
  <c r="AW222" i="1"/>
  <c r="AL183" i="1"/>
  <c r="AU169" i="1" s="1"/>
  <c r="L169" i="1"/>
  <c r="J314" i="1"/>
  <c r="AW314" i="1"/>
  <c r="BH314" i="1"/>
  <c r="AD314" i="1" s="1"/>
  <c r="AV279" i="1"/>
  <c r="AV268" i="1"/>
  <c r="BC251" i="1"/>
  <c r="AV251" i="1"/>
  <c r="AW229" i="1"/>
  <c r="J229" i="1"/>
  <c r="BH229" i="1"/>
  <c r="K187" i="1"/>
  <c r="AX187" i="1"/>
  <c r="BI187" i="1"/>
  <c r="AE187" i="1" s="1"/>
  <c r="J198" i="1"/>
  <c r="AW198" i="1"/>
  <c r="BH198" i="1"/>
  <c r="AD198" i="1" s="1"/>
  <c r="BC292" i="1"/>
  <c r="AV292" i="1"/>
  <c r="AV286" i="1"/>
  <c r="AW269" i="1"/>
  <c r="BH269" i="1"/>
  <c r="AD269" i="1" s="1"/>
  <c r="J269" i="1"/>
  <c r="AL205" i="1"/>
  <c r="AU189" i="1" s="1"/>
  <c r="L189" i="1"/>
  <c r="BC315" i="1"/>
  <c r="AV315" i="1"/>
  <c r="AW293" i="1"/>
  <c r="BH293" i="1"/>
  <c r="AD293" i="1" s="1"/>
  <c r="J293" i="1"/>
  <c r="AW328" i="1"/>
  <c r="J328" i="1"/>
  <c r="BH328" i="1"/>
  <c r="AD328" i="1" s="1"/>
  <c r="AG281" i="1"/>
  <c r="AE281" i="1"/>
  <c r="K263" i="1"/>
  <c r="AX263" i="1"/>
  <c r="BC263" i="1" s="1"/>
  <c r="BI263" i="1"/>
  <c r="AE263" i="1" s="1"/>
  <c r="J319" i="1"/>
  <c r="AW319" i="1"/>
  <c r="BH319" i="1"/>
  <c r="AD319" i="1" s="1"/>
  <c r="L289" i="1"/>
  <c r="AL260" i="1"/>
  <c r="AU258" i="1" s="1"/>
  <c r="L258" i="1"/>
  <c r="K225" i="1"/>
  <c r="BI225" i="1"/>
  <c r="AE225" i="1" s="1"/>
  <c r="AX225" i="1"/>
  <c r="BC225" i="1" s="1"/>
  <c r="AW308" i="1"/>
  <c r="J308" i="1"/>
  <c r="BH308" i="1"/>
  <c r="AD308" i="1" s="1"/>
  <c r="AL232" i="1"/>
  <c r="AU230" i="1" s="1"/>
  <c r="L230" i="1"/>
  <c r="AV322" i="1"/>
  <c r="BC322" i="1"/>
  <c r="K247" i="1"/>
  <c r="K241" i="1" s="1"/>
  <c r="AX247" i="1"/>
  <c r="BI247" i="1"/>
  <c r="AE247" i="1" s="1"/>
  <c r="AV228" i="1"/>
  <c r="BH266" i="1"/>
  <c r="AD266" i="1" s="1"/>
  <c r="BI260" i="1"/>
  <c r="AE260" i="1" s="1"/>
  <c r="AW247" i="1"/>
  <c r="BH247" i="1"/>
  <c r="AD247" i="1" s="1"/>
  <c r="AW187" i="1"/>
  <c r="BH187" i="1"/>
  <c r="AD187" i="1" s="1"/>
  <c r="J187" i="1"/>
  <c r="K164" i="1"/>
  <c r="K161" i="1" s="1"/>
  <c r="AX164" i="1"/>
  <c r="BI164" i="1"/>
  <c r="AE164" i="1" s="1"/>
  <c r="J134" i="1"/>
  <c r="AW134" i="1"/>
  <c r="BH134" i="1"/>
  <c r="AB134" i="1" s="1"/>
  <c r="J126" i="1"/>
  <c r="AW126" i="1"/>
  <c r="BH126" i="1"/>
  <c r="AB126" i="1" s="1"/>
  <c r="J320" i="1"/>
  <c r="AW318" i="1"/>
  <c r="K313" i="1"/>
  <c r="AX312" i="1"/>
  <c r="BH311" i="1"/>
  <c r="AD311" i="1" s="1"/>
  <c r="AX304" i="1"/>
  <c r="J292" i="1"/>
  <c r="BC286" i="1"/>
  <c r="J284" i="1"/>
  <c r="AX281" i="1"/>
  <c r="J274" i="1"/>
  <c r="AW272" i="1"/>
  <c r="J268" i="1"/>
  <c r="AX262" i="1"/>
  <c r="AX257" i="1"/>
  <c r="BI254" i="1"/>
  <c r="AE254" i="1" s="1"/>
  <c r="BH253" i="1"/>
  <c r="AD253" i="1" s="1"/>
  <c r="J246" i="1"/>
  <c r="AW246" i="1"/>
  <c r="AW244" i="1"/>
  <c r="BI238" i="1"/>
  <c r="AE238" i="1" s="1"/>
  <c r="BI233" i="1"/>
  <c r="AE233" i="1" s="1"/>
  <c r="AW227" i="1"/>
  <c r="BC223" i="1"/>
  <c r="AV197" i="1"/>
  <c r="BC197" i="1"/>
  <c r="BC166" i="1"/>
  <c r="AW164" i="1"/>
  <c r="BH164" i="1"/>
  <c r="AD164" i="1" s="1"/>
  <c r="J164" i="1"/>
  <c r="J161" i="1" s="1"/>
  <c r="AX65" i="1"/>
  <c r="AV65" i="1" s="1"/>
  <c r="BI65" i="1"/>
  <c r="AC65" i="1" s="1"/>
  <c r="AW43" i="1"/>
  <c r="BH43" i="1"/>
  <c r="AB43" i="1" s="1"/>
  <c r="J43" i="1"/>
  <c r="AW326" i="1"/>
  <c r="K323" i="1"/>
  <c r="J312" i="1"/>
  <c r="J304" i="1"/>
  <c r="AX303" i="1"/>
  <c r="AX297" i="1"/>
  <c r="J281" i="1"/>
  <c r="AX278" i="1"/>
  <c r="AV278" i="1" s="1"/>
  <c r="J262" i="1"/>
  <c r="AX261" i="1"/>
  <c r="AW255" i="1"/>
  <c r="BI243" i="1"/>
  <c r="AE243" i="1" s="1"/>
  <c r="AX243" i="1"/>
  <c r="BC243" i="1" s="1"/>
  <c r="AW237" i="1"/>
  <c r="BC96" i="1"/>
  <c r="AL74" i="1"/>
  <c r="AU71" i="1" s="1"/>
  <c r="L71" i="1"/>
  <c r="AX311" i="1"/>
  <c r="BC311" i="1" s="1"/>
  <c r="AW266" i="1"/>
  <c r="AX239" i="1"/>
  <c r="BI239" i="1"/>
  <c r="AE239" i="1" s="1"/>
  <c r="J212" i="1"/>
  <c r="AW212" i="1"/>
  <c r="BH212" i="1"/>
  <c r="AD212" i="1" s="1"/>
  <c r="AV199" i="1"/>
  <c r="AW323" i="1"/>
  <c r="BI319" i="1"/>
  <c r="AE319" i="1" s="1"/>
  <c r="J297" i="1"/>
  <c r="AX295" i="1"/>
  <c r="J278" i="1"/>
  <c r="AX277" i="1"/>
  <c r="J272" i="1"/>
  <c r="AX271" i="1"/>
  <c r="AX266" i="1"/>
  <c r="J247" i="1"/>
  <c r="AX242" i="1"/>
  <c r="AV242" i="1" s="1"/>
  <c r="AX114" i="1"/>
  <c r="BI114" i="1"/>
  <c r="AC114" i="1" s="1"/>
  <c r="K79" i="1"/>
  <c r="K71" i="1" s="1"/>
  <c r="BI79" i="1"/>
  <c r="AC79" i="1" s="1"/>
  <c r="AW303" i="1"/>
  <c r="AW302" i="1"/>
  <c r="AW261" i="1"/>
  <c r="AX254" i="1"/>
  <c r="AV254" i="1" s="1"/>
  <c r="BI235" i="1"/>
  <c r="AX235" i="1"/>
  <c r="AW211" i="1"/>
  <c r="BH211" i="1"/>
  <c r="AD211" i="1" s="1"/>
  <c r="AX123" i="1"/>
  <c r="BI123" i="1"/>
  <c r="AC123" i="1" s="1"/>
  <c r="AX68" i="1"/>
  <c r="BI68" i="1"/>
  <c r="AC68" i="1" s="1"/>
  <c r="K240" i="1"/>
  <c r="BI240" i="1"/>
  <c r="AE240" i="1" s="1"/>
  <c r="K238" i="1"/>
  <c r="J123" i="1"/>
  <c r="AW123" i="1"/>
  <c r="BH123" i="1"/>
  <c r="AB123" i="1" s="1"/>
  <c r="BI220" i="1"/>
  <c r="AE220" i="1" s="1"/>
  <c r="AX220" i="1"/>
  <c r="AX216" i="1"/>
  <c r="BI216" i="1"/>
  <c r="AE216" i="1" s="1"/>
  <c r="J204" i="1"/>
  <c r="AW204" i="1"/>
  <c r="BH204" i="1"/>
  <c r="AD204" i="1" s="1"/>
  <c r="K181" i="1"/>
  <c r="BI181" i="1"/>
  <c r="AE181" i="1" s="1"/>
  <c r="L128" i="1"/>
  <c r="AX328" i="1"/>
  <c r="AX308" i="1"/>
  <c r="AX259" i="1"/>
  <c r="K232" i="1"/>
  <c r="K230" i="1" s="1"/>
  <c r="BI232" i="1"/>
  <c r="AE232" i="1" s="1"/>
  <c r="AW231" i="1"/>
  <c r="AW218" i="1"/>
  <c r="J216" i="1"/>
  <c r="AW216" i="1"/>
  <c r="K213" i="1"/>
  <c r="AX213" i="1"/>
  <c r="BH318" i="1"/>
  <c r="AD318" i="1" s="1"/>
  <c r="BH292" i="1"/>
  <c r="AD292" i="1" s="1"/>
  <c r="BH284" i="1"/>
  <c r="AD284" i="1" s="1"/>
  <c r="BH274" i="1"/>
  <c r="AD274" i="1" s="1"/>
  <c r="J273" i="1"/>
  <c r="BH268" i="1"/>
  <c r="AD268" i="1" s="1"/>
  <c r="J267" i="1"/>
  <c r="AW264" i="1"/>
  <c r="BI245" i="1"/>
  <c r="AE245" i="1" s="1"/>
  <c r="J243" i="1"/>
  <c r="AX231" i="1"/>
  <c r="BI231" i="1"/>
  <c r="AE231" i="1" s="1"/>
  <c r="BH225" i="1"/>
  <c r="AD225" i="1" s="1"/>
  <c r="BC215" i="1"/>
  <c r="AW213" i="1"/>
  <c r="AV203" i="1"/>
  <c r="BC203" i="1"/>
  <c r="AX116" i="1"/>
  <c r="BI116" i="1"/>
  <c r="AC116" i="1" s="1"/>
  <c r="AX42" i="1"/>
  <c r="BI42" i="1"/>
  <c r="AC42" i="1" s="1"/>
  <c r="J323" i="1"/>
  <c r="BH246" i="1"/>
  <c r="AD246" i="1" s="1"/>
  <c r="AW226" i="1"/>
  <c r="J42" i="1"/>
  <c r="AW42" i="1"/>
  <c r="BH42" i="1"/>
  <c r="AB42" i="1" s="1"/>
  <c r="AX224" i="1"/>
  <c r="BC224" i="1" s="1"/>
  <c r="BI224" i="1"/>
  <c r="AE224" i="1" s="1"/>
  <c r="AW190" i="1"/>
  <c r="BH190" i="1"/>
  <c r="AD190" i="1" s="1"/>
  <c r="BC162" i="1"/>
  <c r="BH290" i="1"/>
  <c r="AD290" i="1" s="1"/>
  <c r="K250" i="1"/>
  <c r="K249" i="1" s="1"/>
  <c r="BH244" i="1"/>
  <c r="AD244" i="1" s="1"/>
  <c r="K217" i="1"/>
  <c r="BI217" i="1"/>
  <c r="AE217" i="1" s="1"/>
  <c r="BC205" i="1"/>
  <c r="AV205" i="1"/>
  <c r="AX162" i="1"/>
  <c r="AV162" i="1" s="1"/>
  <c r="BI162" i="1"/>
  <c r="AE162" i="1" s="1"/>
  <c r="AW72" i="1"/>
  <c r="BH72" i="1"/>
  <c r="AB72" i="1" s="1"/>
  <c r="J72" i="1"/>
  <c r="BI221" i="1"/>
  <c r="AE221" i="1" s="1"/>
  <c r="K221" i="1"/>
  <c r="BC217" i="1"/>
  <c r="AV217" i="1"/>
  <c r="AV48" i="1"/>
  <c r="J39" i="1"/>
  <c r="AW39" i="1"/>
  <c r="BH39" i="1"/>
  <c r="AB39" i="1" s="1"/>
  <c r="K27" i="1"/>
  <c r="AX27" i="1"/>
  <c r="BC27" i="1" s="1"/>
  <c r="BI27" i="1"/>
  <c r="AC27" i="1" s="1"/>
  <c r="J202" i="1"/>
  <c r="AX185" i="1"/>
  <c r="BI183" i="1"/>
  <c r="AE183" i="1" s="1"/>
  <c r="J178" i="1"/>
  <c r="AX177" i="1"/>
  <c r="AX172" i="1"/>
  <c r="AX170" i="1"/>
  <c r="BH168" i="1"/>
  <c r="BI166" i="1"/>
  <c r="AE166" i="1" s="1"/>
  <c r="BI147" i="1"/>
  <c r="BI145" i="1"/>
  <c r="AX137" i="1"/>
  <c r="BI135" i="1"/>
  <c r="AC135" i="1" s="1"/>
  <c r="J132" i="1"/>
  <c r="BI129" i="1"/>
  <c r="AC129" i="1" s="1"/>
  <c r="J111" i="1"/>
  <c r="AX110" i="1"/>
  <c r="J109" i="1"/>
  <c r="AX108" i="1"/>
  <c r="AW91" i="1"/>
  <c r="BH74" i="1"/>
  <c r="AB74" i="1" s="1"/>
  <c r="AX64" i="1"/>
  <c r="BC64" i="1" s="1"/>
  <c r="J56" i="1"/>
  <c r="AX54" i="1"/>
  <c r="BC54" i="1" s="1"/>
  <c r="J30" i="1"/>
  <c r="AX7" i="1"/>
  <c r="AV7" i="1" s="1"/>
  <c r="J208" i="1"/>
  <c r="BI190" i="1"/>
  <c r="AE190" i="1" s="1"/>
  <c r="BI188" i="1"/>
  <c r="K185" i="1"/>
  <c r="J176" i="1"/>
  <c r="J174" i="1"/>
  <c r="AX153" i="1"/>
  <c r="AX151" i="1"/>
  <c r="AW149" i="1"/>
  <c r="AW146" i="1"/>
  <c r="K137" i="1"/>
  <c r="AX131" i="1"/>
  <c r="AX106" i="1"/>
  <c r="BI88" i="1"/>
  <c r="AC88" i="1" s="1"/>
  <c r="BI86" i="1"/>
  <c r="AC86" i="1" s="1"/>
  <c r="J77" i="1"/>
  <c r="AV201" i="1"/>
  <c r="K106" i="1"/>
  <c r="AW63" i="1"/>
  <c r="AX12" i="1"/>
  <c r="AX10" i="1"/>
  <c r="BI5" i="1"/>
  <c r="AC5" i="1" s="1"/>
  <c r="BI211" i="1"/>
  <c r="AE211" i="1" s="1"/>
  <c r="BI210" i="1"/>
  <c r="AE210" i="1" s="1"/>
  <c r="BH188" i="1"/>
  <c r="BI182" i="1"/>
  <c r="AE182" i="1" s="1"/>
  <c r="AX152" i="1"/>
  <c r="AX150" i="1"/>
  <c r="BH140" i="1"/>
  <c r="AB140" i="1" s="1"/>
  <c r="AX102" i="1"/>
  <c r="BH60" i="1"/>
  <c r="AB60" i="1" s="1"/>
  <c r="BH48" i="1"/>
  <c r="AB48" i="1" s="1"/>
  <c r="J48" i="1"/>
  <c r="J47" i="1" s="1"/>
  <c r="BH30" i="1"/>
  <c r="AB30" i="1" s="1"/>
  <c r="K12" i="1"/>
  <c r="K10" i="1"/>
  <c r="K207" i="1"/>
  <c r="AX206" i="1"/>
  <c r="AX200" i="1"/>
  <c r="AX184" i="1"/>
  <c r="AX168" i="1"/>
  <c r="K152" i="1"/>
  <c r="K150" i="1"/>
  <c r="J139" i="1"/>
  <c r="J133" i="1"/>
  <c r="AW131" i="1"/>
  <c r="AX130" i="1"/>
  <c r="BH82" i="1"/>
  <c r="AB82" i="1" s="1"/>
  <c r="AW74" i="1"/>
  <c r="J58" i="1"/>
  <c r="BI37" i="1"/>
  <c r="AC37" i="1" s="1"/>
  <c r="J18" i="1"/>
  <c r="K102" i="1"/>
  <c r="K101" i="1" s="1"/>
  <c r="BI84" i="1"/>
  <c r="AC84" i="1" s="1"/>
  <c r="AW75" i="1"/>
  <c r="BH28" i="1"/>
  <c r="AB28" i="1" s="1"/>
  <c r="AX190" i="1"/>
  <c r="AX183" i="1"/>
  <c r="BC183" i="1" s="1"/>
  <c r="AX135" i="1"/>
  <c r="AX129" i="1"/>
  <c r="AX5" i="1"/>
  <c r="BC5" i="1" s="1"/>
  <c r="AW207" i="1"/>
  <c r="AW188" i="1"/>
  <c r="AW168" i="1"/>
  <c r="AW140" i="1"/>
  <c r="AW102" i="1"/>
  <c r="AW82" i="1"/>
  <c r="AW60" i="1"/>
  <c r="BH18" i="1"/>
  <c r="AB18" i="1" s="1"/>
  <c r="AX84" i="1"/>
  <c r="BH56" i="1"/>
  <c r="AB56" i="1" s="1"/>
  <c r="BH17" i="1"/>
  <c r="AB17" i="1" s="1"/>
  <c r="J131" i="1"/>
  <c r="J128" i="1" s="1"/>
  <c r="BH102" i="1"/>
  <c r="AF281" i="1"/>
  <c r="AB281" i="1"/>
  <c r="Z281" i="1"/>
  <c r="AC281" i="1"/>
  <c r="AJ281" i="1"/>
  <c r="AK281" i="1"/>
  <c r="AV300" i="1" l="1"/>
  <c r="AV35" i="1"/>
  <c r="BC271" i="1"/>
  <c r="K317" i="1"/>
  <c r="BC288" i="1"/>
  <c r="BC28" i="1"/>
  <c r="AV28" i="1"/>
  <c r="BC256" i="1"/>
  <c r="BC120" i="1"/>
  <c r="AV210" i="1"/>
  <c r="BC210" i="1"/>
  <c r="BC180" i="1"/>
  <c r="AV295" i="1"/>
  <c r="K144" i="1"/>
  <c r="AV38" i="1"/>
  <c r="AV298" i="1"/>
  <c r="AV252" i="1"/>
  <c r="AV40" i="1"/>
  <c r="AV281" i="1"/>
  <c r="BC208" i="1"/>
  <c r="K280" i="1"/>
  <c r="J280" i="1"/>
  <c r="BC107" i="1"/>
  <c r="AV260" i="1"/>
  <c r="BC273" i="1"/>
  <c r="K236" i="1"/>
  <c r="K325" i="1"/>
  <c r="J14" i="1"/>
  <c r="K14" i="1"/>
  <c r="J249" i="1"/>
  <c r="BC281" i="1"/>
  <c r="AV5" i="1"/>
  <c r="J144" i="1"/>
  <c r="K103" i="1"/>
  <c r="AV297" i="1"/>
  <c r="AV270" i="1"/>
  <c r="AV316" i="1"/>
  <c r="K81" i="1"/>
  <c r="BC67" i="1"/>
  <c r="AV67" i="1"/>
  <c r="BC277" i="1"/>
  <c r="K258" i="1"/>
  <c r="AV313" i="1"/>
  <c r="J24" i="1"/>
  <c r="BC94" i="1"/>
  <c r="AV94" i="1"/>
  <c r="AV96" i="1"/>
  <c r="BC37" i="1"/>
  <c r="AV37" i="1"/>
  <c r="BC11" i="1"/>
  <c r="AV11" i="1"/>
  <c r="K128" i="1"/>
  <c r="J71" i="1"/>
  <c r="BC136" i="1"/>
  <c r="BC113" i="1"/>
  <c r="BC220" i="1"/>
  <c r="J169" i="1"/>
  <c r="J81" i="1"/>
  <c r="K189" i="1"/>
  <c r="AV267" i="1"/>
  <c r="BC77" i="1"/>
  <c r="AV77" i="1"/>
  <c r="BC174" i="1"/>
  <c r="AV174" i="1"/>
  <c r="BC182" i="1"/>
  <c r="AV182" i="1"/>
  <c r="AV171" i="1"/>
  <c r="BC171" i="1"/>
  <c r="AV58" i="1"/>
  <c r="BC58" i="1"/>
  <c r="BC202" i="1"/>
  <c r="AV202" i="1"/>
  <c r="BC99" i="1"/>
  <c r="AV99" i="1"/>
  <c r="AV70" i="1"/>
  <c r="BC70" i="1"/>
  <c r="J258" i="1"/>
  <c r="BC132" i="1"/>
  <c r="AV132" i="1"/>
  <c r="AV133" i="1"/>
  <c r="BC133" i="1"/>
  <c r="BC316" i="1"/>
  <c r="BC186" i="1"/>
  <c r="BC254" i="1"/>
  <c r="BC124" i="1"/>
  <c r="AV124" i="1"/>
  <c r="AV180" i="1"/>
  <c r="BC56" i="1"/>
  <c r="BC52" i="1"/>
  <c r="AV141" i="1"/>
  <c r="BC141" i="1"/>
  <c r="AV192" i="1"/>
  <c r="BC192" i="1"/>
  <c r="BC7" i="1"/>
  <c r="K169" i="1"/>
  <c r="J325" i="1"/>
  <c r="AV306" i="1"/>
  <c r="AV111" i="1"/>
  <c r="BC111" i="1"/>
  <c r="AV294" i="1"/>
  <c r="AV178" i="1"/>
  <c r="BC178" i="1"/>
  <c r="AV220" i="1"/>
  <c r="AV263" i="1"/>
  <c r="AV27" i="1"/>
  <c r="BC156" i="1"/>
  <c r="AV156" i="1"/>
  <c r="BC98" i="1"/>
  <c r="AV98" i="1"/>
  <c r="BC173" i="1"/>
  <c r="AV173" i="1"/>
  <c r="AV245" i="1"/>
  <c r="BC245" i="1"/>
  <c r="AV45" i="1"/>
  <c r="BC45" i="1"/>
  <c r="BC104" i="1"/>
  <c r="AV104" i="1"/>
  <c r="J103" i="1"/>
  <c r="J241" i="1"/>
  <c r="AV310" i="1"/>
  <c r="AV219" i="1"/>
  <c r="BC138" i="1"/>
  <c r="AV138" i="1"/>
  <c r="J289" i="1"/>
  <c r="BC49" i="1"/>
  <c r="AV49" i="1"/>
  <c r="BC295" i="1"/>
  <c r="AV225" i="1"/>
  <c r="AV69" i="1"/>
  <c r="AV18" i="1"/>
  <c r="K307" i="1"/>
  <c r="AV139" i="1"/>
  <c r="BC139" i="1"/>
  <c r="AV117" i="1"/>
  <c r="BC25" i="1"/>
  <c r="AV25" i="1"/>
  <c r="BC17" i="1"/>
  <c r="AV17" i="1"/>
  <c r="BC154" i="1"/>
  <c r="AV154" i="1"/>
  <c r="K24" i="1"/>
  <c r="AV64" i="1"/>
  <c r="J317" i="1"/>
  <c r="BC51" i="1"/>
  <c r="AV51" i="1"/>
  <c r="AV16" i="1"/>
  <c r="BC16" i="1"/>
  <c r="BC115" i="1"/>
  <c r="AV115" i="1"/>
  <c r="BC229" i="1"/>
  <c r="AV229" i="1"/>
  <c r="AV146" i="1"/>
  <c r="BC146" i="1"/>
  <c r="BC91" i="1"/>
  <c r="AV91" i="1"/>
  <c r="AV114" i="1"/>
  <c r="BC114" i="1"/>
  <c r="BC227" i="1"/>
  <c r="AV227" i="1"/>
  <c r="AV126" i="1"/>
  <c r="BC126" i="1"/>
  <c r="BC184" i="1"/>
  <c r="AV184" i="1"/>
  <c r="AV68" i="1"/>
  <c r="BC68" i="1"/>
  <c r="BC255" i="1"/>
  <c r="AV255" i="1"/>
  <c r="BC297" i="1"/>
  <c r="BC242" i="1"/>
  <c r="BC110" i="1"/>
  <c r="AV110" i="1"/>
  <c r="AV226" i="1"/>
  <c r="BC226" i="1"/>
  <c r="AV204" i="1"/>
  <c r="BC204" i="1"/>
  <c r="AV244" i="1"/>
  <c r="BC244" i="1"/>
  <c r="BC312" i="1"/>
  <c r="AV312" i="1"/>
  <c r="BC134" i="1"/>
  <c r="AV134" i="1"/>
  <c r="BC108" i="1"/>
  <c r="AV108" i="1"/>
  <c r="AV206" i="1"/>
  <c r="BC206" i="1"/>
  <c r="AV216" i="1"/>
  <c r="BC216" i="1"/>
  <c r="AV212" i="1"/>
  <c r="BC212" i="1"/>
  <c r="AV43" i="1"/>
  <c r="BC43" i="1"/>
  <c r="BC246" i="1"/>
  <c r="AV246" i="1"/>
  <c r="AV243" i="1"/>
  <c r="AV198" i="1"/>
  <c r="BC198" i="1"/>
  <c r="BC248" i="1"/>
  <c r="AV248" i="1"/>
  <c r="BC221" i="1"/>
  <c r="AV221" i="1"/>
  <c r="AV237" i="1"/>
  <c r="BC237" i="1"/>
  <c r="AV149" i="1"/>
  <c r="BC149" i="1"/>
  <c r="AV318" i="1"/>
  <c r="BC318" i="1"/>
  <c r="BC328" i="1"/>
  <c r="AV328" i="1"/>
  <c r="J189" i="1"/>
  <c r="BC10" i="1"/>
  <c r="AV10" i="1"/>
  <c r="BC60" i="1"/>
  <c r="AV60" i="1"/>
  <c r="K9" i="1"/>
  <c r="BC12" i="1"/>
  <c r="AV12" i="1"/>
  <c r="AV264" i="1"/>
  <c r="BC264" i="1"/>
  <c r="AV218" i="1"/>
  <c r="BC218" i="1"/>
  <c r="BC211" i="1"/>
  <c r="AV211" i="1"/>
  <c r="AV271" i="1"/>
  <c r="AV311" i="1"/>
  <c r="AV185" i="1"/>
  <c r="BC185" i="1"/>
  <c r="AV75" i="1"/>
  <c r="BC75" i="1"/>
  <c r="BC63" i="1"/>
  <c r="AV63" i="1"/>
  <c r="BC231" i="1"/>
  <c r="AV231" i="1"/>
  <c r="AV235" i="1"/>
  <c r="BC235" i="1"/>
  <c r="AV239" i="1"/>
  <c r="BC239" i="1"/>
  <c r="AV314" i="1"/>
  <c r="BC314" i="1"/>
  <c r="BC275" i="1"/>
  <c r="AV275" i="1"/>
  <c r="AV224" i="1"/>
  <c r="AV151" i="1"/>
  <c r="BC151" i="1"/>
  <c r="AV82" i="1"/>
  <c r="BC82" i="1"/>
  <c r="AV102" i="1"/>
  <c r="BC102" i="1"/>
  <c r="AV137" i="1"/>
  <c r="BC137" i="1"/>
  <c r="AV39" i="1"/>
  <c r="BC39" i="1"/>
  <c r="BC266" i="1"/>
  <c r="AV266" i="1"/>
  <c r="BC257" i="1"/>
  <c r="AV257" i="1"/>
  <c r="J307" i="1"/>
  <c r="BC319" i="1"/>
  <c r="AV319" i="1"/>
  <c r="BC269" i="1"/>
  <c r="AV269" i="1"/>
  <c r="BC278" i="1"/>
  <c r="AV304" i="1"/>
  <c r="BC304" i="1"/>
  <c r="AV200" i="1"/>
  <c r="BC200" i="1"/>
  <c r="BC84" i="1"/>
  <c r="AV84" i="1"/>
  <c r="J36" i="1"/>
  <c r="AV262" i="1"/>
  <c r="BC262" i="1"/>
  <c r="BC308" i="1"/>
  <c r="AV308" i="1"/>
  <c r="AV293" i="1"/>
  <c r="BC293" i="1"/>
  <c r="AV153" i="1"/>
  <c r="BC153" i="1"/>
  <c r="BC140" i="1"/>
  <c r="AV140" i="1"/>
  <c r="BC74" i="1"/>
  <c r="AV74" i="1"/>
  <c r="AV168" i="1"/>
  <c r="BC168" i="1"/>
  <c r="AV116" i="1"/>
  <c r="BC116" i="1"/>
  <c r="AV123" i="1"/>
  <c r="BC123" i="1"/>
  <c r="BC261" i="1"/>
  <c r="AV261" i="1"/>
  <c r="AV187" i="1"/>
  <c r="BC187" i="1"/>
  <c r="BC259" i="1"/>
  <c r="AV259" i="1"/>
  <c r="AV302" i="1"/>
  <c r="BC302" i="1"/>
  <c r="AV54" i="1"/>
  <c r="AV164" i="1"/>
  <c r="BC164" i="1"/>
  <c r="AV272" i="1"/>
  <c r="BC272" i="1"/>
  <c r="BC152" i="1"/>
  <c r="AV152" i="1"/>
  <c r="AV72" i="1"/>
  <c r="BC72" i="1"/>
  <c r="BC207" i="1"/>
  <c r="AV207" i="1"/>
  <c r="AV131" i="1"/>
  <c r="BC131" i="1"/>
  <c r="BC303" i="1"/>
  <c r="AV303" i="1"/>
  <c r="AV323" i="1"/>
  <c r="BC323" i="1"/>
  <c r="AV247" i="1"/>
  <c r="BC247" i="1"/>
  <c r="AV177" i="1"/>
  <c r="BC177" i="1"/>
  <c r="BC188" i="1"/>
  <c r="AV188" i="1"/>
  <c r="AV183" i="1"/>
  <c r="BC106" i="1"/>
  <c r="AV106" i="1"/>
  <c r="J53" i="1"/>
  <c r="AV170" i="1"/>
  <c r="BC170" i="1"/>
  <c r="BC190" i="1"/>
  <c r="AV190" i="1"/>
  <c r="BC326" i="1"/>
  <c r="AV326" i="1"/>
  <c r="AV277" i="1"/>
  <c r="AV135" i="1"/>
  <c r="BC135" i="1"/>
  <c r="BC42" i="1"/>
  <c r="AV42" i="1"/>
  <c r="BC130" i="1"/>
  <c r="AV130" i="1"/>
  <c r="AV129" i="1"/>
  <c r="BC129" i="1"/>
  <c r="BC150" i="1"/>
  <c r="AV150" i="1"/>
  <c r="BC172" i="1"/>
  <c r="AV172" i="1"/>
  <c r="BC213" i="1"/>
  <c r="AV213" i="1"/>
  <c r="BC65" i="1"/>
  <c r="AV222" i="1"/>
  <c r="BC222" i="1"/>
  <c r="AV305" i="1"/>
  <c r="AT280" i="1"/>
  <c r="AS280" i="1"/>
</calcChain>
</file>

<file path=xl/sharedStrings.xml><?xml version="1.0" encoding="utf-8"?>
<sst xmlns="http://schemas.openxmlformats.org/spreadsheetml/2006/main" count="3604" uniqueCount="1297">
  <si>
    <t>92</t>
  </si>
  <si>
    <t>972054241R00</t>
  </si>
  <si>
    <t>165</t>
  </si>
  <si>
    <t>Hloubené vykopávky</t>
  </si>
  <si>
    <t>198</t>
  </si>
  <si>
    <t>Připojení příček ke stáv.konst.nastřelenou kotvou</t>
  </si>
  <si>
    <t>286550975</t>
  </si>
  <si>
    <t>162701105R00</t>
  </si>
  <si>
    <t>Projektant</t>
  </si>
  <si>
    <t>722280106R00</t>
  </si>
  <si>
    <t>67</t>
  </si>
  <si>
    <t>209</t>
  </si>
  <si>
    <t>226</t>
  </si>
  <si>
    <t>Malby</t>
  </si>
  <si>
    <t>183</t>
  </si>
  <si>
    <t>899103111RT2</t>
  </si>
  <si>
    <t>103</t>
  </si>
  <si>
    <t>602011131RT3</t>
  </si>
  <si>
    <t>998721101R00</t>
  </si>
  <si>
    <t>Výztuž základových pasů ze svařovaných sítí</t>
  </si>
  <si>
    <t>417320031RAA</t>
  </si>
  <si>
    <t>Vyrovnání podk.samoniv.hmotou inter.</t>
  </si>
  <si>
    <t>722182011R00</t>
  </si>
  <si>
    <t>721176104R00</t>
  </si>
  <si>
    <t>166</t>
  </si>
  <si>
    <t>Ozn.3,4-Dveře vnitřní laminát plné 1-křídlé 800 x 1970 mm</t>
  </si>
  <si>
    <t>228</t>
  </si>
  <si>
    <t>722172962R00</t>
  </si>
  <si>
    <t>Osazení betonových skruží rovných 29/100/9</t>
  </si>
  <si>
    <t>91</t>
  </si>
  <si>
    <t>28655006</t>
  </si>
  <si>
    <t>87</t>
  </si>
  <si>
    <t>728314115R00</t>
  </si>
  <si>
    <t>Podklad z kameniva zpev.cementem SC C8/10 tl.15 cm</t>
  </si>
  <si>
    <t>20</t>
  </si>
  <si>
    <t>Vyzdívka mezi nosníky cihlami pálenými na MC</t>
  </si>
  <si>
    <t>721176135R00</t>
  </si>
  <si>
    <t>998781101R00</t>
  </si>
  <si>
    <t>Přesun hmot pro obklady keramické, výšky do 6 m</t>
  </si>
  <si>
    <t>237</t>
  </si>
  <si>
    <t>Sokl s požlábkem 20 x 20 cm  bílá mat</t>
  </si>
  <si>
    <t>Dodávka</t>
  </si>
  <si>
    <t>Proplach stávající kanalizace</t>
  </si>
  <si>
    <t>642942111RT4</t>
  </si>
  <si>
    <t>3_</t>
  </si>
  <si>
    <t>998767101R00</t>
  </si>
  <si>
    <t>Vybourání kanal.rámů a poklopů plochy nad 0,6 m2</t>
  </si>
  <si>
    <t>167</t>
  </si>
  <si>
    <t>721179325R00</t>
  </si>
  <si>
    <t>Náklady (Kč) - celkem</t>
  </si>
  <si>
    <t>711</t>
  </si>
  <si>
    <t>Zkouška těsnosti kanalizace vodou DN 125 mm</t>
  </si>
  <si>
    <t>72_</t>
  </si>
  <si>
    <t>171</t>
  </si>
  <si>
    <t>147</t>
  </si>
  <si>
    <t>Název stavby:</t>
  </si>
  <si>
    <t>Ostatní materiál</t>
  </si>
  <si>
    <t>Otlučení omítek vnitřních stěn v rozsahu do 100 %</t>
  </si>
  <si>
    <t>Ozn.1-Dveře vchodové plastové sklo 2křídlové 150x197 cm -cena předběžná</t>
  </si>
  <si>
    <t>567122114R00</t>
  </si>
  <si>
    <t>48</t>
  </si>
  <si>
    <t>29</t>
  </si>
  <si>
    <t>Č</t>
  </si>
  <si>
    <t>89_</t>
  </si>
  <si>
    <t>s použitím suché maltové směsi</t>
  </si>
  <si>
    <t>Osazení stojat. obrub.bet. s opěrou,lože z C 12/15</t>
  </si>
  <si>
    <t>311361821R00</t>
  </si>
  <si>
    <t>Poznámka:</t>
  </si>
  <si>
    <t>979990111R00</t>
  </si>
  <si>
    <t>Oprava omítek stropů s rákosem do 5% pl.- hladkých</t>
  </si>
  <si>
    <t>Lokalita:</t>
  </si>
  <si>
    <t>79</t>
  </si>
  <si>
    <t>71</t>
  </si>
  <si>
    <t>16</t>
  </si>
  <si>
    <t>PSV</t>
  </si>
  <si>
    <t>189</t>
  </si>
  <si>
    <t>24</t>
  </si>
  <si>
    <t>Bez pevné podl.</t>
  </si>
  <si>
    <t>597642031</t>
  </si>
  <si>
    <t>Uložení sypaniny na skládku</t>
  </si>
  <si>
    <t>733_</t>
  </si>
  <si>
    <t>Celkem</t>
  </si>
  <si>
    <t>722172963R00</t>
  </si>
  <si>
    <t>Prah dubový dl. 800 mm, š. 150 mm, tl. 20 mm</t>
  </si>
  <si>
    <t>Zařízení staveniště</t>
  </si>
  <si>
    <t>317234410RT2</t>
  </si>
  <si>
    <t>vysekání drážky, dodávka profilů IPE 160</t>
  </si>
  <si>
    <t>Přesun hmot pro vnitřní kanalizaci, výšky do 6 m</t>
  </si>
  <si>
    <t>Izolace z minerální plsti Al 22x20 mm</t>
  </si>
  <si>
    <t>766_</t>
  </si>
  <si>
    <t>1_</t>
  </si>
  <si>
    <t>771411043R00</t>
  </si>
  <si>
    <t>4</t>
  </si>
  <si>
    <t>97</t>
  </si>
  <si>
    <t>121</t>
  </si>
  <si>
    <t>94</t>
  </si>
  <si>
    <t>311112130RT2</t>
  </si>
  <si>
    <t>54914627</t>
  </si>
  <si>
    <t>145</t>
  </si>
  <si>
    <t>564851115R00</t>
  </si>
  <si>
    <t>60</t>
  </si>
  <si>
    <t>vnitřní průměr 22 mm</t>
  </si>
  <si>
    <t>Základní rozpočtové náklady</t>
  </si>
  <si>
    <t>722175126R00</t>
  </si>
  <si>
    <t>Penetrace podkladu univerzální  1x</t>
  </si>
  <si>
    <t>235</t>
  </si>
  <si>
    <t>26</t>
  </si>
  <si>
    <t>6_</t>
  </si>
  <si>
    <t>105</t>
  </si>
  <si>
    <t>73553001VD</t>
  </si>
  <si>
    <t>Trubka D 50 x 3,8 mm délka 5 m PP-H</t>
  </si>
  <si>
    <t>135</t>
  </si>
  <si>
    <t>28655128</t>
  </si>
  <si>
    <t>zeď tloušťky 60 cm</t>
  </si>
  <si>
    <t>342941112R00</t>
  </si>
  <si>
    <t>Konstrukce ze zemin</t>
  </si>
  <si>
    <t>M24</t>
  </si>
  <si>
    <t>Vybourání plastových oken do 4 m2</t>
  </si>
  <si>
    <t>Celkem bez DPH</t>
  </si>
  <si>
    <t>Vybourání otv. zeď cihel. pl.0,09 m2, tl.15cm, MVC</t>
  </si>
  <si>
    <t>122</t>
  </si>
  <si>
    <t>725860180R00</t>
  </si>
  <si>
    <t>Montáž plastového vodovodního potrubí, rovného, polyfuzně svařeného, D 50 mm</t>
  </si>
  <si>
    <t>781670116RA0</t>
  </si>
  <si>
    <t>138</t>
  </si>
  <si>
    <t>2_</t>
  </si>
  <si>
    <t>M21</t>
  </si>
  <si>
    <t>Omítka jednovrstvá hlazená , ručně</t>
  </si>
  <si>
    <t>781419706R00</t>
  </si>
  <si>
    <t>721_</t>
  </si>
  <si>
    <t>762522811R00</t>
  </si>
  <si>
    <t>172</t>
  </si>
  <si>
    <t>722202221R00</t>
  </si>
  <si>
    <t>Potěr ze SMS , ruční zpracování, tl. 15 mm</t>
  </si>
  <si>
    <t>242</t>
  </si>
  <si>
    <t>767990010RAD</t>
  </si>
  <si>
    <t>722290234R00</t>
  </si>
  <si>
    <t>342256253R00</t>
  </si>
  <si>
    <t>223</t>
  </si>
  <si>
    <t>6</t>
  </si>
  <si>
    <t>Rozpočtové náklady v Kč</t>
  </si>
  <si>
    <t>631621117R00</t>
  </si>
  <si>
    <t>Ocelové konstrukce - L 150/150/10</t>
  </si>
  <si>
    <t>68</t>
  </si>
  <si>
    <t>81</t>
  </si>
  <si>
    <t>766661422R00</t>
  </si>
  <si>
    <t>Příčky z cihel plných pálených 290 mm, tl. 140 mm</t>
  </si>
  <si>
    <t>216</t>
  </si>
  <si>
    <t>Přesun hmot pro opravy a údržbu do výšky 6 m</t>
  </si>
  <si>
    <t>764900050RAA</t>
  </si>
  <si>
    <t>B</t>
  </si>
  <si>
    <t>119</t>
  </si>
  <si>
    <t>Demontáž otopných těles panelových dvouřadých, délky do 1500 mm</t>
  </si>
  <si>
    <t>160</t>
  </si>
  <si>
    <t>Náklady na umístění stavby (NUS)</t>
  </si>
  <si>
    <t>894403011R00</t>
  </si>
  <si>
    <t>42</t>
  </si>
  <si>
    <t>231</t>
  </si>
  <si>
    <t>82</t>
  </si>
  <si>
    <t>Montáž</t>
  </si>
  <si>
    <t>721100917R00</t>
  </si>
  <si>
    <t>711212002RT3</t>
  </si>
  <si>
    <t>229</t>
  </si>
  <si>
    <t>Datum, razítko a podpis</t>
  </si>
  <si>
    <t>ZRN celkem</t>
  </si>
  <si>
    <t>968072455R00</t>
  </si>
  <si>
    <t>725100001RA0</t>
  </si>
  <si>
    <t>602016195R00</t>
  </si>
  <si>
    <t>346244381R00</t>
  </si>
  <si>
    <t>28615423.A</t>
  </si>
  <si>
    <t>Stěrka hydroizolační, vč. dodávky HI hmoty</t>
  </si>
  <si>
    <t>722181211RT7</t>
  </si>
  <si>
    <t>17_</t>
  </si>
  <si>
    <t>979082121R00</t>
  </si>
  <si>
    <t>Montáž plastových vodovodních tvarovek, polyfuzně svařovaných, dva spoje, D 25 mm</t>
  </si>
  <si>
    <t>999281105R00</t>
  </si>
  <si>
    <t>931961115R00</t>
  </si>
  <si>
    <t>bednění, výztuž 90 kg/m3-rampa</t>
  </si>
  <si>
    <t>69</t>
  </si>
  <si>
    <t>722174212R00</t>
  </si>
  <si>
    <t>141</t>
  </si>
  <si>
    <t>T kus d 25x20x25 mm PP-H redukovaný</t>
  </si>
  <si>
    <t>274321311R00</t>
  </si>
  <si>
    <t>včetně dodávky poklopu lit. kruhového D 600</t>
  </si>
  <si>
    <t>965081713RT1</t>
  </si>
  <si>
    <t>894402211RT2</t>
  </si>
  <si>
    <t>Tlaková zkouška otopných těles litinových - vodou</t>
  </si>
  <si>
    <t>33</t>
  </si>
  <si>
    <t>78</t>
  </si>
  <si>
    <t>784950030RAA</t>
  </si>
  <si>
    <t>Montáž obkladů stěn, porovin.,tmel, 20x20,30x15 cm</t>
  </si>
  <si>
    <t>722175113R00</t>
  </si>
  <si>
    <t>Koleno d 50 mm 90°  PP-H</t>
  </si>
  <si>
    <t>Překlad nenosný z pórobetonu  100 x 250 x 2000 mm</t>
  </si>
  <si>
    <t>Krycí list slepého rozpočtu</t>
  </si>
  <si>
    <t>771578011R00</t>
  </si>
  <si>
    <t>120</t>
  </si>
  <si>
    <t>63</t>
  </si>
  <si>
    <t>230</t>
  </si>
  <si>
    <t>Potrubí KG odvětrání, D 110 x 3,2 mm</t>
  </si>
  <si>
    <t>28615153</t>
  </si>
  <si>
    <t>Tlaková zkouška vodovodního potrubí DN 50 mm</t>
  </si>
  <si>
    <t>783_</t>
  </si>
  <si>
    <t>Stěny a příčky</t>
  </si>
  <si>
    <t>154</t>
  </si>
  <si>
    <t>192</t>
  </si>
  <si>
    <t>971033331R00</t>
  </si>
  <si>
    <t>77_</t>
  </si>
  <si>
    <t>766695213R00</t>
  </si>
  <si>
    <t>137</t>
  </si>
  <si>
    <t>346971162R00</t>
  </si>
  <si>
    <t>Montáž plastových vodovodních tvarovek, polyfuzně svařovaných, jeden spoj, D 20 mm</t>
  </si>
  <si>
    <t>178</t>
  </si>
  <si>
    <t>Vysávání podlah prům.vysavačem pro pokládku dlažby</t>
  </si>
  <si>
    <t>25</t>
  </si>
  <si>
    <t>195</t>
  </si>
  <si>
    <t>kus</t>
  </si>
  <si>
    <t>Zábradlí nerez anticor z jackelů v.1,0 m</t>
  </si>
  <si>
    <t>28615421.A</t>
  </si>
  <si>
    <t>735151821R00</t>
  </si>
  <si>
    <t>Dodávky</t>
  </si>
  <si>
    <t>219</t>
  </si>
  <si>
    <t>735118110R00</t>
  </si>
  <si>
    <t>soustava</t>
  </si>
  <si>
    <t>Otvor v obkladačce diamant.korunkou prům.do 90 mm</t>
  </si>
  <si>
    <t>962031113R00</t>
  </si>
  <si>
    <t>Výztuž nadzákladových zdí z betonářské oceli B500B (10 505)</t>
  </si>
  <si>
    <t>Vnitrostaveništní doprava suti do 10 m</t>
  </si>
  <si>
    <t>Ostatní mat.</t>
  </si>
  <si>
    <t>941955001R00</t>
  </si>
  <si>
    <t>130</t>
  </si>
  <si>
    <t>781101210RT1</t>
  </si>
  <si>
    <t>781497111R00</t>
  </si>
  <si>
    <t>Cenová</t>
  </si>
  <si>
    <t>Montáž kliky a štítku</t>
  </si>
  <si>
    <t>133</t>
  </si>
  <si>
    <t>273321411R00</t>
  </si>
  <si>
    <t>61143262</t>
  </si>
  <si>
    <t>273351216R00</t>
  </si>
  <si>
    <t>612481211RT8</t>
  </si>
  <si>
    <t>175</t>
  </si>
  <si>
    <t>597623181</t>
  </si>
  <si>
    <t>170</t>
  </si>
  <si>
    <t>HSV prac</t>
  </si>
  <si>
    <t>767_</t>
  </si>
  <si>
    <t>631621116R00</t>
  </si>
  <si>
    <t>139</t>
  </si>
  <si>
    <t>vnitřní průměr 28 mm</t>
  </si>
  <si>
    <t>129</t>
  </si>
  <si>
    <t>Montáž vchodových 2kř dveří plastových</t>
  </si>
  <si>
    <t>151</t>
  </si>
  <si>
    <t>Příplatek za dalších započatých 1000 m nad 6000 m</t>
  </si>
  <si>
    <t>611421231R00</t>
  </si>
  <si>
    <t>Oprava maleb z malířských směsí</t>
  </si>
  <si>
    <t>642942111RZ1</t>
  </si>
  <si>
    <t>13</t>
  </si>
  <si>
    <t>711210020RAA</t>
  </si>
  <si>
    <t>721273150RT1</t>
  </si>
  <si>
    <t>Vsazení odbočky do plastového potrubí polyfuzí včetně T-kusu D 25 mm, PP-H</t>
  </si>
  <si>
    <t>642103021RAC</t>
  </si>
  <si>
    <t>771579791R00</t>
  </si>
  <si>
    <t>722174216R00</t>
  </si>
  <si>
    <t>771579793R00</t>
  </si>
  <si>
    <t>232</t>
  </si>
  <si>
    <t>"M"</t>
  </si>
  <si>
    <t>Konstrukce doplňkové stavební (zámečnické)</t>
  </si>
  <si>
    <t>342256256R00</t>
  </si>
  <si>
    <t>722175116R00</t>
  </si>
  <si>
    <t>998771101R00</t>
  </si>
  <si>
    <t>140</t>
  </si>
  <si>
    <t>97_</t>
  </si>
  <si>
    <t>317940911RAA</t>
  </si>
  <si>
    <t>61187156</t>
  </si>
  <si>
    <t>Čisticí kus HTRE, tlakové odpadní svislé, D 110 mm</t>
  </si>
  <si>
    <t>Izolace návleková  tl. stěny 13 mm</t>
  </si>
  <si>
    <t>Vyčištění budov o výšce podlaží do 4 m</t>
  </si>
  <si>
    <t>Dlaždice keramické 30x30 - dle výběru</t>
  </si>
  <si>
    <t>Výztuž z armovací sklovláknité tkaniny do potěrů</t>
  </si>
  <si>
    <t>180</t>
  </si>
  <si>
    <t>171201201R00</t>
  </si>
  <si>
    <t>Cena/MJ</t>
  </si>
  <si>
    <t>Konec výstavby:</t>
  </si>
  <si>
    <t>Bourání příček ze skleněných tvárnic tl. 15 cm</t>
  </si>
  <si>
    <t>127</t>
  </si>
  <si>
    <t>z plechu pozinkovaného</t>
  </si>
  <si>
    <t>784191101R00</t>
  </si>
  <si>
    <t>Montáž prahů dveří jednokřídlových š. nad 10 cm</t>
  </si>
  <si>
    <t>Kód</t>
  </si>
  <si>
    <t>S</t>
  </si>
  <si>
    <t>43</t>
  </si>
  <si>
    <t>200</t>
  </si>
  <si>
    <t>722280108R00</t>
  </si>
  <si>
    <t>Montáž podlah keram.,hladké, tmel, 30x30 cm</t>
  </si>
  <si>
    <t>979990105R00</t>
  </si>
  <si>
    <t>Poplatek za uložení suti - plast + sklo, skupina odpadu 170904</t>
  </si>
  <si>
    <t>Obklad parapetu, tmel , šířka do 30 cm</t>
  </si>
  <si>
    <t>Ventil přímý PP-H, D 20 mm x 1/2"</t>
  </si>
  <si>
    <t>vnitřní průměr 50 mm</t>
  </si>
  <si>
    <t>783401811R00</t>
  </si>
  <si>
    <t>Bourání parapetů plastových š. do 50 cm</t>
  </si>
  <si>
    <t>221</t>
  </si>
  <si>
    <t>Zazdění okenního otvoru 1,5 m2, omítky</t>
  </si>
  <si>
    <t>Lešení lehké pomocné, výška podlahy do 1,2 m</t>
  </si>
  <si>
    <t>Kladení zámkové dlažby tl. 8 cm do drtě tl. 4 cm</t>
  </si>
  <si>
    <t>MJ</t>
  </si>
  <si>
    <t>965081702R00</t>
  </si>
  <si>
    <t>Koleno d 20 mm 90°  PP-H</t>
  </si>
  <si>
    <t>45</t>
  </si>
  <si>
    <t>28655003</t>
  </si>
  <si>
    <t>40</t>
  </si>
  <si>
    <t>Penetrace stěn</t>
  </si>
  <si>
    <t>Beton podkladní základových pasů prostý C 12/15</t>
  </si>
  <si>
    <t>283772613</t>
  </si>
  <si>
    <t>včetně dodávky zárubně 800 x 1970 x 150 mm</t>
  </si>
  <si>
    <t>9_</t>
  </si>
  <si>
    <t>Dodávka+montáž - dle fy Univers</t>
  </si>
  <si>
    <t>722173983R00</t>
  </si>
  <si>
    <t>Izolace návleková  tl. stěny 6 mm</t>
  </si>
  <si>
    <t>Doplňující konstrukce a práce na pozemních komunikacích a zpevněných plochách</t>
  </si>
  <si>
    <t>Doplňkové náklady</t>
  </si>
  <si>
    <t>224</t>
  </si>
  <si>
    <t>735117110R00</t>
  </si>
  <si>
    <t>Provedení opravy vnitřní kanalizace, potrubí litinové, přechod z litiny na plast, DN 70 mm</t>
  </si>
  <si>
    <t>132</t>
  </si>
  <si>
    <t>Prah dubový dl. 800 mm, š. 100 mm, tl. 20 mm</t>
  </si>
  <si>
    <t>220</t>
  </si>
  <si>
    <t>612421626R00</t>
  </si>
  <si>
    <t>PSV prac</t>
  </si>
  <si>
    <t>HSV</t>
  </si>
  <si>
    <t>Ventil přímý s výpustí d 25 x 3/4" PP-H</t>
  </si>
  <si>
    <t>979990161R00</t>
  </si>
  <si>
    <t>722181213RT9</t>
  </si>
  <si>
    <t>9</t>
  </si>
  <si>
    <t>Bourání dlažeb keramických tl.10 mm, nad 1 m2</t>
  </si>
  <si>
    <t>Sokl s požlábkem vnitřní roh 2,4 x20 cm bílá mat</t>
  </si>
  <si>
    <t>783900020RAB</t>
  </si>
  <si>
    <t>722130901R00</t>
  </si>
  <si>
    <t>143</t>
  </si>
  <si>
    <t>104</t>
  </si>
  <si>
    <t>Různé dokončovací konstrukce a práce inženýrských staveb</t>
  </si>
  <si>
    <t>Montáž mřížky větrací nebo ventilační do d 100 mm</t>
  </si>
  <si>
    <t>783425250R00</t>
  </si>
  <si>
    <t>15</t>
  </si>
  <si>
    <t>Osazení beton. skruží přechodových 60/100/70/9</t>
  </si>
  <si>
    <t>978059531R00</t>
  </si>
  <si>
    <t>95</t>
  </si>
  <si>
    <t>Bourání příček z cihel pálených plných tl. 65 mm</t>
  </si>
  <si>
    <t>ISWORK</t>
  </si>
  <si>
    <t>596215040R00</t>
  </si>
  <si>
    <t>Celkem včetně DPH</t>
  </si>
  <si>
    <t>429727810</t>
  </si>
  <si>
    <t>142</t>
  </si>
  <si>
    <t>156</t>
  </si>
  <si>
    <t>199</t>
  </si>
  <si>
    <t>150</t>
  </si>
  <si>
    <t>S_</t>
  </si>
  <si>
    <t>Zásyp jam,rýh a šachet štěrkopískem</t>
  </si>
  <si>
    <t>973031813R00</t>
  </si>
  <si>
    <t>61143252</t>
  </si>
  <si>
    <t>721176103R00</t>
  </si>
  <si>
    <t>728415121R00</t>
  </si>
  <si>
    <t>766</t>
  </si>
  <si>
    <t>973031842R00</t>
  </si>
  <si>
    <t>Výztuž základových desek ze svařovaných sítí</t>
  </si>
  <si>
    <t>Demontáž otopného žebříku</t>
  </si>
  <si>
    <t>52</t>
  </si>
  <si>
    <t>118</t>
  </si>
  <si>
    <t>penetrační nátěr Primer G</t>
  </si>
  <si>
    <t>51</t>
  </si>
  <si>
    <t>přivzdušňovací ventil HL900, D 50/75/110 mm</t>
  </si>
  <si>
    <t>894401211RT2</t>
  </si>
  <si>
    <t>Ozn.5-Dveře vchodové plastové sklo 2křídlové 150x197 cm -cena předběžná</t>
  </si>
  <si>
    <t>Provedení opravy vnitřní kanalizace, potrubí plastové, vsazení odbočky, D 50 mm</t>
  </si>
  <si>
    <t>227</t>
  </si>
  <si>
    <t>Přesuny sutí</t>
  </si>
  <si>
    <t>721170905R00</t>
  </si>
  <si>
    <t>Mont prac</t>
  </si>
  <si>
    <t>Trubka D 25 x 2,3 mm délka 5 m PP-H</t>
  </si>
  <si>
    <t>Obklady (keramické)</t>
  </si>
  <si>
    <t>44</t>
  </si>
  <si>
    <t>Provedení spoje plastového vodovodního potrubí, elektrotvarovkami, D 25 mm</t>
  </si>
  <si>
    <t>21011111VD</t>
  </si>
  <si>
    <t>642942111RU4</t>
  </si>
  <si>
    <t>78_</t>
  </si>
  <si>
    <t>Dlažba keramická protiskluz. SB 300x300x9 mm</t>
  </si>
  <si>
    <t>Vyvěšení dřevěných a plastových dveřních křídel pl. nad 2 m2</t>
  </si>
  <si>
    <t>Potrubí HT připojovací, D 50 x 1,8 mm</t>
  </si>
  <si>
    <t>721140933R00</t>
  </si>
  <si>
    <t>23</t>
  </si>
  <si>
    <t>733190106R00</t>
  </si>
  <si>
    <t>972054141R00</t>
  </si>
  <si>
    <t>725_</t>
  </si>
  <si>
    <t>781_</t>
  </si>
  <si>
    <t>771575109RU1</t>
  </si>
  <si>
    <t>Montáž tepelné izolace skruží na potrubí přímé, DN 25 mm, lepicí páska</t>
  </si>
  <si>
    <t>767</t>
  </si>
  <si>
    <t>128</t>
  </si>
  <si>
    <t>597813701</t>
  </si>
  <si>
    <t>Překlad nenosný z pórobetonu  150 x 250 x 1200 mm</t>
  </si>
  <si>
    <t>59</t>
  </si>
  <si>
    <t>109</t>
  </si>
  <si>
    <t>t</t>
  </si>
  <si>
    <t>nivelační hmota tl. 3 mm, penetrace-č.016</t>
  </si>
  <si>
    <t>733113114R00</t>
  </si>
  <si>
    <t>117</t>
  </si>
  <si>
    <t>Montáže vzduchotechnických zařízení</t>
  </si>
  <si>
    <t>Redukce D 50/25 PP-H</t>
  </si>
  <si>
    <t>53</t>
  </si>
  <si>
    <t>Zdivo z tvárnic pórobetonových P4-600 HL, tl. 300 mm</t>
  </si>
  <si>
    <t>Konstrukce truhlářské</t>
  </si>
  <si>
    <t>968096002R00</t>
  </si>
  <si>
    <t>99</t>
  </si>
  <si>
    <t>161</t>
  </si>
  <si>
    <t>107</t>
  </si>
  <si>
    <t>243</t>
  </si>
  <si>
    <t>721179324R00</t>
  </si>
  <si>
    <t>Redukce D 25/20 PP-H</t>
  </si>
  <si>
    <t>125</t>
  </si>
  <si>
    <t>54914626</t>
  </si>
  <si>
    <t>Vybourání plastových oken do 2 m2</t>
  </si>
  <si>
    <t>771100010RAA</t>
  </si>
  <si>
    <t>132101110R00</t>
  </si>
  <si>
    <t>JKSO:</t>
  </si>
  <si>
    <t>85</t>
  </si>
  <si>
    <t>64</t>
  </si>
  <si>
    <t>973031844R00</t>
  </si>
  <si>
    <t>Poplatek za uložení suti - sádrokartonové desky, skupina odpadu 170802</t>
  </si>
  <si>
    <t>Lišta hliníková ukončovacích k obkladům</t>
  </si>
  <si>
    <t>Odpojení a připojení těles po nátěru</t>
  </si>
  <si>
    <t>Příplatek k vnitrost. dopravě suti za dalších 5 m</t>
  </si>
  <si>
    <t>Podklad ze štěrkodrti po zhutnění tloušťky 19 cm</t>
  </si>
  <si>
    <t>61187161</t>
  </si>
  <si>
    <t>Demontáž oplechování parapetů</t>
  </si>
  <si>
    <t>Náklady (Kč) - dodávka</t>
  </si>
  <si>
    <t>197</t>
  </si>
  <si>
    <t>Zátka HTM D 50 mm PP</t>
  </si>
  <si>
    <t>2401111VD</t>
  </si>
  <si>
    <t>Provedení spoje plastového vodovodního potrubí, elektrotvarovkami, D 50 mm</t>
  </si>
  <si>
    <t>77</t>
  </si>
  <si>
    <t>233</t>
  </si>
  <si>
    <t>Varianta:</t>
  </si>
  <si>
    <t>DN celkem</t>
  </si>
  <si>
    <t>H99_</t>
  </si>
  <si>
    <t>766660014RA0</t>
  </si>
  <si>
    <t>Vysekání kapes pro zavázání příček tl. 10 cm, MC</t>
  </si>
  <si>
    <t>šachta</t>
  </si>
  <si>
    <t>116</t>
  </si>
  <si>
    <t>GROUPCODE</t>
  </si>
  <si>
    <t>146</t>
  </si>
  <si>
    <t>979990110R00</t>
  </si>
  <si>
    <t>Poplatek za uložení suti - stavební keramika, skupina odpadu 170103</t>
  </si>
  <si>
    <t>182</t>
  </si>
  <si>
    <t>721170909R00</t>
  </si>
  <si>
    <t>Provozní vlivy</t>
  </si>
  <si>
    <t>5</t>
  </si>
  <si>
    <t>Čisticí kus HTRE , tlakové odpadní svislé, D 75 mm</t>
  </si>
  <si>
    <t>Vzduchotechnika - viz samostatný rozpočet (příloha)</t>
  </si>
  <si>
    <t>963016111R00</t>
  </si>
  <si>
    <t>Odstranění nátěru z potrubí DN do 50 mm</t>
  </si>
  <si>
    <t>76_</t>
  </si>
  <si>
    <t>76791116VD</t>
  </si>
  <si>
    <t>Přesun hmot pro vnitřní vodovod, výšky do 6 m</t>
  </si>
  <si>
    <t>203</t>
  </si>
  <si>
    <t>72190000VD</t>
  </si>
  <si>
    <t>Dodávka+montáž</t>
  </si>
  <si>
    <t>Vysekání kapes pro zavázání příček tl. 15 cm</t>
  </si>
  <si>
    <t>Montáž plastových vodovodních tvarovek, polyfuzně svařovaných, dva spoje, D 50 mm</t>
  </si>
  <si>
    <t>144</t>
  </si>
  <si>
    <t>Druh stavby:</t>
  </si>
  <si>
    <t>Odtokový sprchový žlábek dl.120 cm</t>
  </si>
  <si>
    <t>Ozn.1-Dveře protipožární EI45 plné 1-křídlé 900 x 1970 mm</t>
  </si>
  <si>
    <t>Penetrace podkladu pod obklady</t>
  </si>
  <si>
    <t>Tlaková zkouška potrubí  DN 32</t>
  </si>
  <si>
    <t>Montáž dveří protipožárních 1kříd. nad 80 cm</t>
  </si>
  <si>
    <t>162</t>
  </si>
  <si>
    <t>Podklad z obalovaného kameniva tl. 70 mm</t>
  </si>
  <si>
    <t>784</t>
  </si>
  <si>
    <t>722181213RW6</t>
  </si>
  <si>
    <t>Vybourání otv. stropy ŽB pl. 0,09 m2, tl. 15 cm</t>
  </si>
  <si>
    <t>238</t>
  </si>
  <si>
    <t>96</t>
  </si>
  <si>
    <t>Vybourání kovových dveřních zárubní pl. do 2 m2</t>
  </si>
  <si>
    <t>735169211R00</t>
  </si>
  <si>
    <t>735_</t>
  </si>
  <si>
    <t>728</t>
  </si>
  <si>
    <t>Příplatek za spárovací vodotěsnou hmotu - plošně</t>
  </si>
  <si>
    <t>202</t>
  </si>
  <si>
    <t>968072456R00</t>
  </si>
  <si>
    <t>194</t>
  </si>
  <si>
    <t>včetně výztužné sítě a stěrkového tmelu Cemix</t>
  </si>
  <si>
    <t>783</t>
  </si>
  <si>
    <t>611601203</t>
  </si>
  <si>
    <t>553310043</t>
  </si>
  <si>
    <t>Železobeton základových pasů C 16/20</t>
  </si>
  <si>
    <t>632411115R00</t>
  </si>
  <si>
    <t>Vybourání otv. zeď cihel. pl.4 m2, tl.15 cm, MVC</t>
  </si>
  <si>
    <t>Bourání zdiva z cihel pálených na MVC</t>
  </si>
  <si>
    <t>Příčka z tvárnic pórobetonových tl. 100 mm</t>
  </si>
  <si>
    <t>10</t>
  </si>
  <si>
    <t>212</t>
  </si>
  <si>
    <t>Obklad soklíků s požlábkem porovinových 15x15 cm</t>
  </si>
  <si>
    <t>149</t>
  </si>
  <si>
    <t>58</t>
  </si>
  <si>
    <t>36</t>
  </si>
  <si>
    <t>Dilatace příček od stropu š. do 150 mm, tl.30 mm</t>
  </si>
  <si>
    <t>14</t>
  </si>
  <si>
    <t>968083003R00</t>
  </si>
  <si>
    <t>31</t>
  </si>
  <si>
    <t>Zařizovací předměty</t>
  </si>
  <si>
    <t>84</t>
  </si>
  <si>
    <t>28655002</t>
  </si>
  <si>
    <t>612425931R00</t>
  </si>
  <si>
    <t>KY 81, drát d 8,0 mm, oko 100 x 100 mm - 2x</t>
  </si>
  <si>
    <t>Staveništní přesuny hmot</t>
  </si>
  <si>
    <t>Osazení válcovaných profilů dodatečně</t>
  </si>
  <si>
    <t>Množství</t>
  </si>
  <si>
    <t>Montáž těles otopných litinových článkových</t>
  </si>
  <si>
    <t>5_</t>
  </si>
  <si>
    <t>38</t>
  </si>
  <si>
    <t>Odstranění nátěru ze zábradlí</t>
  </si>
  <si>
    <t>286551401</t>
  </si>
  <si>
    <t>Žaluzie protidešťová PDZM 1200 x 600 mm</t>
  </si>
  <si>
    <t>174</t>
  </si>
  <si>
    <t>95_</t>
  </si>
  <si>
    <t>Vnitřní vodovod</t>
  </si>
  <si>
    <t>Typ skupiny</t>
  </si>
  <si>
    <t>73</t>
  </si>
  <si>
    <t>28655102</t>
  </si>
  <si>
    <t>979990163R00</t>
  </si>
  <si>
    <t>Stěna z tvárnic ztraceného bednění, tl. 300 mm</t>
  </si>
  <si>
    <t>Železobeton základových desek C 25/30</t>
  </si>
  <si>
    <t>Podklad z obalovaného kameniva tl. 60 mm</t>
  </si>
  <si>
    <t>Mřížka kruhová PVC průměr 100 mm</t>
  </si>
  <si>
    <t>61_</t>
  </si>
  <si>
    <t>včetně dodávky skruže TBS-Q 100/25 PS 100/250/90</t>
  </si>
  <si>
    <t>188</t>
  </si>
  <si>
    <t>56</t>
  </si>
  <si>
    <t>766695212R00</t>
  </si>
  <si>
    <t>722_</t>
  </si>
  <si>
    <t>19</t>
  </si>
  <si>
    <t>C</t>
  </si>
  <si>
    <t>M24_</t>
  </si>
  <si>
    <t>Náklady (Kč)</t>
  </si>
  <si>
    <t>721</t>
  </si>
  <si>
    <t>110</t>
  </si>
  <si>
    <t>39</t>
  </si>
  <si>
    <t>30</t>
  </si>
  <si>
    <t>241</t>
  </si>
  <si>
    <t>Ostatní konstrukce a práce na trubním vedení</t>
  </si>
  <si>
    <t>IČO/DIČ:</t>
  </si>
  <si>
    <t>hod</t>
  </si>
  <si>
    <t>Ostatní</t>
  </si>
  <si>
    <t>Montáž plastového vodovodního potrubí, rovného, polyfuzně svařeného, D 25 mm</t>
  </si>
  <si>
    <t>Přesun hmot pro zámečnické konstr., výšky do 6 m</t>
  </si>
  <si>
    <t>86</t>
  </si>
  <si>
    <t>222</t>
  </si>
  <si>
    <t>Montáž dveří jednokřídlových šířky 80 cm</t>
  </si>
  <si>
    <t>55</t>
  </si>
  <si>
    <t>4295330155</t>
  </si>
  <si>
    <t>Odstranění nátěrů z litinových radiátorů</t>
  </si>
  <si>
    <t>Zpracoval:</t>
  </si>
  <si>
    <t>Vodorovné přemístění suti na skládku do 6000 m</t>
  </si>
  <si>
    <t>Omítka vnitřní zdiva, MVC, hladká</t>
  </si>
  <si>
    <t>Vyvěšení dřevěných a plastových okenních křídel pl. nad 1,5 m2</t>
  </si>
  <si>
    <t>76</t>
  </si>
  <si>
    <t>Podkladní vrstvy komunikací, letišť a ploch</t>
  </si>
  <si>
    <t>Příplatek za plochu podlah keram. do 5 m2 jednotl.</t>
  </si>
  <si>
    <t>Vybourání otv. zeď cihel. 0,0225 m2, tl. 60cm, MVC</t>
  </si>
  <si>
    <t>KY 80, drát d 8,0 mm, oko 150 x 150 mm</t>
  </si>
  <si>
    <t>64_</t>
  </si>
  <si>
    <t>998722101R00</t>
  </si>
  <si>
    <t>207</t>
  </si>
  <si>
    <t>Zhotovitel</t>
  </si>
  <si>
    <t>199000002R00</t>
  </si>
  <si>
    <t>dovoz štěrkopísku ze vzdálenosti 10 km-rampa</t>
  </si>
  <si>
    <t>783401812R00</t>
  </si>
  <si>
    <t>RTS I / 2023</t>
  </si>
  <si>
    <t>vč.naložení a složení</t>
  </si>
  <si>
    <t>190</t>
  </si>
  <si>
    <t>979083191R00</t>
  </si>
  <si>
    <t>342241162R00</t>
  </si>
  <si>
    <t>27_</t>
  </si>
  <si>
    <t>2</t>
  </si>
  <si>
    <t>Projektant:</t>
  </si>
  <si>
    <t>ORN celkem</t>
  </si>
  <si>
    <t>Koleno d 25 mm 90°  PP-H</t>
  </si>
  <si>
    <t>Zkrácený popis / Varianta</t>
  </si>
  <si>
    <t/>
  </si>
  <si>
    <t>152</t>
  </si>
  <si>
    <t>968061126R00</t>
  </si>
  <si>
    <t>17</t>
  </si>
  <si>
    <t>ks</t>
  </si>
  <si>
    <t>735111810R00</t>
  </si>
  <si>
    <t>98</t>
  </si>
  <si>
    <t>112</t>
  </si>
  <si>
    <t>Lešení a stavební výtahy</t>
  </si>
  <si>
    <t>Montáž plastových vodovodních tvarovek, polyfuzně svařovaných, jeden spoj, D 50 mm</t>
  </si>
  <si>
    <t>Montáž protidešťové žaluzie čtyřhranné do 0,75 m2</t>
  </si>
  <si>
    <t>21</t>
  </si>
  <si>
    <t>61187181</t>
  </si>
  <si>
    <t>274313511R00</t>
  </si>
  <si>
    <t>Omítka vnitřní zdiva, MVC, štuková</t>
  </si>
  <si>
    <t>34_</t>
  </si>
  <si>
    <t>Ventil přímý s výpustí d 50 x 6/4" PP-H</t>
  </si>
  <si>
    <t>61165612</t>
  </si>
  <si>
    <t>Potrubí HT svodné (ležaté) zavěšené, D 110 x 2,7 mm</t>
  </si>
  <si>
    <t>Úprava povrchů vnitřní</t>
  </si>
  <si>
    <t>Práce přesčas</t>
  </si>
  <si>
    <t>735119140R00</t>
  </si>
  <si>
    <t>31_</t>
  </si>
  <si>
    <t>Bednění stěn základových desek - odstranění</t>
  </si>
  <si>
    <t>41_</t>
  </si>
  <si>
    <t>61</t>
  </si>
  <si>
    <t>317147501R00</t>
  </si>
  <si>
    <t>Proplach a dezinfekce vodovodního potrubí DN 80 mm</t>
  </si>
  <si>
    <t xml:space="preserve"> proti vlhkosti-č.010</t>
  </si>
  <si>
    <t>Úprava stropních prostupů - cena předběžná</t>
  </si>
  <si>
    <t>Zátka d 20 mm montážní PP-H</t>
  </si>
  <si>
    <t>126</t>
  </si>
  <si>
    <t>124</t>
  </si>
  <si>
    <t>včetně skruže přechod. TBR-Q 625/600/90/SPK (SLK)</t>
  </si>
  <si>
    <t>Přesun hmot pro otopná tělesa, výšky do 6 m</t>
  </si>
  <si>
    <t>158</t>
  </si>
  <si>
    <t>tloušťka vrstvy 5 mm</t>
  </si>
  <si>
    <t>12</t>
  </si>
  <si>
    <t>998735101R00</t>
  </si>
  <si>
    <t>234</t>
  </si>
  <si>
    <t>Kulturní památka</t>
  </si>
  <si>
    <t>Objekt</t>
  </si>
  <si>
    <t>Různé dokončovací konstrukce a práce na pozemních stavbách</t>
  </si>
  <si>
    <t>168</t>
  </si>
  <si>
    <t>Stropy a stropní konstrukce (pro pozemní stavby)</t>
  </si>
  <si>
    <t>Bourání konstrukcí</t>
  </si>
  <si>
    <t>Otopná tělesa</t>
  </si>
  <si>
    <t>722174213R00</t>
  </si>
  <si>
    <t>DPH 21%</t>
  </si>
  <si>
    <t>184</t>
  </si>
  <si>
    <t>134</t>
  </si>
  <si>
    <t>opálením</t>
  </si>
  <si>
    <t>211</t>
  </si>
  <si>
    <t>196</t>
  </si>
  <si>
    <t>721140935R00</t>
  </si>
  <si>
    <t>Elektromontáže</t>
  </si>
  <si>
    <t>Hloubení rýh š.do 60 cm v hor.2 do 50 m3, STROJNĚ</t>
  </si>
  <si>
    <t>971033231R00</t>
  </si>
  <si>
    <t>Provedení opravy vnitřní kanalizace, potrubí litinové, přechod z litiny na plast,DN 100 mm</t>
  </si>
  <si>
    <t>965048150R00</t>
  </si>
  <si>
    <t>187</t>
  </si>
  <si>
    <t>_</t>
  </si>
  <si>
    <t>kpl</t>
  </si>
  <si>
    <t>721170907R00</t>
  </si>
  <si>
    <t>191</t>
  </si>
  <si>
    <t>Přesun hmot pro podlahy z dlaždic, výšky do 6 m</t>
  </si>
  <si>
    <t>Demontáž těles otopných litinových článkových</t>
  </si>
  <si>
    <t>Příčka z tvárnic pórobetonových  tl. 150 mm</t>
  </si>
  <si>
    <t>49</t>
  </si>
  <si>
    <t>Příčka z tvárnic pórobetonových  tl. 200 mm</t>
  </si>
  <si>
    <t>72</t>
  </si>
  <si>
    <t>Nátěr syntetický litin. radiátorů Z +2x + 1x email</t>
  </si>
  <si>
    <t>968061113R00</t>
  </si>
  <si>
    <t>Přesuny</t>
  </si>
  <si>
    <t>MAT</t>
  </si>
  <si>
    <t>Přesun hmot pro izolace proti vodě, výšky do 6 m</t>
  </si>
  <si>
    <t>Dveřní kování  klíč Cr</t>
  </si>
  <si>
    <t>978013191R00</t>
  </si>
  <si>
    <t>7259911VD</t>
  </si>
  <si>
    <t>70</t>
  </si>
  <si>
    <t>597623141</t>
  </si>
  <si>
    <t>766670021R00</t>
  </si>
  <si>
    <t>979083117R00</t>
  </si>
  <si>
    <t>8</t>
  </si>
  <si>
    <t>Celkem:</t>
  </si>
  <si>
    <t>Mimostav. doprava</t>
  </si>
  <si>
    <t>Nátěry</t>
  </si>
  <si>
    <t>7679111VD</t>
  </si>
  <si>
    <t>Provedení opravy vnitřní kanalizace, potrubí plastové, vsazení odbočky, D 75 mm</t>
  </si>
  <si>
    <t>18</t>
  </si>
  <si>
    <t>Přesun hmot pro truhlářské konstr., výšky do 6 m</t>
  </si>
  <si>
    <t>722175123R00</t>
  </si>
  <si>
    <t>včetně obrubníku ABO 2 - 15 100/15/25</t>
  </si>
  <si>
    <t>28655108</t>
  </si>
  <si>
    <t>Komplet nástěnný  PP-H, D 20 mm x R 1/2"</t>
  </si>
  <si>
    <t>46</t>
  </si>
  <si>
    <t>781</t>
  </si>
  <si>
    <t>728_</t>
  </si>
  <si>
    <t>181</t>
  </si>
  <si>
    <t>214</t>
  </si>
  <si>
    <t>Vybourání otv. stropy ŽB pl. 1 m2, tl. nad 8 cm</t>
  </si>
  <si>
    <t>273361921RT8</t>
  </si>
  <si>
    <t>Montáž vodovodních armatur,1závit, G 2"</t>
  </si>
  <si>
    <t>71_</t>
  </si>
  <si>
    <t>176</t>
  </si>
  <si>
    <t>972054491R00</t>
  </si>
  <si>
    <t>Montáž vchodových dveří plastových</t>
  </si>
  <si>
    <t>100</t>
  </si>
  <si>
    <t>108</t>
  </si>
  <si>
    <t>vč.naložení</t>
  </si>
  <si>
    <t>50</t>
  </si>
  <si>
    <t>Základy</t>
  </si>
  <si>
    <t>1.NP</t>
  </si>
  <si>
    <t>4_</t>
  </si>
  <si>
    <t>m</t>
  </si>
  <si>
    <t>Vybourání otv. zeď cihel. pl.0,09 m2, tl.60cm, MVC</t>
  </si>
  <si>
    <t>Slepý stavební rozpočet - rekapitulace</t>
  </si>
  <si>
    <t>217</t>
  </si>
  <si>
    <t>225</t>
  </si>
  <si>
    <t>Přemístění výkopku</t>
  </si>
  <si>
    <t>Dodávka+montáž-rampa</t>
  </si>
  <si>
    <t>11</t>
  </si>
  <si>
    <t>998725101R00</t>
  </si>
  <si>
    <t>28615161</t>
  </si>
  <si>
    <t>Vodorovné přemístění výkopku z hor.1-4 do 10000 m</t>
  </si>
  <si>
    <t>240</t>
  </si>
  <si>
    <t>32</t>
  </si>
  <si>
    <t>Rozvod potrubí</t>
  </si>
  <si>
    <t>721290111R00</t>
  </si>
  <si>
    <t>Objednatel:</t>
  </si>
  <si>
    <t>204</t>
  </si>
  <si>
    <t>998766101R00</t>
  </si>
  <si>
    <t>721176212R00</t>
  </si>
  <si>
    <t>Malba otěruvzdorná, bílá, bez penetrace, 2 x</t>
  </si>
  <si>
    <t>597623201</t>
  </si>
  <si>
    <t>968083002R00</t>
  </si>
  <si>
    <t>8_</t>
  </si>
  <si>
    <t>bez materiálu</t>
  </si>
  <si>
    <t>PSV mat</t>
  </si>
  <si>
    <t xml:space="preserve"> tl. 2 mm</t>
  </si>
  <si>
    <t>Demontáž podlah s polštáři z prken tl. do 32 mm</t>
  </si>
  <si>
    <t>Elektroinstalace - viz samostatný rozpočet (příloha)</t>
  </si>
  <si>
    <t>Umyvadlo, baterie, zápachová uzávěrka</t>
  </si>
  <si>
    <t>Vybourání kovových dveřních zárubní pl. nad 2 m2</t>
  </si>
  <si>
    <t>Nátěr syntet. zábradlí Z +1x +1x email</t>
  </si>
  <si>
    <t>3</t>
  </si>
  <si>
    <t>Bednění stěn základových desek - zřízení</t>
  </si>
  <si>
    <t>Vybourání otv. stropy ŽB pl. 0,0225 m2, tl. 15 cm</t>
  </si>
  <si>
    <t>Přesun hmot pro rozvody potrubí, výšky do 6 m</t>
  </si>
  <si>
    <t>711_</t>
  </si>
  <si>
    <t>766629304R00</t>
  </si>
  <si>
    <t>102</t>
  </si>
  <si>
    <t>Zhotovitel:</t>
  </si>
  <si>
    <t>174100050RAC</t>
  </si>
  <si>
    <t>Poplatek za uložení suti - cihelné výrobky, skupina odpadu 170102</t>
  </si>
  <si>
    <t>Podlahy z dlaždic</t>
  </si>
  <si>
    <t>96_</t>
  </si>
  <si>
    <t>952901111R00</t>
  </si>
  <si>
    <t>733111324R00</t>
  </si>
  <si>
    <t>Sifon pračkový , D 40/50 mm nerezový</t>
  </si>
  <si>
    <t>784_</t>
  </si>
  <si>
    <t>35</t>
  </si>
  <si>
    <t>Zárubeň ocelová  "LZ" 150 rozměr 900 x 1970 mm L, P</t>
  </si>
  <si>
    <t>Začátek výstavby:</t>
  </si>
  <si>
    <t>Potrubí HT připojovací, D 75 x 1,9 mm</t>
  </si>
  <si>
    <t>Dveřní kování klíč Ti</t>
  </si>
  <si>
    <t>783324240R00</t>
  </si>
  <si>
    <t>781111116R00</t>
  </si>
  <si>
    <t>Zakování dveří 1křídlých kompletizovaných</t>
  </si>
  <si>
    <t>A</t>
  </si>
  <si>
    <t>208</t>
  </si>
  <si>
    <t>Mont mat</t>
  </si>
  <si>
    <t>Obkládačka keramická - dle výběru</t>
  </si>
  <si>
    <t>163</t>
  </si>
  <si>
    <t>13_</t>
  </si>
  <si>
    <t>722</t>
  </si>
  <si>
    <t>722202512R00</t>
  </si>
  <si>
    <t>998733101R00</t>
  </si>
  <si>
    <t>Zazátkování vývodu</t>
  </si>
  <si>
    <t>93</t>
  </si>
  <si>
    <t>73_</t>
  </si>
  <si>
    <t>Osazení zárubní dveřních ocelových, pl. do 2,5 m2</t>
  </si>
  <si>
    <t>Montáž plastových vodovodních tvarovek, polyfuzně svařovaných, jeden spoj, D 25 mm</t>
  </si>
  <si>
    <t>273351215R00</t>
  </si>
  <si>
    <t>Vložky do dilatačních spár, polystyren, tl 50 mm</t>
  </si>
  <si>
    <t>oškrábání, umytí, vyhlazení, 2x malba-jídelna</t>
  </si>
  <si>
    <t>parapetní zdivo</t>
  </si>
  <si>
    <t>173</t>
  </si>
  <si>
    <t>Tlaková zkouška vodovodního potrubí DN 32 mm</t>
  </si>
  <si>
    <t>63_</t>
  </si>
  <si>
    <t>157</t>
  </si>
  <si>
    <t>101</t>
  </si>
  <si>
    <t>75</t>
  </si>
  <si>
    <t>Trubka D 20 x 1,9 mm délka 5 m PP-H</t>
  </si>
  <si>
    <t>54</t>
  </si>
  <si>
    <t>342256255R00</t>
  </si>
  <si>
    <t>205</t>
  </si>
  <si>
    <t xml:space="preserve"> </t>
  </si>
  <si>
    <t>16_</t>
  </si>
  <si>
    <t>136</t>
  </si>
  <si>
    <t>153</t>
  </si>
  <si>
    <t>Ardex FB 9 L (flex.lepidlo), Ardex FL (spár.hmota)</t>
  </si>
  <si>
    <t>T kus d 50x25x50 mm PP-H redukovaný</t>
  </si>
  <si>
    <t>Vybourání otv. zeď cihel. 0,0225 m2, tl. 15cm, MVC</t>
  </si>
  <si>
    <t>123</t>
  </si>
  <si>
    <t>Příplatek za spárovací hmotu - plošně,keram.dlažba</t>
  </si>
  <si>
    <t>159</t>
  </si>
  <si>
    <t>Poplatek za uložení - dřevo, skupina odpadu 170201</t>
  </si>
  <si>
    <t>Kryty pozemních komunikací, letišť a ploch dlážděných (předlažby)</t>
  </si>
  <si>
    <t>Potrubí závitové běžné svař. níz/středotl. DN 20</t>
  </si>
  <si>
    <t>kg</t>
  </si>
  <si>
    <t>Provedení opravy vnitřní kanalizace, potrubí plastové, vsazení odbočky, D 110 mm</t>
  </si>
  <si>
    <t>Objednatel</t>
  </si>
  <si>
    <t>57</t>
  </si>
  <si>
    <t>998711101R00</t>
  </si>
  <si>
    <t>(Kč)</t>
  </si>
  <si>
    <t>783424340R00</t>
  </si>
  <si>
    <t>22</t>
  </si>
  <si>
    <t>115</t>
  </si>
  <si>
    <t>Územní vlivy</t>
  </si>
  <si>
    <t>Zdi podpěrné a volné</t>
  </si>
  <si>
    <t>611423121R00</t>
  </si>
  <si>
    <t>286550972</t>
  </si>
  <si>
    <t>Spára podlaha - stěna, silikonem</t>
  </si>
  <si>
    <t>592452655</t>
  </si>
  <si>
    <t>m3</t>
  </si>
  <si>
    <t>725</t>
  </si>
  <si>
    <t>ručně, dlaždice keramické</t>
  </si>
  <si>
    <t>Stěrka hydroizolační těsnicí hmotou</t>
  </si>
  <si>
    <t>Provedení opravy vnitřní kanalizace, výměna kroužku s přetěsněním zátky</t>
  </si>
  <si>
    <t>722175112R00</t>
  </si>
  <si>
    <t>722173986R00</t>
  </si>
  <si>
    <t>Bourání soklíků z dlažeb keramických</t>
  </si>
  <si>
    <t>Příplatek za zhotovení přípojky DN 20</t>
  </si>
  <si>
    <t>766665921R00</t>
  </si>
  <si>
    <t>Datum:</t>
  </si>
  <si>
    <t>91_</t>
  </si>
  <si>
    <t>Prstenec vyrovnávací šachetní.1 63/10</t>
  </si>
  <si>
    <t>215</t>
  </si>
  <si>
    <t>781415015R00</t>
  </si>
  <si>
    <t>27</t>
  </si>
  <si>
    <t>Montáž prahů dveří jednokřídlových š. do 15 cm</t>
  </si>
  <si>
    <t>37</t>
  </si>
  <si>
    <t>80</t>
  </si>
  <si>
    <t>m2</t>
  </si>
  <si>
    <t>Osazení poklopu s rámem do 150 kg</t>
  </si>
  <si>
    <t>41</t>
  </si>
  <si>
    <t>59_</t>
  </si>
  <si>
    <t>186</t>
  </si>
  <si>
    <t>Přesun hmot a sutí</t>
  </si>
  <si>
    <t>NUS z rozpočtu</t>
  </si>
  <si>
    <t>1.PP</t>
  </si>
  <si>
    <t>28655122</t>
  </si>
  <si>
    <t>59224349.A</t>
  </si>
  <si>
    <t>962031116R00</t>
  </si>
  <si>
    <t>1</t>
  </si>
  <si>
    <t>stávající šachta</t>
  </si>
  <si>
    <t>Montáž otopných těles trubkových</t>
  </si>
  <si>
    <t>206</t>
  </si>
  <si>
    <t>7</t>
  </si>
  <si>
    <t>274361921RT9</t>
  </si>
  <si>
    <t>236</t>
  </si>
  <si>
    <t>Rozměry</t>
  </si>
  <si>
    <t>Montáž vodovodních armatur,1závit, G 1"</t>
  </si>
  <si>
    <t>722229106R00</t>
  </si>
  <si>
    <t>Vsazení odbočky do plastového potrubí polyfuzí včetně T-kusu D 20 mm, PP-H</t>
  </si>
  <si>
    <t>771575109R00</t>
  </si>
  <si>
    <t>74</t>
  </si>
  <si>
    <t>Položek:</t>
  </si>
  <si>
    <t>767200002RA0</t>
  </si>
  <si>
    <t>NUS celkem</t>
  </si>
  <si>
    <t>Podlahy a podlahové konstrukce</t>
  </si>
  <si>
    <t>WORK</t>
  </si>
  <si>
    <t>962081141R00</t>
  </si>
  <si>
    <t>164</t>
  </si>
  <si>
    <t>131</t>
  </si>
  <si>
    <t>612421637R00</t>
  </si>
  <si>
    <t>979082111R00</t>
  </si>
  <si>
    <t>83</t>
  </si>
  <si>
    <t>771_</t>
  </si>
  <si>
    <t>Výplně otvorů</t>
  </si>
  <si>
    <t>213</t>
  </si>
  <si>
    <t>93_</t>
  </si>
  <si>
    <t>Demontáž podhledu SDK, kovová kce., 1xoplášť.12,5 mm</t>
  </si>
  <si>
    <t>9531199VD</t>
  </si>
  <si>
    <t>733</t>
  </si>
  <si>
    <t>114</t>
  </si>
  <si>
    <t>47</t>
  </si>
  <si>
    <t>735</t>
  </si>
  <si>
    <t>Montáž plastového vodovodního potrubí, rovného, polyfuzně svařeného, D 20 mm</t>
  </si>
  <si>
    <t>Omítka vápenná vnitřního ostění - štuková</t>
  </si>
  <si>
    <t>962032241R00</t>
  </si>
  <si>
    <t>HSV mat</t>
  </si>
  <si>
    <t>M21_</t>
  </si>
  <si>
    <t>177</t>
  </si>
  <si>
    <t>66</t>
  </si>
  <si>
    <t>Nátěr syntet. potrubí do DN 50 mm  Z+2x +1x email</t>
  </si>
  <si>
    <t>56_</t>
  </si>
  <si>
    <t>722229103R00</t>
  </si>
  <si>
    <t>Prah dubový dl. 900 mm, š. 150 mm, tl. 20 mm</t>
  </si>
  <si>
    <t>Vzduchotechnika</t>
  </si>
  <si>
    <t>917862111RT7</t>
  </si>
  <si>
    <t>Osazení betonových stropních dílců jakýchkoliv</t>
  </si>
  <si>
    <t>317147304R00</t>
  </si>
  <si>
    <t>Ztužující věnec ŽB beton C 16/20, 30 x 30 cm</t>
  </si>
  <si>
    <t>201</t>
  </si>
  <si>
    <t>H99</t>
  </si>
  <si>
    <t>155</t>
  </si>
  <si>
    <t>včetně dodávky zárubně 800 x 1970 x 100 mm</t>
  </si>
  <si>
    <t>90</t>
  </si>
  <si>
    <t>210</t>
  </si>
  <si>
    <t>Bourání příček z cihel pálených plných tl. 140 mm</t>
  </si>
  <si>
    <t>89</t>
  </si>
  <si>
    <t>Hlavice ventilační přivětrávací HL900</t>
  </si>
  <si>
    <t>971033361R00</t>
  </si>
  <si>
    <t>179</t>
  </si>
  <si>
    <t>317147321R00</t>
  </si>
  <si>
    <t>185</t>
  </si>
  <si>
    <t>88</t>
  </si>
  <si>
    <t>Poplatek za skládku horniny 1- 4, č. dle katal. odpadů 17 05 04</t>
  </si>
  <si>
    <t>148</t>
  </si>
  <si>
    <t>Zkrácený popis</t>
  </si>
  <si>
    <t>Bourání zdiva z cihel pálených na MC</t>
  </si>
  <si>
    <t>28</t>
  </si>
  <si>
    <t>Vysekání kapes pro zavázání zdí tl. 30 cm, MC</t>
  </si>
  <si>
    <t>Dočištění povrchu po vybourání dlažeb, tmel do 50%</t>
  </si>
  <si>
    <t>111</t>
  </si>
  <si>
    <t>971033631R00</t>
  </si>
  <si>
    <t>962032231R00</t>
  </si>
  <si>
    <t>311271887R00</t>
  </si>
  <si>
    <t>239</t>
  </si>
  <si>
    <t>976085411R00</t>
  </si>
  <si>
    <t>771</t>
  </si>
  <si>
    <t>CELK</t>
  </si>
  <si>
    <t>632481211R00</t>
  </si>
  <si>
    <t>113</t>
  </si>
  <si>
    <t>Přesun hmot pro zařizovací předměty, výšky do 6 m</t>
  </si>
  <si>
    <t>106</t>
  </si>
  <si>
    <t>94_</t>
  </si>
  <si>
    <t>784195212R00</t>
  </si>
  <si>
    <t>971033261R00</t>
  </si>
  <si>
    <t>65</t>
  </si>
  <si>
    <t>Prorážení otvorů a ostatní bourací práce</t>
  </si>
  <si>
    <t>Zátka HTM D 110 mm PP</t>
  </si>
  <si>
    <t>771101101R00</t>
  </si>
  <si>
    <t>169</t>
  </si>
  <si>
    <t>34</t>
  </si>
  <si>
    <t>62</t>
  </si>
  <si>
    <t>193</t>
  </si>
  <si>
    <t>Odsekání vnitřních obkladů stěn nad 2 m2</t>
  </si>
  <si>
    <t>Montáž výztužné sítě(perlinky)do stěrky-vnit.stěny</t>
  </si>
  <si>
    <t>Deska výdejového okna - cena předběžná</t>
  </si>
  <si>
    <t>č.016</t>
  </si>
  <si>
    <t>Izolace proti vodě</t>
  </si>
  <si>
    <t>218</t>
  </si>
  <si>
    <t>zalití tvárnic betonem C 16/20</t>
  </si>
  <si>
    <t>Oprava váp.omítek stropů do 10% plochy - štukových</t>
  </si>
  <si>
    <t>28615152</t>
  </si>
  <si>
    <t>Náklady (Kč) - Montáž</t>
  </si>
  <si>
    <t>Plentování ocelových nosníků výšky do 20 cm</t>
  </si>
  <si>
    <t>Rolovací mříže na vodící lišty 2ks 300x247 cm +1ks 175x247+ motor</t>
  </si>
  <si>
    <t>Ozn.č.2-Dveře vchodové plastové 2/3 sklo1křídlové 90x197 cm-cena předběžná</t>
  </si>
  <si>
    <t>Vnitřní kanalizace</t>
  </si>
  <si>
    <t>Dlažba zámková přírodní 20x10x8</t>
  </si>
  <si>
    <t>Překlad nosný z pórobetonu  100 x 250 x 1200 mm</t>
  </si>
  <si>
    <t>Rekonstrukce školní kuchyně</t>
  </si>
  <si>
    <t xml:space="preserve">Cena stavebních prácí a dodávek a zvláště agregovaných položek obsahuje komplexní systémové řešení vč. pomocných prací a materiálů, kotvení, povrchových úprav apod. Specifikace je dána projektovou dokumentaci - nedílnou součástí soupisu prací je výkresová i textová část a specifikace projektové dokumentace pro provedení stavby. </t>
  </si>
  <si>
    <t>S položkami uvedenými v této specifikaci platí veškeré s nimi spojené práce, které jsou zapotřebí pro provedení kompletní dodávky a to i když nejsou zvlášť uvedeny. Tzn., že veškeré položky patrné z výkazů, výkresů a technických zpráv je třeba v nabídkové ceně  zohlednit a ocenit je jako kompletně vykonané práce včetně materiálu, nářadí a strojů nutných k práci, i když tyto nejsou ve výkazech vypsány zvlášť</t>
  </si>
  <si>
    <t>Pokud jsou v této dokumentaci uvedeny konkrétní typy výrobků, jedná se pouze o příklady sloužící pro specifikaci vlastností - 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možní, v úvahu přicházející výrobci, nebo dodavatelé.</t>
  </si>
  <si>
    <t>DPH 12%</t>
  </si>
  <si>
    <t>Zařízení velkokuchyní</t>
  </si>
  <si>
    <t>CELKEM vč. DPH</t>
  </si>
  <si>
    <t>Součástí ceny za vedlejší a ostatní náklady (VRN) jsou i činnosti výše nespecifikované, které jsou uvedené ve smlouvě o dílo.</t>
  </si>
  <si>
    <t>Pol.č.</t>
  </si>
  <si>
    <t>Název</t>
  </si>
  <si>
    <t>Materiál
Kč</t>
  </si>
  <si>
    <t>Montáž
Kč</t>
  </si>
  <si>
    <t xml:space="preserve">Jedn. cena
Kč </t>
  </si>
  <si>
    <t>Celkem
Kč</t>
  </si>
  <si>
    <t>A.</t>
  </si>
  <si>
    <t>Rozvaděče</t>
  </si>
  <si>
    <t>A1</t>
  </si>
  <si>
    <t>Rozvaděč ER (Elektroměrový) - referenční výrobek</t>
  </si>
  <si>
    <t>Rozvaděč např. PEN 101 (Pavel Flek)</t>
  </si>
  <si>
    <t>Jistič Siemens 3VA2340-5HL</t>
  </si>
  <si>
    <t>Napojení HDV v pojistkové skříni a v ER</t>
  </si>
  <si>
    <t>Spojovací a montážní materiál vč. mont.</t>
  </si>
  <si>
    <t>A2</t>
  </si>
  <si>
    <t>Rozvaděč RK - referenční výrobek</t>
  </si>
  <si>
    <t>Rozvaděč Schrack AC 206040</t>
  </si>
  <si>
    <t>Pojistkový odpojovač 3NP115+ZP2</t>
  </si>
  <si>
    <t>Pojistkový odpojovač 3NP112+PNA000gG 160A</t>
  </si>
  <si>
    <t>Jistič LTN-6B-1</t>
  </si>
  <si>
    <t>Jistič LTN-16B-1</t>
  </si>
  <si>
    <t>Jistič LTN-10B-3</t>
  </si>
  <si>
    <t>Jistič LTN-10D-3</t>
  </si>
  <si>
    <t>Jistič LTN-16B-3</t>
  </si>
  <si>
    <t>Jistič LTN-25B-3</t>
  </si>
  <si>
    <t>Jistič LTN-32B-3</t>
  </si>
  <si>
    <t>Jistič LTN-40B-3</t>
  </si>
  <si>
    <t>Jistič LTN-50B-3</t>
  </si>
  <si>
    <t>Jistič LTN-63B-3</t>
  </si>
  <si>
    <t>Chránič LFN-25-4-030AC</t>
  </si>
  <si>
    <t>Chránič LFN-40-4-030AC</t>
  </si>
  <si>
    <t>Chránič LFN-63-4-030AC</t>
  </si>
  <si>
    <t>Chránič LFN-80-4-030AC</t>
  </si>
  <si>
    <t>Komb. Chránič+jistič OLI-10B-1N-030AC</t>
  </si>
  <si>
    <t>Komb. Chránič+jistič OLI-16B-1N-030AC</t>
  </si>
  <si>
    <t>Multifunkční relé MIR-16-001-A230</t>
  </si>
  <si>
    <t>A3</t>
  </si>
  <si>
    <t>Rozvaděč RV - referenční výrobek</t>
  </si>
  <si>
    <t>Rozvaděč OEZ, typ DZ54-2403</t>
  </si>
  <si>
    <t>Hlavní vypínač  MSO-40-3</t>
  </si>
  <si>
    <t>Svodič bleskových proudů a přepětí SVBC-12,5-3N-MZS</t>
  </si>
  <si>
    <t>Proudový chránič s jističem  OLI-10B-1N-030AC</t>
  </si>
  <si>
    <t>Připojení, zprovoznění</t>
  </si>
  <si>
    <t>Rozvaděč RV celkem</t>
  </si>
  <si>
    <t>B.</t>
  </si>
  <si>
    <t>společné prostory - HDV - referenční výrobky</t>
  </si>
  <si>
    <t>B1</t>
  </si>
  <si>
    <t>HDV</t>
  </si>
  <si>
    <t>Kabel 1-AYKY 3x150+ 70 mm2</t>
  </si>
  <si>
    <t>Kabelový žlab HL KGI60.100.060</t>
  </si>
  <si>
    <t>Víko HLD 100</t>
  </si>
  <si>
    <t>Ohyb HL B90.60.100 H + VÍKO</t>
  </si>
  <si>
    <t>Konzole HL NK41H41-100</t>
  </si>
  <si>
    <t>Spojovací a upevňovací materiál</t>
  </si>
  <si>
    <t>CYA 16 mm2 zž</t>
  </si>
  <si>
    <t>Společné prostory HDV  celkem</t>
  </si>
  <si>
    <t>B2</t>
  </si>
  <si>
    <t>El. instalace - společné prostory - referenční výrobky</t>
  </si>
  <si>
    <t>3559-A91345  Tlačítko</t>
  </si>
  <si>
    <t>3916-122221  doutnavka orientační</t>
  </si>
  <si>
    <t>3558A-A653 B kryt s průzorem</t>
  </si>
  <si>
    <t>3901A-B10 B rámeček jednonásobný</t>
  </si>
  <si>
    <t>3559-A01345 přístroj ř.1</t>
  </si>
  <si>
    <t>3559-A05345 přístroj ř.5</t>
  </si>
  <si>
    <t>3559-A06345 přístroj ř.6</t>
  </si>
  <si>
    <t>3558E-A00651 kryt</t>
  </si>
  <si>
    <t>3558E-A00652 kryt dělený</t>
  </si>
  <si>
    <t>3901F-A00110 Rámeček 1nás. Vodorovný</t>
  </si>
  <si>
    <t>Zásuvka průmyslová 400V/16A/5, IP44</t>
  </si>
  <si>
    <t>Zásuvka 230V/16A, IP 44</t>
  </si>
  <si>
    <t>Krabice KU 68</t>
  </si>
  <si>
    <t>CYKY(J)(o) 3x 1,5 mm2</t>
  </si>
  <si>
    <t>CYKY(J) 3x 2,5 mm2</t>
  </si>
  <si>
    <t>CYKY(J) 5x 2,5 mm2</t>
  </si>
  <si>
    <t>CYKY(J) 5x 4 mm2</t>
  </si>
  <si>
    <t>CYKY(J) 5x 6 mm2</t>
  </si>
  <si>
    <t>CYKY(J) 5x 10 mm2</t>
  </si>
  <si>
    <t>CYKY(J) 5x 16 mm2</t>
  </si>
  <si>
    <t>CYA 6 mm2 zž</t>
  </si>
  <si>
    <t>Lišta vkládací LV 40x40</t>
  </si>
  <si>
    <t>Svítidla</t>
  </si>
  <si>
    <t>Svítidlo FUTURA 2.4ft, VP AL 8800/840</t>
  </si>
  <si>
    <t>Svítidlo FUTURA 2.4ft, VP AL 8800/840 s NZ</t>
  </si>
  <si>
    <t>Svítídlo RABALUX-LED 15W/230V, IP44 - STROPNÍ</t>
  </si>
  <si>
    <t>Svítidlo RABALUX JIM 5750 2xLED/5W/230V, IP44</t>
  </si>
  <si>
    <t>Ukončení vodičů - odhad</t>
  </si>
  <si>
    <t>Drobný montážní materiál vč. mont.</t>
  </si>
  <si>
    <t>El. instalace - společné prostory - celkem</t>
  </si>
  <si>
    <t>C.</t>
  </si>
  <si>
    <t>Ostatní práce (odhad)</t>
  </si>
  <si>
    <t>demontáže stávající elektroinstalace, rozvaděčů atd</t>
  </si>
  <si>
    <t>protipožární ucpávky - odhad</t>
  </si>
  <si>
    <t>Průrazy</t>
  </si>
  <si>
    <t xml:space="preserve">Zhotovení drážek, stavební přípomoce </t>
  </si>
  <si>
    <t>Zazdění drážek</t>
  </si>
  <si>
    <t>přesun hmot</t>
  </si>
  <si>
    <t>doprava</t>
  </si>
  <si>
    <t>ostatní nespecifikované / nepředvídatelné položky (odhad)</t>
  </si>
  <si>
    <t>koordinace s investorem - odhad</t>
  </si>
  <si>
    <t>koordinace s ostatními profesemi</t>
  </si>
  <si>
    <t>Jednání s ČEZ</t>
  </si>
  <si>
    <t xml:space="preserve">revize </t>
  </si>
  <si>
    <t>dokumentace skut. provedení</t>
  </si>
  <si>
    <t>ekologická likvidace odpadu</t>
  </si>
  <si>
    <t>Ostatní práce - celkem</t>
  </si>
  <si>
    <t xml:space="preserve">DPH </t>
  </si>
  <si>
    <t>VÝKAZ VÝMĚR</t>
  </si>
  <si>
    <t>VZDUCHOTECHNIKA</t>
  </si>
  <si>
    <t>ozn. části:</t>
  </si>
  <si>
    <t>Celková cena:</t>
  </si>
  <si>
    <t>Doplňková cena (dle dodavatele):</t>
  </si>
  <si>
    <t>číslo/ ozn.</t>
  </si>
  <si>
    <t>Popis, rozměry, specifikace, typ</t>
  </si>
  <si>
    <t>měrná jednotka</t>
  </si>
  <si>
    <t>množství</t>
  </si>
  <si>
    <t>dodávka/ jednotku (Kč)</t>
  </si>
  <si>
    <t>Celkem dodávka (Kč)</t>
  </si>
  <si>
    <t>M+D/ jednotku (Kč)</t>
  </si>
  <si>
    <t>Celkem    (Kč)</t>
  </si>
  <si>
    <t>Celkem část</t>
  </si>
  <si>
    <t>1.</t>
  </si>
  <si>
    <t>KUCHYNĚ</t>
  </si>
  <si>
    <t>1.1.</t>
  </si>
  <si>
    <t>AHU1 -  VZT jednotka ve složení: 4x pružná manžeta, 2x uzavírací klapka, filtr F5/G4,  deskový rekuperátor s účinností min. 90% a s 100% BY-PASS, přímý výparník/kondenzátor 15kW,  ventilátory s EC motorem resp.  FM – 5000m3/h / 500Pa,  vnitřní provedení, vč. montáže, oživení a nastavení, vč. kompletního systému MaR včetně všech prvků řízení a měření, prokabelování, oživení , zprovoznění, nastavení a zaregulování</t>
  </si>
  <si>
    <t>1.2.</t>
  </si>
  <si>
    <t>TČ- kondenzační jednotka 15kW, vč „ahuboxu“, teplotních čidel,  rámu pod jednotku, prokabelování, el. zapojení, nastavení a zaregulování a doplnění chladiva dle skutečné délky CU potrubí</t>
  </si>
  <si>
    <t>1.3.</t>
  </si>
  <si>
    <t>CU potrubí 10/16 vč. komunikačního kabelu CYKY5x1,5</t>
  </si>
  <si>
    <t>1.4.</t>
  </si>
  <si>
    <t>nasávací žaluzie 615x1200</t>
  </si>
  <si>
    <t>1.5.</t>
  </si>
  <si>
    <t>výdechový šikmý kus se sítem 550x550 R135st</t>
  </si>
  <si>
    <t>1.6.</t>
  </si>
  <si>
    <t>odsávací  digestoř nerezová 4750x1100 v.450 vč. 6x tukový filtr a 3x osvětlení (el. zapojení není předmětem dodávky profese VZT)</t>
  </si>
  <si>
    <t>1.7.</t>
  </si>
  <si>
    <t>1.8.</t>
  </si>
  <si>
    <t>1.9.</t>
  </si>
  <si>
    <t>odsávací  digestoř nerezová 1200x1000 v.450 vč. 2x tukový filtr</t>
  </si>
  <si>
    <t>1.10.</t>
  </si>
  <si>
    <t>textilní přívodní vyustka DN450 L.1550 1000m3/h vč. závěsů a vnitřního koše</t>
  </si>
  <si>
    <t>1.11.</t>
  </si>
  <si>
    <t>textilní přívodní vyustka DN450 L.9200 4000m3/h vč. závěsů a vnitřního koše</t>
  </si>
  <si>
    <t>1.12.</t>
  </si>
  <si>
    <t>zpětná klapka do kruhového potrubí DN160</t>
  </si>
  <si>
    <t>1.13.</t>
  </si>
  <si>
    <t>zpětná klapka do kruhového potrubí DN200</t>
  </si>
  <si>
    <t>1.14.</t>
  </si>
  <si>
    <t>spiro potrubí do obvodu DN160 vč. tvarovek 30%</t>
  </si>
  <si>
    <t>1.15.</t>
  </si>
  <si>
    <t>spiro potrubí do obvodu DN200 vč. tvarovek 40%</t>
  </si>
  <si>
    <t>1.16.</t>
  </si>
  <si>
    <t xml:space="preserve">obdelníkové zn. potrubí tř. I. do obvodu 4000  </t>
  </si>
  <si>
    <t>1.17.</t>
  </si>
  <si>
    <t xml:space="preserve">obdelníkové zn. potrubí tř. I. do obvodu 2500  </t>
  </si>
  <si>
    <t>1.18.</t>
  </si>
  <si>
    <t>kulisa tlumiče hluku 610x1500 š.100</t>
  </si>
  <si>
    <t>1.19.</t>
  </si>
  <si>
    <t>kulisa tlumiče hluku 610x1200 š.100</t>
  </si>
  <si>
    <t>1.20.</t>
  </si>
  <si>
    <t>kulisa tlumiče hluku 895x1200 š.100</t>
  </si>
  <si>
    <t>1.21.</t>
  </si>
  <si>
    <t>tepelná izolace – minerální s AL. polepem tl.60mm</t>
  </si>
  <si>
    <t>1.22.</t>
  </si>
  <si>
    <t>tepelná izolace – minerální s AL. polepem tl.40mm</t>
  </si>
  <si>
    <t>1.23.</t>
  </si>
  <si>
    <t>požární a tepelná izolace – minerální s AL. polepem tl.40mm</t>
  </si>
  <si>
    <t>1.24</t>
  </si>
  <si>
    <t>montážní materiál na zhotovení a montáž závěsů, spojovací a těsnící materiál, prvky roznášející zatížení, tlumící vibrace, značení a popisky vzduchovodů přívod / odvod,směr,zařízení regulace množství vzduchu aj.</t>
  </si>
  <si>
    <t>1.25.</t>
  </si>
  <si>
    <t>doprava materiálu + doprava  2% z ceny</t>
  </si>
  <si>
    <t>kpl.</t>
  </si>
  <si>
    <t>1.26.</t>
  </si>
  <si>
    <t>VRN + oživení, nastavení + předávací protokoly, dokumentace skutečného provedení, zaškolení obsluhy</t>
  </si>
  <si>
    <t>1.27.</t>
  </si>
  <si>
    <t>montáž</t>
  </si>
  <si>
    <t>STAVBA</t>
  </si>
  <si>
    <t>EL. PŘÍVOD VZT  230V 3A pro AHU a TČ</t>
  </si>
  <si>
    <t>STAVEBNÍ OTVORY + ZAČIŠTĚNÍ</t>
  </si>
  <si>
    <t>ODVOD KONDENZÁTU</t>
  </si>
  <si>
    <t>Nabízené řešení - Popis, rozměry, specifikace, typ</t>
  </si>
  <si>
    <r>
      <t xml:space="preserve">Jednotková cena za dodávku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</si>
  <si>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dodávku</t>
    </r>
    <r>
      <rPr>
        <b/>
        <sz val="11"/>
        <rFont val="Calibri"/>
        <family val="2"/>
        <charset val="238"/>
        <scheme val="minor"/>
      </rPr>
      <t xml:space="preserve"> (v Kč bez DPH)</t>
    </r>
  </si>
  <si>
    <r>
      <t xml:space="preserve">Jednotková cena za montáž </t>
    </r>
    <r>
      <rPr>
        <b/>
        <sz val="11"/>
        <rFont val="Calibri"/>
        <family val="2"/>
        <charset val="238"/>
        <scheme val="minor"/>
      </rPr>
      <t>(v Kč bez DPH)</t>
    </r>
  </si>
  <si>
    <r>
      <t>Celková nabídková cena za montáž</t>
    </r>
    <r>
      <rPr>
        <b/>
        <sz val="11"/>
        <rFont val="Calibri"/>
        <family val="2"/>
        <charset val="238"/>
        <scheme val="minor"/>
      </rPr>
      <t xml:space="preserve"> (v Kč bez DPH)</t>
    </r>
  </si>
  <si>
    <t>Celková nabídková cena (v Kč bez DPH)</t>
  </si>
  <si>
    <t xml:space="preserve">Bufetový vozík studený s pojezdovou dráhou </t>
  </si>
  <si>
    <t>Velikost 4 x 1/1 GN, pojezdová dráha, 4x kolečko, 2 bržděná, deska žula, GN hl. 150 mm, horní osvětlení, rozsah teplot 2–10 st. C, boky dřevo – ořech; Velikost vozíku 1490 x 880 x 1370 mm; Příkon 0,507 kW/230 V</t>
  </si>
  <si>
    <t>Výdejní pult s pojezdovou dráhou</t>
  </si>
  <si>
    <t>Nerezová plechová deska s jádrem dřevotříska kotvená do zděného parapetu s oblými hranami</t>
  </si>
  <si>
    <t xml:space="preserve">Výdejní vozík </t>
  </si>
  <si>
    <t xml:space="preserve">Vanový pro 3 GN 1/1, rozměr 545 x 900 x 1072, ovládání na kratší straně
Příkon 2,90 kW/230 V </t>
  </si>
  <si>
    <t xml:space="preserve">Prokládací skříň </t>
  </si>
  <si>
    <t>Nerezový regál, se dveřmi proti sobě na obou stranách vše v nerezu, rozměr 2000 x 700 x 2000 mm</t>
  </si>
  <si>
    <t>Pracovní plocha s otvorem na odpadky</t>
  </si>
  <si>
    <t>Nerezové provedení, rozměr 1500 x 700 x 850, uzavíratelný otvor na shoz odpadků, jedna police, nádoba na odpadky uzavřená plast</t>
  </si>
  <si>
    <t>Pracovní plocha se dřezem</t>
  </si>
  <si>
    <t>Nerezové provedení k myčce se dřezem a stojánkovou baterií s výsuvnou sprchou, dřez 450 x 450 x 250 mm rozměr stolu 1500 x 700 x 850, stavitelné nohy, deska s lemem zadním a bočním v pravo</t>
  </si>
  <si>
    <t>Gula nerez</t>
  </si>
  <si>
    <t>DN 100 s roštem protiskluz 300 x 300 mm</t>
  </si>
  <si>
    <t xml:space="preserve">Myčka bílé (stolní) nádobí </t>
  </si>
  <si>
    <t>Tunelová myčka stolního nádobí celonerezová vč. rekuperace odpadní vody a páry; sušící zóna délky 700 mm v rovném provedení, celkový rozměr: 2100x800x1420 mm; rozměr koše 500x500 mm; směr posuvu košů zleva do prava; max. rychlost posuvu 100košů/hod, základní programy (60/90/210 s); mycí výkon 50/75/120 košů/hod; zpětné získávání tepla s integrovaným tukovým filtrem; výběr ze tří stupňu rychlosti, 5 mycích ramen, barevný dotykový displej s ovládáním jenním tlačítkem, jazykově neutrální uživatelské rozhranní s intuitivními poktogramy, odpadní čerpadlo, dávkovač mycího a oplachového prostředku, zabezpečení proti přehřátí hygienického topného tělesa z důvodu zapečené nečistoty, celonerezová konstrukce z nerezové oceli AISI 304, 400V/18,0kW</t>
  </si>
  <si>
    <t>Pracovní plocha</t>
  </si>
  <si>
    <t xml:space="preserve">Nerezové provedení stolu rozměr 2000 x 700 x 850, stavitelné nohy – pro výjezd z průběžné myčky se zadním a bočním lemem v levo </t>
  </si>
  <si>
    <t xml:space="preserve">Regál – skříň na bílé (stolní) nádobí </t>
  </si>
  <si>
    <t>Nerezové provedení, rozměry 2250 x 450 x 2000 mm 6 regálů, dvoukřídlové dveře na magnet, kotvení do zdiva</t>
  </si>
  <si>
    <t>Podlahová plošinová váha</t>
  </si>
  <si>
    <t>Váživost do 150 kg, rozměr plošiny 1250 x 1000 x 250 mm, ochrana proti přetížení, LED displej červený velikost výška 46 mm, mechanická klávesnice vodotěsná, napájení ze sítě 230 V, nastavitelný sklon displeje</t>
  </si>
  <si>
    <t>Vozík pro konvektomat vč. úpravny vody</t>
  </si>
  <si>
    <t>Vozík pro konvektomat 20 GN + úpravna vody</t>
  </si>
  <si>
    <t xml:space="preserve">Konvektomat 20 GN </t>
  </si>
  <si>
    <t>Elektrický konvektomat bojlerový 20 x GN 1/1; el. příkon 36,9 kW; celkový rozměr: 948 x 834 x 1804 mm; min. 4 bodová teplotní sonda; min. 5 rychlostí ventilátoru; zásuvy orientované napříč; programování - možnost vytvoření až 1000 programů; elektronický dotykový panel odolný vlhkosti; rychlý a úsporný vývin páry pomocí bojleru; automatický předehřev/zchlazení - kompenzace změn teploty při otevření zařízení; automatické čištění; automatické odvápnění varné komory;  horký vzduch 30 - 300 °C; kombinovaný režim 30 - 300 °C; vaření v páře 30 - 130 °C; Bio vaření 30 - 98 °C; vaření/pečení přes noc; časování zásuvů; regenerace; delta T vaření/pečení; nízkoteplotní vaření/pečení. 
Změkčovač s tabletovou solí , automatické sledování hladiny soli v nádrži.průtok 1400 l/h, vstupní tlak 2-8bar, příkon 0,04 kW, sůl reg. 1,5 kg, připojení DN 20 , bypass ventil umožňující regeneraci za provozu</t>
  </si>
  <si>
    <t xml:space="preserve">Gula nerez </t>
  </si>
  <si>
    <t>Multifunkční pánev</t>
  </si>
  <si>
    <t xml:space="preserve">Odtokový rošt – gula </t>
  </si>
  <si>
    <t>Protiskluz, rozměr 600 x 300 x 100, DN 100 záchytné sítko</t>
  </si>
  <si>
    <t>Elektrický tálový sporák s troubou</t>
  </si>
  <si>
    <t>Elektrický tálový sporák (4 topné zóny) s troubou z nerezové oceli; příkon desky: 10 kW; příkon 1 topné zóny: 2,5 kW; příkon el. trouby: 5 kW; jmenovité napětí: 3/N/PE AC 400 V, 50 Hz; celkový rozměr: 900 x 900 x 955 mm; skládá se z pracovní části a podstavce; horní část tvoří rám se čtyřmi litinovými elektrickými plotnami; v přední části rámu je otvor pro odtok rozlitého pokrmu do odkapní nádoby, která je výsuvná a umístěna uprostřed předního krytu; z pravé strany zadní stěny je vyveden 3 m dlouhý připojovací kabel; ovládací panel je osazen prvky pro regulaci a signalizaci zapnutého stavu jednotlivých topných zón; podstavec je opatřen 4 seřizovatelnými nožičkami; pečicí trouba je uvnitř vybavena horním a dolním topným tělesem; vpravo od dvířek trouby je ovládací panel osazený spínačem topení (O - 1), dvěma regulačními termostaty (50 - 300 °C) pro samostatné ovládání dolního a horního top. tělesa a signálkami zapnutého stavu těchto ovládacích prvků</t>
  </si>
  <si>
    <t>Nerezové provedení rozměr 600 x 700 x 850, stavitelné nohy, zadní lem</t>
  </si>
  <si>
    <t>Elektrická smažící pánev 80 L</t>
  </si>
  <si>
    <t>Elektrická pánev 100 l z nerezové oceli; příkon: 18,05 kW; celkový rozměr: 1000 x 900 x 900 mm; krytí celého výrobku IPX4; dno z nerezové oceli, masivní dno o tloušťce 12 mm;  nastavitelná teplota 50-300°C; plynulá regulace výkonu; víko bez otvorů pro rychlejší ohřev; motorické sklápění; napouštění studené vody tlačítkem na čelním panelu; veškeré ovládací prvky ergonomicky na čelním panelu; po obvodu vybavena kanálky pro odvod vysrážené vody; pracovní deska, ovládací a čelní panel z nerezové oceli AISI 304L; seřizovatelné nožičky. Volitelná možnost: integrovaná bubnová samonavíjecí sprcha, dvě oddělené teplotní zóny, sendvičové dno s hliníkovým blokem pro rovnoměrný a rychlý rozvod tepla</t>
  </si>
  <si>
    <t>Elektrický varný kotel 150 L</t>
  </si>
  <si>
    <t>Elektrický varný kruhový kotel; příkon: 24,0 kW; celkový rozměr: 900 x 900 x 900 mm; krytí celého přístroje IPX4; jednoduché ovládání; dno i stěny vnitřní nádoby z nerezové oceli AISI 316L (zvýšená odolnost solím a kyselinám); pracovní plocha a čelní opláštění z nerezové oceli AISI 304L; automatické napouštění duplikátoru; spektrometrické čidlo výše hladiny odolné vodnímu kameni; plynulá regulace síly ohřevu tlačítkem ovládané dopouštění vody; mokrá zóna zabraňuje přetečení na podlahu; bezpečnostní tlakový ventil s automatickým odvzdušňováním; tlumič hluku unikající páry; filtr pevných částic na dopouštění vody do duplikátoru; masivní konstrukce; mosazný zabroušený bezúdržbový výpustný kohout 1,5“; možnost připojení duplikátoru na rozvod změkčené vody</t>
  </si>
  <si>
    <t>Protiskluz, rozměr 1800 x 500 x 100, DN 100 záchytné sítko</t>
  </si>
  <si>
    <t>Udržovací skříň</t>
  </si>
  <si>
    <t>Vozík udržovací (vyhřívaný) 1 x 15 GN 1/1 se zvlhčováním; příkon: 2,3 kW; napájení: 230 V; celkový rozměr: 571 x 825 x 1462 mm; kapacita 15 GN 1/1-65; celonerezové provedení z nerezové oceli 18/10; provedení vozíku dvouplášťové, izolované; 2x digitální termostat od +30 °C do +95 °C umístěný na čele vozíku včetně snadné kontroly teploty vzduchu a vodní lázně ve vozíku; doba vyhřátí max.: 30 min.; rovnoměrné proudění vzduchu pomocí ventilátoru; madlo na zadní straně vozíku; na bocích vozíku blíž ke dveřím zapuštěná madla pro manipulaci s vozíkem; el. šňůra s vidlicí a odkládací zásuvka na zadní straně vozíku; 4 x kolečko otočné Ø 125 mm z toho 2x s brzdou; rozteč lisovaných lišt 75 mm; dveře vozíku dvouplášťové, izolované s obvodovým těsněním (kromě spodní části dveří); dveře vozíku je možné zaaretovat v otevřené poloze; uzavírání: klika se zámkem; dno vozíku s prolisovanou vaničkou s ohřevem vody pro zvlhčování prostoru vozíku; rohové nárazníky</t>
  </si>
  <si>
    <t>Pracovní plocha - dřez</t>
  </si>
  <si>
    <t xml:space="preserve">Nerezové provedení velikost dřezu 450 x 450 x 250 mm, rozměr stolu 2400 x 700 x 850  a 2000x 700 x 850, stavitelné nohy, 3 x zásuvka, jeden regál, zadní lem, boční lem vlevo  </t>
  </si>
  <si>
    <t>Pracovní plocha - pracovní stůl chlazený</t>
  </si>
  <si>
    <t>rozměry šxhxv: 2000x700x840 mm-třídveřový, nucený oběh, který zajistí nastavenou teplotu při větší, četnosti otevírání s lemem. Ventilované chlazení, automatické odtávání, digitální termostat a digitální, ukazatel teploty, chladící stůl včetně zásuvek</t>
  </si>
  <si>
    <t>Podpultová chladnice</t>
  </si>
  <si>
    <t>Podstolová chladící skříň 130 l; příkon: 0,1 kW; napětí 230 V/50 Hz; rozměr: 600 x 600 x 850 mm; chlazení s pomocným ventilátorem; bílé provedení; automatické odtávání; digitální termostat; masivní kovové madlo; osvětlení vnitřního prostoru; výškově nastavitelné rošty; police s vysokou nosností až 25 kg; snadno vyměnitelné těsnění; zámek; lze měnit otevírání dveří; nastavitelné nožky</t>
  </si>
  <si>
    <t>Univerzální šlehací hnětací stroj</t>
  </si>
  <si>
    <t>Motorický zdvih; zdvih za chodu; třírychlostní motor - 72/146/290 ot/min; příkon elektromotoru: 1,5/2,2/2,8 kW; jmenovité napětí: 3/N/PE AC 400V, 50 Hz; celkový rozměr: 570 x 1070 x 1140 mm; ovládání s časovačem, signalizací, stop tlačítkem; mechanický spínač ochranného krytu kotlíku; otáčivý pohyb od motoru na řemenici přenáší klínové řemeny; Příslušenství 60 l : kotlík 60 l, hnětací hák, míchač, šlehací metla, transportní vozík a podstavec pod kotlík; možnost připojení přídavných zařízení - mlýnek na maso, krouhačka a řezačka zeleniny, mlýnek na mák</t>
  </si>
  <si>
    <t>Myčka černého nádobí</t>
  </si>
  <si>
    <t>Myčka provozního nádobí celonerezová vč. rekuperace a modulu reversní osmózy; příkon: 11,7 kW; napětí: 3N PE 400V 50Hz; stupeň zabezpečení: IPX5; celkový rozměr: 1030 x 895 x 1785/2185 mm; zásuvná výška min. 740 mm; přední plnění; rozměry koše min.: 850×700 mm; základní programy: 120/240/360 s; výkon: 30/15/10 košů/hod; spotřeba vody max. 5,8 l/cyklus; integrovaná rekuperace pro zpětné využití zbytkové energie odpadní páry; teplota odváděného vzduchu do prostoru max. 25°C; snížení výstupu páry do prostoru o 80%; externí nerezový modul reverzní osmózy vč. jemného filtru -  k odstranění cizích částic, minerálů, bakterií a virů; dvouplášťové provedení vč. zvukové a tepelné izolace; nerezová mycí a oplachová ramena; elektronický ovládací panel s přídavným tlačítkem START v ergonomické výšce; vícestupňová aktivní filtrace mycí lázně; integrovaný dávkovač mycího a oplachového prostředku; nerezové vedení prostředků k a od dávkovačů; čerpadlo pro zvýšení tlaku z vodovodního řádu; provedení mycího tanku se zaoblenými hyg. rohy; odpadové čerpadlo; automatický samočistící program při vyprázdnění nádrže; rozhraní pro připojení k externímu PC se softwarem HACCP; rozhraní bluetooth pro bezdrátovou komunikaci</t>
  </si>
  <si>
    <t>Regál</t>
  </si>
  <si>
    <t>Nerezové provedení 6 regálů, rozměr 2800 x 600 x 2000 mm, kotvení do zdiva</t>
  </si>
  <si>
    <t>Stolní krouhač zeleniny</t>
  </si>
  <si>
    <t>Stolní krouhač s 2 plnícími otvory; celkový rozměr: 300 x 540 x 580 mm; příkon: 0,55 kW; kulatý plnící otvor (Ø 55 mm) s plastovou přítlačkou a velký oválný plnící otvor (80x170mm) s pákovou kovovou přítlačkou s koncovým spínačem pro bezpečné plnění vč. základní sady 5 kotoučů; otáčky disku: 320 ot/min; kapacita do 130 kg/h</t>
  </si>
  <si>
    <t>Varný kotel s mícháním</t>
  </si>
  <si>
    <t>Elektrický varný sklopný míchací kotel 150 l; systém nepřímého ohřevu; automatický sklápěcí mechanismus; příkon: 31,5 kW; napětí: 400V/3N, 50-60 Hz; celkový rozměr: 1300 x 1070 x 1050 mm; max. tlak v duplikátoru 1,5 baru; ochrana proti průniku vody IPX5; konstrukce kotle z AISI 304 a v nitřní část z AISI 316 o síle 3 mm; ohřívání duplikátoru pomocí saturované páry o teplotě 121°C; automatický odvzdušňovací systém duplikátoru; doba pro dosažení varu max. do 45 min; elektronické ovládání až s uložením 50 programů, doba a teplota ohřevu, chybová hlášení; Nadstavbové funkce: dávkování vody, parametry míchání (směr, rychlost, taktování); motorové sklápění pomocí lineárního motoru; možnost záznamu dat HACCP; vysoko umístěná, excentrická osa sklápění umožňuje vyprázdnění a naklopení více než 90° úhlem; pěnová izolace PUR zvyšující účinnost ohřevu, PUR vrstva izolující kotel až po horní výpustní hranu; bezpečnostní přetlakový ventil duplikátoru, bezpečnostní termostat; systém 2-dílného víka kotle: otočné vrchní víko z extrémně lehkého, odolného materiálu - polykarbonát o síle 4 mm a hlavní nerezové víko; hlavní bezpečností vypínač; tažená vnitřní vložka kotle; otáčky míchadla: základní rozsah 25-100 ot/min, šlehací program - 200 ot/min; taktování míchadla: jednosměrný režim, střídavý režim: 15 vt. - 5 vt. pauza - 15 vt. opačně, možnost přenastavení časů, krokový program pro snadné vyprázdnění při sklopeném kotli, speciální program pro míchání při otevřeném víku; bezpečnostní prvky pro zastavení míchadla v případě zvednutí víka; Možnosti a příslušenství: systém automatického dávkování vody s možností naprogramování požadovaného množství a uložení do paměti programu; systém automatického chlazení -  zrychlené zchlazování pokrmu napojením na přívod studené vody; pokrmový senzor - přesné měření teploty i u minimálního objemu vařeného pokrmu s možností poskytování dat pro HACCP systém; oplachová sprcha s délkou přívodní hadice; Míchací nástavce: univerzální nástavec roštový s bočními a spodními teflonovými stěrkami je součástí zařízení; volitelné nástavce: speciální šlehací nástavec pro přípravu krémů, bílků apod., čistící nástavce - uchycují se přímo na rotační hřídel pro snadné čištění kotle, lze mýt v myčkách nádobí</t>
  </si>
  <si>
    <t>Protiskluz, rozměr 600 x 800 x 100, DN 100 záchytné sítko</t>
  </si>
  <si>
    <t>Chladnice 600 l nerez</t>
  </si>
  <si>
    <t>Čistý objem 570 l, plné dveře, vnější plášť zesílený, vnitřní plášť -plast, teploměr, zámek, výškově nastavitelné rošty, dynamické chlazení, teplota 0 - 10°C, rozměry šxhxv 777x750x1900 mm</t>
  </si>
  <si>
    <t>Protiskluz, rozměr 500 x 500 x 100, DN 100 záchytné sítko</t>
  </si>
  <si>
    <t>o rozměru 450 x 450 x 250 mm, nerezové provedení zadní lem, rozměr 1800 x 700 x 850, stavitelné nohy, regál, zásuvka 2 x.</t>
  </si>
  <si>
    <t>Modernizace jídelního výtahu</t>
  </si>
  <si>
    <t>1x nerezová kabina s osvětlením, vlečným kabelem a odkláněcí křivkou, 4x kluzné vedení kabiny, doraz pod kabinu s držákem – bezp. komponenta, doraz nad kabinu s držákem – bezp. komponenta, nerezová police do kabiny výtahu – výšku police v kabině určí odpovědný pracovník v kuchyni dle místních zvyklostí , 2x dvoukřídlé šachetní dveře v odstínu RAL a nerezové parapety  – bezp. komponenta, kompletní el. instalace výtahu,uzamykatelný hlavní vypínač, uzamykatelný rozvaděč, nerezové přivolávače/odesílače, osvětlení šachty a strojovny, zásuvka v prohlubni, nosné lano, lanové svorky, očnice  – bezp. komponenta, těsnící motorový tmel, odmašťovací prostředky,     
1x převodový, ložiskový olej, ostatní tuky a maziva, nátěrové hmoty pro nátěr celého stroje a rámu, nátěr nahlížecích dvířek strojovny a betonové podlahy, soklu v prohlubni, kolo pro ruční vyproštění, dvoučinná brzda stroje – bezp. komponenta, gumy do spojky, stavební práce spojené s osazením šach. dveří, demontážní/montážní práce, přetěsnění převodovky, žebřík ke strojovně, likvidace demontovaných materiálů, vyčištění, seřízení a rozjetí výtahu, zkoušky dle platných ČSN a doplnění dokumentace o dotčené částí výtahu modernizací, doprava a transporty, pomocný a ostatní materiál    
 Dodávka materiálů, demontáž/montáž včetně stav. prací a zkoušek, montáž cca 14dní, garance 36 měsíců.
Ponechání vodítek s pohonnou jednotkou.</t>
  </si>
  <si>
    <t>Celková nabídková cena:</t>
  </si>
  <si>
    <t>Po osazení spotřebičů bude provedeno přesné doměření pro výrobu nerezového nábytku a toto bude zadáno do výroby!!</t>
  </si>
  <si>
    <t>Pro technologii konvektomatů a multifunkční pánve a kotlů osazena úpravna vody s možností odběrů do duplikátorů kotlů.</t>
  </si>
  <si>
    <t>Konvektomaty a ostatní části technologie budou dále napojeny i na neupravenou pitnou vodu.</t>
  </si>
  <si>
    <t>Organizace výroby</t>
  </si>
  <si>
    <t xml:space="preserve">Na varný blok navazuje pracovní plocha pro zpracování těst včetně dvojice universálních strojů a dokončovací plocha pro porcování vařených surovin a přípravu na výdej. </t>
  </si>
  <si>
    <t>Pro přípravu snídaní je vyčleněna pracovní plocha přímo u vstupu do jídelny se dřezem.</t>
  </si>
  <si>
    <t>Umývárna černého nádobí je umístěna na protilehlé straně výrobní linky, vybavena a dřezem s manipulační plochou a myčkou.</t>
  </si>
  <si>
    <t xml:space="preserve">Umývárna bílého nádobí navazuje na výdej stravy a propojena je s tímto prokládací skříní. </t>
  </si>
  <si>
    <t>V umývárně je umístěna pracovní plocha pro očištění nádobí od zbytků stravy s otvorem do odpadové nádoby, vlastní strojní mytí průběžnou myčkou a prostor pro odkap.</t>
  </si>
  <si>
    <t>Výdej stravy a udržování normové teploty pokrmů je řešeno ve vodní lázni výdejních vozíků a udržovací skříni.</t>
  </si>
  <si>
    <t>Varná plocha je vybavena odsáváním s akumulačními zákryty nad tepelným spotřebiči.</t>
  </si>
  <si>
    <t xml:space="preserve">Větrání rovnotlaké s přívodem ohřátého vzduchu s rekuperací. </t>
  </si>
  <si>
    <t xml:space="preserve">V prostoru varny je umístěna výlevka s umývadlem. </t>
  </si>
  <si>
    <t xml:space="preserve">Odvod splaškových vod z podlah je řešen pomocí AK vpustí s protiskluznými rošty. </t>
  </si>
  <si>
    <t>Všechny pracovní plochy stolů a dřezy jsou navrženy z AK oceli provedeny na míru do daného prostoru.</t>
  </si>
  <si>
    <t>Všechny stěny kuchyně jsou opatřeny omyvatelným povrchem do výšky min. 2000 mm.</t>
  </si>
  <si>
    <t>Podlaha je upravena protuskluznou dlažbou s požlábkem.</t>
  </si>
  <si>
    <t>Výdej stravy</t>
  </si>
  <si>
    <t>Tento je řešen samoobsluhou odebíráním strávníkem stravy přímo z výdejního pultu.</t>
  </si>
  <si>
    <t xml:space="preserve">Výdejní linka je sestavena z částí pro uložení a odběr strávníkem podnosů, příborů, nápojového skla, natočení nápoje, odběr salátu a jiných doplňků hlavního jídla, odběr polévky, hlavního jídla. </t>
  </si>
  <si>
    <t xml:space="preserve">Linka ja zakončena příjmem použitého stolního nádobí. </t>
  </si>
  <si>
    <t>Výdej stravy je veden elektronickou evidencí pomocí čipů strávníků a informací obsluhy o počtu vydaných porcí – původní stav ponechán</t>
  </si>
  <si>
    <t>Umývárna bílého nádobí</t>
  </si>
  <si>
    <t>Po dokončení konzumace bude bílé nádobí vraceno do kuchyně, jak bylo výše uvedeno – mytí je řešeno jako strojní el. mycím strojem s obsluhou jednou osobou.</t>
  </si>
  <si>
    <t>Před vložením bude opláchnuto horkou vodou v přidruženém dřezu s odkapní plochou.</t>
  </si>
  <si>
    <t xml:space="preserve">ELEKTROMATERIÁL - Výka, výměr (jedná se o referenční výrobky) </t>
  </si>
  <si>
    <t>STAVEBNÍ PRÁCE</t>
  </si>
  <si>
    <t>TECHNOLOGIE</t>
  </si>
  <si>
    <t>Střední průmyslová škola stavební a Obchodní akademie, kaldno, Cyrila Boudy 2954</t>
  </si>
  <si>
    <t>61894371/CZ61894371</t>
  </si>
  <si>
    <t>Elektrická multifunkční sklopná pánev s automatickým zdvihem košů; 2 vany, objem min.: 2 x 40l; kapacita GN: 2 x GN 1/1; celkový instalovaný příkon max.: 27,5 kW; napětí: 3 N AC 400 V; jištění: 3 x 40 A; celkový rozměr: 1580 x 850 x 1050 mm; rozměr dna max.: 2 x 452 x 558 mm; hloubka vany: 220 mm; varné režimy: vaření, šetrné vaření, smažení, dušení, nízkoteplotní úpravy, grilování, restování, opékání, konfitování, úprava sous – vide (vaření ve vakuu při konstantní nízké teplotě), noční vaření; rozsah teplot: 30 °C až 250 °C; ovládací panel: automatický a manuální režim úpravy pokrmů, dotyková obrazovka, ovládání v českém jazyce, možnost uložení vlastních programů, paměť pro více programů, zobrazování průběhu úprav na displeji, přesné senzorické měření teplot, zobrazení poruchových hlášení na displeji, technické a servisní informace; konstrukce: rám vč. krytu v provedení AISI 304, min. tloušťka 2 mm, materiál vany AISI 316, dno s oboustranným svárem, dvojité robustní izolované víko, odvod nadbytečné páry otvorem ve středu víka, systém vytápění pomocí celoplošných nerezových topných těles, předehřátí dna na 180 °C z provozní teploty za max. 3 minuty; centrální připojení vody, odpadu, elektřiny; základní vybavení: automatický systém napouštění vany – přesné dávkování vody, měrka množství tekutiny, osa vyklápění umožňuje kompletní vyprázdnění pánve, vícebodová sonda pro měření teploty jádra suroviny, integrovaný odpad ve dně vany pánve s elektrickým uzávěrem, automatický zdvih košů – včetně možnosti vaření v koších i se zavřeným víkem, bezpečnostní snímač rozpoznání ramene košů, integrovaná sprcha s automatickým navíjením, integrovaná zásuvka 230 V/16 A, zásuvka USB pro zálohování dat</t>
  </si>
  <si>
    <t>Střední průmyslová škola stavební a Obchodní akademie, Kladno, Cyrila Boudy 2954</t>
  </si>
  <si>
    <t>IČO/DIČ: 61894371/CZ61894371</t>
  </si>
  <si>
    <t xml:space="preserve">CELKEM bez DPH </t>
  </si>
  <si>
    <t>KUCHYNĚ CYRILA BOUDY 2953 , KLADNO</t>
  </si>
  <si>
    <t>investor:</t>
  </si>
  <si>
    <t>hl.projektant:</t>
  </si>
  <si>
    <t>Michal Šveinar</t>
  </si>
  <si>
    <t>projektant části:</t>
  </si>
  <si>
    <t>název části:</t>
  </si>
  <si>
    <t>odsávací nerez digestoř  850x800 v.250</t>
  </si>
  <si>
    <t>odsávací  nerez digestoř 1000x800 v.250</t>
  </si>
  <si>
    <t>obecné požadavky:</t>
  </si>
  <si>
    <r>
      <t>Protidešťová žaluzie -</t>
    </r>
    <r>
      <rPr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 xml:space="preserve">z hlinikového nebo ocelového pozin. profilu s listy z hlinikového nebo ocelového pozink. profilu,    </t>
    </r>
  </si>
  <si>
    <r>
      <t>Regulační klapka vícelistá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lamelové protiběžné klapky z profilových dutých hlinikových</t>
    </r>
  </si>
  <si>
    <t>profilů, dosedací plochy lamel opatřeny těsnící pryží, připojení klapek pomocí</t>
  </si>
  <si>
    <t>přírub z lisovaného plechu</t>
  </si>
  <si>
    <t>Protipožární klapka čtyřhranná typ .40</t>
  </si>
  <si>
    <t>skříň a díly klapky z pozinkovaného plechu s lis. přírubami</t>
  </si>
  <si>
    <t>uzavírací list klapky ze speciálního izolačního materiálu neobsahující azbest</t>
  </si>
  <si>
    <t>těsnění listu z tepelně zpětného materiálu, ložiska z oceli, požární odolnost 90 min;</t>
  </si>
  <si>
    <t>Provedení se servopohonem BLF 230-T. Po dobu, kdy je servopohon pod napětím, nachází se</t>
  </si>
  <si>
    <t>list v poloze "OTEVŘENO". Jestliže dojede k přerušení napájení servopohonu, zpětná pružina</t>
  </si>
  <si>
    <t>přestaví list klapky do havarijní polohy "ZAVŘENO".</t>
  </si>
  <si>
    <t>kontrolní otvor  a rám pro zalití</t>
  </si>
  <si>
    <t>klapky budou osazeny v síle stěny s dokonalou těsností a s dostatečným servisním prostorem bez</t>
  </si>
  <si>
    <t>nutnosti demontovat jiné prvky než ty, pro které je zajišťován servis</t>
  </si>
  <si>
    <t>umístění klapek musí být vždy takové, aby zachovalo stupeň požární odolnosti stěny</t>
  </si>
  <si>
    <r>
      <t>Vyústky</t>
    </r>
    <r>
      <rPr>
        <sz val="10"/>
        <color theme="1"/>
        <rFont val="Arial CE1"/>
        <charset val="238"/>
      </rPr>
      <t xml:space="preserve"> - </t>
    </r>
    <r>
      <rPr>
        <sz val="8"/>
        <color theme="1"/>
        <rFont val="Verdana"/>
        <family val="2"/>
        <charset val="238"/>
      </rPr>
      <t>rám a listy vyústky z hlinikového profilu - přírodní elox,</t>
    </r>
  </si>
  <si>
    <t>popřípadě ocelový plech s komaxitovým nátěrem RAL (bílá barva) dle požadavku interiéru</t>
  </si>
  <si>
    <t>včetně regulace a rámečku pro uchycení do potrubí</t>
  </si>
  <si>
    <t>Čtyřhranné potrubí z pozinkovaného plechu sk.I</t>
  </si>
  <si>
    <t>s přírubovými spoji s tvarových listů dotěsněné pryží a tmelem. Potrubí pro čisté prostory musí být</t>
  </si>
  <si>
    <t>před montáží vyčištěno, všechny otvory v potrubí zaslepeny folii až do zkušebního provozu.</t>
  </si>
  <si>
    <t>Použité přírubové spoje budou spojeny v rozích šroubovými spoji tak, aby montáž odpovídala</t>
  </si>
  <si>
    <t>platným normám (zemnění zařízení). Veškeré spoje budou po vnějším obvodu příruby opatřeny</t>
  </si>
  <si>
    <t>převlečnou těsnící lištou. V případě délky strany větší než 800 mm bude spoj prošroubován ještě</t>
  </si>
  <si>
    <t>mezi rohovníky</t>
  </si>
  <si>
    <t xml:space="preserve"> - regulační listové klapky na všech odbočkách s možností nastavení vně potrubí; táhla klapek</t>
  </si>
  <si>
    <t xml:space="preserve">   vytaženy nad izolaci potrubí.</t>
  </si>
  <si>
    <t xml:space="preserve"> - minimální tloušťka plechu 0,8 mm; při straně potrubí větší něž 300 mm použít prolisy či výstuhy</t>
  </si>
  <si>
    <t xml:space="preserve"> - vyrobeno z kvalitního pozinkovaného plechu</t>
  </si>
  <si>
    <t xml:space="preserve"> - úchyty max. 3m od sebe a dále pod každou odbočkou, kolenem a VZT prvků, které jsou součástí</t>
  </si>
  <si>
    <t xml:space="preserve">   potrubí</t>
  </si>
  <si>
    <t xml:space="preserve"> - zavěšení provedeno pomocí kovových závitových tyčí umožňujících výškové nastavení</t>
  </si>
  <si>
    <t xml:space="preserve"> - úchyty uloženy silenbloky</t>
  </si>
  <si>
    <t xml:space="preserve"> - závitové tyče musí zůstat ve vertikální poloze</t>
  </si>
  <si>
    <t xml:space="preserve"> - provedení otvorů pro umístění čidel automatické regulace</t>
  </si>
  <si>
    <t xml:space="preserve"> - měřící místa musí být zazátkována a trvale přístupna</t>
  </si>
  <si>
    <t xml:space="preserve"> - veškeré potrubí, ve kterém může vznikat kondenzace bude ve vodotěsném provedení s vyspádo-</t>
  </si>
  <si>
    <t xml:space="preserve">   váním do nejnižších míst; tato místa budou opatřena výpustí kondenzátu. Nosnost úchytu a závěsů</t>
  </si>
  <si>
    <t xml:space="preserve">   takto provedených potrubí bude předpokládáno na váhu 10 krát vyšší než je váha vlastního potrubí.</t>
  </si>
  <si>
    <t xml:space="preserve"> - součástí potrubí budou veškeré nosné a  kotvící konstrukce, ocelové konstrukce s přichycením ke</t>
  </si>
  <si>
    <t xml:space="preserve">   stavebním konstrukcím. Pro čisté prostory bude potrubí ve vzduchotěsném provedení</t>
  </si>
  <si>
    <t>Kruhové potrubí "SPIRO"</t>
  </si>
  <si>
    <t xml:space="preserve">   stavebním konstrukcím.</t>
  </si>
  <si>
    <t>Ve výkazu nejsou zohledněny stavební přípomoce, bourací a vrtací práce, nasledné začištění, přípojky elektro</t>
  </si>
  <si>
    <t>jištění přívodních elektrokabelů, napojení kondenzátu do 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</si>
</sst>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0.000"/>
    <numFmt numFmtId="165" formatCode="0.0"/>
    <numFmt numFmtId="166" formatCode="d&quot;.&quot;m&quot;.&quot;yy"/>
    <numFmt numFmtId="167" formatCode="#,##0&quot; Kč&quot;"/>
    <numFmt numFmtId="168" formatCode="[$-405]General"/>
    <numFmt numFmtId="169" formatCode="mmm&quot; &quot;dd"/>
  </numFmts>
  <fonts count="46">
    <font>
      <sz val="8"/>
      <name val="Arial"/>
    </font>
    <font>
      <sz val="12"/>
      <name val="Arial CE"/>
      <family val="2"/>
      <charset val="238"/>
    </font>
    <font>
      <sz val="10"/>
      <name val="Arial"/>
      <family val="2"/>
      <charset val="1"/>
    </font>
    <font>
      <sz val="8"/>
      <name val="Arial"/>
    </font>
    <font>
      <sz val="11"/>
      <color rgb="FFFF0000"/>
      <name val="Calibri"/>
      <family val="2"/>
      <charset val="238"/>
      <scheme val="minor"/>
    </font>
    <font>
      <sz val="8"/>
      <color rgb="FF000000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20"/>
      <color theme="1"/>
      <name val="Verdana"/>
      <family val="2"/>
      <charset val="238"/>
    </font>
    <font>
      <sz val="10"/>
      <color theme="1"/>
      <name val="Arial Narrow"/>
      <family val="2"/>
      <charset val="238"/>
    </font>
    <font>
      <u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rgb="FF006633"/>
      <name val="Verdana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0000"/>
      <name val="Verdana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006633"/>
      <name val="Verdana"/>
      <family val="2"/>
      <charset val="238"/>
    </font>
    <font>
      <sz val="8"/>
      <color rgb="FF006633"/>
      <name val="Verdana"/>
      <family val="2"/>
      <charset val="238"/>
    </font>
    <font>
      <sz val="10"/>
      <color rgb="FF006633"/>
      <name val="Arial Narrow"/>
      <family val="2"/>
      <charset val="238"/>
    </font>
    <font>
      <sz val="10"/>
      <color theme="1"/>
      <name val="Arial CE"/>
      <charset val="238"/>
    </font>
    <font>
      <b/>
      <i/>
      <sz val="8"/>
      <color theme="1"/>
      <name val="Verdana"/>
      <family val="2"/>
      <charset val="238"/>
    </font>
    <font>
      <sz val="10"/>
      <color theme="1"/>
      <name val="Arial CE1"/>
      <charset val="238"/>
    </font>
    <font>
      <sz val="12"/>
      <color theme="1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66FFFF"/>
        <bgColor rgb="FF66FFFF"/>
      </patternFill>
    </fill>
    <fill>
      <patternFill patternType="solid">
        <fgColor rgb="FF6666FF"/>
        <bgColor rgb="FF6666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 applyNumberFormat="0" applyFont="0" applyFill="0" applyBorder="0" applyAlignment="0" applyProtection="0"/>
    <xf numFmtId="0" fontId="1" fillId="0" borderId="0"/>
    <xf numFmtId="0" fontId="2" fillId="0" borderId="0">
      <alignment vertical="top" wrapText="1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Border="0" applyProtection="0"/>
    <xf numFmtId="0" fontId="42" fillId="0" borderId="0"/>
    <xf numFmtId="0" fontId="45" fillId="0" borderId="0"/>
  </cellStyleXfs>
  <cellXfs count="295">
    <xf numFmtId="0" fontId="0" fillId="0" borderId="0" xfId="0" applyNumberFormat="1" applyFont="1" applyFill="1" applyBorder="1" applyAlignment="1" applyProtection="1"/>
    <xf numFmtId="0" fontId="7" fillId="0" borderId="0" xfId="0" applyFont="1"/>
    <xf numFmtId="49" fontId="7" fillId="5" borderId="43" xfId="0" applyNumberFormat="1" applyFont="1" applyFill="1" applyBorder="1" applyAlignment="1">
      <alignment horizontal="center" vertical="center"/>
    </xf>
    <xf numFmtId="49" fontId="7" fillId="5" borderId="44" xfId="0" applyNumberFormat="1" applyFont="1" applyFill="1" applyBorder="1" applyAlignment="1">
      <alignment horizontal="center" vertical="center"/>
    </xf>
    <xf numFmtId="49" fontId="7" fillId="5" borderId="44" xfId="0" applyNumberFormat="1" applyFont="1" applyFill="1" applyBorder="1" applyAlignment="1">
      <alignment vertical="center" wrapText="1"/>
    </xf>
    <xf numFmtId="3" fontId="7" fillId="5" borderId="44" xfId="0" applyNumberFormat="1" applyFont="1" applyFill="1" applyBorder="1" applyAlignment="1">
      <alignment horizontal="center" vertical="center" wrapText="1"/>
    </xf>
    <xf numFmtId="4" fontId="7" fillId="5" borderId="44" xfId="0" applyNumberFormat="1" applyFont="1" applyFill="1" applyBorder="1" applyAlignment="1">
      <alignment horizontal="center" vertical="center"/>
    </xf>
    <xf numFmtId="4" fontId="7" fillId="5" borderId="44" xfId="0" applyNumberFormat="1" applyFont="1" applyFill="1" applyBorder="1" applyAlignment="1">
      <alignment horizontal="center" vertical="center" wrapText="1"/>
    </xf>
    <xf numFmtId="4" fontId="8" fillId="5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left" vertical="center"/>
    </xf>
    <xf numFmtId="44" fontId="7" fillId="6" borderId="28" xfId="3" applyFont="1" applyFill="1" applyBorder="1" applyAlignment="1">
      <alignment vertical="center"/>
    </xf>
    <xf numFmtId="44" fontId="7" fillId="0" borderId="28" xfId="3" applyFont="1" applyBorder="1" applyAlignment="1">
      <alignment vertical="center"/>
    </xf>
    <xf numFmtId="44" fontId="7" fillId="0" borderId="47" xfId="3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3" applyNumberFormat="1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7" fillId="6" borderId="49" xfId="0" applyFont="1" applyFill="1" applyBorder="1" applyAlignment="1">
      <alignment horizontal="left" vertical="center"/>
    </xf>
    <xf numFmtId="44" fontId="7" fillId="6" borderId="49" xfId="3" applyFont="1" applyFill="1" applyBorder="1" applyAlignment="1">
      <alignment vertical="center"/>
    </xf>
    <xf numFmtId="44" fontId="7" fillId="0" borderId="49" xfId="3" applyFont="1" applyBorder="1" applyAlignment="1">
      <alignment vertical="center"/>
    </xf>
    <xf numFmtId="44" fontId="7" fillId="0" borderId="50" xfId="3" applyFont="1" applyBorder="1" applyAlignment="1">
      <alignment vertical="center"/>
    </xf>
    <xf numFmtId="0" fontId="7" fillId="6" borderId="3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4" fontId="13" fillId="0" borderId="28" xfId="0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wrapText="1"/>
    </xf>
    <xf numFmtId="3" fontId="15" fillId="0" borderId="0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1" fontId="16" fillId="0" borderId="0" xfId="1" applyNumberFormat="1" applyFont="1"/>
    <xf numFmtId="1" fontId="16" fillId="0" borderId="28" xfId="1" applyNumberFormat="1" applyFont="1" applyBorder="1"/>
    <xf numFmtId="164" fontId="16" fillId="0" borderId="28" xfId="1" applyNumberFormat="1" applyFont="1" applyBorder="1"/>
    <xf numFmtId="164" fontId="16" fillId="0" borderId="0" xfId="1" applyNumberFormat="1" applyFont="1"/>
    <xf numFmtId="165" fontId="16" fillId="0" borderId="0" xfId="1" applyNumberFormat="1" applyFont="1"/>
    <xf numFmtId="0" fontId="16" fillId="0" borderId="0" xfId="1" applyFont="1" applyBorder="1" applyAlignment="1">
      <alignment wrapText="1"/>
    </xf>
    <xf numFmtId="1" fontId="14" fillId="0" borderId="28" xfId="1" applyNumberFormat="1" applyFont="1" applyBorder="1"/>
    <xf numFmtId="0" fontId="16" fillId="0" borderId="0" xfId="1" applyFont="1"/>
    <xf numFmtId="0" fontId="18" fillId="2" borderId="13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4" fontId="21" fillId="0" borderId="4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4" fontId="21" fillId="0" borderId="6" xfId="0" applyNumberFormat="1" applyFont="1" applyFill="1" applyBorder="1" applyAlignment="1" applyProtection="1">
      <alignment horizontal="right" vertical="center"/>
    </xf>
    <xf numFmtId="0" fontId="21" fillId="0" borderId="6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2" fillId="0" borderId="12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3" fillId="2" borderId="6" xfId="0" applyNumberFormat="1" applyFont="1" applyFill="1" applyBorder="1" applyAlignment="1" applyProtection="1">
      <alignment horizontal="right" vertical="center"/>
    </xf>
    <xf numFmtId="0" fontId="12" fillId="0" borderId="6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30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/>
    </xf>
    <xf numFmtId="0" fontId="7" fillId="0" borderId="30" xfId="0" applyFont="1" applyBorder="1"/>
    <xf numFmtId="4" fontId="7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49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3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vertical="center"/>
    </xf>
    <xf numFmtId="4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3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/>
    </xf>
    <xf numFmtId="0" fontId="7" fillId="0" borderId="34" xfId="0" applyFont="1" applyBorder="1"/>
    <xf numFmtId="4" fontId="8" fillId="0" borderId="35" xfId="0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wrapText="1"/>
    </xf>
    <xf numFmtId="0" fontId="8" fillId="0" borderId="30" xfId="0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4" fontId="7" fillId="0" borderId="0" xfId="3" applyNumberFormat="1" applyFont="1" applyFill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3" applyNumberFormat="1" applyFont="1" applyFill="1" applyBorder="1"/>
    <xf numFmtId="1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 wrapText="1"/>
    </xf>
    <xf numFmtId="4" fontId="7" fillId="0" borderId="30" xfId="0" applyNumberFormat="1" applyFont="1" applyBorder="1" applyAlignment="1">
      <alignment horizontal="left"/>
    </xf>
    <xf numFmtId="0" fontId="8" fillId="0" borderId="30" xfId="0" applyFont="1" applyBorder="1"/>
    <xf numFmtId="49" fontId="7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7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49" fontId="8" fillId="0" borderId="2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38" xfId="0" applyFont="1" applyBorder="1" applyAlignment="1">
      <alignment horizontal="center"/>
    </xf>
    <xf numFmtId="9" fontId="7" fillId="0" borderId="0" xfId="4" applyFont="1" applyFill="1" applyBorder="1" applyAlignment="1">
      <alignment horizontal="center"/>
    </xf>
    <xf numFmtId="4" fontId="8" fillId="0" borderId="39" xfId="0" applyNumberFormat="1" applyFont="1" applyBorder="1"/>
    <xf numFmtId="0" fontId="7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49" fontId="8" fillId="0" borderId="41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4" fontId="7" fillId="0" borderId="41" xfId="0" applyNumberFormat="1" applyFont="1" applyBorder="1" applyAlignment="1">
      <alignment horizontal="center"/>
    </xf>
    <xf numFmtId="0" fontId="7" fillId="0" borderId="41" xfId="0" applyFont="1" applyBorder="1"/>
    <xf numFmtId="4" fontId="8" fillId="0" borderId="42" xfId="0" applyNumberFormat="1" applyFont="1" applyBorder="1"/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 wrapText="1"/>
    </xf>
    <xf numFmtId="0" fontId="12" fillId="0" borderId="41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36" xfId="0" applyNumberFormat="1" applyFont="1" applyFill="1" applyBorder="1" applyAlignment="1" applyProtection="1">
      <alignment horizontal="left" vertical="center"/>
    </xf>
    <xf numFmtId="0" fontId="13" fillId="0" borderId="52" xfId="0" applyNumberFormat="1" applyFont="1" applyFill="1" applyBorder="1" applyAlignment="1" applyProtection="1">
      <alignment horizontal="left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0" fontId="13" fillId="0" borderId="56" xfId="0" applyNumberFormat="1" applyFont="1" applyFill="1" applyBorder="1" applyAlignment="1" applyProtection="1">
      <alignment horizontal="left" vertical="center"/>
    </xf>
    <xf numFmtId="4" fontId="13" fillId="0" borderId="56" xfId="0" applyNumberFormat="1" applyFont="1" applyFill="1" applyBorder="1" applyAlignment="1" applyProtection="1">
      <alignment horizontal="right" vertical="center"/>
    </xf>
    <xf numFmtId="4" fontId="12" fillId="0" borderId="28" xfId="0" applyNumberFormat="1" applyFont="1" applyFill="1" applyBorder="1" applyAlignment="1" applyProtection="1">
      <alignment horizontal="right" vertical="center"/>
    </xf>
    <xf numFmtId="44" fontId="8" fillId="0" borderId="51" xfId="0" applyNumberFormat="1" applyFont="1" applyBorder="1"/>
    <xf numFmtId="4" fontId="20" fillId="2" borderId="28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/>
    <xf numFmtId="4" fontId="8" fillId="0" borderId="37" xfId="0" applyNumberFormat="1" applyFont="1" applyFill="1" applyBorder="1"/>
    <xf numFmtId="4" fontId="20" fillId="0" borderId="7" xfId="0" applyNumberFormat="1" applyFont="1" applyFill="1" applyBorder="1" applyAlignment="1" applyProtection="1">
      <alignment horizontal="right" vertical="center"/>
    </xf>
    <xf numFmtId="4" fontId="20" fillId="0" borderId="59" xfId="0" applyNumberFormat="1" applyFont="1" applyFill="1" applyBorder="1" applyAlignment="1" applyProtection="1">
      <alignment horizontal="right" vertical="center"/>
    </xf>
    <xf numFmtId="4" fontId="6" fillId="0" borderId="28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4" fontId="14" fillId="0" borderId="28" xfId="1" applyNumberFormat="1" applyFont="1" applyBorder="1"/>
    <xf numFmtId="0" fontId="12" fillId="0" borderId="28" xfId="0" applyNumberFormat="1" applyFont="1" applyFill="1" applyBorder="1" applyAlignment="1" applyProtection="1">
      <alignment horizontal="left" vertical="center"/>
    </xf>
    <xf numFmtId="0" fontId="16" fillId="0" borderId="31" xfId="1" applyFont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left" vertical="center" wrapText="1"/>
    </xf>
    <xf numFmtId="0" fontId="13" fillId="0" borderId="57" xfId="0" applyNumberFormat="1" applyFont="1" applyFill="1" applyBorder="1" applyAlignment="1" applyProtection="1">
      <alignment horizontal="left" vertical="center" wrapText="1"/>
    </xf>
    <xf numFmtId="0" fontId="0" fillId="0" borderId="58" xfId="0" applyNumberFormat="1" applyFont="1" applyFill="1" applyBorder="1" applyAlignment="1" applyProtection="1">
      <alignment wrapText="1"/>
    </xf>
    <xf numFmtId="0" fontId="20" fillId="2" borderId="28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1" fillId="0" borderId="23" xfId="0" applyNumberFormat="1" applyFont="1" applyFill="1" applyBorder="1" applyAlignment="1" applyProtection="1">
      <alignment horizontal="left" vertical="center"/>
    </xf>
    <xf numFmtId="0" fontId="21" fillId="0" borderId="17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left" vertic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1" xfId="0" applyNumberFormat="1" applyFont="1" applyFill="1" applyBorder="1" applyAlignment="1" applyProtection="1">
      <alignment horizontal="left" vertical="center"/>
    </xf>
    <xf numFmtId="0" fontId="21" fillId="0" borderId="27" xfId="0" applyNumberFormat="1" applyFont="1" applyFill="1" applyBorder="1" applyAlignment="1" applyProtection="1">
      <alignment horizontal="left" vertical="center"/>
    </xf>
    <xf numFmtId="9" fontId="20" fillId="0" borderId="0" xfId="0" applyNumberFormat="1" applyFont="1" applyFill="1" applyBorder="1" applyAlignment="1" applyProtection="1">
      <alignment horizontal="left" vertical="center"/>
    </xf>
    <xf numFmtId="0" fontId="21" fillId="0" borderId="14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0" fontId="20" fillId="0" borderId="21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19" fillId="0" borderId="21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20" fillId="0" borderId="6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" fontId="12" fillId="0" borderId="28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Fill="1"/>
    <xf numFmtId="0" fontId="0" fillId="0" borderId="0" xfId="0"/>
    <xf numFmtId="0" fontId="29" fillId="0" borderId="0" xfId="0" applyFont="1" applyFill="1" applyBorder="1" applyAlignment="1">
      <alignment horizontal="center"/>
    </xf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 applyAlignment="1">
      <alignment vertical="center"/>
    </xf>
    <xf numFmtId="166" fontId="35" fillId="0" borderId="0" xfId="0" applyNumberFormat="1" applyFont="1" applyFill="1"/>
    <xf numFmtId="0" fontId="36" fillId="0" borderId="22" xfId="0" applyFont="1" applyFill="1" applyBorder="1" applyAlignment="1">
      <alignment horizontal="right"/>
    </xf>
    <xf numFmtId="167" fontId="36" fillId="0" borderId="13" xfId="0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left"/>
    </xf>
    <xf numFmtId="49" fontId="30" fillId="0" borderId="14" xfId="0" applyNumberFormat="1" applyFont="1" applyFill="1" applyBorder="1"/>
    <xf numFmtId="49" fontId="30" fillId="0" borderId="14" xfId="0" applyNumberFormat="1" applyFont="1" applyFill="1" applyBorder="1" applyAlignment="1" applyProtection="1">
      <alignment wrapText="1"/>
    </xf>
    <xf numFmtId="3" fontId="30" fillId="0" borderId="14" xfId="0" applyNumberFormat="1" applyFont="1" applyFill="1" applyBorder="1" applyAlignment="1" applyProtection="1">
      <alignment horizontal="center" wrapText="1"/>
    </xf>
    <xf numFmtId="4" fontId="30" fillId="0" borderId="14" xfId="0" applyNumberFormat="1" applyFont="1" applyFill="1" applyBorder="1" applyAlignment="1" applyProtection="1">
      <alignment horizontal="center"/>
    </xf>
    <xf numFmtId="4" fontId="30" fillId="0" borderId="14" xfId="0" applyNumberFormat="1" applyFont="1" applyFill="1" applyBorder="1" applyAlignment="1" applyProtection="1">
      <alignment horizontal="center" wrapText="1"/>
    </xf>
    <xf numFmtId="4" fontId="37" fillId="0" borderId="14" xfId="0" applyNumberFormat="1" applyFont="1" applyFill="1" applyBorder="1" applyAlignment="1" applyProtection="1">
      <alignment horizontal="center" wrapText="1"/>
    </xf>
    <xf numFmtId="49" fontId="38" fillId="0" borderId="13" xfId="0" applyNumberFormat="1" applyFont="1" applyFill="1" applyBorder="1"/>
    <xf numFmtId="49" fontId="38" fillId="0" borderId="13" xfId="0" applyNumberFormat="1" applyFont="1" applyFill="1" applyBorder="1" applyAlignment="1" applyProtection="1">
      <alignment vertical="top" wrapText="1"/>
    </xf>
    <xf numFmtId="3" fontId="37" fillId="0" borderId="13" xfId="0" applyNumberFormat="1" applyFont="1" applyFill="1" applyBorder="1" applyAlignment="1" applyProtection="1">
      <alignment horizontal="center"/>
    </xf>
    <xf numFmtId="0" fontId="39" fillId="0" borderId="13" xfId="0" applyFont="1" applyFill="1" applyBorder="1"/>
    <xf numFmtId="3" fontId="37" fillId="0" borderId="13" xfId="0" applyNumberFormat="1" applyFont="1" applyFill="1" applyBorder="1" applyAlignment="1" applyProtection="1"/>
    <xf numFmtId="0" fontId="30" fillId="0" borderId="13" xfId="0" applyFont="1" applyFill="1" applyBorder="1" applyAlignment="1" applyProtection="1">
      <alignment horizontal="right"/>
    </xf>
    <xf numFmtId="3" fontId="37" fillId="0" borderId="13" xfId="0" applyNumberFormat="1" applyFont="1" applyFill="1" applyBorder="1" applyProtection="1">
      <protection locked="0"/>
    </xf>
    <xf numFmtId="3" fontId="37" fillId="0" borderId="13" xfId="0" applyNumberFormat="1" applyFont="1" applyFill="1" applyBorder="1" applyProtection="1"/>
    <xf numFmtId="3" fontId="30" fillId="0" borderId="13" xfId="0" applyNumberFormat="1" applyFont="1" applyFill="1" applyBorder="1" applyProtection="1"/>
    <xf numFmtId="0" fontId="40" fillId="0" borderId="13" xfId="0" applyFont="1" applyFill="1" applyBorder="1"/>
    <xf numFmtId="49" fontId="30" fillId="0" borderId="13" xfId="0" applyNumberFormat="1" applyFont="1" applyFill="1" applyBorder="1" applyAlignment="1" applyProtection="1">
      <alignment wrapText="1"/>
    </xf>
    <xf numFmtId="0" fontId="30" fillId="0" borderId="13" xfId="0" applyFont="1" applyFill="1" applyBorder="1" applyAlignment="1" applyProtection="1">
      <alignment horizontal="center" wrapText="1"/>
    </xf>
    <xf numFmtId="1" fontId="30" fillId="0" borderId="13" xfId="0" applyNumberFormat="1" applyFont="1" applyFill="1" applyBorder="1" applyAlignment="1" applyProtection="1">
      <alignment horizontal="right" vertical="center" wrapText="1"/>
    </xf>
    <xf numFmtId="1" fontId="30" fillId="3" borderId="13" xfId="0" applyNumberFormat="1" applyFont="1" applyFill="1" applyBorder="1" applyAlignment="1" applyProtection="1">
      <alignment horizontal="center" vertical="center"/>
      <protection locked="0"/>
    </xf>
    <xf numFmtId="1" fontId="30" fillId="0" borderId="13" xfId="0" applyNumberFormat="1" applyFont="1" applyFill="1" applyBorder="1" applyAlignment="1" applyProtection="1">
      <alignment horizontal="center" vertical="center"/>
    </xf>
    <xf numFmtId="1" fontId="30" fillId="4" borderId="13" xfId="0" applyNumberFormat="1" applyFont="1" applyFill="1" applyBorder="1" applyAlignment="1" applyProtection="1">
      <alignment horizontal="center" vertical="center"/>
      <protection locked="0"/>
    </xf>
    <xf numFmtId="1" fontId="37" fillId="0" borderId="13" xfId="0" applyNumberFormat="1" applyFont="1" applyFill="1" applyBorder="1" applyAlignment="1" applyProtection="1">
      <alignment horizontal="center" vertical="center"/>
    </xf>
    <xf numFmtId="1" fontId="37" fillId="0" borderId="13" xfId="0" applyNumberFormat="1" applyFont="1" applyFill="1" applyBorder="1" applyAlignment="1" applyProtection="1">
      <alignment horizontal="center" vertical="center" wrapText="1"/>
    </xf>
    <xf numFmtId="1" fontId="30" fillId="0" borderId="13" xfId="0" applyNumberFormat="1" applyFont="1" applyFill="1" applyBorder="1" applyAlignment="1" applyProtection="1">
      <alignment horizontal="right" wrapText="1"/>
    </xf>
    <xf numFmtId="3" fontId="30" fillId="3" borderId="13" xfId="0" applyNumberFormat="1" applyFont="1" applyFill="1" applyBorder="1" applyProtection="1">
      <protection locked="0"/>
    </xf>
    <xf numFmtId="49" fontId="40" fillId="0" borderId="13" xfId="0" applyNumberFormat="1" applyFont="1" applyFill="1" applyBorder="1"/>
    <xf numFmtId="2" fontId="28" fillId="0" borderId="0" xfId="0" applyNumberFormat="1" applyFont="1" applyFill="1"/>
    <xf numFmtId="168" fontId="30" fillId="0" borderId="13" xfId="5" applyFont="1" applyBorder="1" applyAlignment="1" applyProtection="1">
      <alignment horizontal="left" vertical="center" wrapText="1"/>
    </xf>
    <xf numFmtId="169" fontId="40" fillId="0" borderId="13" xfId="0" applyNumberFormat="1" applyFont="1" applyFill="1" applyBorder="1"/>
    <xf numFmtId="0" fontId="41" fillId="0" borderId="0" xfId="0" applyFont="1" applyFill="1"/>
    <xf numFmtId="0" fontId="28" fillId="7" borderId="0" xfId="0" applyFont="1" applyFill="1"/>
    <xf numFmtId="0" fontId="30" fillId="0" borderId="0" xfId="6" applyFont="1" applyAlignment="1">
      <alignment vertical="top" wrapText="1"/>
    </xf>
    <xf numFmtId="0" fontId="37" fillId="0" borderId="0" xfId="0" applyFont="1" applyBorder="1" applyAlignment="1" applyProtection="1"/>
    <xf numFmtId="0" fontId="30" fillId="0" borderId="0" xfId="0" applyFont="1" applyBorder="1" applyAlignment="1" applyProtection="1"/>
    <xf numFmtId="0" fontId="43" fillId="0" borderId="0" xfId="0" applyFont="1" applyBorder="1" applyAlignment="1" applyProtection="1"/>
    <xf numFmtId="0" fontId="37" fillId="0" borderId="0" xfId="7" applyFont="1" applyAlignment="1">
      <alignment horizontal="left"/>
    </xf>
    <xf numFmtId="0" fontId="30" fillId="0" borderId="0" xfId="7" applyFont="1" applyAlignment="1">
      <alignment horizontal="left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Fill="1" applyBorder="1"/>
    <xf numFmtId="0" fontId="28" fillId="0" borderId="0" xfId="0" applyFont="1" applyFill="1" applyBorder="1"/>
  </cellXfs>
  <cellStyles count="8">
    <cellStyle name="Excel Built-in Normal" xfId="5" xr:uid="{1CF03E49-9963-4789-BF09-14D0BE8BAB18}"/>
    <cellStyle name="Měna" xfId="3" builtinId="4"/>
    <cellStyle name="Normální" xfId="0" builtinId="0"/>
    <cellStyle name="normální 10" xfId="2" xr:uid="{E6064414-5B8A-4722-B561-E395E773330C}"/>
    <cellStyle name="normální_nabídka VZD" xfId="6" xr:uid="{C8FF9B8E-0611-478D-AAFF-ADD35F784B21}"/>
    <cellStyle name="normální_Rekapitulace" xfId="1" xr:uid="{807533B7-1285-43A4-BB3B-E701BA4E5F05}"/>
    <cellStyle name="normální_VZ_101_002_00_VykazVymer" xfId="7" xr:uid="{CD6A3CCC-0CBD-4FE5-BB83-0C32F7850501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_adm/smrkozuz/V&#344;/2024/Rekonstrukce%20kuchyn&#283;/Such&#253;-Rekonstrukce%20kuchyn&#283;%20SP&#352;-slep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Stavební rozpočet - součet"/>
      <sheetName val="Krycí list rozpočtu"/>
    </sheetNames>
    <sheetDataSet>
      <sheetData sheetId="0">
        <row r="4">
          <cell r="G4" t="str">
            <v xml:space="preserve"> </v>
          </cell>
          <cell r="J4" t="str">
            <v>iMK Kladno, s.r.o.Kladno</v>
          </cell>
        </row>
        <row r="6">
          <cell r="C6" t="str">
            <v>Cyrila Boudy 2954, Kladno, kat.úz.Kladno</v>
          </cell>
          <cell r="G6" t="str">
            <v xml:space="preserve"> </v>
          </cell>
          <cell r="J6" t="str">
            <v>Dle výběrového řízení</v>
          </cell>
        </row>
        <row r="8">
          <cell r="C8" t="str">
            <v xml:space="preserve"> </v>
          </cell>
          <cell r="J8" t="str">
            <v>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J60"/>
  <sheetViews>
    <sheetView showOutlineSymbols="0" workbookViewId="0">
      <pane ySplit="15" topLeftCell="A40" activePane="bottomLeft" state="frozenSplit"/>
      <selection activeCell="C47" sqref="C47:D47"/>
      <selection pane="bottomLeft" activeCell="H52" sqref="H52"/>
    </sheetView>
  </sheetViews>
  <sheetFormatPr defaultColWidth="14.1640625" defaultRowHeight="15" customHeight="1"/>
  <cols>
    <col min="1" max="2" width="10" style="35" customWidth="1"/>
    <col min="3" max="3" width="63.1640625" style="35" customWidth="1"/>
    <col min="4" max="4" width="18.83203125" style="35" customWidth="1"/>
    <col min="5" max="7" width="32.5" style="35" customWidth="1"/>
    <col min="8" max="8" width="24.1640625" style="35" customWidth="1"/>
    <col min="9" max="16384" width="14.1640625" style="35"/>
  </cols>
  <sheetData>
    <row r="1" spans="1:8" ht="42" customHeight="1">
      <c r="A1" s="188" t="s">
        <v>703</v>
      </c>
      <c r="B1" s="188"/>
      <c r="C1" s="188"/>
      <c r="D1" s="188"/>
      <c r="E1" s="188"/>
      <c r="F1" s="188"/>
      <c r="G1" s="188"/>
    </row>
    <row r="2" spans="1:8" ht="15" customHeight="1">
      <c r="A2" s="189" t="s">
        <v>55</v>
      </c>
      <c r="B2" s="184"/>
      <c r="C2" s="189" t="s">
        <v>952</v>
      </c>
      <c r="D2" s="184"/>
      <c r="E2" s="189" t="s">
        <v>716</v>
      </c>
      <c r="F2" s="189" t="s">
        <v>1240</v>
      </c>
      <c r="G2" s="184"/>
      <c r="H2" s="189" t="s">
        <v>1241</v>
      </c>
    </row>
    <row r="3" spans="1:8" ht="22.5" customHeight="1">
      <c r="A3" s="184"/>
      <c r="B3" s="184"/>
      <c r="C3" s="184"/>
      <c r="D3" s="184"/>
      <c r="E3" s="184"/>
      <c r="F3" s="184"/>
      <c r="G3" s="184"/>
      <c r="H3" s="184"/>
    </row>
    <row r="4" spans="1:8" ht="15" customHeight="1">
      <c r="A4" s="189" t="s">
        <v>468</v>
      </c>
      <c r="B4" s="184"/>
      <c r="C4" s="189" t="s">
        <v>1237</v>
      </c>
      <c r="D4" s="184"/>
      <c r="E4" s="189" t="s">
        <v>583</v>
      </c>
      <c r="F4" s="189" t="str">
        <f>'[1]Stavební rozpočet'!J4</f>
        <v>iMK Kladno, s.r.o.Kladno</v>
      </c>
      <c r="G4" s="184"/>
      <c r="H4" s="189" t="s">
        <v>549</v>
      </c>
    </row>
    <row r="5" spans="1:8" ht="15" customHeight="1">
      <c r="A5" s="184"/>
      <c r="B5" s="184"/>
      <c r="C5" s="184"/>
      <c r="D5" s="184"/>
      <c r="E5" s="184"/>
      <c r="F5" s="184"/>
      <c r="G5" s="184"/>
      <c r="H5" s="184"/>
    </row>
    <row r="6" spans="1:8" ht="15" customHeight="1">
      <c r="A6" s="189" t="s">
        <v>70</v>
      </c>
      <c r="B6" s="184"/>
      <c r="C6" s="189" t="str">
        <f>'[1]Stavební rozpočet'!C6</f>
        <v>Cyrila Boudy 2954, Kladno, kat.úz.Kladno</v>
      </c>
      <c r="D6" s="184"/>
      <c r="E6" s="189" t="s">
        <v>739</v>
      </c>
      <c r="F6" s="189" t="str">
        <f>'[1]Stavební rozpočet'!J6</f>
        <v>Dle výběrového řízení</v>
      </c>
      <c r="G6" s="184"/>
      <c r="H6" s="189" t="s">
        <v>549</v>
      </c>
    </row>
    <row r="7" spans="1:8" ht="15" customHeight="1">
      <c r="A7" s="184"/>
      <c r="B7" s="184"/>
      <c r="C7" s="184"/>
      <c r="D7" s="184"/>
      <c r="E7" s="184"/>
      <c r="F7" s="184"/>
      <c r="G7" s="184"/>
      <c r="H7" s="184"/>
    </row>
    <row r="8" spans="1:8" ht="15" customHeight="1">
      <c r="A8" s="189" t="s">
        <v>750</v>
      </c>
      <c r="B8" s="184"/>
      <c r="C8" s="189" t="str">
        <f>'[1]Stavební rozpočet'!G4</f>
        <v xml:space="preserve"> </v>
      </c>
      <c r="D8" s="184"/>
      <c r="E8" s="189" t="s">
        <v>281</v>
      </c>
      <c r="F8" s="189" t="str">
        <f>'[1]Stavební rozpočet'!G6</f>
        <v xml:space="preserve"> </v>
      </c>
      <c r="G8" s="184"/>
      <c r="H8" s="184" t="s">
        <v>855</v>
      </c>
    </row>
    <row r="9" spans="1:8" ht="15" customHeight="1">
      <c r="A9" s="184"/>
      <c r="B9" s="184"/>
      <c r="C9" s="184"/>
      <c r="D9" s="184"/>
      <c r="E9" s="184"/>
      <c r="F9" s="184"/>
      <c r="G9" s="184"/>
      <c r="H9" s="184"/>
    </row>
    <row r="10" spans="1:8" ht="15" customHeight="1">
      <c r="A10" s="189" t="s">
        <v>422</v>
      </c>
      <c r="B10" s="184"/>
      <c r="C10" s="189" t="str">
        <f>'[1]Stavební rozpočet'!C8</f>
        <v xml:space="preserve"> </v>
      </c>
      <c r="D10" s="184"/>
      <c r="E10" s="189" t="s">
        <v>560</v>
      </c>
      <c r="F10" s="189" t="str">
        <f>'[1]Stavební rozpočet'!J8</f>
        <v> </v>
      </c>
      <c r="G10" s="184"/>
      <c r="H10" s="184" t="s">
        <v>822</v>
      </c>
    </row>
    <row r="11" spans="1:8" ht="15" customHeight="1">
      <c r="A11" s="184"/>
      <c r="B11" s="184"/>
      <c r="C11" s="184"/>
      <c r="D11" s="184"/>
      <c r="E11" s="184"/>
      <c r="F11" s="184"/>
      <c r="G11" s="184"/>
      <c r="H11" s="184"/>
    </row>
    <row r="12" spans="1:8" ht="15" customHeight="1">
      <c r="A12" s="161"/>
      <c r="B12" s="161"/>
      <c r="C12" s="161"/>
      <c r="D12" s="38"/>
      <c r="E12" s="38"/>
      <c r="F12" s="38"/>
      <c r="G12" s="161"/>
    </row>
    <row r="13" spans="1:8" ht="15" customHeight="1" thickBot="1">
      <c r="A13" s="162"/>
      <c r="B13" s="162"/>
      <c r="C13" s="162"/>
      <c r="D13" s="163"/>
      <c r="E13" s="163"/>
      <c r="F13" s="163"/>
      <c r="G13" s="162"/>
    </row>
    <row r="14" spans="1:8" ht="15" customHeight="1">
      <c r="A14" s="166" t="s">
        <v>628</v>
      </c>
      <c r="B14" s="167" t="s">
        <v>287</v>
      </c>
      <c r="C14" s="190" t="s">
        <v>908</v>
      </c>
      <c r="D14" s="191"/>
      <c r="E14" s="168" t="s">
        <v>433</v>
      </c>
      <c r="F14" s="169" t="s">
        <v>945</v>
      </c>
      <c r="G14" s="170" t="s">
        <v>49</v>
      </c>
    </row>
    <row r="15" spans="1:8" ht="15" customHeight="1">
      <c r="A15" s="164" t="s">
        <v>587</v>
      </c>
      <c r="B15" s="164" t="s">
        <v>255</v>
      </c>
      <c r="C15" s="184" t="s">
        <v>3</v>
      </c>
      <c r="D15" s="184"/>
      <c r="E15" s="173">
        <v>0</v>
      </c>
      <c r="F15" s="173">
        <v>0</v>
      </c>
      <c r="G15" s="173">
        <f>SUM(E15:F15)</f>
        <v>0</v>
      </c>
      <c r="H15" s="40"/>
    </row>
    <row r="16" spans="1:8" ht="15" customHeight="1">
      <c r="A16" s="164" t="s">
        <v>587</v>
      </c>
      <c r="B16" s="164" t="s">
        <v>73</v>
      </c>
      <c r="C16" s="184" t="s">
        <v>706</v>
      </c>
      <c r="D16" s="184"/>
      <c r="E16" s="173">
        <v>0</v>
      </c>
      <c r="F16" s="173">
        <v>0</v>
      </c>
      <c r="G16" s="173">
        <f t="shared" ref="G16:G51" si="0">SUM(E16:F16)</f>
        <v>0</v>
      </c>
      <c r="H16" s="40"/>
    </row>
    <row r="17" spans="1:10" ht="15" customHeight="1">
      <c r="A17" s="164" t="s">
        <v>587</v>
      </c>
      <c r="B17" s="164" t="s">
        <v>590</v>
      </c>
      <c r="C17" s="184" t="s">
        <v>115</v>
      </c>
      <c r="D17" s="184"/>
      <c r="E17" s="173">
        <v>0</v>
      </c>
      <c r="F17" s="173">
        <v>0</v>
      </c>
      <c r="G17" s="173">
        <f t="shared" si="0"/>
        <v>0</v>
      </c>
      <c r="H17" s="40"/>
    </row>
    <row r="18" spans="1:10" ht="15" customHeight="1">
      <c r="A18" s="164" t="s">
        <v>587</v>
      </c>
      <c r="B18" s="164" t="s">
        <v>827</v>
      </c>
      <c r="C18" s="184" t="s">
        <v>698</v>
      </c>
      <c r="D18" s="184"/>
      <c r="E18" s="173">
        <v>0</v>
      </c>
      <c r="F18" s="173">
        <v>0</v>
      </c>
      <c r="G18" s="173">
        <f t="shared" si="0"/>
        <v>0</v>
      </c>
      <c r="H18" s="40"/>
    </row>
    <row r="19" spans="1:10" ht="15" customHeight="1">
      <c r="A19" s="164" t="s">
        <v>587</v>
      </c>
      <c r="B19" s="164" t="s">
        <v>507</v>
      </c>
      <c r="C19" s="184" t="s">
        <v>807</v>
      </c>
      <c r="D19" s="184"/>
      <c r="E19" s="173">
        <v>0</v>
      </c>
      <c r="F19" s="173">
        <v>0</v>
      </c>
      <c r="G19" s="173">
        <f t="shared" si="0"/>
        <v>0</v>
      </c>
      <c r="H19" s="40"/>
    </row>
    <row r="20" spans="1:10" ht="15" customHeight="1">
      <c r="A20" s="164" t="s">
        <v>587</v>
      </c>
      <c r="B20" s="164" t="s">
        <v>933</v>
      </c>
      <c r="C20" s="184" t="s">
        <v>203</v>
      </c>
      <c r="D20" s="184"/>
      <c r="E20" s="173">
        <v>0</v>
      </c>
      <c r="F20" s="173">
        <v>0</v>
      </c>
      <c r="G20" s="173">
        <f t="shared" si="0"/>
        <v>0</v>
      </c>
      <c r="H20" s="40"/>
    </row>
    <row r="21" spans="1:10" ht="15" customHeight="1">
      <c r="A21" s="164" t="s">
        <v>587</v>
      </c>
      <c r="B21" s="164" t="s">
        <v>833</v>
      </c>
      <c r="C21" s="184" t="s">
        <v>631</v>
      </c>
      <c r="D21" s="184"/>
      <c r="E21" s="173">
        <v>0</v>
      </c>
      <c r="F21" s="173">
        <v>0</v>
      </c>
      <c r="G21" s="173">
        <f t="shared" si="0"/>
        <v>0</v>
      </c>
      <c r="H21" s="40"/>
    </row>
    <row r="22" spans="1:10" ht="15" customHeight="1">
      <c r="A22" s="164" t="s">
        <v>587</v>
      </c>
      <c r="B22" s="164" t="s">
        <v>536</v>
      </c>
      <c r="C22" s="184" t="s">
        <v>565</v>
      </c>
      <c r="D22" s="184"/>
      <c r="E22" s="173">
        <v>0</v>
      </c>
      <c r="F22" s="173">
        <v>0</v>
      </c>
      <c r="G22" s="173">
        <f t="shared" si="0"/>
        <v>0</v>
      </c>
      <c r="H22" s="40"/>
    </row>
    <row r="23" spans="1:10" ht="15" customHeight="1">
      <c r="A23" s="164" t="s">
        <v>587</v>
      </c>
      <c r="B23" s="164" t="s">
        <v>399</v>
      </c>
      <c r="C23" s="184" t="s">
        <v>795</v>
      </c>
      <c r="D23" s="184"/>
      <c r="E23" s="173">
        <v>0</v>
      </c>
      <c r="F23" s="173">
        <v>0</v>
      </c>
      <c r="G23" s="173">
        <f t="shared" si="0"/>
        <v>0</v>
      </c>
      <c r="H23" s="40"/>
    </row>
    <row r="24" spans="1:10" ht="15" customHeight="1">
      <c r="A24" s="164" t="s">
        <v>587</v>
      </c>
      <c r="B24" s="164" t="s">
        <v>612</v>
      </c>
      <c r="C24" s="184" t="s">
        <v>606</v>
      </c>
      <c r="D24" s="184"/>
      <c r="E24" s="173">
        <v>0</v>
      </c>
      <c r="F24" s="173">
        <v>0</v>
      </c>
      <c r="G24" s="173">
        <f t="shared" si="0"/>
        <v>0</v>
      </c>
      <c r="H24" s="40"/>
    </row>
    <row r="25" spans="1:10" ht="15" customHeight="1">
      <c r="A25" s="164" t="s">
        <v>587</v>
      </c>
      <c r="B25" s="164" t="s">
        <v>197</v>
      </c>
      <c r="C25" s="184" t="s">
        <v>858</v>
      </c>
      <c r="D25" s="184"/>
      <c r="E25" s="173">
        <v>0</v>
      </c>
      <c r="F25" s="173">
        <v>0</v>
      </c>
      <c r="G25" s="173">
        <f t="shared" si="0"/>
        <v>0</v>
      </c>
      <c r="H25" s="40"/>
    </row>
    <row r="26" spans="1:10" ht="15" customHeight="1">
      <c r="A26" s="164" t="s">
        <v>587</v>
      </c>
      <c r="B26" s="164" t="s">
        <v>424</v>
      </c>
      <c r="C26" s="184" t="s">
        <v>867</v>
      </c>
      <c r="D26" s="184"/>
      <c r="E26" s="173">
        <v>0</v>
      </c>
      <c r="F26" s="173">
        <v>0</v>
      </c>
      <c r="G26" s="173">
        <f t="shared" si="0"/>
        <v>0</v>
      </c>
      <c r="H26" s="40"/>
    </row>
    <row r="27" spans="1:10" ht="15" customHeight="1">
      <c r="A27" s="164" t="s">
        <v>587</v>
      </c>
      <c r="B27" s="164" t="s">
        <v>899</v>
      </c>
      <c r="C27" s="184" t="s">
        <v>548</v>
      </c>
      <c r="D27" s="184"/>
      <c r="E27" s="173">
        <v>0</v>
      </c>
      <c r="F27" s="173">
        <v>0</v>
      </c>
      <c r="G27" s="173">
        <f t="shared" si="0"/>
        <v>0</v>
      </c>
      <c r="H27" s="40"/>
    </row>
    <row r="28" spans="1:10" ht="15" customHeight="1">
      <c r="A28" s="164" t="s">
        <v>587</v>
      </c>
      <c r="B28" s="164" t="s">
        <v>29</v>
      </c>
      <c r="C28" s="184" t="s">
        <v>318</v>
      </c>
      <c r="D28" s="184"/>
      <c r="E28" s="173">
        <v>0</v>
      </c>
      <c r="F28" s="173">
        <v>0</v>
      </c>
      <c r="G28" s="173">
        <f t="shared" si="0"/>
        <v>0</v>
      </c>
      <c r="H28" s="40"/>
    </row>
    <row r="29" spans="1:10" ht="15" customHeight="1">
      <c r="A29" s="164" t="s">
        <v>587</v>
      </c>
      <c r="B29" s="164" t="s">
        <v>766</v>
      </c>
      <c r="C29" s="184" t="s">
        <v>339</v>
      </c>
      <c r="D29" s="184"/>
      <c r="E29" s="173">
        <v>0</v>
      </c>
      <c r="F29" s="173">
        <v>0</v>
      </c>
      <c r="G29" s="173">
        <f t="shared" si="0"/>
        <v>0</v>
      </c>
      <c r="H29" s="40"/>
    </row>
    <row r="30" spans="1:10" ht="15" customHeight="1">
      <c r="A30" s="164" t="s">
        <v>587</v>
      </c>
      <c r="B30" s="164" t="s">
        <v>95</v>
      </c>
      <c r="C30" s="184" t="s">
        <v>595</v>
      </c>
      <c r="D30" s="184"/>
      <c r="E30" s="173">
        <v>0</v>
      </c>
      <c r="F30" s="173">
        <v>0</v>
      </c>
      <c r="G30" s="173">
        <f t="shared" si="0"/>
        <v>0</v>
      </c>
      <c r="H30" s="40"/>
    </row>
    <row r="31" spans="1:10" ht="15" customHeight="1">
      <c r="A31" s="164" t="s">
        <v>587</v>
      </c>
      <c r="B31" s="164" t="s">
        <v>345</v>
      </c>
      <c r="C31" s="184" t="s">
        <v>629</v>
      </c>
      <c r="D31" s="184"/>
      <c r="E31" s="173">
        <v>0</v>
      </c>
      <c r="F31" s="173">
        <v>0</v>
      </c>
      <c r="G31" s="173">
        <f t="shared" si="0"/>
        <v>0</v>
      </c>
      <c r="H31" s="40"/>
      <c r="J31" s="35" t="s">
        <v>784</v>
      </c>
    </row>
    <row r="32" spans="1:10" ht="15" customHeight="1">
      <c r="A32" s="164" t="s">
        <v>587</v>
      </c>
      <c r="B32" s="164" t="s">
        <v>893</v>
      </c>
      <c r="C32" s="184" t="s">
        <v>513</v>
      </c>
      <c r="D32" s="184"/>
      <c r="E32" s="173">
        <v>0</v>
      </c>
      <c r="F32" s="173">
        <v>0</v>
      </c>
      <c r="G32" s="173">
        <f t="shared" si="0"/>
        <v>0</v>
      </c>
      <c r="H32" s="40"/>
    </row>
    <row r="33" spans="1:8" ht="15" customHeight="1">
      <c r="A33" s="164" t="s">
        <v>587</v>
      </c>
      <c r="B33" s="164" t="s">
        <v>480</v>
      </c>
      <c r="C33" s="184" t="s">
        <v>632</v>
      </c>
      <c r="D33" s="184"/>
      <c r="E33" s="173">
        <v>0</v>
      </c>
      <c r="F33" s="173">
        <v>0</v>
      </c>
      <c r="G33" s="173">
        <f t="shared" si="0"/>
        <v>0</v>
      </c>
      <c r="H33" s="40"/>
    </row>
    <row r="34" spans="1:8" ht="15" customHeight="1">
      <c r="A34" s="164" t="s">
        <v>587</v>
      </c>
      <c r="B34" s="164" t="s">
        <v>93</v>
      </c>
      <c r="C34" s="184" t="s">
        <v>929</v>
      </c>
      <c r="D34" s="184"/>
      <c r="E34" s="173">
        <v>0</v>
      </c>
      <c r="F34" s="173">
        <v>0</v>
      </c>
      <c r="G34" s="173">
        <f t="shared" si="0"/>
        <v>0</v>
      </c>
      <c r="H34" s="40"/>
    </row>
    <row r="35" spans="1:8" ht="15" customHeight="1">
      <c r="A35" s="164" t="s">
        <v>587</v>
      </c>
      <c r="B35" s="164" t="s">
        <v>288</v>
      </c>
      <c r="C35" s="184" t="s">
        <v>374</v>
      </c>
      <c r="D35" s="184"/>
      <c r="E35" s="173">
        <v>0</v>
      </c>
      <c r="F35" s="173">
        <v>0</v>
      </c>
      <c r="G35" s="173">
        <f t="shared" si="0"/>
        <v>0</v>
      </c>
      <c r="H35" s="40"/>
    </row>
    <row r="36" spans="1:8" ht="15" customHeight="1">
      <c r="A36" s="164" t="s">
        <v>587</v>
      </c>
      <c r="B36" s="164" t="s">
        <v>126</v>
      </c>
      <c r="C36" s="184" t="s">
        <v>642</v>
      </c>
      <c r="D36" s="184"/>
      <c r="E36" s="173">
        <v>0</v>
      </c>
      <c r="F36" s="173">
        <v>0</v>
      </c>
      <c r="G36" s="173">
        <f t="shared" si="0"/>
        <v>0</v>
      </c>
      <c r="H36" s="40"/>
    </row>
    <row r="37" spans="1:8" ht="15" customHeight="1">
      <c r="A37" s="164" t="s">
        <v>587</v>
      </c>
      <c r="B37" s="164" t="s">
        <v>116</v>
      </c>
      <c r="C37" s="184" t="s">
        <v>405</v>
      </c>
      <c r="D37" s="184"/>
      <c r="E37" s="173">
        <v>0</v>
      </c>
      <c r="F37" s="173">
        <v>0</v>
      </c>
      <c r="G37" s="173">
        <f t="shared" si="0"/>
        <v>0</v>
      </c>
      <c r="H37" s="40"/>
    </row>
    <row r="38" spans="1:8" ht="15" customHeight="1">
      <c r="A38" s="164" t="s">
        <v>587</v>
      </c>
      <c r="B38" s="164" t="s">
        <v>50</v>
      </c>
      <c r="C38" s="184" t="s">
        <v>940</v>
      </c>
      <c r="D38" s="184"/>
      <c r="E38" s="173">
        <v>0</v>
      </c>
      <c r="F38" s="173">
        <v>0</v>
      </c>
      <c r="G38" s="173">
        <f t="shared" si="0"/>
        <v>0</v>
      </c>
      <c r="H38" s="40"/>
    </row>
    <row r="39" spans="1:8" ht="15" customHeight="1">
      <c r="A39" s="164" t="s">
        <v>587</v>
      </c>
      <c r="B39" s="164" t="s">
        <v>543</v>
      </c>
      <c r="C39" s="184" t="s">
        <v>949</v>
      </c>
      <c r="D39" s="184"/>
      <c r="E39" s="173">
        <v>0</v>
      </c>
      <c r="F39" s="173">
        <v>0</v>
      </c>
      <c r="G39" s="173">
        <f t="shared" si="0"/>
        <v>0</v>
      </c>
      <c r="H39" s="40"/>
    </row>
    <row r="40" spans="1:8" ht="15" customHeight="1">
      <c r="A40" s="164" t="s">
        <v>587</v>
      </c>
      <c r="B40" s="164" t="s">
        <v>762</v>
      </c>
      <c r="C40" s="184" t="s">
        <v>524</v>
      </c>
      <c r="D40" s="184"/>
      <c r="E40" s="173">
        <v>0</v>
      </c>
      <c r="F40" s="173">
        <v>0</v>
      </c>
      <c r="G40" s="173">
        <f t="shared" si="0"/>
        <v>0</v>
      </c>
      <c r="H40" s="40"/>
    </row>
    <row r="41" spans="1:8" ht="15" customHeight="1">
      <c r="A41" s="164" t="s">
        <v>587</v>
      </c>
      <c r="B41" s="164" t="s">
        <v>813</v>
      </c>
      <c r="C41" s="184" t="s">
        <v>508</v>
      </c>
      <c r="D41" s="184"/>
      <c r="E41" s="173">
        <v>0</v>
      </c>
      <c r="F41" s="173">
        <v>0</v>
      </c>
      <c r="G41" s="173">
        <f t="shared" si="0"/>
        <v>0</v>
      </c>
      <c r="H41" s="40"/>
    </row>
    <row r="42" spans="1:8" ht="15" customHeight="1">
      <c r="A42" s="164" t="s">
        <v>587</v>
      </c>
      <c r="B42" s="164" t="s">
        <v>484</v>
      </c>
      <c r="C42" s="184" t="s">
        <v>887</v>
      </c>
      <c r="D42" s="184"/>
      <c r="E42" s="173">
        <v>0</v>
      </c>
      <c r="F42" s="173">
        <v>0</v>
      </c>
      <c r="G42" s="173">
        <f t="shared" si="0"/>
        <v>0</v>
      </c>
      <c r="H42" s="40"/>
    </row>
    <row r="43" spans="1:8" ht="15" customHeight="1">
      <c r="A43" s="164" t="s">
        <v>587</v>
      </c>
      <c r="B43" s="164" t="s">
        <v>872</v>
      </c>
      <c r="C43" s="184" t="s">
        <v>714</v>
      </c>
      <c r="D43" s="184"/>
      <c r="E43" s="173">
        <v>0</v>
      </c>
      <c r="F43" s="173">
        <v>0</v>
      </c>
      <c r="G43" s="173">
        <f t="shared" si="0"/>
        <v>0</v>
      </c>
      <c r="H43" s="40"/>
    </row>
    <row r="44" spans="1:8" ht="15" customHeight="1">
      <c r="A44" s="164" t="s">
        <v>587</v>
      </c>
      <c r="B44" s="164" t="s">
        <v>875</v>
      </c>
      <c r="C44" s="184" t="s">
        <v>633</v>
      </c>
      <c r="D44" s="184"/>
      <c r="E44" s="173">
        <v>0</v>
      </c>
      <c r="F44" s="173">
        <v>0</v>
      </c>
      <c r="G44" s="173">
        <f t="shared" si="0"/>
        <v>0</v>
      </c>
      <c r="H44" s="40"/>
    </row>
    <row r="45" spans="1:8" ht="15" customHeight="1">
      <c r="A45" s="164" t="s">
        <v>587</v>
      </c>
      <c r="B45" s="164" t="s">
        <v>361</v>
      </c>
      <c r="C45" s="184" t="s">
        <v>409</v>
      </c>
      <c r="D45" s="184"/>
      <c r="E45" s="173">
        <v>0</v>
      </c>
      <c r="F45" s="173">
        <v>0</v>
      </c>
      <c r="G45" s="173">
        <f t="shared" si="0"/>
        <v>0</v>
      </c>
      <c r="H45" s="40"/>
    </row>
    <row r="46" spans="1:8" ht="15" customHeight="1">
      <c r="A46" s="164" t="s">
        <v>587</v>
      </c>
      <c r="B46" s="164" t="s">
        <v>395</v>
      </c>
      <c r="C46" s="184" t="s">
        <v>265</v>
      </c>
      <c r="D46" s="184"/>
      <c r="E46" s="173">
        <v>0</v>
      </c>
      <c r="F46" s="173">
        <v>0</v>
      </c>
      <c r="G46" s="173">
        <f t="shared" si="0"/>
        <v>0</v>
      </c>
      <c r="H46" s="40"/>
    </row>
    <row r="47" spans="1:8" ht="15" customHeight="1">
      <c r="A47" s="164" t="s">
        <v>587</v>
      </c>
      <c r="B47" s="164" t="s">
        <v>919</v>
      </c>
      <c r="C47" s="184" t="s">
        <v>742</v>
      </c>
      <c r="D47" s="184"/>
      <c r="E47" s="173">
        <v>0</v>
      </c>
      <c r="F47" s="173">
        <v>0</v>
      </c>
      <c r="G47" s="173">
        <f t="shared" si="0"/>
        <v>0</v>
      </c>
      <c r="H47" s="40"/>
    </row>
    <row r="48" spans="1:8" ht="15" customHeight="1">
      <c r="A48" s="164" t="s">
        <v>587</v>
      </c>
      <c r="B48" s="164" t="s">
        <v>683</v>
      </c>
      <c r="C48" s="184" t="s">
        <v>378</v>
      </c>
      <c r="D48" s="184"/>
      <c r="E48" s="173">
        <v>0</v>
      </c>
      <c r="F48" s="173">
        <v>0</v>
      </c>
      <c r="G48" s="173">
        <f t="shared" si="0"/>
        <v>0</v>
      </c>
      <c r="H48" s="40"/>
    </row>
    <row r="49" spans="1:9" ht="15" customHeight="1">
      <c r="A49" s="164" t="s">
        <v>587</v>
      </c>
      <c r="B49" s="164" t="s">
        <v>490</v>
      </c>
      <c r="C49" s="184" t="s">
        <v>673</v>
      </c>
      <c r="D49" s="184"/>
      <c r="E49" s="173">
        <v>0</v>
      </c>
      <c r="F49" s="173">
        <v>0</v>
      </c>
      <c r="G49" s="173">
        <f t="shared" si="0"/>
        <v>0</v>
      </c>
      <c r="H49" s="40"/>
    </row>
    <row r="50" spans="1:9" ht="15" customHeight="1">
      <c r="A50" s="164" t="s">
        <v>587</v>
      </c>
      <c r="B50" s="164" t="s">
        <v>476</v>
      </c>
      <c r="C50" s="184" t="s">
        <v>13</v>
      </c>
      <c r="D50" s="184"/>
      <c r="E50" s="173">
        <v>0</v>
      </c>
      <c r="F50" s="173">
        <v>0</v>
      </c>
      <c r="G50" s="173">
        <f t="shared" si="0"/>
        <v>0</v>
      </c>
      <c r="H50" s="40"/>
    </row>
    <row r="51" spans="1:9" ht="15" customHeight="1">
      <c r="A51" s="164"/>
      <c r="B51" s="164">
        <v>791</v>
      </c>
      <c r="C51" s="184" t="s">
        <v>957</v>
      </c>
      <c r="D51" s="184"/>
      <c r="E51" s="173">
        <v>0</v>
      </c>
      <c r="F51" s="173">
        <v>0</v>
      </c>
      <c r="G51" s="173">
        <f t="shared" si="0"/>
        <v>0</v>
      </c>
      <c r="H51" s="40"/>
    </row>
    <row r="52" spans="1:9" ht="15" customHeight="1">
      <c r="F52" s="171" t="s">
        <v>671</v>
      </c>
      <c r="G52" s="172">
        <f>SUM(G15:G51)</f>
        <v>0</v>
      </c>
    </row>
    <row r="53" spans="1:9" s="50" customFormat="1" ht="12.75">
      <c r="A53" s="42"/>
      <c r="B53" s="43"/>
      <c r="C53" s="44"/>
      <c r="D53" s="45"/>
      <c r="E53" s="46"/>
      <c r="F53" s="47" t="s">
        <v>956</v>
      </c>
      <c r="G53" s="48"/>
      <c r="H53" s="49"/>
      <c r="I53" s="49"/>
    </row>
    <row r="54" spans="1:9" s="50" customFormat="1" ht="12.75">
      <c r="A54" s="42"/>
      <c r="B54" s="45"/>
      <c r="C54" s="45"/>
      <c r="D54" s="45"/>
      <c r="E54" s="46"/>
      <c r="F54" s="47" t="s">
        <v>635</v>
      </c>
      <c r="G54" s="48"/>
      <c r="H54" s="49"/>
      <c r="I54" s="49"/>
    </row>
    <row r="55" spans="1:9" s="50" customFormat="1" ht="12.75">
      <c r="A55" s="51"/>
      <c r="B55" s="45"/>
      <c r="C55" s="44"/>
      <c r="D55" s="45"/>
      <c r="E55" s="46"/>
      <c r="F55" s="52" t="s">
        <v>958</v>
      </c>
      <c r="G55" s="183">
        <f>G52+G53+G54</f>
        <v>0</v>
      </c>
      <c r="H55" s="49"/>
      <c r="I55" s="49"/>
    </row>
    <row r="56" spans="1:9" s="50" customFormat="1" ht="12.75">
      <c r="A56" s="51"/>
      <c r="B56" s="44"/>
      <c r="C56" s="44"/>
      <c r="D56" s="44"/>
      <c r="E56" s="46"/>
      <c r="F56" s="46"/>
      <c r="G56" s="49"/>
      <c r="H56" s="49"/>
      <c r="I56" s="49"/>
    </row>
    <row r="57" spans="1:9" s="53" customFormat="1" ht="32.25" customHeight="1">
      <c r="A57" s="185" t="s">
        <v>953</v>
      </c>
      <c r="B57" s="186"/>
      <c r="C57" s="186"/>
      <c r="D57" s="186"/>
      <c r="E57" s="187"/>
      <c r="F57" s="187"/>
      <c r="G57" s="187"/>
      <c r="H57" s="49"/>
      <c r="I57" s="49"/>
    </row>
    <row r="58" spans="1:9" s="53" customFormat="1" ht="15.6" customHeight="1">
      <c r="A58" s="185" t="s">
        <v>959</v>
      </c>
      <c r="B58" s="186"/>
      <c r="C58" s="186"/>
      <c r="D58" s="186"/>
      <c r="E58" s="187"/>
      <c r="F58" s="187"/>
      <c r="G58" s="187"/>
      <c r="H58" s="49"/>
      <c r="I58" s="49"/>
    </row>
    <row r="59" spans="1:9" s="53" customFormat="1" ht="34.5" customHeight="1">
      <c r="A59" s="185" t="s">
        <v>954</v>
      </c>
      <c r="B59" s="186"/>
      <c r="C59" s="186"/>
      <c r="D59" s="186"/>
      <c r="E59" s="187"/>
      <c r="F59" s="187"/>
      <c r="G59" s="187"/>
      <c r="H59" s="49"/>
      <c r="I59" s="49"/>
    </row>
    <row r="60" spans="1:9" s="53" customFormat="1" ht="45" customHeight="1">
      <c r="A60" s="185" t="s">
        <v>955</v>
      </c>
      <c r="B60" s="186"/>
      <c r="C60" s="186"/>
      <c r="D60" s="186"/>
      <c r="E60" s="187"/>
      <c r="F60" s="187"/>
      <c r="G60" s="187"/>
      <c r="H60" s="49"/>
      <c r="I60" s="49"/>
    </row>
  </sheetData>
  <mergeCells count="68">
    <mergeCell ref="C51:D51"/>
    <mergeCell ref="C14:D14"/>
    <mergeCell ref="C2:D3"/>
    <mergeCell ref="F2:G3"/>
    <mergeCell ref="C6:D7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10:B11"/>
    <mergeCell ref="C10:D11"/>
    <mergeCell ref="E10:E11"/>
    <mergeCell ref="F10:G11"/>
    <mergeCell ref="H10:H11"/>
    <mergeCell ref="H6:H7"/>
    <mergeCell ref="C8:D9"/>
    <mergeCell ref="F8:G9"/>
    <mergeCell ref="H8:H9"/>
    <mergeCell ref="H2:H3"/>
    <mergeCell ref="C4:D5"/>
    <mergeCell ref="F4:G5"/>
    <mergeCell ref="H4:H5"/>
    <mergeCell ref="F6:G7"/>
    <mergeCell ref="E6:E7"/>
    <mergeCell ref="E4:E5"/>
    <mergeCell ref="E2:E3"/>
    <mergeCell ref="E8:E9"/>
    <mergeCell ref="A57:G57"/>
    <mergeCell ref="A58:G58"/>
    <mergeCell ref="A59:G59"/>
    <mergeCell ref="A60:G60"/>
    <mergeCell ref="A1:G1"/>
    <mergeCell ref="A2:B3"/>
    <mergeCell ref="A4:B5"/>
    <mergeCell ref="A6:B7"/>
    <mergeCell ref="A8:B9"/>
    <mergeCell ref="C15:D15"/>
    <mergeCell ref="C16:D16"/>
    <mergeCell ref="C17:D17"/>
    <mergeCell ref="C18:D18"/>
    <mergeCell ref="C19:D19"/>
    <mergeCell ref="C20:D20"/>
    <mergeCell ref="C21:D2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</mergeCells>
  <pageMargins left="0.39400000000000002" right="0.39400000000000002" top="0.59099999999999997" bottom="0.59099999999999997" header="0" footer="0"/>
  <pageSetup paperSize="9" firstPageNumber="0" fitToHeight="0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autoPageBreaks="0" fitToPage="1"/>
  </sheetPr>
  <dimension ref="A1:I36"/>
  <sheetViews>
    <sheetView showOutlineSymbols="0" topLeftCell="A7" workbookViewId="0">
      <selection activeCell="N33" sqref="N33"/>
    </sheetView>
  </sheetViews>
  <sheetFormatPr defaultColWidth="14.1640625" defaultRowHeight="15" customHeight="1"/>
  <cols>
    <col min="1" max="1" width="10.6640625" style="35" customWidth="1"/>
    <col min="2" max="2" width="15" style="35" customWidth="1"/>
    <col min="3" max="3" width="31.6640625" style="35" customWidth="1"/>
    <col min="4" max="4" width="11.6640625" style="35" customWidth="1"/>
    <col min="5" max="5" width="16.33203125" style="35" customWidth="1"/>
    <col min="6" max="6" width="31.6640625" style="35" customWidth="1"/>
    <col min="7" max="7" width="10.6640625" style="35" customWidth="1"/>
    <col min="8" max="8" width="15" style="35" customWidth="1"/>
    <col min="9" max="9" width="31.6640625" style="35" customWidth="1"/>
    <col min="10" max="256" width="14.1640625" style="35"/>
    <col min="257" max="257" width="10.6640625" style="35" customWidth="1"/>
    <col min="258" max="258" width="15" style="35" customWidth="1"/>
    <col min="259" max="259" width="31.6640625" style="35" customWidth="1"/>
    <col min="260" max="260" width="11.6640625" style="35" customWidth="1"/>
    <col min="261" max="261" width="16.33203125" style="35" customWidth="1"/>
    <col min="262" max="262" width="31.6640625" style="35" customWidth="1"/>
    <col min="263" max="263" width="10.6640625" style="35" customWidth="1"/>
    <col min="264" max="264" width="15" style="35" customWidth="1"/>
    <col min="265" max="265" width="31.6640625" style="35" customWidth="1"/>
    <col min="266" max="512" width="14.1640625" style="35"/>
    <col min="513" max="513" width="10.6640625" style="35" customWidth="1"/>
    <col min="514" max="514" width="15" style="35" customWidth="1"/>
    <col min="515" max="515" width="31.6640625" style="35" customWidth="1"/>
    <col min="516" max="516" width="11.6640625" style="35" customWidth="1"/>
    <col min="517" max="517" width="16.33203125" style="35" customWidth="1"/>
    <col min="518" max="518" width="31.6640625" style="35" customWidth="1"/>
    <col min="519" max="519" width="10.6640625" style="35" customWidth="1"/>
    <col min="520" max="520" width="15" style="35" customWidth="1"/>
    <col min="521" max="521" width="31.6640625" style="35" customWidth="1"/>
    <col min="522" max="768" width="14.1640625" style="35"/>
    <col min="769" max="769" width="10.6640625" style="35" customWidth="1"/>
    <col min="770" max="770" width="15" style="35" customWidth="1"/>
    <col min="771" max="771" width="31.6640625" style="35" customWidth="1"/>
    <col min="772" max="772" width="11.6640625" style="35" customWidth="1"/>
    <col min="773" max="773" width="16.33203125" style="35" customWidth="1"/>
    <col min="774" max="774" width="31.6640625" style="35" customWidth="1"/>
    <col min="775" max="775" width="10.6640625" style="35" customWidth="1"/>
    <col min="776" max="776" width="15" style="35" customWidth="1"/>
    <col min="777" max="777" width="31.6640625" style="35" customWidth="1"/>
    <col min="778" max="1024" width="14.1640625" style="35"/>
    <col min="1025" max="1025" width="10.6640625" style="35" customWidth="1"/>
    <col min="1026" max="1026" width="15" style="35" customWidth="1"/>
    <col min="1027" max="1027" width="31.6640625" style="35" customWidth="1"/>
    <col min="1028" max="1028" width="11.6640625" style="35" customWidth="1"/>
    <col min="1029" max="1029" width="16.33203125" style="35" customWidth="1"/>
    <col min="1030" max="1030" width="31.6640625" style="35" customWidth="1"/>
    <col min="1031" max="1031" width="10.6640625" style="35" customWidth="1"/>
    <col min="1032" max="1032" width="15" style="35" customWidth="1"/>
    <col min="1033" max="1033" width="31.6640625" style="35" customWidth="1"/>
    <col min="1034" max="1280" width="14.1640625" style="35"/>
    <col min="1281" max="1281" width="10.6640625" style="35" customWidth="1"/>
    <col min="1282" max="1282" width="15" style="35" customWidth="1"/>
    <col min="1283" max="1283" width="31.6640625" style="35" customWidth="1"/>
    <col min="1284" max="1284" width="11.6640625" style="35" customWidth="1"/>
    <col min="1285" max="1285" width="16.33203125" style="35" customWidth="1"/>
    <col min="1286" max="1286" width="31.6640625" style="35" customWidth="1"/>
    <col min="1287" max="1287" width="10.6640625" style="35" customWidth="1"/>
    <col min="1288" max="1288" width="15" style="35" customWidth="1"/>
    <col min="1289" max="1289" width="31.6640625" style="35" customWidth="1"/>
    <col min="1290" max="1536" width="14.1640625" style="35"/>
    <col min="1537" max="1537" width="10.6640625" style="35" customWidth="1"/>
    <col min="1538" max="1538" width="15" style="35" customWidth="1"/>
    <col min="1539" max="1539" width="31.6640625" style="35" customWidth="1"/>
    <col min="1540" max="1540" width="11.6640625" style="35" customWidth="1"/>
    <col min="1541" max="1541" width="16.33203125" style="35" customWidth="1"/>
    <col min="1542" max="1542" width="31.6640625" style="35" customWidth="1"/>
    <col min="1543" max="1543" width="10.6640625" style="35" customWidth="1"/>
    <col min="1544" max="1544" width="15" style="35" customWidth="1"/>
    <col min="1545" max="1545" width="31.6640625" style="35" customWidth="1"/>
    <col min="1546" max="1792" width="14.1640625" style="35"/>
    <col min="1793" max="1793" width="10.6640625" style="35" customWidth="1"/>
    <col min="1794" max="1794" width="15" style="35" customWidth="1"/>
    <col min="1795" max="1795" width="31.6640625" style="35" customWidth="1"/>
    <col min="1796" max="1796" width="11.6640625" style="35" customWidth="1"/>
    <col min="1797" max="1797" width="16.33203125" style="35" customWidth="1"/>
    <col min="1798" max="1798" width="31.6640625" style="35" customWidth="1"/>
    <col min="1799" max="1799" width="10.6640625" style="35" customWidth="1"/>
    <col min="1800" max="1800" width="15" style="35" customWidth="1"/>
    <col min="1801" max="1801" width="31.6640625" style="35" customWidth="1"/>
    <col min="1802" max="2048" width="14.1640625" style="35"/>
    <col min="2049" max="2049" width="10.6640625" style="35" customWidth="1"/>
    <col min="2050" max="2050" width="15" style="35" customWidth="1"/>
    <col min="2051" max="2051" width="31.6640625" style="35" customWidth="1"/>
    <col min="2052" max="2052" width="11.6640625" style="35" customWidth="1"/>
    <col min="2053" max="2053" width="16.33203125" style="35" customWidth="1"/>
    <col min="2054" max="2054" width="31.6640625" style="35" customWidth="1"/>
    <col min="2055" max="2055" width="10.6640625" style="35" customWidth="1"/>
    <col min="2056" max="2056" width="15" style="35" customWidth="1"/>
    <col min="2057" max="2057" width="31.6640625" style="35" customWidth="1"/>
    <col min="2058" max="2304" width="14.1640625" style="35"/>
    <col min="2305" max="2305" width="10.6640625" style="35" customWidth="1"/>
    <col min="2306" max="2306" width="15" style="35" customWidth="1"/>
    <col min="2307" max="2307" width="31.6640625" style="35" customWidth="1"/>
    <col min="2308" max="2308" width="11.6640625" style="35" customWidth="1"/>
    <col min="2309" max="2309" width="16.33203125" style="35" customWidth="1"/>
    <col min="2310" max="2310" width="31.6640625" style="35" customWidth="1"/>
    <col min="2311" max="2311" width="10.6640625" style="35" customWidth="1"/>
    <col min="2312" max="2312" width="15" style="35" customWidth="1"/>
    <col min="2313" max="2313" width="31.6640625" style="35" customWidth="1"/>
    <col min="2314" max="2560" width="14.1640625" style="35"/>
    <col min="2561" max="2561" width="10.6640625" style="35" customWidth="1"/>
    <col min="2562" max="2562" width="15" style="35" customWidth="1"/>
    <col min="2563" max="2563" width="31.6640625" style="35" customWidth="1"/>
    <col min="2564" max="2564" width="11.6640625" style="35" customWidth="1"/>
    <col min="2565" max="2565" width="16.33203125" style="35" customWidth="1"/>
    <col min="2566" max="2566" width="31.6640625" style="35" customWidth="1"/>
    <col min="2567" max="2567" width="10.6640625" style="35" customWidth="1"/>
    <col min="2568" max="2568" width="15" style="35" customWidth="1"/>
    <col min="2569" max="2569" width="31.6640625" style="35" customWidth="1"/>
    <col min="2570" max="2816" width="14.1640625" style="35"/>
    <col min="2817" max="2817" width="10.6640625" style="35" customWidth="1"/>
    <col min="2818" max="2818" width="15" style="35" customWidth="1"/>
    <col min="2819" max="2819" width="31.6640625" style="35" customWidth="1"/>
    <col min="2820" max="2820" width="11.6640625" style="35" customWidth="1"/>
    <col min="2821" max="2821" width="16.33203125" style="35" customWidth="1"/>
    <col min="2822" max="2822" width="31.6640625" style="35" customWidth="1"/>
    <col min="2823" max="2823" width="10.6640625" style="35" customWidth="1"/>
    <col min="2824" max="2824" width="15" style="35" customWidth="1"/>
    <col min="2825" max="2825" width="31.6640625" style="35" customWidth="1"/>
    <col min="2826" max="3072" width="14.1640625" style="35"/>
    <col min="3073" max="3073" width="10.6640625" style="35" customWidth="1"/>
    <col min="3074" max="3074" width="15" style="35" customWidth="1"/>
    <col min="3075" max="3075" width="31.6640625" style="35" customWidth="1"/>
    <col min="3076" max="3076" width="11.6640625" style="35" customWidth="1"/>
    <col min="3077" max="3077" width="16.33203125" style="35" customWidth="1"/>
    <col min="3078" max="3078" width="31.6640625" style="35" customWidth="1"/>
    <col min="3079" max="3079" width="10.6640625" style="35" customWidth="1"/>
    <col min="3080" max="3080" width="15" style="35" customWidth="1"/>
    <col min="3081" max="3081" width="31.6640625" style="35" customWidth="1"/>
    <col min="3082" max="3328" width="14.1640625" style="35"/>
    <col min="3329" max="3329" width="10.6640625" style="35" customWidth="1"/>
    <col min="3330" max="3330" width="15" style="35" customWidth="1"/>
    <col min="3331" max="3331" width="31.6640625" style="35" customWidth="1"/>
    <col min="3332" max="3332" width="11.6640625" style="35" customWidth="1"/>
    <col min="3333" max="3333" width="16.33203125" style="35" customWidth="1"/>
    <col min="3334" max="3334" width="31.6640625" style="35" customWidth="1"/>
    <col min="3335" max="3335" width="10.6640625" style="35" customWidth="1"/>
    <col min="3336" max="3336" width="15" style="35" customWidth="1"/>
    <col min="3337" max="3337" width="31.6640625" style="35" customWidth="1"/>
    <col min="3338" max="3584" width="14.1640625" style="35"/>
    <col min="3585" max="3585" width="10.6640625" style="35" customWidth="1"/>
    <col min="3586" max="3586" width="15" style="35" customWidth="1"/>
    <col min="3587" max="3587" width="31.6640625" style="35" customWidth="1"/>
    <col min="3588" max="3588" width="11.6640625" style="35" customWidth="1"/>
    <col min="3589" max="3589" width="16.33203125" style="35" customWidth="1"/>
    <col min="3590" max="3590" width="31.6640625" style="35" customWidth="1"/>
    <col min="3591" max="3591" width="10.6640625" style="35" customWidth="1"/>
    <col min="3592" max="3592" width="15" style="35" customWidth="1"/>
    <col min="3593" max="3593" width="31.6640625" style="35" customWidth="1"/>
    <col min="3594" max="3840" width="14.1640625" style="35"/>
    <col min="3841" max="3841" width="10.6640625" style="35" customWidth="1"/>
    <col min="3842" max="3842" width="15" style="35" customWidth="1"/>
    <col min="3843" max="3843" width="31.6640625" style="35" customWidth="1"/>
    <col min="3844" max="3844" width="11.6640625" style="35" customWidth="1"/>
    <col min="3845" max="3845" width="16.33203125" style="35" customWidth="1"/>
    <col min="3846" max="3846" width="31.6640625" style="35" customWidth="1"/>
    <col min="3847" max="3847" width="10.6640625" style="35" customWidth="1"/>
    <col min="3848" max="3848" width="15" style="35" customWidth="1"/>
    <col min="3849" max="3849" width="31.6640625" style="35" customWidth="1"/>
    <col min="3850" max="4096" width="14.1640625" style="35"/>
    <col min="4097" max="4097" width="10.6640625" style="35" customWidth="1"/>
    <col min="4098" max="4098" width="15" style="35" customWidth="1"/>
    <col min="4099" max="4099" width="31.6640625" style="35" customWidth="1"/>
    <col min="4100" max="4100" width="11.6640625" style="35" customWidth="1"/>
    <col min="4101" max="4101" width="16.33203125" style="35" customWidth="1"/>
    <col min="4102" max="4102" width="31.6640625" style="35" customWidth="1"/>
    <col min="4103" max="4103" width="10.6640625" style="35" customWidth="1"/>
    <col min="4104" max="4104" width="15" style="35" customWidth="1"/>
    <col min="4105" max="4105" width="31.6640625" style="35" customWidth="1"/>
    <col min="4106" max="4352" width="14.1640625" style="35"/>
    <col min="4353" max="4353" width="10.6640625" style="35" customWidth="1"/>
    <col min="4354" max="4354" width="15" style="35" customWidth="1"/>
    <col min="4355" max="4355" width="31.6640625" style="35" customWidth="1"/>
    <col min="4356" max="4356" width="11.6640625" style="35" customWidth="1"/>
    <col min="4357" max="4357" width="16.33203125" style="35" customWidth="1"/>
    <col min="4358" max="4358" width="31.6640625" style="35" customWidth="1"/>
    <col min="4359" max="4359" width="10.6640625" style="35" customWidth="1"/>
    <col min="4360" max="4360" width="15" style="35" customWidth="1"/>
    <col min="4361" max="4361" width="31.6640625" style="35" customWidth="1"/>
    <col min="4362" max="4608" width="14.1640625" style="35"/>
    <col min="4609" max="4609" width="10.6640625" style="35" customWidth="1"/>
    <col min="4610" max="4610" width="15" style="35" customWidth="1"/>
    <col min="4611" max="4611" width="31.6640625" style="35" customWidth="1"/>
    <col min="4612" max="4612" width="11.6640625" style="35" customWidth="1"/>
    <col min="4613" max="4613" width="16.33203125" style="35" customWidth="1"/>
    <col min="4614" max="4614" width="31.6640625" style="35" customWidth="1"/>
    <col min="4615" max="4615" width="10.6640625" style="35" customWidth="1"/>
    <col min="4616" max="4616" width="15" style="35" customWidth="1"/>
    <col min="4617" max="4617" width="31.6640625" style="35" customWidth="1"/>
    <col min="4618" max="4864" width="14.1640625" style="35"/>
    <col min="4865" max="4865" width="10.6640625" style="35" customWidth="1"/>
    <col min="4866" max="4866" width="15" style="35" customWidth="1"/>
    <col min="4867" max="4867" width="31.6640625" style="35" customWidth="1"/>
    <col min="4868" max="4868" width="11.6640625" style="35" customWidth="1"/>
    <col min="4869" max="4869" width="16.33203125" style="35" customWidth="1"/>
    <col min="4870" max="4870" width="31.6640625" style="35" customWidth="1"/>
    <col min="4871" max="4871" width="10.6640625" style="35" customWidth="1"/>
    <col min="4872" max="4872" width="15" style="35" customWidth="1"/>
    <col min="4873" max="4873" width="31.6640625" style="35" customWidth="1"/>
    <col min="4874" max="5120" width="14.1640625" style="35"/>
    <col min="5121" max="5121" width="10.6640625" style="35" customWidth="1"/>
    <col min="5122" max="5122" width="15" style="35" customWidth="1"/>
    <col min="5123" max="5123" width="31.6640625" style="35" customWidth="1"/>
    <col min="5124" max="5124" width="11.6640625" style="35" customWidth="1"/>
    <col min="5125" max="5125" width="16.33203125" style="35" customWidth="1"/>
    <col min="5126" max="5126" width="31.6640625" style="35" customWidth="1"/>
    <col min="5127" max="5127" width="10.6640625" style="35" customWidth="1"/>
    <col min="5128" max="5128" width="15" style="35" customWidth="1"/>
    <col min="5129" max="5129" width="31.6640625" style="35" customWidth="1"/>
    <col min="5130" max="5376" width="14.1640625" style="35"/>
    <col min="5377" max="5377" width="10.6640625" style="35" customWidth="1"/>
    <col min="5378" max="5378" width="15" style="35" customWidth="1"/>
    <col min="5379" max="5379" width="31.6640625" style="35" customWidth="1"/>
    <col min="5380" max="5380" width="11.6640625" style="35" customWidth="1"/>
    <col min="5381" max="5381" width="16.33203125" style="35" customWidth="1"/>
    <col min="5382" max="5382" width="31.6640625" style="35" customWidth="1"/>
    <col min="5383" max="5383" width="10.6640625" style="35" customWidth="1"/>
    <col min="5384" max="5384" width="15" style="35" customWidth="1"/>
    <col min="5385" max="5385" width="31.6640625" style="35" customWidth="1"/>
    <col min="5386" max="5632" width="14.1640625" style="35"/>
    <col min="5633" max="5633" width="10.6640625" style="35" customWidth="1"/>
    <col min="5634" max="5634" width="15" style="35" customWidth="1"/>
    <col min="5635" max="5635" width="31.6640625" style="35" customWidth="1"/>
    <col min="5636" max="5636" width="11.6640625" style="35" customWidth="1"/>
    <col min="5637" max="5637" width="16.33203125" style="35" customWidth="1"/>
    <col min="5638" max="5638" width="31.6640625" style="35" customWidth="1"/>
    <col min="5639" max="5639" width="10.6640625" style="35" customWidth="1"/>
    <col min="5640" max="5640" width="15" style="35" customWidth="1"/>
    <col min="5641" max="5641" width="31.6640625" style="35" customWidth="1"/>
    <col min="5642" max="5888" width="14.1640625" style="35"/>
    <col min="5889" max="5889" width="10.6640625" style="35" customWidth="1"/>
    <col min="5890" max="5890" width="15" style="35" customWidth="1"/>
    <col min="5891" max="5891" width="31.6640625" style="35" customWidth="1"/>
    <col min="5892" max="5892" width="11.6640625" style="35" customWidth="1"/>
    <col min="5893" max="5893" width="16.33203125" style="35" customWidth="1"/>
    <col min="5894" max="5894" width="31.6640625" style="35" customWidth="1"/>
    <col min="5895" max="5895" width="10.6640625" style="35" customWidth="1"/>
    <col min="5896" max="5896" width="15" style="35" customWidth="1"/>
    <col min="5897" max="5897" width="31.6640625" style="35" customWidth="1"/>
    <col min="5898" max="6144" width="14.1640625" style="35"/>
    <col min="6145" max="6145" width="10.6640625" style="35" customWidth="1"/>
    <col min="6146" max="6146" width="15" style="35" customWidth="1"/>
    <col min="6147" max="6147" width="31.6640625" style="35" customWidth="1"/>
    <col min="6148" max="6148" width="11.6640625" style="35" customWidth="1"/>
    <col min="6149" max="6149" width="16.33203125" style="35" customWidth="1"/>
    <col min="6150" max="6150" width="31.6640625" style="35" customWidth="1"/>
    <col min="6151" max="6151" width="10.6640625" style="35" customWidth="1"/>
    <col min="6152" max="6152" width="15" style="35" customWidth="1"/>
    <col min="6153" max="6153" width="31.6640625" style="35" customWidth="1"/>
    <col min="6154" max="6400" width="14.1640625" style="35"/>
    <col min="6401" max="6401" width="10.6640625" style="35" customWidth="1"/>
    <col min="6402" max="6402" width="15" style="35" customWidth="1"/>
    <col min="6403" max="6403" width="31.6640625" style="35" customWidth="1"/>
    <col min="6404" max="6404" width="11.6640625" style="35" customWidth="1"/>
    <col min="6405" max="6405" width="16.33203125" style="35" customWidth="1"/>
    <col min="6406" max="6406" width="31.6640625" style="35" customWidth="1"/>
    <col min="6407" max="6407" width="10.6640625" style="35" customWidth="1"/>
    <col min="6408" max="6408" width="15" style="35" customWidth="1"/>
    <col min="6409" max="6409" width="31.6640625" style="35" customWidth="1"/>
    <col min="6410" max="6656" width="14.1640625" style="35"/>
    <col min="6657" max="6657" width="10.6640625" style="35" customWidth="1"/>
    <col min="6658" max="6658" width="15" style="35" customWidth="1"/>
    <col min="6659" max="6659" width="31.6640625" style="35" customWidth="1"/>
    <col min="6660" max="6660" width="11.6640625" style="35" customWidth="1"/>
    <col min="6661" max="6661" width="16.33203125" style="35" customWidth="1"/>
    <col min="6662" max="6662" width="31.6640625" style="35" customWidth="1"/>
    <col min="6663" max="6663" width="10.6640625" style="35" customWidth="1"/>
    <col min="6664" max="6664" width="15" style="35" customWidth="1"/>
    <col min="6665" max="6665" width="31.6640625" style="35" customWidth="1"/>
    <col min="6666" max="6912" width="14.1640625" style="35"/>
    <col min="6913" max="6913" width="10.6640625" style="35" customWidth="1"/>
    <col min="6914" max="6914" width="15" style="35" customWidth="1"/>
    <col min="6915" max="6915" width="31.6640625" style="35" customWidth="1"/>
    <col min="6916" max="6916" width="11.6640625" style="35" customWidth="1"/>
    <col min="6917" max="6917" width="16.33203125" style="35" customWidth="1"/>
    <col min="6918" max="6918" width="31.6640625" style="35" customWidth="1"/>
    <col min="6919" max="6919" width="10.6640625" style="35" customWidth="1"/>
    <col min="6920" max="6920" width="15" style="35" customWidth="1"/>
    <col min="6921" max="6921" width="31.6640625" style="35" customWidth="1"/>
    <col min="6922" max="7168" width="14.1640625" style="35"/>
    <col min="7169" max="7169" width="10.6640625" style="35" customWidth="1"/>
    <col min="7170" max="7170" width="15" style="35" customWidth="1"/>
    <col min="7171" max="7171" width="31.6640625" style="35" customWidth="1"/>
    <col min="7172" max="7172" width="11.6640625" style="35" customWidth="1"/>
    <col min="7173" max="7173" width="16.33203125" style="35" customWidth="1"/>
    <col min="7174" max="7174" width="31.6640625" style="35" customWidth="1"/>
    <col min="7175" max="7175" width="10.6640625" style="35" customWidth="1"/>
    <col min="7176" max="7176" width="15" style="35" customWidth="1"/>
    <col min="7177" max="7177" width="31.6640625" style="35" customWidth="1"/>
    <col min="7178" max="7424" width="14.1640625" style="35"/>
    <col min="7425" max="7425" width="10.6640625" style="35" customWidth="1"/>
    <col min="7426" max="7426" width="15" style="35" customWidth="1"/>
    <col min="7427" max="7427" width="31.6640625" style="35" customWidth="1"/>
    <col min="7428" max="7428" width="11.6640625" style="35" customWidth="1"/>
    <col min="7429" max="7429" width="16.33203125" style="35" customWidth="1"/>
    <col min="7430" max="7430" width="31.6640625" style="35" customWidth="1"/>
    <col min="7431" max="7431" width="10.6640625" style="35" customWidth="1"/>
    <col min="7432" max="7432" width="15" style="35" customWidth="1"/>
    <col min="7433" max="7433" width="31.6640625" style="35" customWidth="1"/>
    <col min="7434" max="7680" width="14.1640625" style="35"/>
    <col min="7681" max="7681" width="10.6640625" style="35" customWidth="1"/>
    <col min="7682" max="7682" width="15" style="35" customWidth="1"/>
    <col min="7683" max="7683" width="31.6640625" style="35" customWidth="1"/>
    <col min="7684" max="7684" width="11.6640625" style="35" customWidth="1"/>
    <col min="7685" max="7685" width="16.33203125" style="35" customWidth="1"/>
    <col min="7686" max="7686" width="31.6640625" style="35" customWidth="1"/>
    <col min="7687" max="7687" width="10.6640625" style="35" customWidth="1"/>
    <col min="7688" max="7688" width="15" style="35" customWidth="1"/>
    <col min="7689" max="7689" width="31.6640625" style="35" customWidth="1"/>
    <col min="7690" max="7936" width="14.1640625" style="35"/>
    <col min="7937" max="7937" width="10.6640625" style="35" customWidth="1"/>
    <col min="7938" max="7938" width="15" style="35" customWidth="1"/>
    <col min="7939" max="7939" width="31.6640625" style="35" customWidth="1"/>
    <col min="7940" max="7940" width="11.6640625" style="35" customWidth="1"/>
    <col min="7941" max="7941" width="16.33203125" style="35" customWidth="1"/>
    <col min="7942" max="7942" width="31.6640625" style="35" customWidth="1"/>
    <col min="7943" max="7943" width="10.6640625" style="35" customWidth="1"/>
    <col min="7944" max="7944" width="15" style="35" customWidth="1"/>
    <col min="7945" max="7945" width="31.6640625" style="35" customWidth="1"/>
    <col min="7946" max="8192" width="14.1640625" style="35"/>
    <col min="8193" max="8193" width="10.6640625" style="35" customWidth="1"/>
    <col min="8194" max="8194" width="15" style="35" customWidth="1"/>
    <col min="8195" max="8195" width="31.6640625" style="35" customWidth="1"/>
    <col min="8196" max="8196" width="11.6640625" style="35" customWidth="1"/>
    <col min="8197" max="8197" width="16.33203125" style="35" customWidth="1"/>
    <col min="8198" max="8198" width="31.6640625" style="35" customWidth="1"/>
    <col min="8199" max="8199" width="10.6640625" style="35" customWidth="1"/>
    <col min="8200" max="8200" width="15" style="35" customWidth="1"/>
    <col min="8201" max="8201" width="31.6640625" style="35" customWidth="1"/>
    <col min="8202" max="8448" width="14.1640625" style="35"/>
    <col min="8449" max="8449" width="10.6640625" style="35" customWidth="1"/>
    <col min="8450" max="8450" width="15" style="35" customWidth="1"/>
    <col min="8451" max="8451" width="31.6640625" style="35" customWidth="1"/>
    <col min="8452" max="8452" width="11.6640625" style="35" customWidth="1"/>
    <col min="8453" max="8453" width="16.33203125" style="35" customWidth="1"/>
    <col min="8454" max="8454" width="31.6640625" style="35" customWidth="1"/>
    <col min="8455" max="8455" width="10.6640625" style="35" customWidth="1"/>
    <col min="8456" max="8456" width="15" style="35" customWidth="1"/>
    <col min="8457" max="8457" width="31.6640625" style="35" customWidth="1"/>
    <col min="8458" max="8704" width="14.1640625" style="35"/>
    <col min="8705" max="8705" width="10.6640625" style="35" customWidth="1"/>
    <col min="8706" max="8706" width="15" style="35" customWidth="1"/>
    <col min="8707" max="8707" width="31.6640625" style="35" customWidth="1"/>
    <col min="8708" max="8708" width="11.6640625" style="35" customWidth="1"/>
    <col min="8709" max="8709" width="16.33203125" style="35" customWidth="1"/>
    <col min="8710" max="8710" width="31.6640625" style="35" customWidth="1"/>
    <col min="8711" max="8711" width="10.6640625" style="35" customWidth="1"/>
    <col min="8712" max="8712" width="15" style="35" customWidth="1"/>
    <col min="8713" max="8713" width="31.6640625" style="35" customWidth="1"/>
    <col min="8714" max="8960" width="14.1640625" style="35"/>
    <col min="8961" max="8961" width="10.6640625" style="35" customWidth="1"/>
    <col min="8962" max="8962" width="15" style="35" customWidth="1"/>
    <col min="8963" max="8963" width="31.6640625" style="35" customWidth="1"/>
    <col min="8964" max="8964" width="11.6640625" style="35" customWidth="1"/>
    <col min="8965" max="8965" width="16.33203125" style="35" customWidth="1"/>
    <col min="8966" max="8966" width="31.6640625" style="35" customWidth="1"/>
    <col min="8967" max="8967" width="10.6640625" style="35" customWidth="1"/>
    <col min="8968" max="8968" width="15" style="35" customWidth="1"/>
    <col min="8969" max="8969" width="31.6640625" style="35" customWidth="1"/>
    <col min="8970" max="9216" width="14.1640625" style="35"/>
    <col min="9217" max="9217" width="10.6640625" style="35" customWidth="1"/>
    <col min="9218" max="9218" width="15" style="35" customWidth="1"/>
    <col min="9219" max="9219" width="31.6640625" style="35" customWidth="1"/>
    <col min="9220" max="9220" width="11.6640625" style="35" customWidth="1"/>
    <col min="9221" max="9221" width="16.33203125" style="35" customWidth="1"/>
    <col min="9222" max="9222" width="31.6640625" style="35" customWidth="1"/>
    <col min="9223" max="9223" width="10.6640625" style="35" customWidth="1"/>
    <col min="9224" max="9224" width="15" style="35" customWidth="1"/>
    <col min="9225" max="9225" width="31.6640625" style="35" customWidth="1"/>
    <col min="9226" max="9472" width="14.1640625" style="35"/>
    <col min="9473" max="9473" width="10.6640625" style="35" customWidth="1"/>
    <col min="9474" max="9474" width="15" style="35" customWidth="1"/>
    <col min="9475" max="9475" width="31.6640625" style="35" customWidth="1"/>
    <col min="9476" max="9476" width="11.6640625" style="35" customWidth="1"/>
    <col min="9477" max="9477" width="16.33203125" style="35" customWidth="1"/>
    <col min="9478" max="9478" width="31.6640625" style="35" customWidth="1"/>
    <col min="9479" max="9479" width="10.6640625" style="35" customWidth="1"/>
    <col min="9480" max="9480" width="15" style="35" customWidth="1"/>
    <col min="9481" max="9481" width="31.6640625" style="35" customWidth="1"/>
    <col min="9482" max="9728" width="14.1640625" style="35"/>
    <col min="9729" max="9729" width="10.6640625" style="35" customWidth="1"/>
    <col min="9730" max="9730" width="15" style="35" customWidth="1"/>
    <col min="9731" max="9731" width="31.6640625" style="35" customWidth="1"/>
    <col min="9732" max="9732" width="11.6640625" style="35" customWidth="1"/>
    <col min="9733" max="9733" width="16.33203125" style="35" customWidth="1"/>
    <col min="9734" max="9734" width="31.6640625" style="35" customWidth="1"/>
    <col min="9735" max="9735" width="10.6640625" style="35" customWidth="1"/>
    <col min="9736" max="9736" width="15" style="35" customWidth="1"/>
    <col min="9737" max="9737" width="31.6640625" style="35" customWidth="1"/>
    <col min="9738" max="9984" width="14.1640625" style="35"/>
    <col min="9985" max="9985" width="10.6640625" style="35" customWidth="1"/>
    <col min="9986" max="9986" width="15" style="35" customWidth="1"/>
    <col min="9987" max="9987" width="31.6640625" style="35" customWidth="1"/>
    <col min="9988" max="9988" width="11.6640625" style="35" customWidth="1"/>
    <col min="9989" max="9989" width="16.33203125" style="35" customWidth="1"/>
    <col min="9990" max="9990" width="31.6640625" style="35" customWidth="1"/>
    <col min="9991" max="9991" width="10.6640625" style="35" customWidth="1"/>
    <col min="9992" max="9992" width="15" style="35" customWidth="1"/>
    <col min="9993" max="9993" width="31.6640625" style="35" customWidth="1"/>
    <col min="9994" max="10240" width="14.1640625" style="35"/>
    <col min="10241" max="10241" width="10.6640625" style="35" customWidth="1"/>
    <col min="10242" max="10242" width="15" style="35" customWidth="1"/>
    <col min="10243" max="10243" width="31.6640625" style="35" customWidth="1"/>
    <col min="10244" max="10244" width="11.6640625" style="35" customWidth="1"/>
    <col min="10245" max="10245" width="16.33203125" style="35" customWidth="1"/>
    <col min="10246" max="10246" width="31.6640625" style="35" customWidth="1"/>
    <col min="10247" max="10247" width="10.6640625" style="35" customWidth="1"/>
    <col min="10248" max="10248" width="15" style="35" customWidth="1"/>
    <col min="10249" max="10249" width="31.6640625" style="35" customWidth="1"/>
    <col min="10250" max="10496" width="14.1640625" style="35"/>
    <col min="10497" max="10497" width="10.6640625" style="35" customWidth="1"/>
    <col min="10498" max="10498" width="15" style="35" customWidth="1"/>
    <col min="10499" max="10499" width="31.6640625" style="35" customWidth="1"/>
    <col min="10500" max="10500" width="11.6640625" style="35" customWidth="1"/>
    <col min="10501" max="10501" width="16.33203125" style="35" customWidth="1"/>
    <col min="10502" max="10502" width="31.6640625" style="35" customWidth="1"/>
    <col min="10503" max="10503" width="10.6640625" style="35" customWidth="1"/>
    <col min="10504" max="10504" width="15" style="35" customWidth="1"/>
    <col min="10505" max="10505" width="31.6640625" style="35" customWidth="1"/>
    <col min="10506" max="10752" width="14.1640625" style="35"/>
    <col min="10753" max="10753" width="10.6640625" style="35" customWidth="1"/>
    <col min="10754" max="10754" width="15" style="35" customWidth="1"/>
    <col min="10755" max="10755" width="31.6640625" style="35" customWidth="1"/>
    <col min="10756" max="10756" width="11.6640625" style="35" customWidth="1"/>
    <col min="10757" max="10757" width="16.33203125" style="35" customWidth="1"/>
    <col min="10758" max="10758" width="31.6640625" style="35" customWidth="1"/>
    <col min="10759" max="10759" width="10.6640625" style="35" customWidth="1"/>
    <col min="10760" max="10760" width="15" style="35" customWidth="1"/>
    <col min="10761" max="10761" width="31.6640625" style="35" customWidth="1"/>
    <col min="10762" max="11008" width="14.1640625" style="35"/>
    <col min="11009" max="11009" width="10.6640625" style="35" customWidth="1"/>
    <col min="11010" max="11010" width="15" style="35" customWidth="1"/>
    <col min="11011" max="11011" width="31.6640625" style="35" customWidth="1"/>
    <col min="11012" max="11012" width="11.6640625" style="35" customWidth="1"/>
    <col min="11013" max="11013" width="16.33203125" style="35" customWidth="1"/>
    <col min="11014" max="11014" width="31.6640625" style="35" customWidth="1"/>
    <col min="11015" max="11015" width="10.6640625" style="35" customWidth="1"/>
    <col min="11016" max="11016" width="15" style="35" customWidth="1"/>
    <col min="11017" max="11017" width="31.6640625" style="35" customWidth="1"/>
    <col min="11018" max="11264" width="14.1640625" style="35"/>
    <col min="11265" max="11265" width="10.6640625" style="35" customWidth="1"/>
    <col min="11266" max="11266" width="15" style="35" customWidth="1"/>
    <col min="11267" max="11267" width="31.6640625" style="35" customWidth="1"/>
    <col min="11268" max="11268" width="11.6640625" style="35" customWidth="1"/>
    <col min="11269" max="11269" width="16.33203125" style="35" customWidth="1"/>
    <col min="11270" max="11270" width="31.6640625" style="35" customWidth="1"/>
    <col min="11271" max="11271" width="10.6640625" style="35" customWidth="1"/>
    <col min="11272" max="11272" width="15" style="35" customWidth="1"/>
    <col min="11273" max="11273" width="31.6640625" style="35" customWidth="1"/>
    <col min="11274" max="11520" width="14.1640625" style="35"/>
    <col min="11521" max="11521" width="10.6640625" style="35" customWidth="1"/>
    <col min="11522" max="11522" width="15" style="35" customWidth="1"/>
    <col min="11523" max="11523" width="31.6640625" style="35" customWidth="1"/>
    <col min="11524" max="11524" width="11.6640625" style="35" customWidth="1"/>
    <col min="11525" max="11525" width="16.33203125" style="35" customWidth="1"/>
    <col min="11526" max="11526" width="31.6640625" style="35" customWidth="1"/>
    <col min="11527" max="11527" width="10.6640625" style="35" customWidth="1"/>
    <col min="11528" max="11528" width="15" style="35" customWidth="1"/>
    <col min="11529" max="11529" width="31.6640625" style="35" customWidth="1"/>
    <col min="11530" max="11776" width="14.1640625" style="35"/>
    <col min="11777" max="11777" width="10.6640625" style="35" customWidth="1"/>
    <col min="11778" max="11778" width="15" style="35" customWidth="1"/>
    <col min="11779" max="11779" width="31.6640625" style="35" customWidth="1"/>
    <col min="11780" max="11780" width="11.6640625" style="35" customWidth="1"/>
    <col min="11781" max="11781" width="16.33203125" style="35" customWidth="1"/>
    <col min="11782" max="11782" width="31.6640625" style="35" customWidth="1"/>
    <col min="11783" max="11783" width="10.6640625" style="35" customWidth="1"/>
    <col min="11784" max="11784" width="15" style="35" customWidth="1"/>
    <col min="11785" max="11785" width="31.6640625" style="35" customWidth="1"/>
    <col min="11786" max="12032" width="14.1640625" style="35"/>
    <col min="12033" max="12033" width="10.6640625" style="35" customWidth="1"/>
    <col min="12034" max="12034" width="15" style="35" customWidth="1"/>
    <col min="12035" max="12035" width="31.6640625" style="35" customWidth="1"/>
    <col min="12036" max="12036" width="11.6640625" style="35" customWidth="1"/>
    <col min="12037" max="12037" width="16.33203125" style="35" customWidth="1"/>
    <col min="12038" max="12038" width="31.6640625" style="35" customWidth="1"/>
    <col min="12039" max="12039" width="10.6640625" style="35" customWidth="1"/>
    <col min="12040" max="12040" width="15" style="35" customWidth="1"/>
    <col min="12041" max="12041" width="31.6640625" style="35" customWidth="1"/>
    <col min="12042" max="12288" width="14.1640625" style="35"/>
    <col min="12289" max="12289" width="10.6640625" style="35" customWidth="1"/>
    <col min="12290" max="12290" width="15" style="35" customWidth="1"/>
    <col min="12291" max="12291" width="31.6640625" style="35" customWidth="1"/>
    <col min="12292" max="12292" width="11.6640625" style="35" customWidth="1"/>
    <col min="12293" max="12293" width="16.33203125" style="35" customWidth="1"/>
    <col min="12294" max="12294" width="31.6640625" style="35" customWidth="1"/>
    <col min="12295" max="12295" width="10.6640625" style="35" customWidth="1"/>
    <col min="12296" max="12296" width="15" style="35" customWidth="1"/>
    <col min="12297" max="12297" width="31.6640625" style="35" customWidth="1"/>
    <col min="12298" max="12544" width="14.1640625" style="35"/>
    <col min="12545" max="12545" width="10.6640625" style="35" customWidth="1"/>
    <col min="12546" max="12546" width="15" style="35" customWidth="1"/>
    <col min="12547" max="12547" width="31.6640625" style="35" customWidth="1"/>
    <col min="12548" max="12548" width="11.6640625" style="35" customWidth="1"/>
    <col min="12549" max="12549" width="16.33203125" style="35" customWidth="1"/>
    <col min="12550" max="12550" width="31.6640625" style="35" customWidth="1"/>
    <col min="12551" max="12551" width="10.6640625" style="35" customWidth="1"/>
    <col min="12552" max="12552" width="15" style="35" customWidth="1"/>
    <col min="12553" max="12553" width="31.6640625" style="35" customWidth="1"/>
    <col min="12554" max="12800" width="14.1640625" style="35"/>
    <col min="12801" max="12801" width="10.6640625" style="35" customWidth="1"/>
    <col min="12802" max="12802" width="15" style="35" customWidth="1"/>
    <col min="12803" max="12803" width="31.6640625" style="35" customWidth="1"/>
    <col min="12804" max="12804" width="11.6640625" style="35" customWidth="1"/>
    <col min="12805" max="12805" width="16.33203125" style="35" customWidth="1"/>
    <col min="12806" max="12806" width="31.6640625" style="35" customWidth="1"/>
    <col min="12807" max="12807" width="10.6640625" style="35" customWidth="1"/>
    <col min="12808" max="12808" width="15" style="35" customWidth="1"/>
    <col min="12809" max="12809" width="31.6640625" style="35" customWidth="1"/>
    <col min="12810" max="13056" width="14.1640625" style="35"/>
    <col min="13057" max="13057" width="10.6640625" style="35" customWidth="1"/>
    <col min="13058" max="13058" width="15" style="35" customWidth="1"/>
    <col min="13059" max="13059" width="31.6640625" style="35" customWidth="1"/>
    <col min="13060" max="13060" width="11.6640625" style="35" customWidth="1"/>
    <col min="13061" max="13061" width="16.33203125" style="35" customWidth="1"/>
    <col min="13062" max="13062" width="31.6640625" style="35" customWidth="1"/>
    <col min="13063" max="13063" width="10.6640625" style="35" customWidth="1"/>
    <col min="13064" max="13064" width="15" style="35" customWidth="1"/>
    <col min="13065" max="13065" width="31.6640625" style="35" customWidth="1"/>
    <col min="13066" max="13312" width="14.1640625" style="35"/>
    <col min="13313" max="13313" width="10.6640625" style="35" customWidth="1"/>
    <col min="13314" max="13314" width="15" style="35" customWidth="1"/>
    <col min="13315" max="13315" width="31.6640625" style="35" customWidth="1"/>
    <col min="13316" max="13316" width="11.6640625" style="35" customWidth="1"/>
    <col min="13317" max="13317" width="16.33203125" style="35" customWidth="1"/>
    <col min="13318" max="13318" width="31.6640625" style="35" customWidth="1"/>
    <col min="13319" max="13319" width="10.6640625" style="35" customWidth="1"/>
    <col min="13320" max="13320" width="15" style="35" customWidth="1"/>
    <col min="13321" max="13321" width="31.6640625" style="35" customWidth="1"/>
    <col min="13322" max="13568" width="14.1640625" style="35"/>
    <col min="13569" max="13569" width="10.6640625" style="35" customWidth="1"/>
    <col min="13570" max="13570" width="15" style="35" customWidth="1"/>
    <col min="13571" max="13571" width="31.6640625" style="35" customWidth="1"/>
    <col min="13572" max="13572" width="11.6640625" style="35" customWidth="1"/>
    <col min="13573" max="13573" width="16.33203125" style="35" customWidth="1"/>
    <col min="13574" max="13574" width="31.6640625" style="35" customWidth="1"/>
    <col min="13575" max="13575" width="10.6640625" style="35" customWidth="1"/>
    <col min="13576" max="13576" width="15" style="35" customWidth="1"/>
    <col min="13577" max="13577" width="31.6640625" style="35" customWidth="1"/>
    <col min="13578" max="13824" width="14.1640625" style="35"/>
    <col min="13825" max="13825" width="10.6640625" style="35" customWidth="1"/>
    <col min="13826" max="13826" width="15" style="35" customWidth="1"/>
    <col min="13827" max="13827" width="31.6640625" style="35" customWidth="1"/>
    <col min="13828" max="13828" width="11.6640625" style="35" customWidth="1"/>
    <col min="13829" max="13829" width="16.33203125" style="35" customWidth="1"/>
    <col min="13830" max="13830" width="31.6640625" style="35" customWidth="1"/>
    <col min="13831" max="13831" width="10.6640625" style="35" customWidth="1"/>
    <col min="13832" max="13832" width="15" style="35" customWidth="1"/>
    <col min="13833" max="13833" width="31.6640625" style="35" customWidth="1"/>
    <col min="13834" max="14080" width="14.1640625" style="35"/>
    <col min="14081" max="14081" width="10.6640625" style="35" customWidth="1"/>
    <col min="14082" max="14082" width="15" style="35" customWidth="1"/>
    <col min="14083" max="14083" width="31.6640625" style="35" customWidth="1"/>
    <col min="14084" max="14084" width="11.6640625" style="35" customWidth="1"/>
    <col min="14085" max="14085" width="16.33203125" style="35" customWidth="1"/>
    <col min="14086" max="14086" width="31.6640625" style="35" customWidth="1"/>
    <col min="14087" max="14087" width="10.6640625" style="35" customWidth="1"/>
    <col min="14088" max="14088" width="15" style="35" customWidth="1"/>
    <col min="14089" max="14089" width="31.6640625" style="35" customWidth="1"/>
    <col min="14090" max="14336" width="14.1640625" style="35"/>
    <col min="14337" max="14337" width="10.6640625" style="35" customWidth="1"/>
    <col min="14338" max="14338" width="15" style="35" customWidth="1"/>
    <col min="14339" max="14339" width="31.6640625" style="35" customWidth="1"/>
    <col min="14340" max="14340" width="11.6640625" style="35" customWidth="1"/>
    <col min="14341" max="14341" width="16.33203125" style="35" customWidth="1"/>
    <col min="14342" max="14342" width="31.6640625" style="35" customWidth="1"/>
    <col min="14343" max="14343" width="10.6640625" style="35" customWidth="1"/>
    <col min="14344" max="14344" width="15" style="35" customWidth="1"/>
    <col min="14345" max="14345" width="31.6640625" style="35" customWidth="1"/>
    <col min="14346" max="14592" width="14.1640625" style="35"/>
    <col min="14593" max="14593" width="10.6640625" style="35" customWidth="1"/>
    <col min="14594" max="14594" width="15" style="35" customWidth="1"/>
    <col min="14595" max="14595" width="31.6640625" style="35" customWidth="1"/>
    <col min="14596" max="14596" width="11.6640625" style="35" customWidth="1"/>
    <col min="14597" max="14597" width="16.33203125" style="35" customWidth="1"/>
    <col min="14598" max="14598" width="31.6640625" style="35" customWidth="1"/>
    <col min="14599" max="14599" width="10.6640625" style="35" customWidth="1"/>
    <col min="14600" max="14600" width="15" style="35" customWidth="1"/>
    <col min="14601" max="14601" width="31.6640625" style="35" customWidth="1"/>
    <col min="14602" max="14848" width="14.1640625" style="35"/>
    <col min="14849" max="14849" width="10.6640625" style="35" customWidth="1"/>
    <col min="14850" max="14850" width="15" style="35" customWidth="1"/>
    <col min="14851" max="14851" width="31.6640625" style="35" customWidth="1"/>
    <col min="14852" max="14852" width="11.6640625" style="35" customWidth="1"/>
    <col min="14853" max="14853" width="16.33203125" style="35" customWidth="1"/>
    <col min="14854" max="14854" width="31.6640625" style="35" customWidth="1"/>
    <col min="14855" max="14855" width="10.6640625" style="35" customWidth="1"/>
    <col min="14856" max="14856" width="15" style="35" customWidth="1"/>
    <col min="14857" max="14857" width="31.6640625" style="35" customWidth="1"/>
    <col min="14858" max="15104" width="14.1640625" style="35"/>
    <col min="15105" max="15105" width="10.6640625" style="35" customWidth="1"/>
    <col min="15106" max="15106" width="15" style="35" customWidth="1"/>
    <col min="15107" max="15107" width="31.6640625" style="35" customWidth="1"/>
    <col min="15108" max="15108" width="11.6640625" style="35" customWidth="1"/>
    <col min="15109" max="15109" width="16.33203125" style="35" customWidth="1"/>
    <col min="15110" max="15110" width="31.6640625" style="35" customWidth="1"/>
    <col min="15111" max="15111" width="10.6640625" style="35" customWidth="1"/>
    <col min="15112" max="15112" width="15" style="35" customWidth="1"/>
    <col min="15113" max="15113" width="31.6640625" style="35" customWidth="1"/>
    <col min="15114" max="15360" width="14.1640625" style="35"/>
    <col min="15361" max="15361" width="10.6640625" style="35" customWidth="1"/>
    <col min="15362" max="15362" width="15" style="35" customWidth="1"/>
    <col min="15363" max="15363" width="31.6640625" style="35" customWidth="1"/>
    <col min="15364" max="15364" width="11.6640625" style="35" customWidth="1"/>
    <col min="15365" max="15365" width="16.33203125" style="35" customWidth="1"/>
    <col min="15366" max="15366" width="31.6640625" style="35" customWidth="1"/>
    <col min="15367" max="15367" width="10.6640625" style="35" customWidth="1"/>
    <col min="15368" max="15368" width="15" style="35" customWidth="1"/>
    <col min="15369" max="15369" width="31.6640625" style="35" customWidth="1"/>
    <col min="15370" max="15616" width="14.1640625" style="35"/>
    <col min="15617" max="15617" width="10.6640625" style="35" customWidth="1"/>
    <col min="15618" max="15618" width="15" style="35" customWidth="1"/>
    <col min="15619" max="15619" width="31.6640625" style="35" customWidth="1"/>
    <col min="15620" max="15620" width="11.6640625" style="35" customWidth="1"/>
    <col min="15621" max="15621" width="16.33203125" style="35" customWidth="1"/>
    <col min="15622" max="15622" width="31.6640625" style="35" customWidth="1"/>
    <col min="15623" max="15623" width="10.6640625" style="35" customWidth="1"/>
    <col min="15624" max="15624" width="15" style="35" customWidth="1"/>
    <col min="15625" max="15625" width="31.6640625" style="35" customWidth="1"/>
    <col min="15626" max="15872" width="14.1640625" style="35"/>
    <col min="15873" max="15873" width="10.6640625" style="35" customWidth="1"/>
    <col min="15874" max="15874" width="15" style="35" customWidth="1"/>
    <col min="15875" max="15875" width="31.6640625" style="35" customWidth="1"/>
    <col min="15876" max="15876" width="11.6640625" style="35" customWidth="1"/>
    <col min="15877" max="15877" width="16.33203125" style="35" customWidth="1"/>
    <col min="15878" max="15878" width="31.6640625" style="35" customWidth="1"/>
    <col min="15879" max="15879" width="10.6640625" style="35" customWidth="1"/>
    <col min="15880" max="15880" width="15" style="35" customWidth="1"/>
    <col min="15881" max="15881" width="31.6640625" style="35" customWidth="1"/>
    <col min="15882" max="16128" width="14.1640625" style="35"/>
    <col min="16129" max="16129" width="10.6640625" style="35" customWidth="1"/>
    <col min="16130" max="16130" width="15" style="35" customWidth="1"/>
    <col min="16131" max="16131" width="31.6640625" style="35" customWidth="1"/>
    <col min="16132" max="16132" width="11.6640625" style="35" customWidth="1"/>
    <col min="16133" max="16133" width="16.33203125" style="35" customWidth="1"/>
    <col min="16134" max="16134" width="31.6640625" style="35" customWidth="1"/>
    <col min="16135" max="16135" width="10.6640625" style="35" customWidth="1"/>
    <col min="16136" max="16136" width="15" style="35" customWidth="1"/>
    <col min="16137" max="16137" width="31.6640625" style="35" customWidth="1"/>
    <col min="16138" max="16384" width="14.1640625" style="35"/>
  </cols>
  <sheetData>
    <row r="1" spans="1:9" ht="45" customHeight="1">
      <c r="A1" s="219" t="s">
        <v>194</v>
      </c>
      <c r="B1" s="188"/>
      <c r="C1" s="188"/>
      <c r="D1" s="188"/>
      <c r="E1" s="188"/>
      <c r="F1" s="188"/>
      <c r="G1" s="188"/>
      <c r="H1" s="188"/>
      <c r="I1" s="188"/>
    </row>
    <row r="2" spans="1:9" ht="15" customHeight="1">
      <c r="A2" s="189" t="s">
        <v>55</v>
      </c>
      <c r="B2" s="184"/>
      <c r="C2" s="189" t="s">
        <v>952</v>
      </c>
      <c r="D2" s="184"/>
      <c r="E2" s="189" t="s">
        <v>716</v>
      </c>
      <c r="F2" s="189" t="s">
        <v>1237</v>
      </c>
      <c r="G2" s="184"/>
      <c r="H2" s="189" t="s">
        <v>549</v>
      </c>
      <c r="I2" s="184" t="s">
        <v>1238</v>
      </c>
    </row>
    <row r="3" spans="1:9" ht="22.5" customHeight="1">
      <c r="A3" s="184"/>
      <c r="B3" s="184"/>
      <c r="C3" s="184"/>
      <c r="D3" s="184"/>
      <c r="E3" s="184"/>
      <c r="F3" s="184"/>
      <c r="G3" s="184"/>
      <c r="H3" s="184"/>
      <c r="I3" s="184"/>
    </row>
    <row r="4" spans="1:9" ht="15" customHeight="1">
      <c r="A4" s="189" t="s">
        <v>468</v>
      </c>
      <c r="B4" s="184"/>
      <c r="C4" s="189" t="s">
        <v>1237</v>
      </c>
      <c r="D4" s="184"/>
      <c r="E4" s="189" t="s">
        <v>583</v>
      </c>
      <c r="F4" s="189" t="str">
        <f>'[1]Stavební rozpočet'!J4</f>
        <v>iMK Kladno, s.r.o.Kladno</v>
      </c>
      <c r="G4" s="184"/>
      <c r="H4" s="189" t="s">
        <v>549</v>
      </c>
      <c r="I4" s="184" t="s">
        <v>587</v>
      </c>
    </row>
    <row r="5" spans="1:9" ht="15" customHeight="1">
      <c r="A5" s="184"/>
      <c r="B5" s="184"/>
      <c r="C5" s="184"/>
      <c r="D5" s="184"/>
      <c r="E5" s="184"/>
      <c r="F5" s="184"/>
      <c r="G5" s="184"/>
      <c r="H5" s="184"/>
      <c r="I5" s="184"/>
    </row>
    <row r="6" spans="1:9" ht="15" customHeight="1">
      <c r="A6" s="189" t="s">
        <v>70</v>
      </c>
      <c r="B6" s="184"/>
      <c r="C6" s="189" t="str">
        <f>'[1]Stavební rozpočet'!C6</f>
        <v>Cyrila Boudy 2954, Kladno, kat.úz.Kladno</v>
      </c>
      <c r="D6" s="184"/>
      <c r="E6" s="189" t="s">
        <v>739</v>
      </c>
      <c r="F6" s="189" t="str">
        <f>'[1]Stavební rozpočet'!J6</f>
        <v>Dle výběrového řízení</v>
      </c>
      <c r="G6" s="184"/>
      <c r="H6" s="189" t="s">
        <v>549</v>
      </c>
      <c r="I6" s="184" t="s">
        <v>587</v>
      </c>
    </row>
    <row r="7" spans="1:9" ht="15" customHeight="1">
      <c r="A7" s="184"/>
      <c r="B7" s="184"/>
      <c r="C7" s="184"/>
      <c r="D7" s="184"/>
      <c r="E7" s="184"/>
      <c r="F7" s="184"/>
      <c r="G7" s="184"/>
      <c r="H7" s="184"/>
      <c r="I7" s="184"/>
    </row>
    <row r="8" spans="1:9" ht="15" customHeight="1">
      <c r="A8" s="189" t="s">
        <v>750</v>
      </c>
      <c r="B8" s="184"/>
      <c r="C8" s="189" t="str">
        <f>'[1]Stavební rozpočet'!G4</f>
        <v xml:space="preserve"> </v>
      </c>
      <c r="D8" s="184"/>
      <c r="E8" s="189" t="s">
        <v>281</v>
      </c>
      <c r="F8" s="189" t="str">
        <f>'[1]Stavební rozpočet'!G6</f>
        <v xml:space="preserve"> </v>
      </c>
      <c r="G8" s="184"/>
      <c r="H8" s="184" t="s">
        <v>855</v>
      </c>
      <c r="I8" s="220"/>
    </row>
    <row r="9" spans="1:9" ht="15" customHeight="1">
      <c r="A9" s="184"/>
      <c r="B9" s="184"/>
      <c r="C9" s="184"/>
      <c r="D9" s="184"/>
      <c r="E9" s="184"/>
      <c r="F9" s="184"/>
      <c r="G9" s="184"/>
      <c r="H9" s="184"/>
      <c r="I9" s="184"/>
    </row>
    <row r="10" spans="1:9" ht="15" customHeight="1">
      <c r="A10" s="189" t="s">
        <v>422</v>
      </c>
      <c r="B10" s="184"/>
      <c r="C10" s="189" t="str">
        <f>'[1]Stavební rozpočet'!C8</f>
        <v xml:space="preserve"> </v>
      </c>
      <c r="D10" s="184"/>
      <c r="E10" s="189" t="s">
        <v>560</v>
      </c>
      <c r="F10" s="189" t="str">
        <f>'[1]Stavební rozpočet'!J8</f>
        <v> </v>
      </c>
      <c r="G10" s="184"/>
      <c r="H10" s="184" t="s">
        <v>822</v>
      </c>
      <c r="I10" s="189"/>
    </row>
    <row r="11" spans="1:9" ht="15" customHeight="1">
      <c r="A11" s="184"/>
      <c r="B11" s="184"/>
      <c r="C11" s="184"/>
      <c r="D11" s="184"/>
      <c r="E11" s="184"/>
      <c r="F11" s="184"/>
      <c r="G11" s="184"/>
      <c r="H11" s="184"/>
      <c r="I11" s="184"/>
    </row>
    <row r="12" spans="1:9" ht="22.5" customHeight="1">
      <c r="A12" s="188" t="s">
        <v>140</v>
      </c>
      <c r="B12" s="188"/>
      <c r="C12" s="188"/>
      <c r="D12" s="188"/>
      <c r="E12" s="188"/>
      <c r="F12" s="188"/>
      <c r="G12" s="188"/>
      <c r="H12" s="188"/>
      <c r="I12" s="188"/>
    </row>
    <row r="13" spans="1:9" ht="26.25" customHeight="1">
      <c r="A13" s="54" t="s">
        <v>756</v>
      </c>
      <c r="B13" s="214" t="s">
        <v>102</v>
      </c>
      <c r="C13" s="215"/>
      <c r="D13" s="55" t="s">
        <v>150</v>
      </c>
      <c r="E13" s="214" t="s">
        <v>319</v>
      </c>
      <c r="F13" s="215"/>
      <c r="G13" s="55" t="s">
        <v>540</v>
      </c>
      <c r="H13" s="214" t="s">
        <v>154</v>
      </c>
      <c r="I13" s="215"/>
    </row>
    <row r="14" spans="1:9" ht="15" customHeight="1">
      <c r="A14" s="56" t="s">
        <v>328</v>
      </c>
      <c r="B14" s="57" t="s">
        <v>220</v>
      </c>
      <c r="C14" s="58"/>
      <c r="D14" s="206" t="s">
        <v>607</v>
      </c>
      <c r="E14" s="207"/>
      <c r="F14" s="58"/>
      <c r="G14" s="206" t="s">
        <v>84</v>
      </c>
      <c r="H14" s="207"/>
      <c r="I14" s="59"/>
    </row>
    <row r="15" spans="1:9" ht="15" customHeight="1">
      <c r="A15" s="60" t="s">
        <v>587</v>
      </c>
      <c r="B15" s="57" t="s">
        <v>159</v>
      </c>
      <c r="C15" s="58"/>
      <c r="D15" s="206" t="s">
        <v>77</v>
      </c>
      <c r="E15" s="207"/>
      <c r="F15" s="58"/>
      <c r="G15" s="206" t="s">
        <v>672</v>
      </c>
      <c r="H15" s="207"/>
      <c r="I15" s="59"/>
    </row>
    <row r="16" spans="1:9" ht="15" customHeight="1">
      <c r="A16" s="56" t="s">
        <v>74</v>
      </c>
      <c r="B16" s="57" t="s">
        <v>220</v>
      </c>
      <c r="C16" s="58"/>
      <c r="D16" s="206" t="s">
        <v>627</v>
      </c>
      <c r="E16" s="207"/>
      <c r="F16" s="58"/>
      <c r="G16" s="206" t="s">
        <v>806</v>
      </c>
      <c r="H16" s="207"/>
      <c r="I16" s="59"/>
    </row>
    <row r="17" spans="1:9" ht="15" customHeight="1">
      <c r="A17" s="60" t="s">
        <v>587</v>
      </c>
      <c r="B17" s="57" t="s">
        <v>159</v>
      </c>
      <c r="C17" s="58"/>
      <c r="D17" s="206" t="s">
        <v>587</v>
      </c>
      <c r="E17" s="207"/>
      <c r="F17" s="59"/>
      <c r="G17" s="206" t="s">
        <v>453</v>
      </c>
      <c r="H17" s="207"/>
      <c r="I17" s="59"/>
    </row>
    <row r="18" spans="1:9" ht="15" customHeight="1">
      <c r="A18" s="56" t="s">
        <v>264</v>
      </c>
      <c r="B18" s="57" t="s">
        <v>220</v>
      </c>
      <c r="C18" s="58"/>
      <c r="D18" s="206" t="s">
        <v>587</v>
      </c>
      <c r="E18" s="207"/>
      <c r="F18" s="59"/>
      <c r="G18" s="206" t="s">
        <v>551</v>
      </c>
      <c r="H18" s="207"/>
      <c r="I18" s="59"/>
    </row>
    <row r="19" spans="1:9" ht="15" customHeight="1">
      <c r="A19" s="60" t="s">
        <v>587</v>
      </c>
      <c r="B19" s="57" t="s">
        <v>159</v>
      </c>
      <c r="C19" s="58"/>
      <c r="D19" s="206" t="s">
        <v>587</v>
      </c>
      <c r="E19" s="207"/>
      <c r="F19" s="59"/>
      <c r="G19" s="206" t="s">
        <v>837</v>
      </c>
      <c r="H19" s="207"/>
      <c r="I19" s="59"/>
    </row>
    <row r="20" spans="1:9" ht="15" customHeight="1">
      <c r="A20" s="208" t="s">
        <v>56</v>
      </c>
      <c r="B20" s="216"/>
      <c r="C20" s="58"/>
      <c r="D20" s="206" t="s">
        <v>587</v>
      </c>
      <c r="E20" s="207"/>
      <c r="F20" s="59"/>
      <c r="G20" s="206" t="s">
        <v>587</v>
      </c>
      <c r="H20" s="207"/>
      <c r="I20" s="59"/>
    </row>
    <row r="21" spans="1:9" ht="15" customHeight="1">
      <c r="A21" s="217" t="s">
        <v>836</v>
      </c>
      <c r="B21" s="218"/>
      <c r="C21" s="61"/>
      <c r="D21" s="200" t="s">
        <v>587</v>
      </c>
      <c r="E21" s="213"/>
      <c r="F21" s="62"/>
      <c r="G21" s="200" t="s">
        <v>587</v>
      </c>
      <c r="H21" s="213"/>
      <c r="I21" s="62"/>
    </row>
    <row r="22" spans="1:9" ht="16.5" customHeight="1">
      <c r="A22" s="212" t="s">
        <v>164</v>
      </c>
      <c r="B22" s="211"/>
      <c r="C22" s="178">
        <f>C14+C15+C16+C17+C18+C19+C20+C21</f>
        <v>0</v>
      </c>
      <c r="D22" s="210" t="s">
        <v>441</v>
      </c>
      <c r="E22" s="211"/>
      <c r="F22" s="178">
        <f>F14+F15+F16</f>
        <v>0</v>
      </c>
      <c r="G22" s="210" t="s">
        <v>857</v>
      </c>
      <c r="H22" s="211"/>
      <c r="I22" s="179">
        <f>I14+I15+I16+I17+I18+I19</f>
        <v>0</v>
      </c>
    </row>
    <row r="23" spans="1:9" ht="15" customHeight="1">
      <c r="G23" s="208" t="s">
        <v>584</v>
      </c>
      <c r="H23" s="209"/>
      <c r="I23" s="180">
        <f>C22+F22+I22</f>
        <v>0</v>
      </c>
    </row>
    <row r="25" spans="1:9" ht="15" customHeight="1">
      <c r="A25" s="192" t="s">
        <v>118</v>
      </c>
      <c r="B25" s="192"/>
      <c r="C25" s="175"/>
    </row>
    <row r="26" spans="1:9" ht="15" customHeight="1">
      <c r="A26" s="192" t="s">
        <v>956</v>
      </c>
      <c r="B26" s="192"/>
      <c r="C26" s="175"/>
      <c r="D26" s="205"/>
      <c r="E26" s="193"/>
      <c r="F26" s="181"/>
      <c r="G26" s="193"/>
      <c r="H26" s="193"/>
      <c r="I26" s="181"/>
    </row>
    <row r="27" spans="1:9" ht="15" customHeight="1">
      <c r="A27" s="192" t="s">
        <v>635</v>
      </c>
      <c r="B27" s="192"/>
      <c r="C27" s="175"/>
      <c r="D27" s="193"/>
      <c r="E27" s="193"/>
      <c r="F27" s="181"/>
      <c r="G27" s="193"/>
      <c r="H27" s="193"/>
      <c r="I27" s="181"/>
    </row>
    <row r="28" spans="1:9" ht="15" customHeight="1">
      <c r="A28" s="192" t="s">
        <v>349</v>
      </c>
      <c r="B28" s="192"/>
      <c r="C28" s="175">
        <f>C25+C26+C27</f>
        <v>0</v>
      </c>
      <c r="D28" s="193"/>
      <c r="E28" s="193"/>
      <c r="F28" s="181"/>
      <c r="G28" s="182"/>
      <c r="H28" s="182"/>
      <c r="I28" s="181"/>
    </row>
    <row r="30" spans="1:9" ht="15" customHeight="1">
      <c r="A30" s="196" t="s">
        <v>8</v>
      </c>
      <c r="B30" s="197"/>
      <c r="C30" s="198"/>
      <c r="D30" s="197" t="s">
        <v>799</v>
      </c>
      <c r="E30" s="197"/>
      <c r="F30" s="198"/>
      <c r="G30" s="197" t="s">
        <v>572</v>
      </c>
      <c r="H30" s="197"/>
      <c r="I30" s="198"/>
    </row>
    <row r="31" spans="1:9" ht="15" customHeight="1">
      <c r="A31" s="199" t="s">
        <v>587</v>
      </c>
      <c r="B31" s="200"/>
      <c r="C31" s="201"/>
      <c r="D31" s="200" t="s">
        <v>587</v>
      </c>
      <c r="E31" s="200"/>
      <c r="F31" s="201"/>
      <c r="G31" s="200" t="s">
        <v>587</v>
      </c>
      <c r="H31" s="200"/>
      <c r="I31" s="201"/>
    </row>
    <row r="32" spans="1:9" ht="15" customHeight="1">
      <c r="A32" s="199" t="s">
        <v>587</v>
      </c>
      <c r="B32" s="200"/>
      <c r="C32" s="201"/>
      <c r="D32" s="200" t="s">
        <v>587</v>
      </c>
      <c r="E32" s="200"/>
      <c r="F32" s="201"/>
      <c r="G32" s="200" t="s">
        <v>587</v>
      </c>
      <c r="H32" s="200"/>
      <c r="I32" s="201"/>
    </row>
    <row r="33" spans="1:9" ht="15" customHeight="1">
      <c r="A33" s="199" t="s">
        <v>587</v>
      </c>
      <c r="B33" s="200"/>
      <c r="C33" s="201"/>
      <c r="D33" s="200" t="s">
        <v>587</v>
      </c>
      <c r="E33" s="200"/>
      <c r="F33" s="201"/>
      <c r="G33" s="200" t="s">
        <v>587</v>
      </c>
      <c r="H33" s="200"/>
      <c r="I33" s="201"/>
    </row>
    <row r="34" spans="1:9" ht="15" customHeight="1">
      <c r="A34" s="204" t="s">
        <v>163</v>
      </c>
      <c r="B34" s="202"/>
      <c r="C34" s="203"/>
      <c r="D34" s="202" t="s">
        <v>163</v>
      </c>
      <c r="E34" s="202"/>
      <c r="F34" s="203"/>
      <c r="G34" s="202" t="s">
        <v>163</v>
      </c>
      <c r="H34" s="202"/>
      <c r="I34" s="203"/>
    </row>
    <row r="35" spans="1:9" ht="15" customHeight="1">
      <c r="A35" s="63" t="s">
        <v>67</v>
      </c>
    </row>
    <row r="36" spans="1:9" ht="12.75" customHeight="1">
      <c r="A36" s="194" t="s">
        <v>587</v>
      </c>
      <c r="B36" s="195"/>
      <c r="C36" s="195"/>
      <c r="D36" s="195"/>
      <c r="E36" s="195"/>
      <c r="F36" s="195"/>
      <c r="G36" s="195"/>
      <c r="H36" s="195"/>
      <c r="I36" s="195"/>
    </row>
  </sheetData>
  <mergeCells count="82"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  <mergeCell ref="E10:E11"/>
    <mergeCell ref="C2:D3"/>
    <mergeCell ref="C4:D5"/>
    <mergeCell ref="C6:D7"/>
    <mergeCell ref="C8:D9"/>
    <mergeCell ref="C10:D11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B13:C13"/>
    <mergeCell ref="E13:F13"/>
    <mergeCell ref="H13:I13"/>
    <mergeCell ref="A20:B20"/>
    <mergeCell ref="A21:B21"/>
    <mergeCell ref="D14:E14"/>
    <mergeCell ref="D15:E15"/>
    <mergeCell ref="D16:E16"/>
    <mergeCell ref="D17:E17"/>
    <mergeCell ref="D18:E18"/>
    <mergeCell ref="G19:H19"/>
    <mergeCell ref="G20:H20"/>
    <mergeCell ref="G21:H21"/>
    <mergeCell ref="G14:H14"/>
    <mergeCell ref="G15:H15"/>
    <mergeCell ref="G16:H16"/>
    <mergeCell ref="A22:B22"/>
    <mergeCell ref="D19:E19"/>
    <mergeCell ref="D20:E20"/>
    <mergeCell ref="D21:E21"/>
    <mergeCell ref="D22:E22"/>
    <mergeCell ref="G17:H17"/>
    <mergeCell ref="G18:H18"/>
    <mergeCell ref="D33:F33"/>
    <mergeCell ref="D34:F34"/>
    <mergeCell ref="G23:H23"/>
    <mergeCell ref="G26:H26"/>
    <mergeCell ref="G27:H27"/>
    <mergeCell ref="G22:H22"/>
    <mergeCell ref="A25:B25"/>
    <mergeCell ref="A26:B26"/>
    <mergeCell ref="A27:B27"/>
    <mergeCell ref="D26:E26"/>
    <mergeCell ref="D27:E27"/>
    <mergeCell ref="A28:B28"/>
    <mergeCell ref="D28:E28"/>
    <mergeCell ref="A36:I36"/>
    <mergeCell ref="A30:C30"/>
    <mergeCell ref="A31:C31"/>
    <mergeCell ref="A32:C32"/>
    <mergeCell ref="A33:C33"/>
    <mergeCell ref="G30:I30"/>
    <mergeCell ref="G31:I31"/>
    <mergeCell ref="G32:I32"/>
    <mergeCell ref="G33:I33"/>
    <mergeCell ref="G34:I34"/>
    <mergeCell ref="A34:C34"/>
    <mergeCell ref="D30:F30"/>
    <mergeCell ref="D31:F31"/>
    <mergeCell ref="D32:F32"/>
  </mergeCells>
  <pageMargins left="0.39400000000000002" right="0.39400000000000002" top="0.59099999999999997" bottom="0.59099999999999997" header="0" footer="0"/>
  <pageSetup paperSize="9" firstPageNumber="0" orientation="landscape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BV332"/>
  <sheetViews>
    <sheetView showOutlineSymbols="0" workbookViewId="0">
      <pane ySplit="3" topLeftCell="A160" activePane="bottomLeft" state="frozenSplit"/>
      <selection activeCell="A383" sqref="A383:M383"/>
      <selection pane="bottomLeft" activeCell="P170" sqref="P170"/>
    </sheetView>
  </sheetViews>
  <sheetFormatPr defaultColWidth="14.1640625" defaultRowHeight="15" customHeight="1"/>
  <cols>
    <col min="1" max="1" width="4.6640625" style="35" customWidth="1"/>
    <col min="2" max="2" width="20.83203125" style="35" customWidth="1"/>
    <col min="3" max="3" width="1.6640625" style="35" customWidth="1"/>
    <col min="4" max="4" width="84.1640625" style="35" customWidth="1"/>
    <col min="5" max="6" width="14.1640625" style="35"/>
    <col min="7" max="7" width="5" style="35" customWidth="1"/>
    <col min="8" max="8" width="15" style="35" customWidth="1"/>
    <col min="9" max="9" width="14" style="35" customWidth="1"/>
    <col min="10" max="12" width="18.33203125" style="35" customWidth="1"/>
    <col min="13" max="13" width="15.6640625" style="35" customWidth="1"/>
    <col min="14" max="24" width="14.1640625" style="35"/>
    <col min="25" max="74" width="14.1640625" style="35" hidden="1" customWidth="1"/>
    <col min="75" max="16384" width="14.1640625" style="35"/>
  </cols>
  <sheetData>
    <row r="1" spans="1:64" ht="34.5" customHeight="1">
      <c r="A1" s="226" t="s">
        <v>1235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AS1" s="64">
        <f>SUM(AJ1:AJ1)</f>
        <v>0</v>
      </c>
      <c r="AT1" s="64">
        <f>SUM(AK1:AK1)</f>
        <v>0</v>
      </c>
      <c r="AU1" s="64">
        <f>SUM(AL1:AL1)</f>
        <v>0</v>
      </c>
    </row>
    <row r="2" spans="1:64" ht="15" customHeight="1">
      <c r="A2" s="65" t="s">
        <v>62</v>
      </c>
      <c r="B2" s="36" t="s">
        <v>287</v>
      </c>
      <c r="C2" s="227" t="s">
        <v>586</v>
      </c>
      <c r="D2" s="227"/>
      <c r="E2" s="227"/>
      <c r="F2" s="228"/>
      <c r="G2" s="36" t="s">
        <v>304</v>
      </c>
      <c r="H2" s="66" t="s">
        <v>515</v>
      </c>
      <c r="I2" s="67" t="s">
        <v>280</v>
      </c>
      <c r="J2" s="231" t="s">
        <v>542</v>
      </c>
      <c r="K2" s="232"/>
      <c r="L2" s="233"/>
      <c r="M2" s="66" t="s">
        <v>233</v>
      </c>
      <c r="BK2" s="68" t="s">
        <v>347</v>
      </c>
      <c r="BL2" s="69" t="s">
        <v>447</v>
      </c>
    </row>
    <row r="3" spans="1:64" ht="15" customHeight="1">
      <c r="A3" s="70" t="s">
        <v>784</v>
      </c>
      <c r="B3" s="71" t="s">
        <v>784</v>
      </c>
      <c r="C3" s="229" t="s">
        <v>849</v>
      </c>
      <c r="D3" s="229"/>
      <c r="E3" s="229"/>
      <c r="F3" s="230"/>
      <c r="G3" s="71" t="s">
        <v>784</v>
      </c>
      <c r="H3" s="71" t="s">
        <v>784</v>
      </c>
      <c r="I3" s="72" t="s">
        <v>802</v>
      </c>
      <c r="J3" s="73" t="s">
        <v>41</v>
      </c>
      <c r="K3" s="74" t="s">
        <v>159</v>
      </c>
      <c r="L3" s="75" t="s">
        <v>81</v>
      </c>
      <c r="M3" s="74" t="s">
        <v>223</v>
      </c>
      <c r="Z3" s="68" t="s">
        <v>660</v>
      </c>
      <c r="AA3" s="68" t="s">
        <v>525</v>
      </c>
      <c r="AB3" s="68" t="s">
        <v>879</v>
      </c>
      <c r="AC3" s="68" t="s">
        <v>243</v>
      </c>
      <c r="AD3" s="68" t="s">
        <v>725</v>
      </c>
      <c r="AE3" s="68" t="s">
        <v>327</v>
      </c>
      <c r="AF3" s="68" t="s">
        <v>758</v>
      </c>
      <c r="AG3" s="68" t="s">
        <v>376</v>
      </c>
      <c r="AH3" s="68" t="s">
        <v>228</v>
      </c>
      <c r="BH3" s="68" t="s">
        <v>661</v>
      </c>
      <c r="BI3" s="68" t="s">
        <v>859</v>
      </c>
      <c r="BJ3" s="68" t="s">
        <v>920</v>
      </c>
    </row>
    <row r="4" spans="1:64" ht="15" customHeight="1">
      <c r="A4" s="76" t="s">
        <v>587</v>
      </c>
      <c r="B4" s="77" t="s">
        <v>255</v>
      </c>
      <c r="C4" s="221" t="s">
        <v>3</v>
      </c>
      <c r="D4" s="221"/>
      <c r="E4" s="221"/>
      <c r="F4" s="221"/>
      <c r="G4" s="78" t="s">
        <v>784</v>
      </c>
      <c r="H4" s="78" t="s">
        <v>784</v>
      </c>
      <c r="I4" s="78" t="s">
        <v>784</v>
      </c>
      <c r="J4" s="64">
        <f>SUM(J5:J5)</f>
        <v>0</v>
      </c>
      <c r="K4" s="64">
        <f>SUM(K5:K5)</f>
        <v>0</v>
      </c>
      <c r="L4" s="64">
        <f>SUM(L5:L5)</f>
        <v>0</v>
      </c>
      <c r="M4" s="79" t="s">
        <v>587</v>
      </c>
      <c r="AI4" s="68" t="s">
        <v>587</v>
      </c>
      <c r="AS4" s="64">
        <f>SUM(AJ5:AJ5)</f>
        <v>0</v>
      </c>
      <c r="AT4" s="64">
        <f>SUM(AK5:AK5)</f>
        <v>0</v>
      </c>
      <c r="AU4" s="64">
        <f>SUM(AL5:AL5)</f>
        <v>0</v>
      </c>
    </row>
    <row r="5" spans="1:64" ht="15" customHeight="1">
      <c r="A5" s="37" t="s">
        <v>842</v>
      </c>
      <c r="B5" s="38" t="s">
        <v>421</v>
      </c>
      <c r="C5" s="195" t="s">
        <v>643</v>
      </c>
      <c r="D5" s="195"/>
      <c r="E5" s="195"/>
      <c r="F5" s="195"/>
      <c r="G5" s="38" t="s">
        <v>812</v>
      </c>
      <c r="H5" s="39">
        <v>5.7</v>
      </c>
      <c r="I5" s="39">
        <v>0</v>
      </c>
      <c r="J5" s="39">
        <f>H5*AO5</f>
        <v>0</v>
      </c>
      <c r="K5" s="39">
        <f>H5*AP5</f>
        <v>0</v>
      </c>
      <c r="L5" s="39">
        <f>H5*I5</f>
        <v>0</v>
      </c>
      <c r="M5" s="80" t="s">
        <v>576</v>
      </c>
      <c r="Z5" s="39">
        <f>IF(AQ5="5",BJ5,0)</f>
        <v>0</v>
      </c>
      <c r="AB5" s="39">
        <f>IF(AQ5="1",BH5,0)</f>
        <v>0</v>
      </c>
      <c r="AC5" s="39">
        <f>IF(AQ5="1",BI5,0)</f>
        <v>0</v>
      </c>
      <c r="AD5" s="39">
        <f>IF(AQ5="7",BH5,0)</f>
        <v>0</v>
      </c>
      <c r="AE5" s="39">
        <f>IF(AQ5="7",BI5,0)</f>
        <v>0</v>
      </c>
      <c r="AF5" s="39">
        <f>IF(AQ5="2",BH5,0)</f>
        <v>0</v>
      </c>
      <c r="AG5" s="39">
        <f>IF(AQ5="2",BI5,0)</f>
        <v>0</v>
      </c>
      <c r="AH5" s="39">
        <f>IF(AQ5="0",BJ5,0)</f>
        <v>0</v>
      </c>
      <c r="AI5" s="68" t="s">
        <v>587</v>
      </c>
      <c r="AJ5" s="39">
        <f>IF(AN5=0,L5,0)</f>
        <v>0</v>
      </c>
      <c r="AK5" s="39">
        <f>IF(AN5=15,L5,0)</f>
        <v>0</v>
      </c>
      <c r="AL5" s="39">
        <f>IF(AN5=21,L5,0)</f>
        <v>0</v>
      </c>
      <c r="AN5" s="39">
        <v>21</v>
      </c>
      <c r="AO5" s="39">
        <f>I5*0</f>
        <v>0</v>
      </c>
      <c r="AP5" s="39">
        <f>I5*(1-0)</f>
        <v>0</v>
      </c>
      <c r="AQ5" s="40" t="s">
        <v>842</v>
      </c>
      <c r="AV5" s="39">
        <f>AW5+AX5</f>
        <v>0</v>
      </c>
      <c r="AW5" s="39">
        <f>H5*AO5</f>
        <v>0</v>
      </c>
      <c r="AX5" s="39">
        <f>H5*AP5</f>
        <v>0</v>
      </c>
      <c r="AY5" s="40" t="s">
        <v>761</v>
      </c>
      <c r="AZ5" s="40" t="s">
        <v>90</v>
      </c>
      <c r="BA5" s="68" t="s">
        <v>648</v>
      </c>
      <c r="BC5" s="39">
        <f>AW5+AX5</f>
        <v>0</v>
      </c>
      <c r="BD5" s="39">
        <f>I5/(100-BE5)*100</f>
        <v>0</v>
      </c>
      <c r="BE5" s="39">
        <v>0</v>
      </c>
      <c r="BF5" s="39">
        <f>13</f>
        <v>13</v>
      </c>
      <c r="BH5" s="39">
        <f>H5*AO5</f>
        <v>0</v>
      </c>
      <c r="BI5" s="39">
        <f>H5*AP5</f>
        <v>0</v>
      </c>
      <c r="BJ5" s="39">
        <f>H5*I5</f>
        <v>0</v>
      </c>
      <c r="BK5" s="39"/>
      <c r="BL5" s="39">
        <v>13</v>
      </c>
    </row>
    <row r="6" spans="1:64" ht="15" customHeight="1">
      <c r="A6" s="76" t="s">
        <v>587</v>
      </c>
      <c r="B6" s="77" t="s">
        <v>73</v>
      </c>
      <c r="C6" s="221" t="s">
        <v>706</v>
      </c>
      <c r="D6" s="221"/>
      <c r="E6" s="221"/>
      <c r="F6" s="221"/>
      <c r="G6" s="78" t="s">
        <v>784</v>
      </c>
      <c r="H6" s="78" t="s">
        <v>784</v>
      </c>
      <c r="I6" s="78" t="s">
        <v>784</v>
      </c>
      <c r="J6" s="64">
        <f>SUM(J7:J7)</f>
        <v>0</v>
      </c>
      <c r="K6" s="64">
        <f>SUM(K7:K7)</f>
        <v>0</v>
      </c>
      <c r="L6" s="64">
        <f>SUM(L7:L7)</f>
        <v>0</v>
      </c>
      <c r="M6" s="79" t="s">
        <v>587</v>
      </c>
      <c r="AI6" s="68" t="s">
        <v>587</v>
      </c>
      <c r="AS6" s="64">
        <f>SUM(AJ7:AJ7)</f>
        <v>0</v>
      </c>
      <c r="AT6" s="64">
        <f>SUM(AK7:AK7)</f>
        <v>0</v>
      </c>
      <c r="AU6" s="64">
        <f>SUM(AL7:AL7)</f>
        <v>0</v>
      </c>
    </row>
    <row r="7" spans="1:64" ht="15" customHeight="1">
      <c r="A7" s="37" t="s">
        <v>582</v>
      </c>
      <c r="B7" s="38" t="s">
        <v>7</v>
      </c>
      <c r="C7" s="195" t="s">
        <v>711</v>
      </c>
      <c r="D7" s="195"/>
      <c r="E7" s="195"/>
      <c r="F7" s="195"/>
      <c r="G7" s="38" t="s">
        <v>812</v>
      </c>
      <c r="H7" s="39">
        <v>5.7</v>
      </c>
      <c r="I7" s="39">
        <v>0</v>
      </c>
      <c r="J7" s="39">
        <f>H7*AO7</f>
        <v>0</v>
      </c>
      <c r="K7" s="39">
        <f>H7*AP7</f>
        <v>0</v>
      </c>
      <c r="L7" s="39">
        <f>H7*I7</f>
        <v>0</v>
      </c>
      <c r="M7" s="80" t="s">
        <v>576</v>
      </c>
      <c r="Z7" s="39">
        <f>IF(AQ7="5",BJ7,0)</f>
        <v>0</v>
      </c>
      <c r="AB7" s="39">
        <f>IF(AQ7="1",BH7,0)</f>
        <v>0</v>
      </c>
      <c r="AC7" s="39">
        <f>IF(AQ7="1",BI7,0)</f>
        <v>0</v>
      </c>
      <c r="AD7" s="39">
        <f>IF(AQ7="7",BH7,0)</f>
        <v>0</v>
      </c>
      <c r="AE7" s="39">
        <f>IF(AQ7="7",BI7,0)</f>
        <v>0</v>
      </c>
      <c r="AF7" s="39">
        <f>IF(AQ7="2",BH7,0)</f>
        <v>0</v>
      </c>
      <c r="AG7" s="39">
        <f>IF(AQ7="2",BI7,0)</f>
        <v>0</v>
      </c>
      <c r="AH7" s="39">
        <f>IF(AQ7="0",BJ7,0)</f>
        <v>0</v>
      </c>
      <c r="AI7" s="68" t="s">
        <v>587</v>
      </c>
      <c r="AJ7" s="39">
        <f>IF(AN7=0,L7,0)</f>
        <v>0</v>
      </c>
      <c r="AK7" s="39">
        <f>IF(AN7=15,L7,0)</f>
        <v>0</v>
      </c>
      <c r="AL7" s="39">
        <f>IF(AN7=21,L7,0)</f>
        <v>0</v>
      </c>
      <c r="AN7" s="39">
        <v>21</v>
      </c>
      <c r="AO7" s="39">
        <f>I7*0</f>
        <v>0</v>
      </c>
      <c r="AP7" s="39">
        <f>I7*(1-0)</f>
        <v>0</v>
      </c>
      <c r="AQ7" s="40" t="s">
        <v>842</v>
      </c>
      <c r="AV7" s="39">
        <f>AW7+AX7</f>
        <v>0</v>
      </c>
      <c r="AW7" s="39">
        <f>H7*AO7</f>
        <v>0</v>
      </c>
      <c r="AX7" s="39">
        <f>H7*AP7</f>
        <v>0</v>
      </c>
      <c r="AY7" s="40" t="s">
        <v>785</v>
      </c>
      <c r="AZ7" s="40" t="s">
        <v>90</v>
      </c>
      <c r="BA7" s="68" t="s">
        <v>648</v>
      </c>
      <c r="BC7" s="39">
        <f>AW7+AX7</f>
        <v>0</v>
      </c>
      <c r="BD7" s="39">
        <f>I7/(100-BE7)*100</f>
        <v>0</v>
      </c>
      <c r="BE7" s="39">
        <v>0</v>
      </c>
      <c r="BF7" s="39">
        <f>15</f>
        <v>15</v>
      </c>
      <c r="BH7" s="39">
        <f>H7*AO7</f>
        <v>0</v>
      </c>
      <c r="BI7" s="39">
        <f>H7*AP7</f>
        <v>0</v>
      </c>
      <c r="BJ7" s="39">
        <f>H7*I7</f>
        <v>0</v>
      </c>
      <c r="BK7" s="39"/>
      <c r="BL7" s="39">
        <v>16</v>
      </c>
    </row>
    <row r="8" spans="1:64" ht="13.5" customHeight="1">
      <c r="A8" s="81"/>
      <c r="B8" s="82" t="s">
        <v>440</v>
      </c>
      <c r="C8" s="223" t="s">
        <v>696</v>
      </c>
      <c r="D8" s="224"/>
      <c r="E8" s="224"/>
      <c r="F8" s="224"/>
      <c r="G8" s="224"/>
      <c r="H8" s="224"/>
      <c r="I8" s="224"/>
      <c r="J8" s="224"/>
      <c r="K8" s="224"/>
      <c r="L8" s="224"/>
      <c r="M8" s="225"/>
    </row>
    <row r="9" spans="1:64" ht="15" customHeight="1">
      <c r="A9" s="76" t="s">
        <v>587</v>
      </c>
      <c r="B9" s="77" t="s">
        <v>590</v>
      </c>
      <c r="C9" s="221" t="s">
        <v>115</v>
      </c>
      <c r="D9" s="221"/>
      <c r="E9" s="221"/>
      <c r="F9" s="221"/>
      <c r="G9" s="78" t="s">
        <v>784</v>
      </c>
      <c r="H9" s="78" t="s">
        <v>784</v>
      </c>
      <c r="I9" s="78" t="s">
        <v>784</v>
      </c>
      <c r="J9" s="64">
        <f>SUM(J10:J12)</f>
        <v>0</v>
      </c>
      <c r="K9" s="64">
        <f>SUM(K10:K12)</f>
        <v>0</v>
      </c>
      <c r="L9" s="64">
        <f>SUM(L10:L12)</f>
        <v>0</v>
      </c>
      <c r="M9" s="79" t="s">
        <v>587</v>
      </c>
      <c r="AI9" s="68" t="s">
        <v>587</v>
      </c>
      <c r="AS9" s="64">
        <f>SUM(AJ10:AJ12)</f>
        <v>0</v>
      </c>
      <c r="AT9" s="64">
        <f>SUM(AK10:AK12)</f>
        <v>0</v>
      </c>
      <c r="AU9" s="64">
        <f>SUM(AL10:AL12)</f>
        <v>0</v>
      </c>
    </row>
    <row r="10" spans="1:64" ht="15" customHeight="1">
      <c r="A10" s="37" t="s">
        <v>732</v>
      </c>
      <c r="B10" s="38" t="s">
        <v>279</v>
      </c>
      <c r="C10" s="195" t="s">
        <v>79</v>
      </c>
      <c r="D10" s="195"/>
      <c r="E10" s="195"/>
      <c r="F10" s="195"/>
      <c r="G10" s="38" t="s">
        <v>812</v>
      </c>
      <c r="H10" s="39">
        <v>5.7</v>
      </c>
      <c r="I10" s="39">
        <v>0</v>
      </c>
      <c r="J10" s="39">
        <f>H10*AO10</f>
        <v>0</v>
      </c>
      <c r="K10" s="39">
        <f>H10*AP10</f>
        <v>0</v>
      </c>
      <c r="L10" s="39">
        <f>H10*I10</f>
        <v>0</v>
      </c>
      <c r="M10" s="80" t="s">
        <v>576</v>
      </c>
      <c r="Z10" s="39">
        <f>IF(AQ10="5",BJ10,0)</f>
        <v>0</v>
      </c>
      <c r="AB10" s="39">
        <f>IF(AQ10="1",BH10,0)</f>
        <v>0</v>
      </c>
      <c r="AC10" s="39">
        <f>IF(AQ10="1",BI10,0)</f>
        <v>0</v>
      </c>
      <c r="AD10" s="39">
        <f>IF(AQ10="7",BH10,0)</f>
        <v>0</v>
      </c>
      <c r="AE10" s="39">
        <f>IF(AQ10="7",BI10,0)</f>
        <v>0</v>
      </c>
      <c r="AF10" s="39">
        <f>IF(AQ10="2",BH10,0)</f>
        <v>0</v>
      </c>
      <c r="AG10" s="39">
        <f>IF(AQ10="2",BI10,0)</f>
        <v>0</v>
      </c>
      <c r="AH10" s="39">
        <f>IF(AQ10="0",BJ10,0)</f>
        <v>0</v>
      </c>
      <c r="AI10" s="68" t="s">
        <v>587</v>
      </c>
      <c r="AJ10" s="39">
        <f>IF(AN10=0,L10,0)</f>
        <v>0</v>
      </c>
      <c r="AK10" s="39">
        <f>IF(AN10=15,L10,0)</f>
        <v>0</v>
      </c>
      <c r="AL10" s="39">
        <f>IF(AN10=21,L10,0)</f>
        <v>0</v>
      </c>
      <c r="AN10" s="39">
        <v>21</v>
      </c>
      <c r="AO10" s="39">
        <f>I10*0</f>
        <v>0</v>
      </c>
      <c r="AP10" s="39">
        <f>I10*(1-0)</f>
        <v>0</v>
      </c>
      <c r="AQ10" s="40" t="s">
        <v>842</v>
      </c>
      <c r="AV10" s="39">
        <f>AW10+AX10</f>
        <v>0</v>
      </c>
      <c r="AW10" s="39">
        <f>H10*AO10</f>
        <v>0</v>
      </c>
      <c r="AX10" s="39">
        <f>H10*AP10</f>
        <v>0</v>
      </c>
      <c r="AY10" s="40" t="s">
        <v>172</v>
      </c>
      <c r="AZ10" s="40" t="s">
        <v>90</v>
      </c>
      <c r="BA10" s="68" t="s">
        <v>648</v>
      </c>
      <c r="BC10" s="39">
        <f>AW10+AX10</f>
        <v>0</v>
      </c>
      <c r="BD10" s="39">
        <f>I10/(100-BE10)*100</f>
        <v>0</v>
      </c>
      <c r="BE10" s="39">
        <v>0</v>
      </c>
      <c r="BF10" s="39">
        <f>18</f>
        <v>18</v>
      </c>
      <c r="BH10" s="39">
        <f>H10*AO10</f>
        <v>0</v>
      </c>
      <c r="BI10" s="39">
        <f>H10*AP10</f>
        <v>0</v>
      </c>
      <c r="BJ10" s="39">
        <f>H10*I10</f>
        <v>0</v>
      </c>
      <c r="BK10" s="39"/>
      <c r="BL10" s="39">
        <v>17</v>
      </c>
    </row>
    <row r="11" spans="1:64" ht="15" customHeight="1">
      <c r="A11" s="37" t="s">
        <v>92</v>
      </c>
      <c r="B11" s="38" t="s">
        <v>573</v>
      </c>
      <c r="C11" s="195" t="s">
        <v>906</v>
      </c>
      <c r="D11" s="195"/>
      <c r="E11" s="195"/>
      <c r="F11" s="195"/>
      <c r="G11" s="38" t="s">
        <v>812</v>
      </c>
      <c r="H11" s="39">
        <v>5.7</v>
      </c>
      <c r="I11" s="39">
        <v>0</v>
      </c>
      <c r="J11" s="39">
        <f>H11*AO11</f>
        <v>0</v>
      </c>
      <c r="K11" s="39">
        <f>H11*AP11</f>
        <v>0</v>
      </c>
      <c r="L11" s="39">
        <f>H11*I11</f>
        <v>0</v>
      </c>
      <c r="M11" s="80" t="s">
        <v>576</v>
      </c>
      <c r="Z11" s="39">
        <f>IF(AQ11="5",BJ11,0)</f>
        <v>0</v>
      </c>
      <c r="AB11" s="39">
        <f>IF(AQ11="1",BH11,0)</f>
        <v>0</v>
      </c>
      <c r="AC11" s="39">
        <f>IF(AQ11="1",BI11,0)</f>
        <v>0</v>
      </c>
      <c r="AD11" s="39">
        <f>IF(AQ11="7",BH11,0)</f>
        <v>0</v>
      </c>
      <c r="AE11" s="39">
        <f>IF(AQ11="7",BI11,0)</f>
        <v>0</v>
      </c>
      <c r="AF11" s="39">
        <f>IF(AQ11="2",BH11,0)</f>
        <v>0</v>
      </c>
      <c r="AG11" s="39">
        <f>IF(AQ11="2",BI11,0)</f>
        <v>0</v>
      </c>
      <c r="AH11" s="39">
        <f>IF(AQ11="0",BJ11,0)</f>
        <v>0</v>
      </c>
      <c r="AI11" s="68" t="s">
        <v>587</v>
      </c>
      <c r="AJ11" s="39">
        <f>IF(AN11=0,L11,0)</f>
        <v>0</v>
      </c>
      <c r="AK11" s="39">
        <f>IF(AN11=15,L11,0)</f>
        <v>0</v>
      </c>
      <c r="AL11" s="39">
        <f>IF(AN11=21,L11,0)</f>
        <v>0</v>
      </c>
      <c r="AN11" s="39">
        <v>21</v>
      </c>
      <c r="AO11" s="39">
        <f>I11*0</f>
        <v>0</v>
      </c>
      <c r="AP11" s="39">
        <f>I11*(1-0)</f>
        <v>0</v>
      </c>
      <c r="AQ11" s="40" t="s">
        <v>842</v>
      </c>
      <c r="AV11" s="39">
        <f>AW11+AX11</f>
        <v>0</v>
      </c>
      <c r="AW11" s="39">
        <f>H11*AO11</f>
        <v>0</v>
      </c>
      <c r="AX11" s="39">
        <f>H11*AP11</f>
        <v>0</v>
      </c>
      <c r="AY11" s="40" t="s">
        <v>172</v>
      </c>
      <c r="AZ11" s="40" t="s">
        <v>90</v>
      </c>
      <c r="BA11" s="68" t="s">
        <v>648</v>
      </c>
      <c r="BC11" s="39">
        <f>AW11+AX11</f>
        <v>0</v>
      </c>
      <c r="BD11" s="39">
        <f>I11/(100-BE11)*100</f>
        <v>0</v>
      </c>
      <c r="BE11" s="39">
        <v>0</v>
      </c>
      <c r="BF11" s="39">
        <f>19</f>
        <v>19</v>
      </c>
      <c r="BH11" s="39">
        <f>H11*AO11</f>
        <v>0</v>
      </c>
      <c r="BI11" s="39">
        <f>H11*AP11</f>
        <v>0</v>
      </c>
      <c r="BJ11" s="39">
        <f>H11*I11</f>
        <v>0</v>
      </c>
      <c r="BK11" s="39"/>
      <c r="BL11" s="39">
        <v>17</v>
      </c>
    </row>
    <row r="12" spans="1:64" ht="15" customHeight="1">
      <c r="A12" s="37" t="s">
        <v>454</v>
      </c>
      <c r="B12" s="38" t="s">
        <v>740</v>
      </c>
      <c r="C12" s="195" t="s">
        <v>356</v>
      </c>
      <c r="D12" s="195"/>
      <c r="E12" s="195"/>
      <c r="F12" s="195"/>
      <c r="G12" s="38" t="s">
        <v>812</v>
      </c>
      <c r="H12" s="39">
        <v>6.0839999999999996</v>
      </c>
      <c r="I12" s="39">
        <v>0</v>
      </c>
      <c r="J12" s="39">
        <f>H12*AO12</f>
        <v>0</v>
      </c>
      <c r="K12" s="39">
        <f>H12*AP12</f>
        <v>0</v>
      </c>
      <c r="L12" s="39">
        <f>H12*I12</f>
        <v>0</v>
      </c>
      <c r="M12" s="80" t="s">
        <v>576</v>
      </c>
      <c r="Z12" s="39">
        <f>IF(AQ12="5",BJ12,0)</f>
        <v>0</v>
      </c>
      <c r="AB12" s="39">
        <f>IF(AQ12="1",BH12,0)</f>
        <v>0</v>
      </c>
      <c r="AC12" s="39">
        <f>IF(AQ12="1",BI12,0)</f>
        <v>0</v>
      </c>
      <c r="AD12" s="39">
        <f>IF(AQ12="7",BH12,0)</f>
        <v>0</v>
      </c>
      <c r="AE12" s="39">
        <f>IF(AQ12="7",BI12,0)</f>
        <v>0</v>
      </c>
      <c r="AF12" s="39">
        <f>IF(AQ12="2",BH12,0)</f>
        <v>0</v>
      </c>
      <c r="AG12" s="39">
        <f>IF(AQ12="2",BI12,0)</f>
        <v>0</v>
      </c>
      <c r="AH12" s="39">
        <f>IF(AQ12="0",BJ12,0)</f>
        <v>0</v>
      </c>
      <c r="AI12" s="68" t="s">
        <v>587</v>
      </c>
      <c r="AJ12" s="39">
        <f>IF(AN12=0,L12,0)</f>
        <v>0</v>
      </c>
      <c r="AK12" s="39">
        <f>IF(AN12=15,L12,0)</f>
        <v>0</v>
      </c>
      <c r="AL12" s="39">
        <f>IF(AN12=21,L12,0)</f>
        <v>0</v>
      </c>
      <c r="AN12" s="39">
        <v>21</v>
      </c>
      <c r="AO12" s="39">
        <f>I12*0.563822067986434</f>
        <v>0</v>
      </c>
      <c r="AP12" s="39">
        <f>I12*(1-0.563822067986434)</f>
        <v>0</v>
      </c>
      <c r="AQ12" s="40" t="s">
        <v>842</v>
      </c>
      <c r="AV12" s="39">
        <f>AW12+AX12</f>
        <v>0</v>
      </c>
      <c r="AW12" s="39">
        <f>H12*AO12</f>
        <v>0</v>
      </c>
      <c r="AX12" s="39">
        <f>H12*AP12</f>
        <v>0</v>
      </c>
      <c r="AY12" s="40" t="s">
        <v>172</v>
      </c>
      <c r="AZ12" s="40" t="s">
        <v>90</v>
      </c>
      <c r="BA12" s="68" t="s">
        <v>648</v>
      </c>
      <c r="BC12" s="39">
        <f>AW12+AX12</f>
        <v>0</v>
      </c>
      <c r="BD12" s="39">
        <f>I12/(100-BE12)*100</f>
        <v>0</v>
      </c>
      <c r="BE12" s="39">
        <v>0</v>
      </c>
      <c r="BF12" s="39">
        <f>20</f>
        <v>20</v>
      </c>
      <c r="BH12" s="39">
        <f>H12*AO12</f>
        <v>0</v>
      </c>
      <c r="BI12" s="39">
        <f>H12*AP12</f>
        <v>0</v>
      </c>
      <c r="BJ12" s="39">
        <f>H12*I12</f>
        <v>0</v>
      </c>
      <c r="BK12" s="39"/>
      <c r="BL12" s="39">
        <v>17</v>
      </c>
    </row>
    <row r="13" spans="1:64" ht="13.5" customHeight="1">
      <c r="A13" s="81"/>
      <c r="B13" s="82" t="s">
        <v>440</v>
      </c>
      <c r="C13" s="223" t="s">
        <v>574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5"/>
    </row>
    <row r="14" spans="1:64" ht="15" customHeight="1">
      <c r="A14" s="76" t="s">
        <v>587</v>
      </c>
      <c r="B14" s="77" t="s">
        <v>827</v>
      </c>
      <c r="C14" s="221" t="s">
        <v>698</v>
      </c>
      <c r="D14" s="221"/>
      <c r="E14" s="221"/>
      <c r="F14" s="221"/>
      <c r="G14" s="78" t="s">
        <v>784</v>
      </c>
      <c r="H14" s="78" t="s">
        <v>784</v>
      </c>
      <c r="I14" s="78" t="s">
        <v>784</v>
      </c>
      <c r="J14" s="64">
        <f>SUM(J15:J22)</f>
        <v>0</v>
      </c>
      <c r="K14" s="64">
        <f>SUM(K15:K22)</f>
        <v>0</v>
      </c>
      <c r="L14" s="64">
        <f>SUM(L15:L22)</f>
        <v>0</v>
      </c>
      <c r="M14" s="79" t="s">
        <v>587</v>
      </c>
      <c r="AI14" s="68" t="s">
        <v>587</v>
      </c>
      <c r="AS14" s="64">
        <f>SUM(AJ15:AJ22)</f>
        <v>0</v>
      </c>
      <c r="AT14" s="64">
        <f>SUM(AK15:AK22)</f>
        <v>0</v>
      </c>
      <c r="AU14" s="64">
        <f>SUM(AL15:AL22)</f>
        <v>0</v>
      </c>
    </row>
    <row r="15" spans="1:64" ht="15" customHeight="1">
      <c r="A15" s="37" t="s">
        <v>139</v>
      </c>
      <c r="B15" s="38" t="s">
        <v>236</v>
      </c>
      <c r="C15" s="195" t="s">
        <v>530</v>
      </c>
      <c r="D15" s="195"/>
      <c r="E15" s="195"/>
      <c r="F15" s="195"/>
      <c r="G15" s="38" t="s">
        <v>812</v>
      </c>
      <c r="H15" s="39">
        <v>2.8</v>
      </c>
      <c r="I15" s="39">
        <v>0</v>
      </c>
      <c r="J15" s="39">
        <f>H15*AO15</f>
        <v>0</v>
      </c>
      <c r="K15" s="39">
        <f>H15*AP15</f>
        <v>0</v>
      </c>
      <c r="L15" s="39">
        <f>H15*I15</f>
        <v>0</v>
      </c>
      <c r="M15" s="80" t="s">
        <v>576</v>
      </c>
      <c r="Z15" s="39">
        <f>IF(AQ15="5",BJ15,0)</f>
        <v>0</v>
      </c>
      <c r="AB15" s="39">
        <f>IF(AQ15="1",BH15,0)</f>
        <v>0</v>
      </c>
      <c r="AC15" s="39">
        <f>IF(AQ15="1",BI15,0)</f>
        <v>0</v>
      </c>
      <c r="AD15" s="39">
        <f>IF(AQ15="7",BH15,0)</f>
        <v>0</v>
      </c>
      <c r="AE15" s="39">
        <f>IF(AQ15="7",BI15,0)</f>
        <v>0</v>
      </c>
      <c r="AF15" s="39">
        <f>IF(AQ15="2",BH15,0)</f>
        <v>0</v>
      </c>
      <c r="AG15" s="39">
        <f>IF(AQ15="2",BI15,0)</f>
        <v>0</v>
      </c>
      <c r="AH15" s="39">
        <f>IF(AQ15="0",BJ15,0)</f>
        <v>0</v>
      </c>
      <c r="AI15" s="68" t="s">
        <v>587</v>
      </c>
      <c r="AJ15" s="39">
        <f>IF(AN15=0,L15,0)</f>
        <v>0</v>
      </c>
      <c r="AK15" s="39">
        <f>IF(AN15=15,L15,0)</f>
        <v>0</v>
      </c>
      <c r="AL15" s="39">
        <f>IF(AN15=21,L15,0)</f>
        <v>0</v>
      </c>
      <c r="AN15" s="39">
        <v>21</v>
      </c>
      <c r="AO15" s="39">
        <f>I15*0.906171761280932</f>
        <v>0</v>
      </c>
      <c r="AP15" s="39">
        <f>I15*(1-0.906171761280932)</f>
        <v>0</v>
      </c>
      <c r="AQ15" s="40" t="s">
        <v>842</v>
      </c>
      <c r="AV15" s="39">
        <f>AW15+AX15</f>
        <v>0</v>
      </c>
      <c r="AW15" s="39">
        <f>H15*AO15</f>
        <v>0</v>
      </c>
      <c r="AX15" s="39">
        <f>H15*AP15</f>
        <v>0</v>
      </c>
      <c r="AY15" s="40" t="s">
        <v>581</v>
      </c>
      <c r="AZ15" s="40" t="s">
        <v>125</v>
      </c>
      <c r="BA15" s="68" t="s">
        <v>648</v>
      </c>
      <c r="BC15" s="39">
        <f>AW15+AX15</f>
        <v>0</v>
      </c>
      <c r="BD15" s="39">
        <f>I15/(100-BE15)*100</f>
        <v>0</v>
      </c>
      <c r="BE15" s="39">
        <v>0</v>
      </c>
      <c r="BF15" s="39">
        <f>23</f>
        <v>23</v>
      </c>
      <c r="BH15" s="39">
        <f>H15*AO15</f>
        <v>0</v>
      </c>
      <c r="BI15" s="39">
        <f>H15*AP15</f>
        <v>0</v>
      </c>
      <c r="BJ15" s="39">
        <f>H15*I15</f>
        <v>0</v>
      </c>
      <c r="BK15" s="39"/>
      <c r="BL15" s="39">
        <v>27</v>
      </c>
    </row>
    <row r="16" spans="1:64" ht="15" customHeight="1">
      <c r="A16" s="37" t="s">
        <v>846</v>
      </c>
      <c r="B16" s="38" t="s">
        <v>770</v>
      </c>
      <c r="C16" s="195" t="s">
        <v>733</v>
      </c>
      <c r="D16" s="195"/>
      <c r="E16" s="195"/>
      <c r="F16" s="195"/>
      <c r="G16" s="38" t="s">
        <v>831</v>
      </c>
      <c r="H16" s="39">
        <v>2.0299999999999998</v>
      </c>
      <c r="I16" s="39">
        <v>0</v>
      </c>
      <c r="J16" s="39">
        <f>H16*AO16</f>
        <v>0</v>
      </c>
      <c r="K16" s="39">
        <f>H16*AP16</f>
        <v>0</v>
      </c>
      <c r="L16" s="39">
        <f>H16*I16</f>
        <v>0</v>
      </c>
      <c r="M16" s="80" t="s">
        <v>576</v>
      </c>
      <c r="Z16" s="39">
        <f>IF(AQ16="5",BJ16,0)</f>
        <v>0</v>
      </c>
      <c r="AB16" s="39">
        <f>IF(AQ16="1",BH16,0)</f>
        <v>0</v>
      </c>
      <c r="AC16" s="39">
        <f>IF(AQ16="1",BI16,0)</f>
        <v>0</v>
      </c>
      <c r="AD16" s="39">
        <f>IF(AQ16="7",BH16,0)</f>
        <v>0</v>
      </c>
      <c r="AE16" s="39">
        <f>IF(AQ16="7",BI16,0)</f>
        <v>0</v>
      </c>
      <c r="AF16" s="39">
        <f>IF(AQ16="2",BH16,0)</f>
        <v>0</v>
      </c>
      <c r="AG16" s="39">
        <f>IF(AQ16="2",BI16,0)</f>
        <v>0</v>
      </c>
      <c r="AH16" s="39">
        <f>IF(AQ16="0",BJ16,0)</f>
        <v>0</v>
      </c>
      <c r="AI16" s="68" t="s">
        <v>587</v>
      </c>
      <c r="AJ16" s="39">
        <f>IF(AN16=0,L16,0)</f>
        <v>0</v>
      </c>
      <c r="AK16" s="39">
        <f>IF(AN16=15,L16,0)</f>
        <v>0</v>
      </c>
      <c r="AL16" s="39">
        <f>IF(AN16=21,L16,0)</f>
        <v>0</v>
      </c>
      <c r="AN16" s="39">
        <v>21</v>
      </c>
      <c r="AO16" s="39">
        <f>I16*0.256727618655834</f>
        <v>0</v>
      </c>
      <c r="AP16" s="39">
        <f>I16*(1-0.256727618655834)</f>
        <v>0</v>
      </c>
      <c r="AQ16" s="40" t="s">
        <v>842</v>
      </c>
      <c r="AV16" s="39">
        <f>AW16+AX16</f>
        <v>0</v>
      </c>
      <c r="AW16" s="39">
        <f>H16*AO16</f>
        <v>0</v>
      </c>
      <c r="AX16" s="39">
        <f>H16*AP16</f>
        <v>0</v>
      </c>
      <c r="AY16" s="40" t="s">
        <v>581</v>
      </c>
      <c r="AZ16" s="40" t="s">
        <v>125</v>
      </c>
      <c r="BA16" s="68" t="s">
        <v>648</v>
      </c>
      <c r="BC16" s="39">
        <f>AW16+AX16</f>
        <v>0</v>
      </c>
      <c r="BD16" s="39">
        <f>I16/(100-BE16)*100</f>
        <v>0</v>
      </c>
      <c r="BE16" s="39">
        <v>0</v>
      </c>
      <c r="BF16" s="39">
        <f>24</f>
        <v>24</v>
      </c>
      <c r="BH16" s="39">
        <f>H16*AO16</f>
        <v>0</v>
      </c>
      <c r="BI16" s="39">
        <f>H16*AP16</f>
        <v>0</v>
      </c>
      <c r="BJ16" s="39">
        <f>H16*I16</f>
        <v>0</v>
      </c>
      <c r="BK16" s="39"/>
      <c r="BL16" s="39">
        <v>27</v>
      </c>
    </row>
    <row r="17" spans="1:64" ht="15" customHeight="1">
      <c r="A17" s="37" t="s">
        <v>670</v>
      </c>
      <c r="B17" s="38" t="s">
        <v>238</v>
      </c>
      <c r="C17" s="195" t="s">
        <v>610</v>
      </c>
      <c r="D17" s="195"/>
      <c r="E17" s="195"/>
      <c r="F17" s="195"/>
      <c r="G17" s="38" t="s">
        <v>831</v>
      </c>
      <c r="H17" s="39">
        <v>2.0299999999999998</v>
      </c>
      <c r="I17" s="39">
        <v>0</v>
      </c>
      <c r="J17" s="39">
        <f>H17*AO17</f>
        <v>0</v>
      </c>
      <c r="K17" s="39">
        <f>H17*AP17</f>
        <v>0</v>
      </c>
      <c r="L17" s="39">
        <f>H17*I17</f>
        <v>0</v>
      </c>
      <c r="M17" s="80" t="s">
        <v>576</v>
      </c>
      <c r="Z17" s="39">
        <f>IF(AQ17="5",BJ17,0)</f>
        <v>0</v>
      </c>
      <c r="AB17" s="39">
        <f>IF(AQ17="1",BH17,0)</f>
        <v>0</v>
      </c>
      <c r="AC17" s="39">
        <f>IF(AQ17="1",BI17,0)</f>
        <v>0</v>
      </c>
      <c r="AD17" s="39">
        <f>IF(AQ17="7",BH17,0)</f>
        <v>0</v>
      </c>
      <c r="AE17" s="39">
        <f>IF(AQ17="7",BI17,0)</f>
        <v>0</v>
      </c>
      <c r="AF17" s="39">
        <f>IF(AQ17="2",BH17,0)</f>
        <v>0</v>
      </c>
      <c r="AG17" s="39">
        <f>IF(AQ17="2",BI17,0)</f>
        <v>0</v>
      </c>
      <c r="AH17" s="39">
        <f>IF(AQ17="0",BJ17,0)</f>
        <v>0</v>
      </c>
      <c r="AI17" s="68" t="s">
        <v>587</v>
      </c>
      <c r="AJ17" s="39">
        <f>IF(AN17=0,L17,0)</f>
        <v>0</v>
      </c>
      <c r="AK17" s="39">
        <f>IF(AN17=15,L17,0)</f>
        <v>0</v>
      </c>
      <c r="AL17" s="39">
        <f>IF(AN17=21,L17,0)</f>
        <v>0</v>
      </c>
      <c r="AN17" s="39">
        <v>21</v>
      </c>
      <c r="AO17" s="39">
        <f>I17*0</f>
        <v>0</v>
      </c>
      <c r="AP17" s="39">
        <f>I17*(1-0)</f>
        <v>0</v>
      </c>
      <c r="AQ17" s="40" t="s">
        <v>842</v>
      </c>
      <c r="AV17" s="39">
        <f>AW17+AX17</f>
        <v>0</v>
      </c>
      <c r="AW17" s="39">
        <f>H17*AO17</f>
        <v>0</v>
      </c>
      <c r="AX17" s="39">
        <f>H17*AP17</f>
        <v>0</v>
      </c>
      <c r="AY17" s="40" t="s">
        <v>581</v>
      </c>
      <c r="AZ17" s="40" t="s">
        <v>125</v>
      </c>
      <c r="BA17" s="68" t="s">
        <v>648</v>
      </c>
      <c r="BC17" s="39">
        <f>AW17+AX17</f>
        <v>0</v>
      </c>
      <c r="BD17" s="39">
        <f>I17/(100-BE17)*100</f>
        <v>0</v>
      </c>
      <c r="BE17" s="39">
        <v>0</v>
      </c>
      <c r="BF17" s="39">
        <f>25</f>
        <v>25</v>
      </c>
      <c r="BH17" s="39">
        <f>H17*AO17</f>
        <v>0</v>
      </c>
      <c r="BI17" s="39">
        <f>H17*AP17</f>
        <v>0</v>
      </c>
      <c r="BJ17" s="39">
        <f>H17*I17</f>
        <v>0</v>
      </c>
      <c r="BK17" s="39"/>
      <c r="BL17" s="39">
        <v>27</v>
      </c>
    </row>
    <row r="18" spans="1:64" ht="15" customHeight="1">
      <c r="A18" s="37" t="s">
        <v>332</v>
      </c>
      <c r="B18" s="38" t="s">
        <v>688</v>
      </c>
      <c r="C18" s="195" t="s">
        <v>363</v>
      </c>
      <c r="D18" s="195"/>
      <c r="E18" s="195"/>
      <c r="F18" s="195"/>
      <c r="G18" s="38" t="s">
        <v>401</v>
      </c>
      <c r="H18" s="39">
        <v>0.23499999999999999</v>
      </c>
      <c r="I18" s="39">
        <v>0</v>
      </c>
      <c r="J18" s="39">
        <f>H18*AO18</f>
        <v>0</v>
      </c>
      <c r="K18" s="39">
        <f>H18*AP18</f>
        <v>0</v>
      </c>
      <c r="L18" s="39">
        <f>H18*I18</f>
        <v>0</v>
      </c>
      <c r="M18" s="80" t="s">
        <v>576</v>
      </c>
      <c r="Z18" s="39">
        <f>IF(AQ18="5",BJ18,0)</f>
        <v>0</v>
      </c>
      <c r="AB18" s="39">
        <f>IF(AQ18="1",BH18,0)</f>
        <v>0</v>
      </c>
      <c r="AC18" s="39">
        <f>IF(AQ18="1",BI18,0)</f>
        <v>0</v>
      </c>
      <c r="AD18" s="39">
        <f>IF(AQ18="7",BH18,0)</f>
        <v>0</v>
      </c>
      <c r="AE18" s="39">
        <f>IF(AQ18="7",BI18,0)</f>
        <v>0</v>
      </c>
      <c r="AF18" s="39">
        <f>IF(AQ18="2",BH18,0)</f>
        <v>0</v>
      </c>
      <c r="AG18" s="39">
        <f>IF(AQ18="2",BI18,0)</f>
        <v>0</v>
      </c>
      <c r="AH18" s="39">
        <f>IF(AQ18="0",BJ18,0)</f>
        <v>0</v>
      </c>
      <c r="AI18" s="68" t="s">
        <v>587</v>
      </c>
      <c r="AJ18" s="39">
        <f>IF(AN18=0,L18,0)</f>
        <v>0</v>
      </c>
      <c r="AK18" s="39">
        <f>IF(AN18=15,L18,0)</f>
        <v>0</v>
      </c>
      <c r="AL18" s="39">
        <f>IF(AN18=21,L18,0)</f>
        <v>0</v>
      </c>
      <c r="AN18" s="39">
        <v>21</v>
      </c>
      <c r="AO18" s="39">
        <f>I18*0.841384496539748</f>
        <v>0</v>
      </c>
      <c r="AP18" s="39">
        <f>I18*(1-0.841384496539748)</f>
        <v>0</v>
      </c>
      <c r="AQ18" s="40" t="s">
        <v>842</v>
      </c>
      <c r="AV18" s="39">
        <f>AW18+AX18</f>
        <v>0</v>
      </c>
      <c r="AW18" s="39">
        <f>H18*AO18</f>
        <v>0</v>
      </c>
      <c r="AX18" s="39">
        <f>H18*AP18</f>
        <v>0</v>
      </c>
      <c r="AY18" s="40" t="s">
        <v>581</v>
      </c>
      <c r="AZ18" s="40" t="s">
        <v>125</v>
      </c>
      <c r="BA18" s="68" t="s">
        <v>648</v>
      </c>
      <c r="BC18" s="39">
        <f>AW18+AX18</f>
        <v>0</v>
      </c>
      <c r="BD18" s="39">
        <f>I18/(100-BE18)*100</f>
        <v>0</v>
      </c>
      <c r="BE18" s="39">
        <v>0</v>
      </c>
      <c r="BF18" s="39">
        <f>26</f>
        <v>26</v>
      </c>
      <c r="BH18" s="39">
        <f>H18*AO18</f>
        <v>0</v>
      </c>
      <c r="BI18" s="39">
        <f>H18*AP18</f>
        <v>0</v>
      </c>
      <c r="BJ18" s="39">
        <f>H18*I18</f>
        <v>0</v>
      </c>
      <c r="BK18" s="39"/>
      <c r="BL18" s="39">
        <v>27</v>
      </c>
    </row>
    <row r="19" spans="1:64" ht="13.5" customHeight="1">
      <c r="A19" s="81"/>
      <c r="B19" s="82" t="s">
        <v>440</v>
      </c>
      <c r="C19" s="223" t="s">
        <v>512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5"/>
    </row>
    <row r="20" spans="1:64" ht="15" customHeight="1">
      <c r="A20" s="37" t="s">
        <v>498</v>
      </c>
      <c r="B20" s="38" t="s">
        <v>600</v>
      </c>
      <c r="C20" s="195" t="s">
        <v>311</v>
      </c>
      <c r="D20" s="195"/>
      <c r="E20" s="195"/>
      <c r="F20" s="195"/>
      <c r="G20" s="38" t="s">
        <v>812</v>
      </c>
      <c r="H20" s="39">
        <v>0.56999999999999995</v>
      </c>
      <c r="I20" s="39">
        <v>0</v>
      </c>
      <c r="J20" s="39">
        <f>H20*AO20</f>
        <v>0</v>
      </c>
      <c r="K20" s="39">
        <f>H20*AP20</f>
        <v>0</v>
      </c>
      <c r="L20" s="39">
        <f>H20*I20</f>
        <v>0</v>
      </c>
      <c r="M20" s="80" t="s">
        <v>576</v>
      </c>
      <c r="Z20" s="39">
        <f>IF(AQ20="5",BJ20,0)</f>
        <v>0</v>
      </c>
      <c r="AB20" s="39">
        <f>IF(AQ20="1",BH20,0)</f>
        <v>0</v>
      </c>
      <c r="AC20" s="39">
        <f>IF(AQ20="1",BI20,0)</f>
        <v>0</v>
      </c>
      <c r="AD20" s="39">
        <f>IF(AQ20="7",BH20,0)</f>
        <v>0</v>
      </c>
      <c r="AE20" s="39">
        <f>IF(AQ20="7",BI20,0)</f>
        <v>0</v>
      </c>
      <c r="AF20" s="39">
        <f>IF(AQ20="2",BH20,0)</f>
        <v>0</v>
      </c>
      <c r="AG20" s="39">
        <f>IF(AQ20="2",BI20,0)</f>
        <v>0</v>
      </c>
      <c r="AH20" s="39">
        <f>IF(AQ20="0",BJ20,0)</f>
        <v>0</v>
      </c>
      <c r="AI20" s="68" t="s">
        <v>587</v>
      </c>
      <c r="AJ20" s="39">
        <f>IF(AN20=0,L20,0)</f>
        <v>0</v>
      </c>
      <c r="AK20" s="39">
        <f>IF(AN20=15,L20,0)</f>
        <v>0</v>
      </c>
      <c r="AL20" s="39">
        <f>IF(AN20=21,L20,0)</f>
        <v>0</v>
      </c>
      <c r="AN20" s="39">
        <v>21</v>
      </c>
      <c r="AO20" s="39">
        <f>I20*0.891496621621621</f>
        <v>0</v>
      </c>
      <c r="AP20" s="39">
        <f>I20*(1-0.891496621621621)</f>
        <v>0</v>
      </c>
      <c r="AQ20" s="40" t="s">
        <v>842</v>
      </c>
      <c r="AV20" s="39">
        <f>AW20+AX20</f>
        <v>0</v>
      </c>
      <c r="AW20" s="39">
        <f>H20*AO20</f>
        <v>0</v>
      </c>
      <c r="AX20" s="39">
        <f>H20*AP20</f>
        <v>0</v>
      </c>
      <c r="AY20" s="40" t="s">
        <v>581</v>
      </c>
      <c r="AZ20" s="40" t="s">
        <v>125</v>
      </c>
      <c r="BA20" s="68" t="s">
        <v>648</v>
      </c>
      <c r="BC20" s="39">
        <f>AW20+AX20</f>
        <v>0</v>
      </c>
      <c r="BD20" s="39">
        <f>I20/(100-BE20)*100</f>
        <v>0</v>
      </c>
      <c r="BE20" s="39">
        <v>0</v>
      </c>
      <c r="BF20" s="39">
        <f>28</f>
        <v>28</v>
      </c>
      <c r="BH20" s="39">
        <f>H20*AO20</f>
        <v>0</v>
      </c>
      <c r="BI20" s="39">
        <f>H20*AP20</f>
        <v>0</v>
      </c>
      <c r="BJ20" s="39">
        <f>H20*I20</f>
        <v>0</v>
      </c>
      <c r="BK20" s="39"/>
      <c r="BL20" s="39">
        <v>27</v>
      </c>
    </row>
    <row r="21" spans="1:64" ht="15" customHeight="1">
      <c r="A21" s="37" t="s">
        <v>708</v>
      </c>
      <c r="B21" s="38" t="s">
        <v>182</v>
      </c>
      <c r="C21" s="195" t="s">
        <v>493</v>
      </c>
      <c r="D21" s="195"/>
      <c r="E21" s="195"/>
      <c r="F21" s="195"/>
      <c r="G21" s="38" t="s">
        <v>812</v>
      </c>
      <c r="H21" s="39">
        <v>5.13</v>
      </c>
      <c r="I21" s="39">
        <v>0</v>
      </c>
      <c r="J21" s="39">
        <f>H21*AO21</f>
        <v>0</v>
      </c>
      <c r="K21" s="39">
        <f>H21*AP21</f>
        <v>0</v>
      </c>
      <c r="L21" s="39">
        <f>H21*I21</f>
        <v>0</v>
      </c>
      <c r="M21" s="80" t="s">
        <v>576</v>
      </c>
      <c r="Z21" s="39">
        <f>IF(AQ21="5",BJ21,0)</f>
        <v>0</v>
      </c>
      <c r="AB21" s="39">
        <f>IF(AQ21="1",BH21,0)</f>
        <v>0</v>
      </c>
      <c r="AC21" s="39">
        <f>IF(AQ21="1",BI21,0)</f>
        <v>0</v>
      </c>
      <c r="AD21" s="39">
        <f>IF(AQ21="7",BH21,0)</f>
        <v>0</v>
      </c>
      <c r="AE21" s="39">
        <f>IF(AQ21="7",BI21,0)</f>
        <v>0</v>
      </c>
      <c r="AF21" s="39">
        <f>IF(AQ21="2",BH21,0)</f>
        <v>0</v>
      </c>
      <c r="AG21" s="39">
        <f>IF(AQ21="2",BI21,0)</f>
        <v>0</v>
      </c>
      <c r="AH21" s="39">
        <f>IF(AQ21="0",BJ21,0)</f>
        <v>0</v>
      </c>
      <c r="AI21" s="68" t="s">
        <v>587</v>
      </c>
      <c r="AJ21" s="39">
        <f>IF(AN21=0,L21,0)</f>
        <v>0</v>
      </c>
      <c r="AK21" s="39">
        <f>IF(AN21=15,L21,0)</f>
        <v>0</v>
      </c>
      <c r="AL21" s="39">
        <f>IF(AN21=21,L21,0)</f>
        <v>0</v>
      </c>
      <c r="AN21" s="39">
        <v>21</v>
      </c>
      <c r="AO21" s="39">
        <f>I21*0.896032258064516</f>
        <v>0</v>
      </c>
      <c r="AP21" s="39">
        <f>I21*(1-0.896032258064516)</f>
        <v>0</v>
      </c>
      <c r="AQ21" s="40" t="s">
        <v>842</v>
      </c>
      <c r="AV21" s="39">
        <f>AW21+AX21</f>
        <v>0</v>
      </c>
      <c r="AW21" s="39">
        <f>H21*AO21</f>
        <v>0</v>
      </c>
      <c r="AX21" s="39">
        <f>H21*AP21</f>
        <v>0</v>
      </c>
      <c r="AY21" s="40" t="s">
        <v>581</v>
      </c>
      <c r="AZ21" s="40" t="s">
        <v>125</v>
      </c>
      <c r="BA21" s="68" t="s">
        <v>648</v>
      </c>
      <c r="BC21" s="39">
        <f>AW21+AX21</f>
        <v>0</v>
      </c>
      <c r="BD21" s="39">
        <f>I21/(100-BE21)*100</f>
        <v>0</v>
      </c>
      <c r="BE21" s="39">
        <v>0</v>
      </c>
      <c r="BF21" s="39">
        <f>29</f>
        <v>29</v>
      </c>
      <c r="BH21" s="39">
        <f>H21*AO21</f>
        <v>0</v>
      </c>
      <c r="BI21" s="39">
        <f>H21*AP21</f>
        <v>0</v>
      </c>
      <c r="BJ21" s="39">
        <f>H21*I21</f>
        <v>0</v>
      </c>
      <c r="BK21" s="39"/>
      <c r="BL21" s="39">
        <v>27</v>
      </c>
    </row>
    <row r="22" spans="1:64" ht="15" customHeight="1">
      <c r="A22" s="37" t="s">
        <v>624</v>
      </c>
      <c r="B22" s="38" t="s">
        <v>847</v>
      </c>
      <c r="C22" s="195" t="s">
        <v>19</v>
      </c>
      <c r="D22" s="195"/>
      <c r="E22" s="195"/>
      <c r="F22" s="195"/>
      <c r="G22" s="38" t="s">
        <v>401</v>
      </c>
      <c r="H22" s="39">
        <v>3.5000000000000003E-2</v>
      </c>
      <c r="I22" s="39">
        <v>0</v>
      </c>
      <c r="J22" s="39">
        <f>H22*AO22</f>
        <v>0</v>
      </c>
      <c r="K22" s="39">
        <f>H22*AP22</f>
        <v>0</v>
      </c>
      <c r="L22" s="39">
        <f>H22*I22</f>
        <v>0</v>
      </c>
      <c r="M22" s="80" t="s">
        <v>576</v>
      </c>
      <c r="Z22" s="39">
        <f>IF(AQ22="5",BJ22,0)</f>
        <v>0</v>
      </c>
      <c r="AB22" s="39">
        <f>IF(AQ22="1",BH22,0)</f>
        <v>0</v>
      </c>
      <c r="AC22" s="39">
        <f>IF(AQ22="1",BI22,0)</f>
        <v>0</v>
      </c>
      <c r="AD22" s="39">
        <f>IF(AQ22="7",BH22,0)</f>
        <v>0</v>
      </c>
      <c r="AE22" s="39">
        <f>IF(AQ22="7",BI22,0)</f>
        <v>0</v>
      </c>
      <c r="AF22" s="39">
        <f>IF(AQ22="2",BH22,0)</f>
        <v>0</v>
      </c>
      <c r="AG22" s="39">
        <f>IF(AQ22="2",BI22,0)</f>
        <v>0</v>
      </c>
      <c r="AH22" s="39">
        <f>IF(AQ22="0",BJ22,0)</f>
        <v>0</v>
      </c>
      <c r="AI22" s="68" t="s">
        <v>587</v>
      </c>
      <c r="AJ22" s="39">
        <f>IF(AN22=0,L22,0)</f>
        <v>0</v>
      </c>
      <c r="AK22" s="39">
        <f>IF(AN22=15,L22,0)</f>
        <v>0</v>
      </c>
      <c r="AL22" s="39">
        <f>IF(AN22=21,L22,0)</f>
        <v>0</v>
      </c>
      <c r="AN22" s="39">
        <v>21</v>
      </c>
      <c r="AO22" s="39">
        <f>I22*0.844407182103611</f>
        <v>0</v>
      </c>
      <c r="AP22" s="39">
        <f>I22*(1-0.844407182103611)</f>
        <v>0</v>
      </c>
      <c r="AQ22" s="40" t="s">
        <v>842</v>
      </c>
      <c r="AV22" s="39">
        <f>AW22+AX22</f>
        <v>0</v>
      </c>
      <c r="AW22" s="39">
        <f>H22*AO22</f>
        <v>0</v>
      </c>
      <c r="AX22" s="39">
        <f>H22*AP22</f>
        <v>0</v>
      </c>
      <c r="AY22" s="40" t="s">
        <v>581</v>
      </c>
      <c r="AZ22" s="40" t="s">
        <v>125</v>
      </c>
      <c r="BA22" s="68" t="s">
        <v>648</v>
      </c>
      <c r="BC22" s="39">
        <f>AW22+AX22</f>
        <v>0</v>
      </c>
      <c r="BD22" s="39">
        <f>I22/(100-BE22)*100</f>
        <v>0</v>
      </c>
      <c r="BE22" s="39">
        <v>0</v>
      </c>
      <c r="BF22" s="39">
        <f>30</f>
        <v>30</v>
      </c>
      <c r="BH22" s="39">
        <f>H22*AO22</f>
        <v>0</v>
      </c>
      <c r="BI22" s="39">
        <f>H22*AP22</f>
        <v>0</v>
      </c>
      <c r="BJ22" s="39">
        <f>H22*I22</f>
        <v>0</v>
      </c>
      <c r="BK22" s="39"/>
      <c r="BL22" s="39">
        <v>27</v>
      </c>
    </row>
    <row r="23" spans="1:64" ht="13.5" customHeight="1">
      <c r="A23" s="81"/>
      <c r="B23" s="82" t="s">
        <v>440</v>
      </c>
      <c r="C23" s="223" t="s">
        <v>568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5"/>
    </row>
    <row r="24" spans="1:64" ht="15" customHeight="1">
      <c r="A24" s="76" t="s">
        <v>587</v>
      </c>
      <c r="B24" s="77" t="s">
        <v>507</v>
      </c>
      <c r="C24" s="221" t="s">
        <v>807</v>
      </c>
      <c r="D24" s="221"/>
      <c r="E24" s="221"/>
      <c r="F24" s="221"/>
      <c r="G24" s="78" t="s">
        <v>784</v>
      </c>
      <c r="H24" s="78" t="s">
        <v>784</v>
      </c>
      <c r="I24" s="78" t="s">
        <v>784</v>
      </c>
      <c r="J24" s="64">
        <f>SUM(J25:J35)</f>
        <v>0</v>
      </c>
      <c r="K24" s="64">
        <f>SUM(K25:K35)</f>
        <v>0</v>
      </c>
      <c r="L24" s="64">
        <f>SUM(L25:L35)</f>
        <v>0</v>
      </c>
      <c r="M24" s="79" t="s">
        <v>587</v>
      </c>
      <c r="AI24" s="68" t="s">
        <v>587</v>
      </c>
      <c r="AS24" s="64">
        <f>SUM(AJ25:AJ35)</f>
        <v>0</v>
      </c>
      <c r="AT24" s="64">
        <f>SUM(AK25:AK35)</f>
        <v>0</v>
      </c>
      <c r="AU24" s="64">
        <f>SUM(AL25:AL35)</f>
        <v>0</v>
      </c>
    </row>
    <row r="25" spans="1:64" ht="15" customHeight="1">
      <c r="A25" s="37" t="s">
        <v>255</v>
      </c>
      <c r="B25" s="38" t="s">
        <v>96</v>
      </c>
      <c r="C25" s="195" t="s">
        <v>529</v>
      </c>
      <c r="D25" s="195"/>
      <c r="E25" s="195"/>
      <c r="F25" s="195"/>
      <c r="G25" s="38" t="s">
        <v>831</v>
      </c>
      <c r="H25" s="39">
        <v>17.786999999999999</v>
      </c>
      <c r="I25" s="39">
        <v>0</v>
      </c>
      <c r="J25" s="39">
        <f>H25*AO25</f>
        <v>0</v>
      </c>
      <c r="K25" s="39">
        <f>H25*AP25</f>
        <v>0</v>
      </c>
      <c r="L25" s="39">
        <f>H25*I25</f>
        <v>0</v>
      </c>
      <c r="M25" s="80" t="s">
        <v>576</v>
      </c>
      <c r="Z25" s="39">
        <f>IF(AQ25="5",BJ25,0)</f>
        <v>0</v>
      </c>
      <c r="AB25" s="39">
        <f>IF(AQ25="1",BH25,0)</f>
        <v>0</v>
      </c>
      <c r="AC25" s="39">
        <f>IF(AQ25="1",BI25,0)</f>
        <v>0</v>
      </c>
      <c r="AD25" s="39">
        <f>IF(AQ25="7",BH25,0)</f>
        <v>0</v>
      </c>
      <c r="AE25" s="39">
        <f>IF(AQ25="7",BI25,0)</f>
        <v>0</v>
      </c>
      <c r="AF25" s="39">
        <f>IF(AQ25="2",BH25,0)</f>
        <v>0</v>
      </c>
      <c r="AG25" s="39">
        <f>IF(AQ25="2",BI25,0)</f>
        <v>0</v>
      </c>
      <c r="AH25" s="39">
        <f>IF(AQ25="0",BJ25,0)</f>
        <v>0</v>
      </c>
      <c r="AI25" s="68" t="s">
        <v>587</v>
      </c>
      <c r="AJ25" s="39">
        <f>IF(AN25=0,L25,0)</f>
        <v>0</v>
      </c>
      <c r="AK25" s="39">
        <f>IF(AN25=15,L25,0)</f>
        <v>0</v>
      </c>
      <c r="AL25" s="39">
        <f>IF(AN25=21,L25,0)</f>
        <v>0</v>
      </c>
      <c r="AN25" s="39">
        <v>21</v>
      </c>
      <c r="AO25" s="39">
        <f>I25*0.707163045193617</f>
        <v>0</v>
      </c>
      <c r="AP25" s="39">
        <f>I25*(1-0.707163045193617)</f>
        <v>0</v>
      </c>
      <c r="AQ25" s="40" t="s">
        <v>842</v>
      </c>
      <c r="AV25" s="39">
        <f>AW25+AX25</f>
        <v>0</v>
      </c>
      <c r="AW25" s="39">
        <f>H25*AO25</f>
        <v>0</v>
      </c>
      <c r="AX25" s="39">
        <f>H25*AP25</f>
        <v>0</v>
      </c>
      <c r="AY25" s="40" t="s">
        <v>609</v>
      </c>
      <c r="AZ25" s="40" t="s">
        <v>44</v>
      </c>
      <c r="BA25" s="68" t="s">
        <v>648</v>
      </c>
      <c r="BC25" s="39">
        <f>AW25+AX25</f>
        <v>0</v>
      </c>
      <c r="BD25" s="39">
        <f>I25/(100-BE25)*100</f>
        <v>0</v>
      </c>
      <c r="BE25" s="39">
        <v>0</v>
      </c>
      <c r="BF25" s="39">
        <f>33</f>
        <v>33</v>
      </c>
      <c r="BH25" s="39">
        <f>H25*AO25</f>
        <v>0</v>
      </c>
      <c r="BI25" s="39">
        <f>H25*AP25</f>
        <v>0</v>
      </c>
      <c r="BJ25" s="39">
        <f>H25*I25</f>
        <v>0</v>
      </c>
      <c r="BK25" s="39"/>
      <c r="BL25" s="39">
        <v>31</v>
      </c>
    </row>
    <row r="26" spans="1:64" ht="13.5" customHeight="1">
      <c r="A26" s="81"/>
      <c r="B26" s="82" t="s">
        <v>440</v>
      </c>
      <c r="C26" s="223" t="s">
        <v>942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5"/>
    </row>
    <row r="27" spans="1:64" ht="15" customHeight="1">
      <c r="A27" s="37" t="s">
        <v>505</v>
      </c>
      <c r="B27" s="38" t="s">
        <v>66</v>
      </c>
      <c r="C27" s="195" t="s">
        <v>226</v>
      </c>
      <c r="D27" s="195"/>
      <c r="E27" s="195"/>
      <c r="F27" s="195"/>
      <c r="G27" s="38" t="s">
        <v>401</v>
      </c>
      <c r="H27" s="39">
        <v>0.14499999999999999</v>
      </c>
      <c r="I27" s="39">
        <v>0</v>
      </c>
      <c r="J27" s="39">
        <f>H27*AO27</f>
        <v>0</v>
      </c>
      <c r="K27" s="39">
        <f>H27*AP27</f>
        <v>0</v>
      </c>
      <c r="L27" s="39">
        <f>H27*I27</f>
        <v>0</v>
      </c>
      <c r="M27" s="80" t="s">
        <v>576</v>
      </c>
      <c r="Z27" s="39">
        <f>IF(AQ27="5",BJ27,0)</f>
        <v>0</v>
      </c>
      <c r="AB27" s="39">
        <f>IF(AQ27="1",BH27,0)</f>
        <v>0</v>
      </c>
      <c r="AC27" s="39">
        <f>IF(AQ27="1",BI27,0)</f>
        <v>0</v>
      </c>
      <c r="AD27" s="39">
        <f>IF(AQ27="7",BH27,0)</f>
        <v>0</v>
      </c>
      <c r="AE27" s="39">
        <f>IF(AQ27="7",BI27,0)</f>
        <v>0</v>
      </c>
      <c r="AF27" s="39">
        <f>IF(AQ27="2",BH27,0)</f>
        <v>0</v>
      </c>
      <c r="AG27" s="39">
        <f>IF(AQ27="2",BI27,0)</f>
        <v>0</v>
      </c>
      <c r="AH27" s="39">
        <f>IF(AQ27="0",BJ27,0)</f>
        <v>0</v>
      </c>
      <c r="AI27" s="68" t="s">
        <v>587</v>
      </c>
      <c r="AJ27" s="39">
        <f>IF(AN27=0,L27,0)</f>
        <v>0</v>
      </c>
      <c r="AK27" s="39">
        <f>IF(AN27=15,L27,0)</f>
        <v>0</v>
      </c>
      <c r="AL27" s="39">
        <f>IF(AN27=21,L27,0)</f>
        <v>0</v>
      </c>
      <c r="AN27" s="39">
        <v>21</v>
      </c>
      <c r="AO27" s="39">
        <f>I27*0.766598460215812</f>
        <v>0</v>
      </c>
      <c r="AP27" s="39">
        <f>I27*(1-0.766598460215812)</f>
        <v>0</v>
      </c>
      <c r="AQ27" s="40" t="s">
        <v>842</v>
      </c>
      <c r="AV27" s="39">
        <f>AW27+AX27</f>
        <v>0</v>
      </c>
      <c r="AW27" s="39">
        <f>H27*AO27</f>
        <v>0</v>
      </c>
      <c r="AX27" s="39">
        <f>H27*AP27</f>
        <v>0</v>
      </c>
      <c r="AY27" s="40" t="s">
        <v>609</v>
      </c>
      <c r="AZ27" s="40" t="s">
        <v>44</v>
      </c>
      <c r="BA27" s="68" t="s">
        <v>648</v>
      </c>
      <c r="BC27" s="39">
        <f>AW27+AX27</f>
        <v>0</v>
      </c>
      <c r="BD27" s="39">
        <f>I27/(100-BE27)*100</f>
        <v>0</v>
      </c>
      <c r="BE27" s="39">
        <v>0</v>
      </c>
      <c r="BF27" s="39">
        <f>35</f>
        <v>35</v>
      </c>
      <c r="BH27" s="39">
        <f>H27*AO27</f>
        <v>0</v>
      </c>
      <c r="BI27" s="39">
        <f>H27*AP27</f>
        <v>0</v>
      </c>
      <c r="BJ27" s="39">
        <f>H27*I27</f>
        <v>0</v>
      </c>
      <c r="BK27" s="39"/>
      <c r="BL27" s="39">
        <v>31</v>
      </c>
    </row>
    <row r="28" spans="1:64" ht="15" customHeight="1">
      <c r="A28" s="37" t="s">
        <v>342</v>
      </c>
      <c r="B28" s="38" t="s">
        <v>271</v>
      </c>
      <c r="C28" s="195" t="s">
        <v>514</v>
      </c>
      <c r="D28" s="195"/>
      <c r="E28" s="195"/>
      <c r="F28" s="195"/>
      <c r="G28" s="38" t="s">
        <v>401</v>
      </c>
      <c r="H28" s="39">
        <v>0.182</v>
      </c>
      <c r="I28" s="39">
        <v>0</v>
      </c>
      <c r="J28" s="39">
        <f>H28*AO28</f>
        <v>0</v>
      </c>
      <c r="K28" s="39">
        <f>H28*AP28</f>
        <v>0</v>
      </c>
      <c r="L28" s="39">
        <f>H28*I28</f>
        <v>0</v>
      </c>
      <c r="M28" s="80" t="s">
        <v>576</v>
      </c>
      <c r="Z28" s="39">
        <f>IF(AQ28="5",BJ28,0)</f>
        <v>0</v>
      </c>
      <c r="AB28" s="39">
        <f>IF(AQ28="1",BH28,0)</f>
        <v>0</v>
      </c>
      <c r="AC28" s="39">
        <f>IF(AQ28="1",BI28,0)</f>
        <v>0</v>
      </c>
      <c r="AD28" s="39">
        <f>IF(AQ28="7",BH28,0)</f>
        <v>0</v>
      </c>
      <c r="AE28" s="39">
        <f>IF(AQ28="7",BI28,0)</f>
        <v>0</v>
      </c>
      <c r="AF28" s="39">
        <f>IF(AQ28="2",BH28,0)</f>
        <v>0</v>
      </c>
      <c r="AG28" s="39">
        <f>IF(AQ28="2",BI28,0)</f>
        <v>0</v>
      </c>
      <c r="AH28" s="39">
        <f>IF(AQ28="0",BJ28,0)</f>
        <v>0</v>
      </c>
      <c r="AI28" s="68" t="s">
        <v>587</v>
      </c>
      <c r="AJ28" s="39">
        <f>IF(AN28=0,L28,0)</f>
        <v>0</v>
      </c>
      <c r="AK28" s="39">
        <f>IF(AN28=15,L28,0)</f>
        <v>0</v>
      </c>
      <c r="AL28" s="39">
        <f>IF(AN28=21,L28,0)</f>
        <v>0</v>
      </c>
      <c r="AN28" s="39">
        <v>21</v>
      </c>
      <c r="AO28" s="39">
        <f>I28*0.598782274374026</f>
        <v>0</v>
      </c>
      <c r="AP28" s="39">
        <f>I28*(1-0.598782274374026)</f>
        <v>0</v>
      </c>
      <c r="AQ28" s="40" t="s">
        <v>842</v>
      </c>
      <c r="AV28" s="39">
        <f>AW28+AX28</f>
        <v>0</v>
      </c>
      <c r="AW28" s="39">
        <f>H28*AO28</f>
        <v>0</v>
      </c>
      <c r="AX28" s="39">
        <f>H28*AP28</f>
        <v>0</v>
      </c>
      <c r="AY28" s="40" t="s">
        <v>609</v>
      </c>
      <c r="AZ28" s="40" t="s">
        <v>44</v>
      </c>
      <c r="BA28" s="68" t="s">
        <v>648</v>
      </c>
      <c r="BC28" s="39">
        <f>AW28+AX28</f>
        <v>0</v>
      </c>
      <c r="BD28" s="39">
        <f>I28/(100-BE28)*100</f>
        <v>0</v>
      </c>
      <c r="BE28" s="39">
        <v>0</v>
      </c>
      <c r="BF28" s="39">
        <f>36</f>
        <v>36</v>
      </c>
      <c r="BH28" s="39">
        <f>H28*AO28</f>
        <v>0</v>
      </c>
      <c r="BI28" s="39">
        <f>H28*AP28</f>
        <v>0</v>
      </c>
      <c r="BJ28" s="39">
        <f>H28*I28</f>
        <v>0</v>
      </c>
      <c r="BK28" s="39"/>
      <c r="BL28" s="39">
        <v>31</v>
      </c>
    </row>
    <row r="29" spans="1:64" ht="13.5" customHeight="1">
      <c r="A29" s="81"/>
      <c r="B29" s="82" t="s">
        <v>440</v>
      </c>
      <c r="C29" s="223" t="s">
        <v>86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5"/>
    </row>
    <row r="30" spans="1:64" ht="15" customHeight="1">
      <c r="A30" s="37" t="s">
        <v>73</v>
      </c>
      <c r="B30" s="38" t="s">
        <v>85</v>
      </c>
      <c r="C30" s="195" t="s">
        <v>35</v>
      </c>
      <c r="D30" s="195"/>
      <c r="E30" s="195"/>
      <c r="F30" s="195"/>
      <c r="G30" s="38" t="s">
        <v>812</v>
      </c>
      <c r="H30" s="39">
        <v>0.224</v>
      </c>
      <c r="I30" s="39">
        <v>0</v>
      </c>
      <c r="J30" s="39">
        <f>H30*AO30</f>
        <v>0</v>
      </c>
      <c r="K30" s="39">
        <f>H30*AP30</f>
        <v>0</v>
      </c>
      <c r="L30" s="39">
        <f>H30*I30</f>
        <v>0</v>
      </c>
      <c r="M30" s="80" t="s">
        <v>576</v>
      </c>
      <c r="Z30" s="39">
        <f>IF(AQ30="5",BJ30,0)</f>
        <v>0</v>
      </c>
      <c r="AB30" s="39">
        <f>IF(AQ30="1",BH30,0)</f>
        <v>0</v>
      </c>
      <c r="AC30" s="39">
        <f>IF(AQ30="1",BI30,0)</f>
        <v>0</v>
      </c>
      <c r="AD30" s="39">
        <f>IF(AQ30="7",BH30,0)</f>
        <v>0</v>
      </c>
      <c r="AE30" s="39">
        <f>IF(AQ30="7",BI30,0)</f>
        <v>0</v>
      </c>
      <c r="AF30" s="39">
        <f>IF(AQ30="2",BH30,0)</f>
        <v>0</v>
      </c>
      <c r="AG30" s="39">
        <f>IF(AQ30="2",BI30,0)</f>
        <v>0</v>
      </c>
      <c r="AH30" s="39">
        <f>IF(AQ30="0",BJ30,0)</f>
        <v>0</v>
      </c>
      <c r="AI30" s="68" t="s">
        <v>587</v>
      </c>
      <c r="AJ30" s="39">
        <f>IF(AN30=0,L30,0)</f>
        <v>0</v>
      </c>
      <c r="AK30" s="39">
        <f>IF(AN30=15,L30,0)</f>
        <v>0</v>
      </c>
      <c r="AL30" s="39">
        <f>IF(AN30=21,L30,0)</f>
        <v>0</v>
      </c>
      <c r="AN30" s="39">
        <v>21</v>
      </c>
      <c r="AO30" s="39">
        <f>I30*0.646535</f>
        <v>0</v>
      </c>
      <c r="AP30" s="39">
        <f>I30*(1-0.646535)</f>
        <v>0</v>
      </c>
      <c r="AQ30" s="40" t="s">
        <v>842</v>
      </c>
      <c r="AV30" s="39">
        <f>AW30+AX30</f>
        <v>0</v>
      </c>
      <c r="AW30" s="39">
        <f>H30*AO30</f>
        <v>0</v>
      </c>
      <c r="AX30" s="39">
        <f>H30*AP30</f>
        <v>0</v>
      </c>
      <c r="AY30" s="40" t="s">
        <v>609</v>
      </c>
      <c r="AZ30" s="40" t="s">
        <v>44</v>
      </c>
      <c r="BA30" s="68" t="s">
        <v>648</v>
      </c>
      <c r="BC30" s="39">
        <f>AW30+AX30</f>
        <v>0</v>
      </c>
      <c r="BD30" s="39">
        <f>I30/(100-BE30)*100</f>
        <v>0</v>
      </c>
      <c r="BE30" s="39">
        <v>0</v>
      </c>
      <c r="BF30" s="39">
        <f>38</f>
        <v>38</v>
      </c>
      <c r="BH30" s="39">
        <f>H30*AO30</f>
        <v>0</v>
      </c>
      <c r="BI30" s="39">
        <f>H30*AP30</f>
        <v>0</v>
      </c>
      <c r="BJ30" s="39">
        <f>H30*I30</f>
        <v>0</v>
      </c>
      <c r="BK30" s="39"/>
      <c r="BL30" s="39">
        <v>31</v>
      </c>
    </row>
    <row r="31" spans="1:64" ht="13.5" customHeight="1">
      <c r="A31" s="81"/>
      <c r="B31" s="82" t="s">
        <v>440</v>
      </c>
      <c r="C31" s="223" t="s">
        <v>64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5"/>
    </row>
    <row r="32" spans="1:64" ht="15" customHeight="1">
      <c r="A32" s="37" t="s">
        <v>590</v>
      </c>
      <c r="B32" s="38" t="s">
        <v>916</v>
      </c>
      <c r="C32" s="195" t="s">
        <v>408</v>
      </c>
      <c r="D32" s="195"/>
      <c r="E32" s="195"/>
      <c r="F32" s="195"/>
      <c r="G32" s="38" t="s">
        <v>831</v>
      </c>
      <c r="H32" s="39">
        <v>22.603000000000002</v>
      </c>
      <c r="I32" s="39">
        <v>0</v>
      </c>
      <c r="J32" s="39">
        <f>H32*AO32</f>
        <v>0</v>
      </c>
      <c r="K32" s="39">
        <f>H32*AP32</f>
        <v>0</v>
      </c>
      <c r="L32" s="39">
        <f>H32*I32</f>
        <v>0</v>
      </c>
      <c r="M32" s="80" t="s">
        <v>576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68" t="s">
        <v>587</v>
      </c>
      <c r="AJ32" s="39">
        <f>IF(AN32=0,L32,0)</f>
        <v>0</v>
      </c>
      <c r="AK32" s="39">
        <f>IF(AN32=15,L32,0)</f>
        <v>0</v>
      </c>
      <c r="AL32" s="39">
        <f>IF(AN32=21,L32,0)</f>
        <v>0</v>
      </c>
      <c r="AN32" s="39">
        <v>21</v>
      </c>
      <c r="AO32" s="39">
        <f>I32*0.797135221785721</f>
        <v>0</v>
      </c>
      <c r="AP32" s="39">
        <f>I32*(1-0.797135221785721)</f>
        <v>0</v>
      </c>
      <c r="AQ32" s="40" t="s">
        <v>842</v>
      </c>
      <c r="AV32" s="39">
        <f>AW32+AX32</f>
        <v>0</v>
      </c>
      <c r="AW32" s="39">
        <f>H32*AO32</f>
        <v>0</v>
      </c>
      <c r="AX32" s="39">
        <f>H32*AP32</f>
        <v>0</v>
      </c>
      <c r="AY32" s="40" t="s">
        <v>609</v>
      </c>
      <c r="AZ32" s="40" t="s">
        <v>44</v>
      </c>
      <c r="BA32" s="68" t="s">
        <v>648</v>
      </c>
      <c r="BC32" s="39">
        <f>AW32+AX32</f>
        <v>0</v>
      </c>
      <c r="BD32" s="39">
        <f>I32/(100-BE32)*100</f>
        <v>0</v>
      </c>
      <c r="BE32" s="39">
        <v>0</v>
      </c>
      <c r="BF32" s="39">
        <f>40</f>
        <v>40</v>
      </c>
      <c r="BH32" s="39">
        <f>H32*AO32</f>
        <v>0</v>
      </c>
      <c r="BI32" s="39">
        <f>H32*AP32</f>
        <v>0</v>
      </c>
      <c r="BJ32" s="39">
        <f>H32*I32</f>
        <v>0</v>
      </c>
      <c r="BK32" s="39"/>
      <c r="BL32" s="39">
        <v>31</v>
      </c>
    </row>
    <row r="33" spans="1:64" ht="15" customHeight="1">
      <c r="A33" s="37" t="s">
        <v>676</v>
      </c>
      <c r="B33" s="38" t="s">
        <v>613</v>
      </c>
      <c r="C33" s="195" t="s">
        <v>951</v>
      </c>
      <c r="D33" s="195"/>
      <c r="E33" s="195"/>
      <c r="F33" s="195"/>
      <c r="G33" s="38" t="s">
        <v>216</v>
      </c>
      <c r="H33" s="39">
        <v>1</v>
      </c>
      <c r="I33" s="39">
        <v>0</v>
      </c>
      <c r="J33" s="39">
        <f>H33*AO33</f>
        <v>0</v>
      </c>
      <c r="K33" s="39">
        <f>H33*AP33</f>
        <v>0</v>
      </c>
      <c r="L33" s="39">
        <f>H33*I33</f>
        <v>0</v>
      </c>
      <c r="M33" s="80" t="s">
        <v>576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68" t="s">
        <v>587</v>
      </c>
      <c r="AJ33" s="39">
        <f>IF(AN33=0,L33,0)</f>
        <v>0</v>
      </c>
      <c r="AK33" s="39">
        <f>IF(AN33=15,L33,0)</f>
        <v>0</v>
      </c>
      <c r="AL33" s="39">
        <f>IF(AN33=21,L33,0)</f>
        <v>0</v>
      </c>
      <c r="AN33" s="39">
        <v>21</v>
      </c>
      <c r="AO33" s="39">
        <f>I33*0.851755555555556</f>
        <v>0</v>
      </c>
      <c r="AP33" s="39">
        <f>I33*(1-0.851755555555556)</f>
        <v>0</v>
      </c>
      <c r="AQ33" s="40" t="s">
        <v>842</v>
      </c>
      <c r="AV33" s="39">
        <f>AW33+AX33</f>
        <v>0</v>
      </c>
      <c r="AW33" s="39">
        <f>H33*AO33</f>
        <v>0</v>
      </c>
      <c r="AX33" s="39">
        <f>H33*AP33</f>
        <v>0</v>
      </c>
      <c r="AY33" s="40" t="s">
        <v>609</v>
      </c>
      <c r="AZ33" s="40" t="s">
        <v>44</v>
      </c>
      <c r="BA33" s="68" t="s">
        <v>648</v>
      </c>
      <c r="BC33" s="39">
        <f>AW33+AX33</f>
        <v>0</v>
      </c>
      <c r="BD33" s="39">
        <f>I33/(100-BE33)*100</f>
        <v>0</v>
      </c>
      <c r="BE33" s="39">
        <v>0</v>
      </c>
      <c r="BF33" s="39">
        <f>41</f>
        <v>41</v>
      </c>
      <c r="BH33" s="39">
        <f>H33*AO33</f>
        <v>0</v>
      </c>
      <c r="BI33" s="39">
        <f>H33*AP33</f>
        <v>0</v>
      </c>
      <c r="BJ33" s="39">
        <f>H33*I33</f>
        <v>0</v>
      </c>
      <c r="BK33" s="39"/>
      <c r="BL33" s="39">
        <v>31</v>
      </c>
    </row>
    <row r="34" spans="1:64" ht="15" customHeight="1">
      <c r="A34" s="37" t="s">
        <v>539</v>
      </c>
      <c r="B34" s="38" t="s">
        <v>890</v>
      </c>
      <c r="C34" s="195" t="s">
        <v>193</v>
      </c>
      <c r="D34" s="195"/>
      <c r="E34" s="195"/>
      <c r="F34" s="195"/>
      <c r="G34" s="38" t="s">
        <v>216</v>
      </c>
      <c r="H34" s="39">
        <v>1</v>
      </c>
      <c r="I34" s="39">
        <v>0</v>
      </c>
      <c r="J34" s="39">
        <f>H34*AO34</f>
        <v>0</v>
      </c>
      <c r="K34" s="39">
        <f>H34*AP34</f>
        <v>0</v>
      </c>
      <c r="L34" s="39">
        <f>H34*I34</f>
        <v>0</v>
      </c>
      <c r="M34" s="80" t="s">
        <v>576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68" t="s">
        <v>587</v>
      </c>
      <c r="AJ34" s="39">
        <f>IF(AN34=0,L34,0)</f>
        <v>0</v>
      </c>
      <c r="AK34" s="39">
        <f>IF(AN34=15,L34,0)</f>
        <v>0</v>
      </c>
      <c r="AL34" s="39">
        <f>IF(AN34=21,L34,0)</f>
        <v>0</v>
      </c>
      <c r="AN34" s="39">
        <v>21</v>
      </c>
      <c r="AO34" s="39">
        <f>I34*0.870549450549451</f>
        <v>0</v>
      </c>
      <c r="AP34" s="39">
        <f>I34*(1-0.870549450549451)</f>
        <v>0</v>
      </c>
      <c r="AQ34" s="40" t="s">
        <v>842</v>
      </c>
      <c r="AV34" s="39">
        <f>AW34+AX34</f>
        <v>0</v>
      </c>
      <c r="AW34" s="39">
        <f>H34*AO34</f>
        <v>0</v>
      </c>
      <c r="AX34" s="39">
        <f>H34*AP34</f>
        <v>0</v>
      </c>
      <c r="AY34" s="40" t="s">
        <v>609</v>
      </c>
      <c r="AZ34" s="40" t="s">
        <v>44</v>
      </c>
      <c r="BA34" s="68" t="s">
        <v>648</v>
      </c>
      <c r="BC34" s="39">
        <f>AW34+AX34</f>
        <v>0</v>
      </c>
      <c r="BD34" s="39">
        <f>I34/(100-BE34)*100</f>
        <v>0</v>
      </c>
      <c r="BE34" s="39">
        <v>0</v>
      </c>
      <c r="BF34" s="39">
        <f>42</f>
        <v>42</v>
      </c>
      <c r="BH34" s="39">
        <f>H34*AO34</f>
        <v>0</v>
      </c>
      <c r="BI34" s="39">
        <f>H34*AP34</f>
        <v>0</v>
      </c>
      <c r="BJ34" s="39">
        <f>H34*I34</f>
        <v>0</v>
      </c>
      <c r="BK34" s="39"/>
      <c r="BL34" s="39">
        <v>31</v>
      </c>
    </row>
    <row r="35" spans="1:64" ht="15" customHeight="1">
      <c r="A35" s="37" t="s">
        <v>34</v>
      </c>
      <c r="B35" s="38" t="s">
        <v>903</v>
      </c>
      <c r="C35" s="195" t="s">
        <v>398</v>
      </c>
      <c r="D35" s="195"/>
      <c r="E35" s="195"/>
      <c r="F35" s="195"/>
      <c r="G35" s="38" t="s">
        <v>216</v>
      </c>
      <c r="H35" s="39">
        <v>1</v>
      </c>
      <c r="I35" s="39">
        <v>0</v>
      </c>
      <c r="J35" s="39">
        <f>H35*AO35</f>
        <v>0</v>
      </c>
      <c r="K35" s="39">
        <f>H35*AP35</f>
        <v>0</v>
      </c>
      <c r="L35" s="39">
        <f>H35*I35</f>
        <v>0</v>
      </c>
      <c r="M35" s="80" t="s">
        <v>576</v>
      </c>
      <c r="Z35" s="39">
        <f>IF(AQ35="5",BJ35,0)</f>
        <v>0</v>
      </c>
      <c r="AB35" s="39">
        <f>IF(AQ35="1",BH35,0)</f>
        <v>0</v>
      </c>
      <c r="AC35" s="39">
        <f>IF(AQ35="1",BI35,0)</f>
        <v>0</v>
      </c>
      <c r="AD35" s="39">
        <f>IF(AQ35="7",BH35,0)</f>
        <v>0</v>
      </c>
      <c r="AE35" s="39">
        <f>IF(AQ35="7",BI35,0)</f>
        <v>0</v>
      </c>
      <c r="AF35" s="39">
        <f>IF(AQ35="2",BH35,0)</f>
        <v>0</v>
      </c>
      <c r="AG35" s="39">
        <f>IF(AQ35="2",BI35,0)</f>
        <v>0</v>
      </c>
      <c r="AH35" s="39">
        <f>IF(AQ35="0",BJ35,0)</f>
        <v>0</v>
      </c>
      <c r="AI35" s="68" t="s">
        <v>587</v>
      </c>
      <c r="AJ35" s="39">
        <f>IF(AN35=0,L35,0)</f>
        <v>0</v>
      </c>
      <c r="AK35" s="39">
        <f>IF(AN35=15,L35,0)</f>
        <v>0</v>
      </c>
      <c r="AL35" s="39">
        <f>IF(AN35=21,L35,0)</f>
        <v>0</v>
      </c>
      <c r="AN35" s="39">
        <v>21</v>
      </c>
      <c r="AO35" s="39">
        <f>I35*0.858272017837235</f>
        <v>0</v>
      </c>
      <c r="AP35" s="39">
        <f>I35*(1-0.858272017837235)</f>
        <v>0</v>
      </c>
      <c r="AQ35" s="40" t="s">
        <v>842</v>
      </c>
      <c r="AV35" s="39">
        <f>AW35+AX35</f>
        <v>0</v>
      </c>
      <c r="AW35" s="39">
        <f>H35*AO35</f>
        <v>0</v>
      </c>
      <c r="AX35" s="39">
        <f>H35*AP35</f>
        <v>0</v>
      </c>
      <c r="AY35" s="40" t="s">
        <v>609</v>
      </c>
      <c r="AZ35" s="40" t="s">
        <v>44</v>
      </c>
      <c r="BA35" s="68" t="s">
        <v>648</v>
      </c>
      <c r="BC35" s="39">
        <f>AW35+AX35</f>
        <v>0</v>
      </c>
      <c r="BD35" s="39">
        <f>I35/(100-BE35)*100</f>
        <v>0</v>
      </c>
      <c r="BE35" s="39">
        <v>0</v>
      </c>
      <c r="BF35" s="39">
        <f>43</f>
        <v>43</v>
      </c>
      <c r="BH35" s="39">
        <f>H35*AO35</f>
        <v>0</v>
      </c>
      <c r="BI35" s="39">
        <f>H35*AP35</f>
        <v>0</v>
      </c>
      <c r="BJ35" s="39">
        <f>H35*I35</f>
        <v>0</v>
      </c>
      <c r="BK35" s="39"/>
      <c r="BL35" s="39">
        <v>31</v>
      </c>
    </row>
    <row r="36" spans="1:64" ht="15" customHeight="1">
      <c r="A36" s="76" t="s">
        <v>587</v>
      </c>
      <c r="B36" s="77" t="s">
        <v>933</v>
      </c>
      <c r="C36" s="221" t="s">
        <v>203</v>
      </c>
      <c r="D36" s="221"/>
      <c r="E36" s="221"/>
      <c r="F36" s="221"/>
      <c r="G36" s="78" t="s">
        <v>784</v>
      </c>
      <c r="H36" s="78" t="s">
        <v>784</v>
      </c>
      <c r="I36" s="78" t="s">
        <v>784</v>
      </c>
      <c r="J36" s="64">
        <f>SUM(J37:J43)</f>
        <v>0</v>
      </c>
      <c r="K36" s="64">
        <f>SUM(K37:K43)</f>
        <v>0</v>
      </c>
      <c r="L36" s="64">
        <f>SUM(L37:L43)</f>
        <v>0</v>
      </c>
      <c r="M36" s="79" t="s">
        <v>587</v>
      </c>
      <c r="AI36" s="68" t="s">
        <v>587</v>
      </c>
      <c r="AS36" s="64">
        <f>SUM(AJ37:AJ43)</f>
        <v>0</v>
      </c>
      <c r="AT36" s="64">
        <f>SUM(AK37:AK43)</f>
        <v>0</v>
      </c>
      <c r="AU36" s="64">
        <f>SUM(AL37:AL43)</f>
        <v>0</v>
      </c>
    </row>
    <row r="37" spans="1:64" ht="15" customHeight="1">
      <c r="A37" s="37" t="s">
        <v>598</v>
      </c>
      <c r="B37" s="38" t="s">
        <v>168</v>
      </c>
      <c r="C37" s="195" t="s">
        <v>946</v>
      </c>
      <c r="D37" s="195"/>
      <c r="E37" s="195"/>
      <c r="F37" s="195"/>
      <c r="G37" s="38" t="s">
        <v>831</v>
      </c>
      <c r="H37" s="39">
        <v>0.89600000000000002</v>
      </c>
      <c r="I37" s="39">
        <v>0</v>
      </c>
      <c r="J37" s="39">
        <f t="shared" ref="J37:J43" si="0">H37*AO37</f>
        <v>0</v>
      </c>
      <c r="K37" s="39">
        <f t="shared" ref="K37:K43" si="1">H37*AP37</f>
        <v>0</v>
      </c>
      <c r="L37" s="39">
        <f t="shared" ref="L37:L43" si="2">H37*I37</f>
        <v>0</v>
      </c>
      <c r="M37" s="80" t="s">
        <v>576</v>
      </c>
      <c r="Z37" s="39">
        <f t="shared" ref="Z37:Z43" si="3">IF(AQ37="5",BJ37,0)</f>
        <v>0</v>
      </c>
      <c r="AB37" s="39">
        <f t="shared" ref="AB37:AB43" si="4">IF(AQ37="1",BH37,0)</f>
        <v>0</v>
      </c>
      <c r="AC37" s="39">
        <f t="shared" ref="AC37:AC43" si="5">IF(AQ37="1",BI37,0)</f>
        <v>0</v>
      </c>
      <c r="AD37" s="39">
        <f t="shared" ref="AD37:AD43" si="6">IF(AQ37="7",BH37,0)</f>
        <v>0</v>
      </c>
      <c r="AE37" s="39">
        <f t="shared" ref="AE37:AE43" si="7">IF(AQ37="7",BI37,0)</f>
        <v>0</v>
      </c>
      <c r="AF37" s="39">
        <f t="shared" ref="AF37:AF43" si="8">IF(AQ37="2",BH37,0)</f>
        <v>0</v>
      </c>
      <c r="AG37" s="39">
        <f t="shared" ref="AG37:AG43" si="9">IF(AQ37="2",BI37,0)</f>
        <v>0</v>
      </c>
      <c r="AH37" s="39">
        <f t="shared" ref="AH37:AH43" si="10">IF(AQ37="0",BJ37,0)</f>
        <v>0</v>
      </c>
      <c r="AI37" s="68" t="s">
        <v>587</v>
      </c>
      <c r="AJ37" s="39">
        <f t="shared" ref="AJ37:AJ43" si="11">IF(AN37=0,L37,0)</f>
        <v>0</v>
      </c>
      <c r="AK37" s="39">
        <f t="shared" ref="AK37:AK43" si="12">IF(AN37=15,L37,0)</f>
        <v>0</v>
      </c>
      <c r="AL37" s="39">
        <f t="shared" ref="AL37:AL43" si="13">IF(AN37=21,L37,0)</f>
        <v>0</v>
      </c>
      <c r="AN37" s="39">
        <v>21</v>
      </c>
      <c r="AO37" s="39">
        <f>I37*0.374216451756336</f>
        <v>0</v>
      </c>
      <c r="AP37" s="39">
        <f>I37*(1-0.374216451756336)</f>
        <v>0</v>
      </c>
      <c r="AQ37" s="40" t="s">
        <v>842</v>
      </c>
      <c r="AV37" s="39">
        <f t="shared" ref="AV37:AV43" si="14">AW37+AX37</f>
        <v>0</v>
      </c>
      <c r="AW37" s="39">
        <f t="shared" ref="AW37:AW43" si="15">H37*AO37</f>
        <v>0</v>
      </c>
      <c r="AX37" s="39">
        <f t="shared" ref="AX37:AX43" si="16">H37*AP37</f>
        <v>0</v>
      </c>
      <c r="AY37" s="40" t="s">
        <v>602</v>
      </c>
      <c r="AZ37" s="40" t="s">
        <v>44</v>
      </c>
      <c r="BA37" s="68" t="s">
        <v>648</v>
      </c>
      <c r="BC37" s="39">
        <f t="shared" ref="BC37:BC43" si="17">AW37+AX37</f>
        <v>0</v>
      </c>
      <c r="BD37" s="39">
        <f t="shared" ref="BD37:BD43" si="18">I37/(100-BE37)*100</f>
        <v>0</v>
      </c>
      <c r="BE37" s="39">
        <v>0</v>
      </c>
      <c r="BF37" s="39">
        <f>45</f>
        <v>45</v>
      </c>
      <c r="BH37" s="39">
        <f t="shared" ref="BH37:BH43" si="19">H37*AO37</f>
        <v>0</v>
      </c>
      <c r="BI37" s="39">
        <f t="shared" ref="BI37:BI43" si="20">H37*AP37</f>
        <v>0</v>
      </c>
      <c r="BJ37" s="39">
        <f t="shared" ref="BJ37:BJ43" si="21">H37*I37</f>
        <v>0</v>
      </c>
      <c r="BK37" s="39"/>
      <c r="BL37" s="39">
        <v>34</v>
      </c>
    </row>
    <row r="38" spans="1:64" ht="15" customHeight="1">
      <c r="A38" s="37" t="s">
        <v>804</v>
      </c>
      <c r="B38" s="38" t="s">
        <v>137</v>
      </c>
      <c r="C38" s="195" t="s">
        <v>497</v>
      </c>
      <c r="D38" s="195"/>
      <c r="E38" s="195"/>
      <c r="F38" s="195"/>
      <c r="G38" s="38" t="s">
        <v>831</v>
      </c>
      <c r="H38" s="39">
        <v>53.162999999999997</v>
      </c>
      <c r="I38" s="39">
        <v>0</v>
      </c>
      <c r="J38" s="39">
        <f t="shared" si="0"/>
        <v>0</v>
      </c>
      <c r="K38" s="39">
        <f t="shared" si="1"/>
        <v>0</v>
      </c>
      <c r="L38" s="39">
        <f t="shared" si="2"/>
        <v>0</v>
      </c>
      <c r="M38" s="80" t="s">
        <v>576</v>
      </c>
      <c r="Z38" s="39">
        <f t="shared" si="3"/>
        <v>0</v>
      </c>
      <c r="AB38" s="39">
        <f t="shared" si="4"/>
        <v>0</v>
      </c>
      <c r="AC38" s="39">
        <f t="shared" si="5"/>
        <v>0</v>
      </c>
      <c r="AD38" s="39">
        <f t="shared" si="6"/>
        <v>0</v>
      </c>
      <c r="AE38" s="39">
        <f t="shared" si="7"/>
        <v>0</v>
      </c>
      <c r="AF38" s="39">
        <f t="shared" si="8"/>
        <v>0</v>
      </c>
      <c r="AG38" s="39">
        <f t="shared" si="9"/>
        <v>0</v>
      </c>
      <c r="AH38" s="39">
        <f t="shared" si="10"/>
        <v>0</v>
      </c>
      <c r="AI38" s="68" t="s">
        <v>587</v>
      </c>
      <c r="AJ38" s="39">
        <f t="shared" si="11"/>
        <v>0</v>
      </c>
      <c r="AK38" s="39">
        <f t="shared" si="12"/>
        <v>0</v>
      </c>
      <c r="AL38" s="39">
        <f t="shared" si="13"/>
        <v>0</v>
      </c>
      <c r="AN38" s="39">
        <v>21</v>
      </c>
      <c r="AO38" s="39">
        <f>I38*0.657105820376576</f>
        <v>0</v>
      </c>
      <c r="AP38" s="39">
        <f>I38*(1-0.657105820376576)</f>
        <v>0</v>
      </c>
      <c r="AQ38" s="40" t="s">
        <v>842</v>
      </c>
      <c r="AV38" s="39">
        <f t="shared" si="14"/>
        <v>0</v>
      </c>
      <c r="AW38" s="39">
        <f t="shared" si="15"/>
        <v>0</v>
      </c>
      <c r="AX38" s="39">
        <f t="shared" si="16"/>
        <v>0</v>
      </c>
      <c r="AY38" s="40" t="s">
        <v>602</v>
      </c>
      <c r="AZ38" s="40" t="s">
        <v>44</v>
      </c>
      <c r="BA38" s="68" t="s">
        <v>648</v>
      </c>
      <c r="BC38" s="39">
        <f t="shared" si="17"/>
        <v>0</v>
      </c>
      <c r="BD38" s="39">
        <f t="shared" si="18"/>
        <v>0</v>
      </c>
      <c r="BE38" s="39">
        <v>0</v>
      </c>
      <c r="BF38" s="39">
        <f>46</f>
        <v>46</v>
      </c>
      <c r="BH38" s="39">
        <f t="shared" si="19"/>
        <v>0</v>
      </c>
      <c r="BI38" s="39">
        <f t="shared" si="20"/>
        <v>0</v>
      </c>
      <c r="BJ38" s="39">
        <f t="shared" si="21"/>
        <v>0</v>
      </c>
      <c r="BK38" s="39"/>
      <c r="BL38" s="39">
        <v>34</v>
      </c>
    </row>
    <row r="39" spans="1:64" ht="15" customHeight="1">
      <c r="A39" s="37" t="s">
        <v>388</v>
      </c>
      <c r="B39" s="38" t="s">
        <v>782</v>
      </c>
      <c r="C39" s="195" t="s">
        <v>654</v>
      </c>
      <c r="D39" s="195"/>
      <c r="E39" s="195"/>
      <c r="F39" s="195"/>
      <c r="G39" s="38" t="s">
        <v>831</v>
      </c>
      <c r="H39" s="39">
        <v>19.152000000000001</v>
      </c>
      <c r="I39" s="39">
        <v>0</v>
      </c>
      <c r="J39" s="39">
        <f t="shared" si="0"/>
        <v>0</v>
      </c>
      <c r="K39" s="39">
        <f t="shared" si="1"/>
        <v>0</v>
      </c>
      <c r="L39" s="39">
        <f t="shared" si="2"/>
        <v>0</v>
      </c>
      <c r="M39" s="80" t="s">
        <v>576</v>
      </c>
      <c r="Z39" s="39">
        <f t="shared" si="3"/>
        <v>0</v>
      </c>
      <c r="AB39" s="39">
        <f t="shared" si="4"/>
        <v>0</v>
      </c>
      <c r="AC39" s="39">
        <f t="shared" si="5"/>
        <v>0</v>
      </c>
      <c r="AD39" s="39">
        <f t="shared" si="6"/>
        <v>0</v>
      </c>
      <c r="AE39" s="39">
        <f t="shared" si="7"/>
        <v>0</v>
      </c>
      <c r="AF39" s="39">
        <f t="shared" si="8"/>
        <v>0</v>
      </c>
      <c r="AG39" s="39">
        <f t="shared" si="9"/>
        <v>0</v>
      </c>
      <c r="AH39" s="39">
        <f t="shared" si="10"/>
        <v>0</v>
      </c>
      <c r="AI39" s="68" t="s">
        <v>587</v>
      </c>
      <c r="AJ39" s="39">
        <f t="shared" si="11"/>
        <v>0</v>
      </c>
      <c r="AK39" s="39">
        <f t="shared" si="12"/>
        <v>0</v>
      </c>
      <c r="AL39" s="39">
        <f t="shared" si="13"/>
        <v>0</v>
      </c>
      <c r="AN39" s="39">
        <v>21</v>
      </c>
      <c r="AO39" s="39">
        <f>I39*0.715761148712994</f>
        <v>0</v>
      </c>
      <c r="AP39" s="39">
        <f>I39*(1-0.715761148712994)</f>
        <v>0</v>
      </c>
      <c r="AQ39" s="40" t="s">
        <v>842</v>
      </c>
      <c r="AV39" s="39">
        <f t="shared" si="14"/>
        <v>0</v>
      </c>
      <c r="AW39" s="39">
        <f t="shared" si="15"/>
        <v>0</v>
      </c>
      <c r="AX39" s="39">
        <f t="shared" si="16"/>
        <v>0</v>
      </c>
      <c r="AY39" s="40" t="s">
        <v>602</v>
      </c>
      <c r="AZ39" s="40" t="s">
        <v>44</v>
      </c>
      <c r="BA39" s="68" t="s">
        <v>648</v>
      </c>
      <c r="BC39" s="39">
        <f t="shared" si="17"/>
        <v>0</v>
      </c>
      <c r="BD39" s="39">
        <f t="shared" si="18"/>
        <v>0</v>
      </c>
      <c r="BE39" s="39">
        <v>0</v>
      </c>
      <c r="BF39" s="39">
        <f>47</f>
        <v>47</v>
      </c>
      <c r="BH39" s="39">
        <f t="shared" si="19"/>
        <v>0</v>
      </c>
      <c r="BI39" s="39">
        <f t="shared" si="20"/>
        <v>0</v>
      </c>
      <c r="BJ39" s="39">
        <f t="shared" si="21"/>
        <v>0</v>
      </c>
      <c r="BK39" s="39"/>
      <c r="BL39" s="39">
        <v>34</v>
      </c>
    </row>
    <row r="40" spans="1:64" ht="15" customHeight="1">
      <c r="A40" s="37" t="s">
        <v>76</v>
      </c>
      <c r="B40" s="38" t="s">
        <v>266</v>
      </c>
      <c r="C40" s="195" t="s">
        <v>656</v>
      </c>
      <c r="D40" s="195"/>
      <c r="E40" s="195"/>
      <c r="F40" s="195"/>
      <c r="G40" s="38" t="s">
        <v>831</v>
      </c>
      <c r="H40" s="39">
        <v>7</v>
      </c>
      <c r="I40" s="39">
        <v>0</v>
      </c>
      <c r="J40" s="39">
        <f t="shared" si="0"/>
        <v>0</v>
      </c>
      <c r="K40" s="39">
        <f t="shared" si="1"/>
        <v>0</v>
      </c>
      <c r="L40" s="39">
        <f t="shared" si="2"/>
        <v>0</v>
      </c>
      <c r="M40" s="80" t="s">
        <v>576</v>
      </c>
      <c r="Z40" s="39">
        <f t="shared" si="3"/>
        <v>0</v>
      </c>
      <c r="AB40" s="39">
        <f t="shared" si="4"/>
        <v>0</v>
      </c>
      <c r="AC40" s="39">
        <f t="shared" si="5"/>
        <v>0</v>
      </c>
      <c r="AD40" s="39">
        <f t="shared" si="6"/>
        <v>0</v>
      </c>
      <c r="AE40" s="39">
        <f t="shared" si="7"/>
        <v>0</v>
      </c>
      <c r="AF40" s="39">
        <f t="shared" si="8"/>
        <v>0</v>
      </c>
      <c r="AG40" s="39">
        <f t="shared" si="9"/>
        <v>0</v>
      </c>
      <c r="AH40" s="39">
        <f t="shared" si="10"/>
        <v>0</v>
      </c>
      <c r="AI40" s="68" t="s">
        <v>587</v>
      </c>
      <c r="AJ40" s="39">
        <f t="shared" si="11"/>
        <v>0</v>
      </c>
      <c r="AK40" s="39">
        <f t="shared" si="12"/>
        <v>0</v>
      </c>
      <c r="AL40" s="39">
        <f t="shared" si="13"/>
        <v>0</v>
      </c>
      <c r="AN40" s="39">
        <v>21</v>
      </c>
      <c r="AO40" s="39">
        <f>I40*0.705650584795322</f>
        <v>0</v>
      </c>
      <c r="AP40" s="39">
        <f>I40*(1-0.705650584795322)</f>
        <v>0</v>
      </c>
      <c r="AQ40" s="40" t="s">
        <v>842</v>
      </c>
      <c r="AV40" s="39">
        <f t="shared" si="14"/>
        <v>0</v>
      </c>
      <c r="AW40" s="39">
        <f t="shared" si="15"/>
        <v>0</v>
      </c>
      <c r="AX40" s="39">
        <f t="shared" si="16"/>
        <v>0</v>
      </c>
      <c r="AY40" s="40" t="s">
        <v>602</v>
      </c>
      <c r="AZ40" s="40" t="s">
        <v>44</v>
      </c>
      <c r="BA40" s="68" t="s">
        <v>648</v>
      </c>
      <c r="BC40" s="39">
        <f t="shared" si="17"/>
        <v>0</v>
      </c>
      <c r="BD40" s="39">
        <f t="shared" si="18"/>
        <v>0</v>
      </c>
      <c r="BE40" s="39">
        <v>0</v>
      </c>
      <c r="BF40" s="39">
        <f>48</f>
        <v>48</v>
      </c>
      <c r="BH40" s="39">
        <f t="shared" si="19"/>
        <v>0</v>
      </c>
      <c r="BI40" s="39">
        <f t="shared" si="20"/>
        <v>0</v>
      </c>
      <c r="BJ40" s="39">
        <f t="shared" si="21"/>
        <v>0</v>
      </c>
      <c r="BK40" s="39"/>
      <c r="BL40" s="39">
        <v>34</v>
      </c>
    </row>
    <row r="41" spans="1:64" ht="15" customHeight="1">
      <c r="A41" s="37" t="s">
        <v>214</v>
      </c>
      <c r="B41" s="38" t="s">
        <v>580</v>
      </c>
      <c r="C41" s="195" t="s">
        <v>146</v>
      </c>
      <c r="D41" s="195"/>
      <c r="E41" s="195"/>
      <c r="F41" s="195"/>
      <c r="G41" s="38" t="s">
        <v>831</v>
      </c>
      <c r="H41" s="39">
        <v>8.9309999999999992</v>
      </c>
      <c r="I41" s="39">
        <v>0</v>
      </c>
      <c r="J41" s="39">
        <f t="shared" si="0"/>
        <v>0</v>
      </c>
      <c r="K41" s="39">
        <f t="shared" si="1"/>
        <v>0</v>
      </c>
      <c r="L41" s="39">
        <f t="shared" si="2"/>
        <v>0</v>
      </c>
      <c r="M41" s="80" t="s">
        <v>576</v>
      </c>
      <c r="Z41" s="39">
        <f t="shared" si="3"/>
        <v>0</v>
      </c>
      <c r="AB41" s="39">
        <f t="shared" si="4"/>
        <v>0</v>
      </c>
      <c r="AC41" s="39">
        <f t="shared" si="5"/>
        <v>0</v>
      </c>
      <c r="AD41" s="39">
        <f t="shared" si="6"/>
        <v>0</v>
      </c>
      <c r="AE41" s="39">
        <f t="shared" si="7"/>
        <v>0</v>
      </c>
      <c r="AF41" s="39">
        <f t="shared" si="8"/>
        <v>0</v>
      </c>
      <c r="AG41" s="39">
        <f t="shared" si="9"/>
        <v>0</v>
      </c>
      <c r="AH41" s="39">
        <f t="shared" si="10"/>
        <v>0</v>
      </c>
      <c r="AI41" s="68" t="s">
        <v>587</v>
      </c>
      <c r="AJ41" s="39">
        <f t="shared" si="11"/>
        <v>0</v>
      </c>
      <c r="AK41" s="39">
        <f t="shared" si="12"/>
        <v>0</v>
      </c>
      <c r="AL41" s="39">
        <f t="shared" si="13"/>
        <v>0</v>
      </c>
      <c r="AN41" s="39">
        <v>21</v>
      </c>
      <c r="AO41" s="39">
        <f>I41*0.644221183426641</f>
        <v>0</v>
      </c>
      <c r="AP41" s="39">
        <f>I41*(1-0.644221183426641)</f>
        <v>0</v>
      </c>
      <c r="AQ41" s="40" t="s">
        <v>842</v>
      </c>
      <c r="AV41" s="39">
        <f t="shared" si="14"/>
        <v>0</v>
      </c>
      <c r="AW41" s="39">
        <f t="shared" si="15"/>
        <v>0</v>
      </c>
      <c r="AX41" s="39">
        <f t="shared" si="16"/>
        <v>0</v>
      </c>
      <c r="AY41" s="40" t="s">
        <v>602</v>
      </c>
      <c r="AZ41" s="40" t="s">
        <v>44</v>
      </c>
      <c r="BA41" s="68" t="s">
        <v>648</v>
      </c>
      <c r="BC41" s="39">
        <f t="shared" si="17"/>
        <v>0</v>
      </c>
      <c r="BD41" s="39">
        <f t="shared" si="18"/>
        <v>0</v>
      </c>
      <c r="BE41" s="39">
        <v>0</v>
      </c>
      <c r="BF41" s="39">
        <f>49</f>
        <v>49</v>
      </c>
      <c r="BH41" s="39">
        <f t="shared" si="19"/>
        <v>0</v>
      </c>
      <c r="BI41" s="39">
        <f t="shared" si="20"/>
        <v>0</v>
      </c>
      <c r="BJ41" s="39">
        <f t="shared" si="21"/>
        <v>0</v>
      </c>
      <c r="BK41" s="39"/>
      <c r="BL41" s="39">
        <v>34</v>
      </c>
    </row>
    <row r="42" spans="1:64" ht="15" customHeight="1">
      <c r="A42" s="37" t="s">
        <v>106</v>
      </c>
      <c r="B42" s="38" t="s">
        <v>114</v>
      </c>
      <c r="C42" s="195" t="s">
        <v>5</v>
      </c>
      <c r="D42" s="195"/>
      <c r="E42" s="195"/>
      <c r="F42" s="195"/>
      <c r="G42" s="38" t="s">
        <v>701</v>
      </c>
      <c r="H42" s="39">
        <v>33.700000000000003</v>
      </c>
      <c r="I42" s="39">
        <v>0</v>
      </c>
      <c r="J42" s="39">
        <f t="shared" si="0"/>
        <v>0</v>
      </c>
      <c r="K42" s="39">
        <f t="shared" si="1"/>
        <v>0</v>
      </c>
      <c r="L42" s="39">
        <f t="shared" si="2"/>
        <v>0</v>
      </c>
      <c r="M42" s="80" t="s">
        <v>576</v>
      </c>
      <c r="Z42" s="39">
        <f t="shared" si="3"/>
        <v>0</v>
      </c>
      <c r="AB42" s="39">
        <f t="shared" si="4"/>
        <v>0</v>
      </c>
      <c r="AC42" s="39">
        <f t="shared" si="5"/>
        <v>0</v>
      </c>
      <c r="AD42" s="39">
        <f t="shared" si="6"/>
        <v>0</v>
      </c>
      <c r="AE42" s="39">
        <f t="shared" si="7"/>
        <v>0</v>
      </c>
      <c r="AF42" s="39">
        <f t="shared" si="8"/>
        <v>0</v>
      </c>
      <c r="AG42" s="39">
        <f t="shared" si="9"/>
        <v>0</v>
      </c>
      <c r="AH42" s="39">
        <f t="shared" si="10"/>
        <v>0</v>
      </c>
      <c r="AI42" s="68" t="s">
        <v>587</v>
      </c>
      <c r="AJ42" s="39">
        <f t="shared" si="11"/>
        <v>0</v>
      </c>
      <c r="AK42" s="39">
        <f t="shared" si="12"/>
        <v>0</v>
      </c>
      <c r="AL42" s="39">
        <f t="shared" si="13"/>
        <v>0</v>
      </c>
      <c r="AN42" s="39">
        <v>21</v>
      </c>
      <c r="AO42" s="39">
        <f>I42*0.372815533980583</f>
        <v>0</v>
      </c>
      <c r="AP42" s="39">
        <f>I42*(1-0.372815533980583)</f>
        <v>0</v>
      </c>
      <c r="AQ42" s="40" t="s">
        <v>842</v>
      </c>
      <c r="AV42" s="39">
        <f t="shared" si="14"/>
        <v>0</v>
      </c>
      <c r="AW42" s="39">
        <f t="shared" si="15"/>
        <v>0</v>
      </c>
      <c r="AX42" s="39">
        <f t="shared" si="16"/>
        <v>0</v>
      </c>
      <c r="AY42" s="40" t="s">
        <v>602</v>
      </c>
      <c r="AZ42" s="40" t="s">
        <v>44</v>
      </c>
      <c r="BA42" s="68" t="s">
        <v>648</v>
      </c>
      <c r="BC42" s="39">
        <f t="shared" si="17"/>
        <v>0</v>
      </c>
      <c r="BD42" s="39">
        <f t="shared" si="18"/>
        <v>0</v>
      </c>
      <c r="BE42" s="39">
        <v>0</v>
      </c>
      <c r="BF42" s="39">
        <f>50</f>
        <v>50</v>
      </c>
      <c r="BH42" s="39">
        <f t="shared" si="19"/>
        <v>0</v>
      </c>
      <c r="BI42" s="39">
        <f t="shared" si="20"/>
        <v>0</v>
      </c>
      <c r="BJ42" s="39">
        <f t="shared" si="21"/>
        <v>0</v>
      </c>
      <c r="BK42" s="39"/>
      <c r="BL42" s="39">
        <v>34</v>
      </c>
    </row>
    <row r="43" spans="1:64" ht="15" customHeight="1">
      <c r="A43" s="37" t="s">
        <v>827</v>
      </c>
      <c r="B43" s="38" t="s">
        <v>210</v>
      </c>
      <c r="C43" s="195" t="s">
        <v>504</v>
      </c>
      <c r="D43" s="195"/>
      <c r="E43" s="195"/>
      <c r="F43" s="195"/>
      <c r="G43" s="38" t="s">
        <v>701</v>
      </c>
      <c r="H43" s="39">
        <v>24.17</v>
      </c>
      <c r="I43" s="39">
        <v>0</v>
      </c>
      <c r="J43" s="39">
        <f t="shared" si="0"/>
        <v>0</v>
      </c>
      <c r="K43" s="39">
        <f t="shared" si="1"/>
        <v>0</v>
      </c>
      <c r="L43" s="39">
        <f t="shared" si="2"/>
        <v>0</v>
      </c>
      <c r="M43" s="80" t="s">
        <v>576</v>
      </c>
      <c r="Z43" s="39">
        <f t="shared" si="3"/>
        <v>0</v>
      </c>
      <c r="AB43" s="39">
        <f t="shared" si="4"/>
        <v>0</v>
      </c>
      <c r="AC43" s="39">
        <f t="shared" si="5"/>
        <v>0</v>
      </c>
      <c r="AD43" s="39">
        <f t="shared" si="6"/>
        <v>0</v>
      </c>
      <c r="AE43" s="39">
        <f t="shared" si="7"/>
        <v>0</v>
      </c>
      <c r="AF43" s="39">
        <f t="shared" si="8"/>
        <v>0</v>
      </c>
      <c r="AG43" s="39">
        <f t="shared" si="9"/>
        <v>0</v>
      </c>
      <c r="AH43" s="39">
        <f t="shared" si="10"/>
        <v>0</v>
      </c>
      <c r="AI43" s="68" t="s">
        <v>587</v>
      </c>
      <c r="AJ43" s="39">
        <f t="shared" si="11"/>
        <v>0</v>
      </c>
      <c r="AK43" s="39">
        <f t="shared" si="12"/>
        <v>0</v>
      </c>
      <c r="AL43" s="39">
        <f t="shared" si="13"/>
        <v>0</v>
      </c>
      <c r="AN43" s="39">
        <v>21</v>
      </c>
      <c r="AO43" s="39">
        <f>I43*0.478189806357326</f>
        <v>0</v>
      </c>
      <c r="AP43" s="39">
        <f>I43*(1-0.478189806357326)</f>
        <v>0</v>
      </c>
      <c r="AQ43" s="40" t="s">
        <v>842</v>
      </c>
      <c r="AV43" s="39">
        <f t="shared" si="14"/>
        <v>0</v>
      </c>
      <c r="AW43" s="39">
        <f t="shared" si="15"/>
        <v>0</v>
      </c>
      <c r="AX43" s="39">
        <f t="shared" si="16"/>
        <v>0</v>
      </c>
      <c r="AY43" s="40" t="s">
        <v>602</v>
      </c>
      <c r="AZ43" s="40" t="s">
        <v>44</v>
      </c>
      <c r="BA43" s="68" t="s">
        <v>648</v>
      </c>
      <c r="BC43" s="39">
        <f t="shared" si="17"/>
        <v>0</v>
      </c>
      <c r="BD43" s="39">
        <f t="shared" si="18"/>
        <v>0</v>
      </c>
      <c r="BE43" s="39">
        <v>0</v>
      </c>
      <c r="BF43" s="39">
        <f>51</f>
        <v>51</v>
      </c>
      <c r="BH43" s="39">
        <f t="shared" si="19"/>
        <v>0</v>
      </c>
      <c r="BI43" s="39">
        <f t="shared" si="20"/>
        <v>0</v>
      </c>
      <c r="BJ43" s="39">
        <f t="shared" si="21"/>
        <v>0</v>
      </c>
      <c r="BK43" s="39"/>
      <c r="BL43" s="39">
        <v>34</v>
      </c>
    </row>
    <row r="44" spans="1:64" ht="15" customHeight="1">
      <c r="A44" s="76" t="s">
        <v>587</v>
      </c>
      <c r="B44" s="77" t="s">
        <v>833</v>
      </c>
      <c r="C44" s="221" t="s">
        <v>631</v>
      </c>
      <c r="D44" s="221"/>
      <c r="E44" s="221"/>
      <c r="F44" s="221"/>
      <c r="G44" s="78" t="s">
        <v>784</v>
      </c>
      <c r="H44" s="78" t="s">
        <v>784</v>
      </c>
      <c r="I44" s="78" t="s">
        <v>784</v>
      </c>
      <c r="J44" s="64">
        <f>SUM(J45:J45)</f>
        <v>0</v>
      </c>
      <c r="K44" s="64">
        <f>SUM(K45:K45)</f>
        <v>0</v>
      </c>
      <c r="L44" s="64">
        <f>SUM(L45:L45)</f>
        <v>0</v>
      </c>
      <c r="M44" s="79" t="s">
        <v>587</v>
      </c>
      <c r="AI44" s="68" t="s">
        <v>587</v>
      </c>
      <c r="AS44" s="64">
        <f>SUM(AJ45:AJ45)</f>
        <v>0</v>
      </c>
      <c r="AT44" s="64">
        <f>SUM(AK45:AK45)</f>
        <v>0</v>
      </c>
      <c r="AU44" s="64">
        <f>SUM(AL45:AL45)</f>
        <v>0</v>
      </c>
    </row>
    <row r="45" spans="1:64" ht="15" customHeight="1">
      <c r="A45" s="37" t="s">
        <v>910</v>
      </c>
      <c r="B45" s="38" t="s">
        <v>20</v>
      </c>
      <c r="C45" s="195" t="s">
        <v>891</v>
      </c>
      <c r="D45" s="195"/>
      <c r="E45" s="195"/>
      <c r="F45" s="195"/>
      <c r="G45" s="38" t="s">
        <v>701</v>
      </c>
      <c r="H45" s="39">
        <v>4.8</v>
      </c>
      <c r="I45" s="39">
        <v>0</v>
      </c>
      <c r="J45" s="39">
        <f>H45*AO45</f>
        <v>0</v>
      </c>
      <c r="K45" s="39">
        <f>H45*AP45</f>
        <v>0</v>
      </c>
      <c r="L45" s="39">
        <f>H45*I45</f>
        <v>0</v>
      </c>
      <c r="M45" s="80" t="s">
        <v>576</v>
      </c>
      <c r="Z45" s="39">
        <f>IF(AQ45="5",BJ45,0)</f>
        <v>0</v>
      </c>
      <c r="AB45" s="39">
        <f>IF(AQ45="1",BH45,0)</f>
        <v>0</v>
      </c>
      <c r="AC45" s="39">
        <f>IF(AQ45="1",BI45,0)</f>
        <v>0</v>
      </c>
      <c r="AD45" s="39">
        <f>IF(AQ45="7",BH45,0)</f>
        <v>0</v>
      </c>
      <c r="AE45" s="39">
        <f>IF(AQ45="7",BI45,0)</f>
        <v>0</v>
      </c>
      <c r="AF45" s="39">
        <f>IF(AQ45="2",BH45,0)</f>
        <v>0</v>
      </c>
      <c r="AG45" s="39">
        <f>IF(AQ45="2",BI45,0)</f>
        <v>0</v>
      </c>
      <c r="AH45" s="39">
        <f>IF(AQ45="0",BJ45,0)</f>
        <v>0</v>
      </c>
      <c r="AI45" s="68" t="s">
        <v>587</v>
      </c>
      <c r="AJ45" s="39">
        <f>IF(AN45=0,L45,0)</f>
        <v>0</v>
      </c>
      <c r="AK45" s="39">
        <f>IF(AN45=15,L45,0)</f>
        <v>0</v>
      </c>
      <c r="AL45" s="39">
        <f>IF(AN45=21,L45,0)</f>
        <v>0</v>
      </c>
      <c r="AN45" s="39">
        <v>21</v>
      </c>
      <c r="AO45" s="39">
        <f>I45*0.492320768662232</f>
        <v>0</v>
      </c>
      <c r="AP45" s="39">
        <f>I45*(1-0.492320768662232)</f>
        <v>0</v>
      </c>
      <c r="AQ45" s="40" t="s">
        <v>842</v>
      </c>
      <c r="AV45" s="39">
        <f>AW45+AX45</f>
        <v>0</v>
      </c>
      <c r="AW45" s="39">
        <f>H45*AO45</f>
        <v>0</v>
      </c>
      <c r="AX45" s="39">
        <f>H45*AP45</f>
        <v>0</v>
      </c>
      <c r="AY45" s="40" t="s">
        <v>611</v>
      </c>
      <c r="AZ45" s="40" t="s">
        <v>700</v>
      </c>
      <c r="BA45" s="68" t="s">
        <v>648</v>
      </c>
      <c r="BC45" s="39">
        <f>AW45+AX45</f>
        <v>0</v>
      </c>
      <c r="BD45" s="39">
        <f>I45/(100-BE45)*100</f>
        <v>0</v>
      </c>
      <c r="BE45" s="39">
        <v>0</v>
      </c>
      <c r="BF45" s="39">
        <f>53</f>
        <v>53</v>
      </c>
      <c r="BH45" s="39">
        <f>H45*AO45</f>
        <v>0</v>
      </c>
      <c r="BI45" s="39">
        <f>H45*AP45</f>
        <v>0</v>
      </c>
      <c r="BJ45" s="39">
        <f>H45*I45</f>
        <v>0</v>
      </c>
      <c r="BK45" s="39"/>
      <c r="BL45" s="39">
        <v>41</v>
      </c>
    </row>
    <row r="46" spans="1:64" ht="13.5" customHeight="1">
      <c r="A46" s="81"/>
      <c r="B46" s="82" t="s">
        <v>440</v>
      </c>
      <c r="C46" s="223" t="s">
        <v>177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5"/>
    </row>
    <row r="47" spans="1:64" ht="15" customHeight="1">
      <c r="A47" s="76" t="s">
        <v>587</v>
      </c>
      <c r="B47" s="77" t="s">
        <v>536</v>
      </c>
      <c r="C47" s="221" t="s">
        <v>565</v>
      </c>
      <c r="D47" s="221"/>
      <c r="E47" s="221"/>
      <c r="F47" s="221"/>
      <c r="G47" s="78" t="s">
        <v>784</v>
      </c>
      <c r="H47" s="78" t="s">
        <v>784</v>
      </c>
      <c r="I47" s="78" t="s">
        <v>784</v>
      </c>
      <c r="J47" s="64">
        <f>SUM(J48:J49)</f>
        <v>0</v>
      </c>
      <c r="K47" s="64">
        <f>SUM(K48:K49)</f>
        <v>0</v>
      </c>
      <c r="L47" s="64">
        <f>SUM(L48:L49)</f>
        <v>0</v>
      </c>
      <c r="M47" s="79" t="s">
        <v>587</v>
      </c>
      <c r="AI47" s="68" t="s">
        <v>587</v>
      </c>
      <c r="AS47" s="64">
        <f>SUM(AJ48:AJ49)</f>
        <v>0</v>
      </c>
      <c r="AT47" s="64">
        <f>SUM(AK48:AK49)</f>
        <v>0</v>
      </c>
      <c r="AU47" s="64">
        <f>SUM(AL48:AL49)</f>
        <v>0</v>
      </c>
    </row>
    <row r="48" spans="1:64" ht="15" customHeight="1">
      <c r="A48" s="37" t="s">
        <v>61</v>
      </c>
      <c r="B48" s="38" t="s">
        <v>59</v>
      </c>
      <c r="C48" s="195" t="s">
        <v>33</v>
      </c>
      <c r="D48" s="195"/>
      <c r="E48" s="195"/>
      <c r="F48" s="195"/>
      <c r="G48" s="38" t="s">
        <v>831</v>
      </c>
      <c r="H48" s="39">
        <v>21.15</v>
      </c>
      <c r="I48" s="39">
        <v>0</v>
      </c>
      <c r="J48" s="39">
        <f>H48*AO48</f>
        <v>0</v>
      </c>
      <c r="K48" s="39">
        <f>H48*AP48</f>
        <v>0</v>
      </c>
      <c r="L48" s="39">
        <f>H48*I48</f>
        <v>0</v>
      </c>
      <c r="M48" s="80" t="s">
        <v>576</v>
      </c>
      <c r="Z48" s="39">
        <f>IF(AQ48="5",BJ48,0)</f>
        <v>0</v>
      </c>
      <c r="AB48" s="39">
        <f>IF(AQ48="1",BH48,0)</f>
        <v>0</v>
      </c>
      <c r="AC48" s="39">
        <f>IF(AQ48="1",BI48,0)</f>
        <v>0</v>
      </c>
      <c r="AD48" s="39">
        <f>IF(AQ48="7",BH48,0)</f>
        <v>0</v>
      </c>
      <c r="AE48" s="39">
        <f>IF(AQ48="7",BI48,0)</f>
        <v>0</v>
      </c>
      <c r="AF48" s="39">
        <f>IF(AQ48="2",BH48,0)</f>
        <v>0</v>
      </c>
      <c r="AG48" s="39">
        <f>IF(AQ48="2",BI48,0)</f>
        <v>0</v>
      </c>
      <c r="AH48" s="39">
        <f>IF(AQ48="0",BJ48,0)</f>
        <v>0</v>
      </c>
      <c r="AI48" s="68" t="s">
        <v>587</v>
      </c>
      <c r="AJ48" s="39">
        <f>IF(AN48=0,L48,0)</f>
        <v>0</v>
      </c>
      <c r="AK48" s="39">
        <f>IF(AN48=15,L48,0)</f>
        <v>0</v>
      </c>
      <c r="AL48" s="39">
        <f>IF(AN48=21,L48,0)</f>
        <v>0</v>
      </c>
      <c r="AN48" s="39">
        <v>21</v>
      </c>
      <c r="AO48" s="39">
        <f>I48*0.89984271572723</f>
        <v>0</v>
      </c>
      <c r="AP48" s="39">
        <f>I48*(1-0.89984271572723)</f>
        <v>0</v>
      </c>
      <c r="AQ48" s="40" t="s">
        <v>842</v>
      </c>
      <c r="AV48" s="39">
        <f>AW48+AX48</f>
        <v>0</v>
      </c>
      <c r="AW48" s="39">
        <f>H48*AO48</f>
        <v>0</v>
      </c>
      <c r="AX48" s="39">
        <f>H48*AP48</f>
        <v>0</v>
      </c>
      <c r="AY48" s="40" t="s">
        <v>884</v>
      </c>
      <c r="AZ48" s="40" t="s">
        <v>517</v>
      </c>
      <c r="BA48" s="68" t="s">
        <v>648</v>
      </c>
      <c r="BC48" s="39">
        <f>AW48+AX48</f>
        <v>0</v>
      </c>
      <c r="BD48" s="39">
        <f>I48/(100-BE48)*100</f>
        <v>0</v>
      </c>
      <c r="BE48" s="39">
        <v>0</v>
      </c>
      <c r="BF48" s="39">
        <f>56</f>
        <v>56</v>
      </c>
      <c r="BH48" s="39">
        <f>H48*AO48</f>
        <v>0</v>
      </c>
      <c r="BI48" s="39">
        <f>H48*AP48</f>
        <v>0</v>
      </c>
      <c r="BJ48" s="39">
        <f>H48*I48</f>
        <v>0</v>
      </c>
      <c r="BK48" s="39"/>
      <c r="BL48" s="39">
        <v>56</v>
      </c>
    </row>
    <row r="49" spans="1:64" ht="15" customHeight="1">
      <c r="A49" s="37" t="s">
        <v>546</v>
      </c>
      <c r="B49" s="38" t="s">
        <v>99</v>
      </c>
      <c r="C49" s="195" t="s">
        <v>430</v>
      </c>
      <c r="D49" s="195"/>
      <c r="E49" s="195"/>
      <c r="F49" s="195"/>
      <c r="G49" s="38" t="s">
        <v>831</v>
      </c>
      <c r="H49" s="39">
        <v>21.15</v>
      </c>
      <c r="I49" s="39">
        <v>0</v>
      </c>
      <c r="J49" s="39">
        <f>H49*AO49</f>
        <v>0</v>
      </c>
      <c r="K49" s="39">
        <f>H49*AP49</f>
        <v>0</v>
      </c>
      <c r="L49" s="39">
        <f>H49*I49</f>
        <v>0</v>
      </c>
      <c r="M49" s="80" t="s">
        <v>576</v>
      </c>
      <c r="Z49" s="39">
        <f>IF(AQ49="5",BJ49,0)</f>
        <v>0</v>
      </c>
      <c r="AB49" s="39">
        <f>IF(AQ49="1",BH49,0)</f>
        <v>0</v>
      </c>
      <c r="AC49" s="39">
        <f>IF(AQ49="1",BI49,0)</f>
        <v>0</v>
      </c>
      <c r="AD49" s="39">
        <f>IF(AQ49="7",BH49,0)</f>
        <v>0</v>
      </c>
      <c r="AE49" s="39">
        <f>IF(AQ49="7",BI49,0)</f>
        <v>0</v>
      </c>
      <c r="AF49" s="39">
        <f>IF(AQ49="2",BH49,0)</f>
        <v>0</v>
      </c>
      <c r="AG49" s="39">
        <f>IF(AQ49="2",BI49,0)</f>
        <v>0</v>
      </c>
      <c r="AH49" s="39">
        <f>IF(AQ49="0",BJ49,0)</f>
        <v>0</v>
      </c>
      <c r="AI49" s="68" t="s">
        <v>587</v>
      </c>
      <c r="AJ49" s="39">
        <f>IF(AN49=0,L49,0)</f>
        <v>0</v>
      </c>
      <c r="AK49" s="39">
        <f>IF(AN49=15,L49,0)</f>
        <v>0</v>
      </c>
      <c r="AL49" s="39">
        <f>IF(AN49=21,L49,0)</f>
        <v>0</v>
      </c>
      <c r="AN49" s="39">
        <v>21</v>
      </c>
      <c r="AO49" s="39">
        <f>I49*0.857604067148901</f>
        <v>0</v>
      </c>
      <c r="AP49" s="39">
        <f>I49*(1-0.857604067148901)</f>
        <v>0</v>
      </c>
      <c r="AQ49" s="40" t="s">
        <v>842</v>
      </c>
      <c r="AV49" s="39">
        <f>AW49+AX49</f>
        <v>0</v>
      </c>
      <c r="AW49" s="39">
        <f>H49*AO49</f>
        <v>0</v>
      </c>
      <c r="AX49" s="39">
        <f>H49*AP49</f>
        <v>0</v>
      </c>
      <c r="AY49" s="40" t="s">
        <v>884</v>
      </c>
      <c r="AZ49" s="40" t="s">
        <v>517</v>
      </c>
      <c r="BA49" s="68" t="s">
        <v>648</v>
      </c>
      <c r="BC49" s="39">
        <f>AW49+AX49</f>
        <v>0</v>
      </c>
      <c r="BD49" s="39">
        <f>I49/(100-BE49)*100</f>
        <v>0</v>
      </c>
      <c r="BE49" s="39">
        <v>0</v>
      </c>
      <c r="BF49" s="39">
        <f>57</f>
        <v>57</v>
      </c>
      <c r="BH49" s="39">
        <f>H49*AO49</f>
        <v>0</v>
      </c>
      <c r="BI49" s="39">
        <f>H49*AP49</f>
        <v>0</v>
      </c>
      <c r="BJ49" s="39">
        <f>H49*I49</f>
        <v>0</v>
      </c>
      <c r="BK49" s="39"/>
      <c r="BL49" s="39">
        <v>56</v>
      </c>
    </row>
    <row r="50" spans="1:64" ht="15" customHeight="1">
      <c r="A50" s="76" t="s">
        <v>587</v>
      </c>
      <c r="B50" s="77" t="s">
        <v>399</v>
      </c>
      <c r="C50" s="221" t="s">
        <v>795</v>
      </c>
      <c r="D50" s="221"/>
      <c r="E50" s="221"/>
      <c r="F50" s="221"/>
      <c r="G50" s="78" t="s">
        <v>784</v>
      </c>
      <c r="H50" s="78" t="s">
        <v>784</v>
      </c>
      <c r="I50" s="78" t="s">
        <v>784</v>
      </c>
      <c r="J50" s="64">
        <f>SUM(J51:J52)</f>
        <v>0</v>
      </c>
      <c r="K50" s="64">
        <f>SUM(K51:K52)</f>
        <v>0</v>
      </c>
      <c r="L50" s="64">
        <f>SUM(L51:L52)</f>
        <v>0</v>
      </c>
      <c r="M50" s="79" t="s">
        <v>587</v>
      </c>
      <c r="AI50" s="68" t="s">
        <v>587</v>
      </c>
      <c r="AS50" s="64">
        <f>SUM(AJ51:AJ52)</f>
        <v>0</v>
      </c>
      <c r="AT50" s="64">
        <f>SUM(AK51:AK52)</f>
        <v>0</v>
      </c>
      <c r="AU50" s="64">
        <f>SUM(AL51:AL52)</f>
        <v>0</v>
      </c>
    </row>
    <row r="51" spans="1:64" ht="15" customHeight="1">
      <c r="A51" s="37" t="s">
        <v>507</v>
      </c>
      <c r="B51" s="38" t="s">
        <v>348</v>
      </c>
      <c r="C51" s="195" t="s">
        <v>303</v>
      </c>
      <c r="D51" s="195"/>
      <c r="E51" s="195"/>
      <c r="F51" s="195"/>
      <c r="G51" s="38" t="s">
        <v>831</v>
      </c>
      <c r="H51" s="39">
        <v>21.15</v>
      </c>
      <c r="I51" s="39">
        <v>0</v>
      </c>
      <c r="J51" s="39">
        <f>H51*AO51</f>
        <v>0</v>
      </c>
      <c r="K51" s="39">
        <f>H51*AP51</f>
        <v>0</v>
      </c>
      <c r="L51" s="39">
        <f>H51*I51</f>
        <v>0</v>
      </c>
      <c r="M51" s="80" t="s">
        <v>576</v>
      </c>
      <c r="Z51" s="39">
        <f>IF(AQ51="5",BJ51,0)</f>
        <v>0</v>
      </c>
      <c r="AB51" s="39">
        <f>IF(AQ51="1",BH51,0)</f>
        <v>0</v>
      </c>
      <c r="AC51" s="39">
        <f>IF(AQ51="1",BI51,0)</f>
        <v>0</v>
      </c>
      <c r="AD51" s="39">
        <f>IF(AQ51="7",BH51,0)</f>
        <v>0</v>
      </c>
      <c r="AE51" s="39">
        <f>IF(AQ51="7",BI51,0)</f>
        <v>0</v>
      </c>
      <c r="AF51" s="39">
        <f>IF(AQ51="2",BH51,0)</f>
        <v>0</v>
      </c>
      <c r="AG51" s="39">
        <f>IF(AQ51="2",BI51,0)</f>
        <v>0</v>
      </c>
      <c r="AH51" s="39">
        <f>IF(AQ51="0",BJ51,0)</f>
        <v>0</v>
      </c>
      <c r="AI51" s="68" t="s">
        <v>587</v>
      </c>
      <c r="AJ51" s="39">
        <f>IF(AN51=0,L51,0)</f>
        <v>0</v>
      </c>
      <c r="AK51" s="39">
        <f>IF(AN51=15,L51,0)</f>
        <v>0</v>
      </c>
      <c r="AL51" s="39">
        <f>IF(AN51=21,L51,0)</f>
        <v>0</v>
      </c>
      <c r="AN51" s="39">
        <v>21</v>
      </c>
      <c r="AO51" s="39">
        <f>I51*0.142144364190781</f>
        <v>0</v>
      </c>
      <c r="AP51" s="39">
        <f>I51*(1-0.142144364190781)</f>
        <v>0</v>
      </c>
      <c r="AQ51" s="40" t="s">
        <v>842</v>
      </c>
      <c r="AV51" s="39">
        <f>AW51+AX51</f>
        <v>0</v>
      </c>
      <c r="AW51" s="39">
        <f>H51*AO51</f>
        <v>0</v>
      </c>
      <c r="AX51" s="39">
        <f>H51*AP51</f>
        <v>0</v>
      </c>
      <c r="AY51" s="40" t="s">
        <v>834</v>
      </c>
      <c r="AZ51" s="40" t="s">
        <v>517</v>
      </c>
      <c r="BA51" s="68" t="s">
        <v>648</v>
      </c>
      <c r="BC51" s="39">
        <f>AW51+AX51</f>
        <v>0</v>
      </c>
      <c r="BD51" s="39">
        <f>I51/(100-BE51)*100</f>
        <v>0</v>
      </c>
      <c r="BE51" s="39">
        <v>0</v>
      </c>
      <c r="BF51" s="39">
        <f>59</f>
        <v>59</v>
      </c>
      <c r="BH51" s="39">
        <f>H51*AO51</f>
        <v>0</v>
      </c>
      <c r="BI51" s="39">
        <f>H51*AP51</f>
        <v>0</v>
      </c>
      <c r="BJ51" s="39">
        <f>H51*I51</f>
        <v>0</v>
      </c>
      <c r="BK51" s="39"/>
      <c r="BL51" s="39">
        <v>59</v>
      </c>
    </row>
    <row r="52" spans="1:64" ht="15" customHeight="1">
      <c r="A52" s="37" t="s">
        <v>713</v>
      </c>
      <c r="B52" s="38" t="s">
        <v>811</v>
      </c>
      <c r="C52" s="195" t="s">
        <v>950</v>
      </c>
      <c r="D52" s="195"/>
      <c r="E52" s="195"/>
      <c r="F52" s="195"/>
      <c r="G52" s="38" t="s">
        <v>831</v>
      </c>
      <c r="H52" s="39">
        <v>22.841999999999999</v>
      </c>
      <c r="I52" s="39">
        <v>0</v>
      </c>
      <c r="J52" s="39">
        <f>H52*AO52</f>
        <v>0</v>
      </c>
      <c r="K52" s="39">
        <f>H52*AP52</f>
        <v>0</v>
      </c>
      <c r="L52" s="39">
        <f>H52*I52</f>
        <v>0</v>
      </c>
      <c r="M52" s="80" t="s">
        <v>576</v>
      </c>
      <c r="Z52" s="39">
        <f>IF(AQ52="5",BJ52,0)</f>
        <v>0</v>
      </c>
      <c r="AB52" s="39">
        <f>IF(AQ52="1",BH52,0)</f>
        <v>0</v>
      </c>
      <c r="AC52" s="39">
        <f>IF(AQ52="1",BI52,0)</f>
        <v>0</v>
      </c>
      <c r="AD52" s="39">
        <f>IF(AQ52="7",BH52,0)</f>
        <v>0</v>
      </c>
      <c r="AE52" s="39">
        <f>IF(AQ52="7",BI52,0)</f>
        <v>0</v>
      </c>
      <c r="AF52" s="39">
        <f>IF(AQ52="2",BH52,0)</f>
        <v>0</v>
      </c>
      <c r="AG52" s="39">
        <f>IF(AQ52="2",BI52,0)</f>
        <v>0</v>
      </c>
      <c r="AH52" s="39">
        <f>IF(AQ52="0",BJ52,0)</f>
        <v>0</v>
      </c>
      <c r="AI52" s="68" t="s">
        <v>587</v>
      </c>
      <c r="AJ52" s="39">
        <f>IF(AN52=0,L52,0)</f>
        <v>0</v>
      </c>
      <c r="AK52" s="39">
        <f>IF(AN52=15,L52,0)</f>
        <v>0</v>
      </c>
      <c r="AL52" s="39">
        <f>IF(AN52=21,L52,0)</f>
        <v>0</v>
      </c>
      <c r="AN52" s="39">
        <v>21</v>
      </c>
      <c r="AO52" s="39">
        <f>I52*1</f>
        <v>0</v>
      </c>
      <c r="AP52" s="39">
        <f>I52*(1-1)</f>
        <v>0</v>
      </c>
      <c r="AQ52" s="40" t="s">
        <v>842</v>
      </c>
      <c r="AV52" s="39">
        <f>AW52+AX52</f>
        <v>0</v>
      </c>
      <c r="AW52" s="39">
        <f>H52*AO52</f>
        <v>0</v>
      </c>
      <c r="AX52" s="39">
        <f>H52*AP52</f>
        <v>0</v>
      </c>
      <c r="AY52" s="40" t="s">
        <v>834</v>
      </c>
      <c r="AZ52" s="40" t="s">
        <v>517</v>
      </c>
      <c r="BA52" s="68" t="s">
        <v>648</v>
      </c>
      <c r="BC52" s="39">
        <f>AW52+AX52</f>
        <v>0</v>
      </c>
      <c r="BD52" s="39">
        <f>I52/(100-BE52)*100</f>
        <v>0</v>
      </c>
      <c r="BE52" s="39">
        <v>0</v>
      </c>
      <c r="BF52" s="39">
        <f>60</f>
        <v>60</v>
      </c>
      <c r="BH52" s="39">
        <f>H52*AO52</f>
        <v>0</v>
      </c>
      <c r="BI52" s="39">
        <f>H52*AP52</f>
        <v>0</v>
      </c>
      <c r="BJ52" s="39">
        <f>H52*I52</f>
        <v>0</v>
      </c>
      <c r="BK52" s="39"/>
      <c r="BL52" s="39">
        <v>59</v>
      </c>
    </row>
    <row r="53" spans="1:64" ht="15" customHeight="1">
      <c r="A53" s="76" t="s">
        <v>587</v>
      </c>
      <c r="B53" s="77" t="s">
        <v>612</v>
      </c>
      <c r="C53" s="221" t="s">
        <v>606</v>
      </c>
      <c r="D53" s="221"/>
      <c r="E53" s="221"/>
      <c r="F53" s="221"/>
      <c r="G53" s="78" t="s">
        <v>784</v>
      </c>
      <c r="H53" s="78" t="s">
        <v>784</v>
      </c>
      <c r="I53" s="78" t="s">
        <v>784</v>
      </c>
      <c r="J53" s="64">
        <f>SUM(J54:J65)</f>
        <v>0</v>
      </c>
      <c r="K53" s="64">
        <f>SUM(K54:K65)</f>
        <v>0</v>
      </c>
      <c r="L53" s="64">
        <f>SUM(L54:L65)</f>
        <v>0</v>
      </c>
      <c r="M53" s="79" t="s">
        <v>587</v>
      </c>
      <c r="AI53" s="68" t="s">
        <v>587</v>
      </c>
      <c r="AS53" s="64">
        <f>SUM(AJ54:AJ65)</f>
        <v>0</v>
      </c>
      <c r="AT53" s="64">
        <f>SUM(AK54:AK65)</f>
        <v>0</v>
      </c>
      <c r="AU53" s="64">
        <f>SUM(AL54:AL65)</f>
        <v>0</v>
      </c>
    </row>
    <row r="54" spans="1:64" ht="15" customHeight="1">
      <c r="A54" s="37" t="s">
        <v>187</v>
      </c>
      <c r="B54" s="38" t="s">
        <v>252</v>
      </c>
      <c r="C54" s="195" t="s">
        <v>943</v>
      </c>
      <c r="D54" s="195"/>
      <c r="E54" s="195"/>
      <c r="F54" s="195"/>
      <c r="G54" s="38" t="s">
        <v>831</v>
      </c>
      <c r="H54" s="39">
        <v>255.78</v>
      </c>
      <c r="I54" s="39">
        <v>0</v>
      </c>
      <c r="J54" s="39">
        <f>H54*AO54</f>
        <v>0</v>
      </c>
      <c r="K54" s="39">
        <f>H54*AP54</f>
        <v>0</v>
      </c>
      <c r="L54" s="39">
        <f>H54*I54</f>
        <v>0</v>
      </c>
      <c r="M54" s="80" t="s">
        <v>576</v>
      </c>
      <c r="Z54" s="39">
        <f>IF(AQ54="5",BJ54,0)</f>
        <v>0</v>
      </c>
      <c r="AB54" s="39">
        <f>IF(AQ54="1",BH54,0)</f>
        <v>0</v>
      </c>
      <c r="AC54" s="39">
        <f>IF(AQ54="1",BI54,0)</f>
        <v>0</v>
      </c>
      <c r="AD54" s="39">
        <f>IF(AQ54="7",BH54,0)</f>
        <v>0</v>
      </c>
      <c r="AE54" s="39">
        <f>IF(AQ54="7",BI54,0)</f>
        <v>0</v>
      </c>
      <c r="AF54" s="39">
        <f>IF(AQ54="2",BH54,0)</f>
        <v>0</v>
      </c>
      <c r="AG54" s="39">
        <f>IF(AQ54="2",BI54,0)</f>
        <v>0</v>
      </c>
      <c r="AH54" s="39">
        <f>IF(AQ54="0",BJ54,0)</f>
        <v>0</v>
      </c>
      <c r="AI54" s="68" t="s">
        <v>587</v>
      </c>
      <c r="AJ54" s="39">
        <f>IF(AN54=0,L54,0)</f>
        <v>0</v>
      </c>
      <c r="AK54" s="39">
        <f>IF(AN54=15,L54,0)</f>
        <v>0</v>
      </c>
      <c r="AL54" s="39">
        <f>IF(AN54=21,L54,0)</f>
        <v>0</v>
      </c>
      <c r="AN54" s="39">
        <v>21</v>
      </c>
      <c r="AO54" s="39">
        <f>I54*0.152670503917237</f>
        <v>0</v>
      </c>
      <c r="AP54" s="39">
        <f>I54*(1-0.152670503917237)</f>
        <v>0</v>
      </c>
      <c r="AQ54" s="40" t="s">
        <v>842</v>
      </c>
      <c r="AV54" s="39">
        <f>AW54+AX54</f>
        <v>0</v>
      </c>
      <c r="AW54" s="39">
        <f>H54*AO54</f>
        <v>0</v>
      </c>
      <c r="AX54" s="39">
        <f>H54*AP54</f>
        <v>0</v>
      </c>
      <c r="AY54" s="40" t="s">
        <v>533</v>
      </c>
      <c r="AZ54" s="40" t="s">
        <v>107</v>
      </c>
      <c r="BA54" s="68" t="s">
        <v>648</v>
      </c>
      <c r="BC54" s="39">
        <f>AW54+AX54</f>
        <v>0</v>
      </c>
      <c r="BD54" s="39">
        <f>I54/(100-BE54)*100</f>
        <v>0</v>
      </c>
      <c r="BE54" s="39">
        <v>0</v>
      </c>
      <c r="BF54" s="39">
        <f>62</f>
        <v>62</v>
      </c>
      <c r="BH54" s="39">
        <f>H54*AO54</f>
        <v>0</v>
      </c>
      <c r="BI54" s="39">
        <f>H54*AP54</f>
        <v>0</v>
      </c>
      <c r="BJ54" s="39">
        <f>H54*I54</f>
        <v>0</v>
      </c>
      <c r="BK54" s="39"/>
      <c r="BL54" s="39">
        <v>61</v>
      </c>
    </row>
    <row r="55" spans="1:64" ht="13.5" customHeight="1">
      <c r="A55" s="81"/>
      <c r="B55" s="82" t="s">
        <v>440</v>
      </c>
      <c r="C55" s="223" t="s">
        <v>838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5"/>
    </row>
    <row r="56" spans="1:64" ht="15" customHeight="1">
      <c r="A56" s="37" t="s">
        <v>933</v>
      </c>
      <c r="B56" s="38" t="s">
        <v>808</v>
      </c>
      <c r="C56" s="195" t="s">
        <v>69</v>
      </c>
      <c r="D56" s="195"/>
      <c r="E56" s="195"/>
      <c r="F56" s="195"/>
      <c r="G56" s="38" t="s">
        <v>831</v>
      </c>
      <c r="H56" s="39">
        <v>140.63999999999999</v>
      </c>
      <c r="I56" s="39">
        <v>0</v>
      </c>
      <c r="J56" s="39">
        <f>H56*AO56</f>
        <v>0</v>
      </c>
      <c r="K56" s="39">
        <f>H56*AP56</f>
        <v>0</v>
      </c>
      <c r="L56" s="39">
        <f>H56*I56</f>
        <v>0</v>
      </c>
      <c r="M56" s="80" t="s">
        <v>576</v>
      </c>
      <c r="Z56" s="39">
        <f>IF(AQ56="5",BJ56,0)</f>
        <v>0</v>
      </c>
      <c r="AB56" s="39">
        <f>IF(AQ56="1",BH56,0)</f>
        <v>0</v>
      </c>
      <c r="AC56" s="39">
        <f>IF(AQ56="1",BI56,0)</f>
        <v>0</v>
      </c>
      <c r="AD56" s="39">
        <f>IF(AQ56="7",BH56,0)</f>
        <v>0</v>
      </c>
      <c r="AE56" s="39">
        <f>IF(AQ56="7",BI56,0)</f>
        <v>0</v>
      </c>
      <c r="AF56" s="39">
        <f>IF(AQ56="2",BH56,0)</f>
        <v>0</v>
      </c>
      <c r="AG56" s="39">
        <f>IF(AQ56="2",BI56,0)</f>
        <v>0</v>
      </c>
      <c r="AH56" s="39">
        <f>IF(AQ56="0",BJ56,0)</f>
        <v>0</v>
      </c>
      <c r="AI56" s="68" t="s">
        <v>587</v>
      </c>
      <c r="AJ56" s="39">
        <f>IF(AN56=0,L56,0)</f>
        <v>0</v>
      </c>
      <c r="AK56" s="39">
        <f>IF(AN56=15,L56,0)</f>
        <v>0</v>
      </c>
      <c r="AL56" s="39">
        <f>IF(AN56=21,L56,0)</f>
        <v>0</v>
      </c>
      <c r="AN56" s="39">
        <v>21</v>
      </c>
      <c r="AO56" s="39">
        <f>I56*0.134005520467836</f>
        <v>0</v>
      </c>
      <c r="AP56" s="39">
        <f>I56*(1-0.134005520467836)</f>
        <v>0</v>
      </c>
      <c r="AQ56" s="40" t="s">
        <v>842</v>
      </c>
      <c r="AV56" s="39">
        <f>AW56+AX56</f>
        <v>0</v>
      </c>
      <c r="AW56" s="39">
        <f>H56*AO56</f>
        <v>0</v>
      </c>
      <c r="AX56" s="39">
        <f>H56*AP56</f>
        <v>0</v>
      </c>
      <c r="AY56" s="40" t="s">
        <v>533</v>
      </c>
      <c r="AZ56" s="40" t="s">
        <v>107</v>
      </c>
      <c r="BA56" s="68" t="s">
        <v>648</v>
      </c>
      <c r="BC56" s="39">
        <f>AW56+AX56</f>
        <v>0</v>
      </c>
      <c r="BD56" s="39">
        <f>I56/(100-BE56)*100</f>
        <v>0</v>
      </c>
      <c r="BE56" s="39">
        <v>0</v>
      </c>
      <c r="BF56" s="39">
        <f>64</f>
        <v>64</v>
      </c>
      <c r="BH56" s="39">
        <f>H56*AO56</f>
        <v>0</v>
      </c>
      <c r="BI56" s="39">
        <f>H56*AP56</f>
        <v>0</v>
      </c>
      <c r="BJ56" s="39">
        <f>H56*I56</f>
        <v>0</v>
      </c>
      <c r="BK56" s="39"/>
      <c r="BL56" s="39">
        <v>61</v>
      </c>
    </row>
    <row r="57" spans="1:64" ht="13.5" customHeight="1">
      <c r="A57" s="81"/>
      <c r="B57" s="82" t="s">
        <v>440</v>
      </c>
      <c r="C57" s="223" t="s">
        <v>699</v>
      </c>
      <c r="D57" s="224"/>
      <c r="E57" s="224"/>
      <c r="F57" s="224"/>
      <c r="G57" s="224"/>
      <c r="H57" s="224"/>
      <c r="I57" s="224"/>
      <c r="J57" s="224"/>
      <c r="K57" s="224"/>
      <c r="L57" s="224"/>
      <c r="M57" s="225"/>
    </row>
    <row r="58" spans="1:64" ht="15" customHeight="1">
      <c r="A58" s="37" t="s">
        <v>748</v>
      </c>
      <c r="B58" s="38" t="s">
        <v>239</v>
      </c>
      <c r="C58" s="195" t="s">
        <v>937</v>
      </c>
      <c r="D58" s="195"/>
      <c r="E58" s="195"/>
      <c r="F58" s="195"/>
      <c r="G58" s="38" t="s">
        <v>831</v>
      </c>
      <c r="H58" s="39">
        <v>203.82</v>
      </c>
      <c r="I58" s="39">
        <v>0</v>
      </c>
      <c r="J58" s="39">
        <f>H58*AO58</f>
        <v>0</v>
      </c>
      <c r="K58" s="39">
        <f>H58*AP58</f>
        <v>0</v>
      </c>
      <c r="L58" s="39">
        <f>H58*I58</f>
        <v>0</v>
      </c>
      <c r="M58" s="80" t="s">
        <v>576</v>
      </c>
      <c r="Z58" s="39">
        <f>IF(AQ58="5",BJ58,0)</f>
        <v>0</v>
      </c>
      <c r="AB58" s="39">
        <f>IF(AQ58="1",BH58,0)</f>
        <v>0</v>
      </c>
      <c r="AC58" s="39">
        <f>IF(AQ58="1",BI58,0)</f>
        <v>0</v>
      </c>
      <c r="AD58" s="39">
        <f>IF(AQ58="7",BH58,0)</f>
        <v>0</v>
      </c>
      <c r="AE58" s="39">
        <f>IF(AQ58="7",BI58,0)</f>
        <v>0</v>
      </c>
      <c r="AF58" s="39">
        <f>IF(AQ58="2",BH58,0)</f>
        <v>0</v>
      </c>
      <c r="AG58" s="39">
        <f>IF(AQ58="2",BI58,0)</f>
        <v>0</v>
      </c>
      <c r="AH58" s="39">
        <f>IF(AQ58="0",BJ58,0)</f>
        <v>0</v>
      </c>
      <c r="AI58" s="68" t="s">
        <v>587</v>
      </c>
      <c r="AJ58" s="39">
        <f>IF(AN58=0,L58,0)</f>
        <v>0</v>
      </c>
      <c r="AK58" s="39">
        <f>IF(AN58=15,L58,0)</f>
        <v>0</v>
      </c>
      <c r="AL58" s="39">
        <f>IF(AN58=21,L58,0)</f>
        <v>0</v>
      </c>
      <c r="AN58" s="39">
        <v>21</v>
      </c>
      <c r="AO58" s="39">
        <f>I58*0.284066958377131</f>
        <v>0</v>
      </c>
      <c r="AP58" s="39">
        <f>I58*(1-0.284066958377131)</f>
        <v>0</v>
      </c>
      <c r="AQ58" s="40" t="s">
        <v>842</v>
      </c>
      <c r="AV58" s="39">
        <f>AW58+AX58</f>
        <v>0</v>
      </c>
      <c r="AW58" s="39">
        <f>H58*AO58</f>
        <v>0</v>
      </c>
      <c r="AX58" s="39">
        <f>H58*AP58</f>
        <v>0</v>
      </c>
      <c r="AY58" s="40" t="s">
        <v>533</v>
      </c>
      <c r="AZ58" s="40" t="s">
        <v>107</v>
      </c>
      <c r="BA58" s="68" t="s">
        <v>648</v>
      </c>
      <c r="BC58" s="39">
        <f>AW58+AX58</f>
        <v>0</v>
      </c>
      <c r="BD58" s="39">
        <f>I58/(100-BE58)*100</f>
        <v>0</v>
      </c>
      <c r="BE58" s="39">
        <v>0</v>
      </c>
      <c r="BF58" s="39">
        <f>66</f>
        <v>66</v>
      </c>
      <c r="BH58" s="39">
        <f>H58*AO58</f>
        <v>0</v>
      </c>
      <c r="BI58" s="39">
        <f>H58*AP58</f>
        <v>0</v>
      </c>
      <c r="BJ58" s="39">
        <f>H58*I58</f>
        <v>0</v>
      </c>
      <c r="BK58" s="39"/>
      <c r="BL58" s="39">
        <v>61</v>
      </c>
    </row>
    <row r="59" spans="1:64" ht="13.5" customHeight="1">
      <c r="A59" s="81"/>
      <c r="B59" s="82" t="s">
        <v>440</v>
      </c>
      <c r="C59" s="223" t="s">
        <v>489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5"/>
    </row>
    <row r="60" spans="1:64" ht="15" customHeight="1">
      <c r="A60" s="37" t="s">
        <v>503</v>
      </c>
      <c r="B60" s="38" t="s">
        <v>17</v>
      </c>
      <c r="C60" s="195" t="s">
        <v>127</v>
      </c>
      <c r="D60" s="195"/>
      <c r="E60" s="195"/>
      <c r="F60" s="195"/>
      <c r="G60" s="38" t="s">
        <v>831</v>
      </c>
      <c r="H60" s="39">
        <v>203.82</v>
      </c>
      <c r="I60" s="39">
        <v>0</v>
      </c>
      <c r="J60" s="39">
        <f>H60*AO60</f>
        <v>0</v>
      </c>
      <c r="K60" s="39">
        <f>H60*AP60</f>
        <v>0</v>
      </c>
      <c r="L60" s="39">
        <f>H60*I60</f>
        <v>0</v>
      </c>
      <c r="M60" s="80" t="s">
        <v>576</v>
      </c>
      <c r="Z60" s="39">
        <f>IF(AQ60="5",BJ60,0)</f>
        <v>0</v>
      </c>
      <c r="AB60" s="39">
        <f>IF(AQ60="1",BH60,0)</f>
        <v>0</v>
      </c>
      <c r="AC60" s="39">
        <f>IF(AQ60="1",BI60,0)</f>
        <v>0</v>
      </c>
      <c r="AD60" s="39">
        <f>IF(AQ60="7",BH60,0)</f>
        <v>0</v>
      </c>
      <c r="AE60" s="39">
        <f>IF(AQ60="7",BI60,0)</f>
        <v>0</v>
      </c>
      <c r="AF60" s="39">
        <f>IF(AQ60="2",BH60,0)</f>
        <v>0</v>
      </c>
      <c r="AG60" s="39">
        <f>IF(AQ60="2",BI60,0)</f>
        <v>0</v>
      </c>
      <c r="AH60" s="39">
        <f>IF(AQ60="0",BJ60,0)</f>
        <v>0</v>
      </c>
      <c r="AI60" s="68" t="s">
        <v>587</v>
      </c>
      <c r="AJ60" s="39">
        <f>IF(AN60=0,L60,0)</f>
        <v>0</v>
      </c>
      <c r="AK60" s="39">
        <f>IF(AN60=15,L60,0)</f>
        <v>0</v>
      </c>
      <c r="AL60" s="39">
        <f>IF(AN60=21,L60,0)</f>
        <v>0</v>
      </c>
      <c r="AN60" s="39">
        <v>21</v>
      </c>
      <c r="AO60" s="39">
        <f>I60*0.214870247830939</f>
        <v>0</v>
      </c>
      <c r="AP60" s="39">
        <f>I60*(1-0.214870247830939)</f>
        <v>0</v>
      </c>
      <c r="AQ60" s="40" t="s">
        <v>842</v>
      </c>
      <c r="AV60" s="39">
        <f>AW60+AX60</f>
        <v>0</v>
      </c>
      <c r="AW60" s="39">
        <f>H60*AO60</f>
        <v>0</v>
      </c>
      <c r="AX60" s="39">
        <f>H60*AP60</f>
        <v>0</v>
      </c>
      <c r="AY60" s="40" t="s">
        <v>533</v>
      </c>
      <c r="AZ60" s="40" t="s">
        <v>107</v>
      </c>
      <c r="BA60" s="68" t="s">
        <v>648</v>
      </c>
      <c r="BC60" s="39">
        <f>AW60+AX60</f>
        <v>0</v>
      </c>
      <c r="BD60" s="39">
        <f>I60/(100-BE60)*100</f>
        <v>0</v>
      </c>
      <c r="BE60" s="39">
        <v>0</v>
      </c>
      <c r="BF60" s="39">
        <f>68</f>
        <v>68</v>
      </c>
      <c r="BH60" s="39">
        <f>H60*AO60</f>
        <v>0</v>
      </c>
      <c r="BI60" s="39">
        <f>H60*AP60</f>
        <v>0</v>
      </c>
      <c r="BJ60" s="39">
        <f>H60*I60</f>
        <v>0</v>
      </c>
      <c r="BK60" s="39"/>
      <c r="BL60" s="39">
        <v>61</v>
      </c>
    </row>
    <row r="61" spans="1:64" ht="13.5" customHeight="1">
      <c r="A61" s="81"/>
      <c r="B61" s="82" t="s">
        <v>440</v>
      </c>
      <c r="C61" s="223" t="s">
        <v>623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5"/>
    </row>
    <row r="62" spans="1:64" ht="15" customHeight="1">
      <c r="A62" s="37" t="s">
        <v>829</v>
      </c>
      <c r="B62" s="38" t="s">
        <v>167</v>
      </c>
      <c r="C62" s="195" t="s">
        <v>310</v>
      </c>
      <c r="D62" s="195"/>
      <c r="E62" s="195"/>
      <c r="F62" s="195"/>
      <c r="G62" s="38" t="s">
        <v>831</v>
      </c>
      <c r="H62" s="39">
        <v>203.82</v>
      </c>
      <c r="I62" s="39">
        <v>0</v>
      </c>
      <c r="J62" s="39">
        <f>H62*AO62</f>
        <v>0</v>
      </c>
      <c r="K62" s="39">
        <f>H62*AP62</f>
        <v>0</v>
      </c>
      <c r="L62" s="39">
        <f>H62*I62</f>
        <v>0</v>
      </c>
      <c r="M62" s="80" t="s">
        <v>576</v>
      </c>
      <c r="Z62" s="39">
        <f>IF(AQ62="5",BJ62,0)</f>
        <v>0</v>
      </c>
      <c r="AB62" s="39">
        <f>IF(AQ62="1",BH62,0)</f>
        <v>0</v>
      </c>
      <c r="AC62" s="39">
        <f>IF(AQ62="1",BI62,0)</f>
        <v>0</v>
      </c>
      <c r="AD62" s="39">
        <f>IF(AQ62="7",BH62,0)</f>
        <v>0</v>
      </c>
      <c r="AE62" s="39">
        <f>IF(AQ62="7",BI62,0)</f>
        <v>0</v>
      </c>
      <c r="AF62" s="39">
        <f>IF(AQ62="2",BH62,0)</f>
        <v>0</v>
      </c>
      <c r="AG62" s="39">
        <f>IF(AQ62="2",BI62,0)</f>
        <v>0</v>
      </c>
      <c r="AH62" s="39">
        <f>IF(AQ62="0",BJ62,0)</f>
        <v>0</v>
      </c>
      <c r="AI62" s="68" t="s">
        <v>587</v>
      </c>
      <c r="AJ62" s="39">
        <f>IF(AN62=0,L62,0)</f>
        <v>0</v>
      </c>
      <c r="AK62" s="39">
        <f>IF(AN62=15,L62,0)</f>
        <v>0</v>
      </c>
      <c r="AL62" s="39">
        <f>IF(AN62=21,L62,0)</f>
        <v>0</v>
      </c>
      <c r="AN62" s="39">
        <v>21</v>
      </c>
      <c r="AO62" s="39">
        <f>I62*0.525896506005303</f>
        <v>0</v>
      </c>
      <c r="AP62" s="39">
        <f>I62*(1-0.525896506005303)</f>
        <v>0</v>
      </c>
      <c r="AQ62" s="40" t="s">
        <v>842</v>
      </c>
      <c r="AV62" s="39">
        <f>AW62+AX62</f>
        <v>0</v>
      </c>
      <c r="AW62" s="39">
        <f>H62*AO62</f>
        <v>0</v>
      </c>
      <c r="AX62" s="39">
        <f>H62*AP62</f>
        <v>0</v>
      </c>
      <c r="AY62" s="40" t="s">
        <v>533</v>
      </c>
      <c r="AZ62" s="40" t="s">
        <v>107</v>
      </c>
      <c r="BA62" s="68" t="s">
        <v>648</v>
      </c>
      <c r="BC62" s="39">
        <f>AW62+AX62</f>
        <v>0</v>
      </c>
      <c r="BD62" s="39">
        <f>I62/(100-BE62)*100</f>
        <v>0</v>
      </c>
      <c r="BE62" s="39">
        <v>0</v>
      </c>
      <c r="BF62" s="39">
        <f>70</f>
        <v>70</v>
      </c>
      <c r="BH62" s="39">
        <f>H62*AO62</f>
        <v>0</v>
      </c>
      <c r="BI62" s="39">
        <f>H62*AP62</f>
        <v>0</v>
      </c>
      <c r="BJ62" s="39">
        <f>H62*I62</f>
        <v>0</v>
      </c>
      <c r="BK62" s="39"/>
      <c r="BL62" s="39">
        <v>61</v>
      </c>
    </row>
    <row r="63" spans="1:64" ht="15" customHeight="1">
      <c r="A63" s="37" t="s">
        <v>518</v>
      </c>
      <c r="B63" s="38" t="s">
        <v>326</v>
      </c>
      <c r="C63" s="195" t="s">
        <v>562</v>
      </c>
      <c r="D63" s="195"/>
      <c r="E63" s="195"/>
      <c r="F63" s="195"/>
      <c r="G63" s="38" t="s">
        <v>831</v>
      </c>
      <c r="H63" s="39">
        <v>63.72</v>
      </c>
      <c r="I63" s="39">
        <v>0</v>
      </c>
      <c r="J63" s="39">
        <f>H63*AO63</f>
        <v>0</v>
      </c>
      <c r="K63" s="39">
        <f>H63*AP63</f>
        <v>0</v>
      </c>
      <c r="L63" s="39">
        <f>H63*I63</f>
        <v>0</v>
      </c>
      <c r="M63" s="80" t="s">
        <v>576</v>
      </c>
      <c r="Z63" s="39">
        <f>IF(AQ63="5",BJ63,0)</f>
        <v>0</v>
      </c>
      <c r="AB63" s="39">
        <f>IF(AQ63="1",BH63,0)</f>
        <v>0</v>
      </c>
      <c r="AC63" s="39">
        <f>IF(AQ63="1",BI63,0)</f>
        <v>0</v>
      </c>
      <c r="AD63" s="39">
        <f>IF(AQ63="7",BH63,0)</f>
        <v>0</v>
      </c>
      <c r="AE63" s="39">
        <f>IF(AQ63="7",BI63,0)</f>
        <v>0</v>
      </c>
      <c r="AF63" s="39">
        <f>IF(AQ63="2",BH63,0)</f>
        <v>0</v>
      </c>
      <c r="AG63" s="39">
        <f>IF(AQ63="2",BI63,0)</f>
        <v>0</v>
      </c>
      <c r="AH63" s="39">
        <f>IF(AQ63="0",BJ63,0)</f>
        <v>0</v>
      </c>
      <c r="AI63" s="68" t="s">
        <v>587</v>
      </c>
      <c r="AJ63" s="39">
        <f>IF(AN63=0,L63,0)</f>
        <v>0</v>
      </c>
      <c r="AK63" s="39">
        <f>IF(AN63=15,L63,0)</f>
        <v>0</v>
      </c>
      <c r="AL63" s="39">
        <f>IF(AN63=21,L63,0)</f>
        <v>0</v>
      </c>
      <c r="AN63" s="39">
        <v>21</v>
      </c>
      <c r="AO63" s="39">
        <f>I63*0.142038321862138</f>
        <v>0</v>
      </c>
      <c r="AP63" s="39">
        <f>I63*(1-0.142038321862138)</f>
        <v>0</v>
      </c>
      <c r="AQ63" s="40" t="s">
        <v>842</v>
      </c>
      <c r="AV63" s="39">
        <f>AW63+AX63</f>
        <v>0</v>
      </c>
      <c r="AW63" s="39">
        <f>H63*AO63</f>
        <v>0</v>
      </c>
      <c r="AX63" s="39">
        <f>H63*AP63</f>
        <v>0</v>
      </c>
      <c r="AY63" s="40" t="s">
        <v>533</v>
      </c>
      <c r="AZ63" s="40" t="s">
        <v>107</v>
      </c>
      <c r="BA63" s="68" t="s">
        <v>648</v>
      </c>
      <c r="BC63" s="39">
        <f>AW63+AX63</f>
        <v>0</v>
      </c>
      <c r="BD63" s="39">
        <f>I63/(100-BE63)*100</f>
        <v>0</v>
      </c>
      <c r="BE63" s="39">
        <v>0</v>
      </c>
      <c r="BF63" s="39">
        <f>71</f>
        <v>71</v>
      </c>
      <c r="BH63" s="39">
        <f>H63*AO63</f>
        <v>0</v>
      </c>
      <c r="BI63" s="39">
        <f>H63*AP63</f>
        <v>0</v>
      </c>
      <c r="BJ63" s="39">
        <f>H63*I63</f>
        <v>0</v>
      </c>
      <c r="BK63" s="39"/>
      <c r="BL63" s="39">
        <v>61</v>
      </c>
    </row>
    <row r="64" spans="1:64" ht="15" customHeight="1">
      <c r="A64" s="37" t="s">
        <v>545</v>
      </c>
      <c r="B64" s="38" t="s">
        <v>863</v>
      </c>
      <c r="C64" s="195" t="s">
        <v>601</v>
      </c>
      <c r="D64" s="195"/>
      <c r="E64" s="195"/>
      <c r="F64" s="195"/>
      <c r="G64" s="38" t="s">
        <v>831</v>
      </c>
      <c r="H64" s="39">
        <v>111.062</v>
      </c>
      <c r="I64" s="39">
        <v>0</v>
      </c>
      <c r="J64" s="39">
        <f>H64*AO64</f>
        <v>0</v>
      </c>
      <c r="K64" s="39">
        <f>H64*AP64</f>
        <v>0</v>
      </c>
      <c r="L64" s="39">
        <f>H64*I64</f>
        <v>0</v>
      </c>
      <c r="M64" s="80" t="s">
        <v>576</v>
      </c>
      <c r="Z64" s="39">
        <f>IF(AQ64="5",BJ64,0)</f>
        <v>0</v>
      </c>
      <c r="AB64" s="39">
        <f>IF(AQ64="1",BH64,0)</f>
        <v>0</v>
      </c>
      <c r="AC64" s="39">
        <f>IF(AQ64="1",BI64,0)</f>
        <v>0</v>
      </c>
      <c r="AD64" s="39">
        <f>IF(AQ64="7",BH64,0)</f>
        <v>0</v>
      </c>
      <c r="AE64" s="39">
        <f>IF(AQ64="7",BI64,0)</f>
        <v>0</v>
      </c>
      <c r="AF64" s="39">
        <f>IF(AQ64="2",BH64,0)</f>
        <v>0</v>
      </c>
      <c r="AG64" s="39">
        <f>IF(AQ64="2",BI64,0)</f>
        <v>0</v>
      </c>
      <c r="AH64" s="39">
        <f>IF(AQ64="0",BJ64,0)</f>
        <v>0</v>
      </c>
      <c r="AI64" s="68" t="s">
        <v>587</v>
      </c>
      <c r="AJ64" s="39">
        <f>IF(AN64=0,L64,0)</f>
        <v>0</v>
      </c>
      <c r="AK64" s="39">
        <f>IF(AN64=15,L64,0)</f>
        <v>0</v>
      </c>
      <c r="AL64" s="39">
        <f>IF(AN64=21,L64,0)</f>
        <v>0</v>
      </c>
      <c r="AN64" s="39">
        <v>21</v>
      </c>
      <c r="AO64" s="39">
        <f>I64*0.121224846995691</f>
        <v>0</v>
      </c>
      <c r="AP64" s="39">
        <f>I64*(1-0.121224846995691)</f>
        <v>0</v>
      </c>
      <c r="AQ64" s="40" t="s">
        <v>842</v>
      </c>
      <c r="AV64" s="39">
        <f>AW64+AX64</f>
        <v>0</v>
      </c>
      <c r="AW64" s="39">
        <f>H64*AO64</f>
        <v>0</v>
      </c>
      <c r="AX64" s="39">
        <f>H64*AP64</f>
        <v>0</v>
      </c>
      <c r="AY64" s="40" t="s">
        <v>533</v>
      </c>
      <c r="AZ64" s="40" t="s">
        <v>107</v>
      </c>
      <c r="BA64" s="68" t="s">
        <v>648</v>
      </c>
      <c r="BC64" s="39">
        <f>AW64+AX64</f>
        <v>0</v>
      </c>
      <c r="BD64" s="39">
        <f>I64/(100-BE64)*100</f>
        <v>0</v>
      </c>
      <c r="BE64" s="39">
        <v>0</v>
      </c>
      <c r="BF64" s="39">
        <f>72</f>
        <v>72</v>
      </c>
      <c r="BH64" s="39">
        <f>H64*AO64</f>
        <v>0</v>
      </c>
      <c r="BI64" s="39">
        <f>H64*AP64</f>
        <v>0</v>
      </c>
      <c r="BJ64" s="39">
        <f>H64*I64</f>
        <v>0</v>
      </c>
      <c r="BK64" s="39"/>
      <c r="BL64" s="39">
        <v>61</v>
      </c>
    </row>
    <row r="65" spans="1:64" ht="15" customHeight="1">
      <c r="A65" s="37" t="s">
        <v>309</v>
      </c>
      <c r="B65" s="38" t="s">
        <v>511</v>
      </c>
      <c r="C65" s="195" t="s">
        <v>877</v>
      </c>
      <c r="D65" s="195"/>
      <c r="E65" s="195"/>
      <c r="F65" s="195"/>
      <c r="G65" s="38" t="s">
        <v>831</v>
      </c>
      <c r="H65" s="39">
        <v>9.75</v>
      </c>
      <c r="I65" s="39">
        <v>0</v>
      </c>
      <c r="J65" s="39">
        <f>H65*AO65</f>
        <v>0</v>
      </c>
      <c r="K65" s="39">
        <f>H65*AP65</f>
        <v>0</v>
      </c>
      <c r="L65" s="39">
        <f>H65*I65</f>
        <v>0</v>
      </c>
      <c r="M65" s="80" t="s">
        <v>576</v>
      </c>
      <c r="Z65" s="39">
        <f>IF(AQ65="5",BJ65,0)</f>
        <v>0</v>
      </c>
      <c r="AB65" s="39">
        <f>IF(AQ65="1",BH65,0)</f>
        <v>0</v>
      </c>
      <c r="AC65" s="39">
        <f>IF(AQ65="1",BI65,0)</f>
        <v>0</v>
      </c>
      <c r="AD65" s="39">
        <f>IF(AQ65="7",BH65,0)</f>
        <v>0</v>
      </c>
      <c r="AE65" s="39">
        <f>IF(AQ65="7",BI65,0)</f>
        <v>0</v>
      </c>
      <c r="AF65" s="39">
        <f>IF(AQ65="2",BH65,0)</f>
        <v>0</v>
      </c>
      <c r="AG65" s="39">
        <f>IF(AQ65="2",BI65,0)</f>
        <v>0</v>
      </c>
      <c r="AH65" s="39">
        <f>IF(AQ65="0",BJ65,0)</f>
        <v>0</v>
      </c>
      <c r="AI65" s="68" t="s">
        <v>587</v>
      </c>
      <c r="AJ65" s="39">
        <f>IF(AN65=0,L65,0)</f>
        <v>0</v>
      </c>
      <c r="AK65" s="39">
        <f>IF(AN65=15,L65,0)</f>
        <v>0</v>
      </c>
      <c r="AL65" s="39">
        <f>IF(AN65=21,L65,0)</f>
        <v>0</v>
      </c>
      <c r="AN65" s="39">
        <v>21</v>
      </c>
      <c r="AO65" s="39">
        <f>I65*0.160678851174935</f>
        <v>0</v>
      </c>
      <c r="AP65" s="39">
        <f>I65*(1-0.160678851174935)</f>
        <v>0</v>
      </c>
      <c r="AQ65" s="40" t="s">
        <v>842</v>
      </c>
      <c r="AV65" s="39">
        <f>AW65+AX65</f>
        <v>0</v>
      </c>
      <c r="AW65" s="39">
        <f>H65*AO65</f>
        <v>0</v>
      </c>
      <c r="AX65" s="39">
        <f>H65*AP65</f>
        <v>0</v>
      </c>
      <c r="AY65" s="40" t="s">
        <v>533</v>
      </c>
      <c r="AZ65" s="40" t="s">
        <v>107</v>
      </c>
      <c r="BA65" s="68" t="s">
        <v>648</v>
      </c>
      <c r="BC65" s="39">
        <f>AW65+AX65</f>
        <v>0</v>
      </c>
      <c r="BD65" s="39">
        <f>I65/(100-BE65)*100</f>
        <v>0</v>
      </c>
      <c r="BE65" s="39">
        <v>0</v>
      </c>
      <c r="BF65" s="39">
        <f>73</f>
        <v>73</v>
      </c>
      <c r="BH65" s="39">
        <f>H65*AO65</f>
        <v>0</v>
      </c>
      <c r="BI65" s="39">
        <f>H65*AP65</f>
        <v>0</v>
      </c>
      <c r="BJ65" s="39">
        <f>H65*I65</f>
        <v>0</v>
      </c>
      <c r="BK65" s="39"/>
      <c r="BL65" s="39">
        <v>61</v>
      </c>
    </row>
    <row r="66" spans="1:64" ht="15" customHeight="1">
      <c r="A66" s="76" t="s">
        <v>587</v>
      </c>
      <c r="B66" s="77" t="s">
        <v>197</v>
      </c>
      <c r="C66" s="221" t="s">
        <v>858</v>
      </c>
      <c r="D66" s="221"/>
      <c r="E66" s="221"/>
      <c r="F66" s="221"/>
      <c r="G66" s="78" t="s">
        <v>784</v>
      </c>
      <c r="H66" s="78" t="s">
        <v>784</v>
      </c>
      <c r="I66" s="78" t="s">
        <v>784</v>
      </c>
      <c r="J66" s="64">
        <f>SUM(J67:J70)</f>
        <v>0</v>
      </c>
      <c r="K66" s="64">
        <f>SUM(K67:K70)</f>
        <v>0</v>
      </c>
      <c r="L66" s="64">
        <f>SUM(L67:L70)</f>
        <v>0</v>
      </c>
      <c r="M66" s="79" t="s">
        <v>587</v>
      </c>
      <c r="AI66" s="68" t="s">
        <v>587</v>
      </c>
      <c r="AS66" s="64">
        <f>SUM(AJ67:AJ70)</f>
        <v>0</v>
      </c>
      <c r="AT66" s="64">
        <f>SUM(AK67:AK70)</f>
        <v>0</v>
      </c>
      <c r="AU66" s="64">
        <f>SUM(AL67:AL70)</f>
        <v>0</v>
      </c>
    </row>
    <row r="67" spans="1:64" ht="15" customHeight="1">
      <c r="A67" s="37" t="s">
        <v>833</v>
      </c>
      <c r="B67" s="38" t="s">
        <v>245</v>
      </c>
      <c r="C67" s="195" t="s">
        <v>531</v>
      </c>
      <c r="D67" s="195"/>
      <c r="E67" s="195"/>
      <c r="F67" s="195"/>
      <c r="G67" s="38" t="s">
        <v>831</v>
      </c>
      <c r="H67" s="39">
        <v>21.15</v>
      </c>
      <c r="I67" s="39">
        <v>0</v>
      </c>
      <c r="J67" s="39">
        <f>H67*AO67</f>
        <v>0</v>
      </c>
      <c r="K67" s="39">
        <f>H67*AP67</f>
        <v>0</v>
      </c>
      <c r="L67" s="39">
        <f>H67*I67</f>
        <v>0</v>
      </c>
      <c r="M67" s="80" t="s">
        <v>576</v>
      </c>
      <c r="Z67" s="39">
        <f>IF(AQ67="5",BJ67,0)</f>
        <v>0</v>
      </c>
      <c r="AB67" s="39">
        <f>IF(AQ67="1",BH67,0)</f>
        <v>0</v>
      </c>
      <c r="AC67" s="39">
        <f>IF(AQ67="1",BI67,0)</f>
        <v>0</v>
      </c>
      <c r="AD67" s="39">
        <f>IF(AQ67="7",BH67,0)</f>
        <v>0</v>
      </c>
      <c r="AE67" s="39">
        <f>IF(AQ67="7",BI67,0)</f>
        <v>0</v>
      </c>
      <c r="AF67" s="39">
        <f>IF(AQ67="2",BH67,0)</f>
        <v>0</v>
      </c>
      <c r="AG67" s="39">
        <f>IF(AQ67="2",BI67,0)</f>
        <v>0</v>
      </c>
      <c r="AH67" s="39">
        <f>IF(AQ67="0",BJ67,0)</f>
        <v>0</v>
      </c>
      <c r="AI67" s="68" t="s">
        <v>587</v>
      </c>
      <c r="AJ67" s="39">
        <f>IF(AN67=0,L67,0)</f>
        <v>0</v>
      </c>
      <c r="AK67" s="39">
        <f>IF(AN67=15,L67,0)</f>
        <v>0</v>
      </c>
      <c r="AL67" s="39">
        <f>IF(AN67=21,L67,0)</f>
        <v>0</v>
      </c>
      <c r="AN67" s="39">
        <v>21</v>
      </c>
      <c r="AO67" s="39">
        <f>I67*0.893841224018476</f>
        <v>0</v>
      </c>
      <c r="AP67" s="39">
        <f>I67*(1-0.893841224018476)</f>
        <v>0</v>
      </c>
      <c r="AQ67" s="40" t="s">
        <v>842</v>
      </c>
      <c r="AV67" s="39">
        <f>AW67+AX67</f>
        <v>0</v>
      </c>
      <c r="AW67" s="39">
        <f>H67*AO67</f>
        <v>0</v>
      </c>
      <c r="AX67" s="39">
        <f>H67*AP67</f>
        <v>0</v>
      </c>
      <c r="AY67" s="40" t="s">
        <v>776</v>
      </c>
      <c r="AZ67" s="40" t="s">
        <v>107</v>
      </c>
      <c r="BA67" s="68" t="s">
        <v>648</v>
      </c>
      <c r="BC67" s="39">
        <f>AW67+AX67</f>
        <v>0</v>
      </c>
      <c r="BD67" s="39">
        <f>I67/(100-BE67)*100</f>
        <v>0</v>
      </c>
      <c r="BE67" s="39">
        <v>0</v>
      </c>
      <c r="BF67" s="39">
        <f>75</f>
        <v>75</v>
      </c>
      <c r="BH67" s="39">
        <f>H67*AO67</f>
        <v>0</v>
      </c>
      <c r="BI67" s="39">
        <f>H67*AP67</f>
        <v>0</v>
      </c>
      <c r="BJ67" s="39">
        <f>H67*I67</f>
        <v>0</v>
      </c>
      <c r="BK67" s="39"/>
      <c r="BL67" s="39">
        <v>63</v>
      </c>
    </row>
    <row r="68" spans="1:64" ht="15" customHeight="1">
      <c r="A68" s="37" t="s">
        <v>156</v>
      </c>
      <c r="B68" s="38" t="s">
        <v>141</v>
      </c>
      <c r="C68" s="195" t="s">
        <v>475</v>
      </c>
      <c r="D68" s="195"/>
      <c r="E68" s="195"/>
      <c r="F68" s="195"/>
      <c r="G68" s="38" t="s">
        <v>831</v>
      </c>
      <c r="H68" s="39">
        <v>21.15</v>
      </c>
      <c r="I68" s="39">
        <v>0</v>
      </c>
      <c r="J68" s="39">
        <f>H68*AO68</f>
        <v>0</v>
      </c>
      <c r="K68" s="39">
        <f>H68*AP68</f>
        <v>0</v>
      </c>
      <c r="L68" s="39">
        <f>H68*I68</f>
        <v>0</v>
      </c>
      <c r="M68" s="80" t="s">
        <v>576</v>
      </c>
      <c r="Z68" s="39">
        <f>IF(AQ68="5",BJ68,0)</f>
        <v>0</v>
      </c>
      <c r="AB68" s="39">
        <f>IF(AQ68="1",BH68,0)</f>
        <v>0</v>
      </c>
      <c r="AC68" s="39">
        <f>IF(AQ68="1",BI68,0)</f>
        <v>0</v>
      </c>
      <c r="AD68" s="39">
        <f>IF(AQ68="7",BH68,0)</f>
        <v>0</v>
      </c>
      <c r="AE68" s="39">
        <f>IF(AQ68="7",BI68,0)</f>
        <v>0</v>
      </c>
      <c r="AF68" s="39">
        <f>IF(AQ68="2",BH68,0)</f>
        <v>0</v>
      </c>
      <c r="AG68" s="39">
        <f>IF(AQ68="2",BI68,0)</f>
        <v>0</v>
      </c>
      <c r="AH68" s="39">
        <f>IF(AQ68="0",BJ68,0)</f>
        <v>0</v>
      </c>
      <c r="AI68" s="68" t="s">
        <v>587</v>
      </c>
      <c r="AJ68" s="39">
        <f>IF(AN68=0,L68,0)</f>
        <v>0</v>
      </c>
      <c r="AK68" s="39">
        <f>IF(AN68=15,L68,0)</f>
        <v>0</v>
      </c>
      <c r="AL68" s="39">
        <f>IF(AN68=21,L68,0)</f>
        <v>0</v>
      </c>
      <c r="AN68" s="39">
        <v>21</v>
      </c>
      <c r="AO68" s="39">
        <f>I68*0.905627631373772</f>
        <v>0</v>
      </c>
      <c r="AP68" s="39">
        <f>I68*(1-0.905627631373772)</f>
        <v>0</v>
      </c>
      <c r="AQ68" s="40" t="s">
        <v>842</v>
      </c>
      <c r="AV68" s="39">
        <f>AW68+AX68</f>
        <v>0</v>
      </c>
      <c r="AW68" s="39">
        <f>H68*AO68</f>
        <v>0</v>
      </c>
      <c r="AX68" s="39">
        <f>H68*AP68</f>
        <v>0</v>
      </c>
      <c r="AY68" s="40" t="s">
        <v>776</v>
      </c>
      <c r="AZ68" s="40" t="s">
        <v>107</v>
      </c>
      <c r="BA68" s="68" t="s">
        <v>648</v>
      </c>
      <c r="BC68" s="39">
        <f>AW68+AX68</f>
        <v>0</v>
      </c>
      <c r="BD68" s="39">
        <f>I68/(100-BE68)*100</f>
        <v>0</v>
      </c>
      <c r="BE68" s="39">
        <v>0</v>
      </c>
      <c r="BF68" s="39">
        <f>76</f>
        <v>76</v>
      </c>
      <c r="BH68" s="39">
        <f>H68*AO68</f>
        <v>0</v>
      </c>
      <c r="BI68" s="39">
        <f>H68*AP68</f>
        <v>0</v>
      </c>
      <c r="BJ68" s="39">
        <f>H68*I68</f>
        <v>0</v>
      </c>
      <c r="BK68" s="39"/>
      <c r="BL68" s="39">
        <v>63</v>
      </c>
    </row>
    <row r="69" spans="1:64" ht="15" customHeight="1">
      <c r="A69" s="37" t="s">
        <v>289</v>
      </c>
      <c r="B69" s="38" t="s">
        <v>494</v>
      </c>
      <c r="C69" s="195" t="s">
        <v>133</v>
      </c>
      <c r="D69" s="195"/>
      <c r="E69" s="195"/>
      <c r="F69" s="195"/>
      <c r="G69" s="38" t="s">
        <v>831</v>
      </c>
      <c r="H69" s="39">
        <v>141.96</v>
      </c>
      <c r="I69" s="39">
        <v>0</v>
      </c>
      <c r="J69" s="39">
        <f>H69*AO69</f>
        <v>0</v>
      </c>
      <c r="K69" s="39">
        <f>H69*AP69</f>
        <v>0</v>
      </c>
      <c r="L69" s="39">
        <f>H69*I69</f>
        <v>0</v>
      </c>
      <c r="M69" s="80" t="s">
        <v>576</v>
      </c>
      <c r="Z69" s="39">
        <f>IF(AQ69="5",BJ69,0)</f>
        <v>0</v>
      </c>
      <c r="AB69" s="39">
        <f>IF(AQ69="1",BH69,0)</f>
        <v>0</v>
      </c>
      <c r="AC69" s="39">
        <f>IF(AQ69="1",BI69,0)</f>
        <v>0</v>
      </c>
      <c r="AD69" s="39">
        <f>IF(AQ69="7",BH69,0)</f>
        <v>0</v>
      </c>
      <c r="AE69" s="39">
        <f>IF(AQ69="7",BI69,0)</f>
        <v>0</v>
      </c>
      <c r="AF69" s="39">
        <f>IF(AQ69="2",BH69,0)</f>
        <v>0</v>
      </c>
      <c r="AG69" s="39">
        <f>IF(AQ69="2",BI69,0)</f>
        <v>0</v>
      </c>
      <c r="AH69" s="39">
        <f>IF(AQ69="0",BJ69,0)</f>
        <v>0</v>
      </c>
      <c r="AI69" s="68" t="s">
        <v>587</v>
      </c>
      <c r="AJ69" s="39">
        <f>IF(AN69=0,L69,0)</f>
        <v>0</v>
      </c>
      <c r="AK69" s="39">
        <f>IF(AN69=15,L69,0)</f>
        <v>0</v>
      </c>
      <c r="AL69" s="39">
        <f>IF(AN69=21,L69,0)</f>
        <v>0</v>
      </c>
      <c r="AN69" s="39">
        <v>21</v>
      </c>
      <c r="AO69" s="39">
        <f>I69*0.607050245333976</f>
        <v>0</v>
      </c>
      <c r="AP69" s="39">
        <f>I69*(1-0.607050245333976)</f>
        <v>0</v>
      </c>
      <c r="AQ69" s="40" t="s">
        <v>842</v>
      </c>
      <c r="AV69" s="39">
        <f>AW69+AX69</f>
        <v>0</v>
      </c>
      <c r="AW69" s="39">
        <f>H69*AO69</f>
        <v>0</v>
      </c>
      <c r="AX69" s="39">
        <f>H69*AP69</f>
        <v>0</v>
      </c>
      <c r="AY69" s="40" t="s">
        <v>776</v>
      </c>
      <c r="AZ69" s="40" t="s">
        <v>107</v>
      </c>
      <c r="BA69" s="68" t="s">
        <v>648</v>
      </c>
      <c r="BC69" s="39">
        <f>AW69+AX69</f>
        <v>0</v>
      </c>
      <c r="BD69" s="39">
        <f>I69/(100-BE69)*100</f>
        <v>0</v>
      </c>
      <c r="BE69" s="39">
        <v>0</v>
      </c>
      <c r="BF69" s="39">
        <f>77</f>
        <v>77</v>
      </c>
      <c r="BH69" s="39">
        <f>H69*AO69</f>
        <v>0</v>
      </c>
      <c r="BI69" s="39">
        <f>H69*AP69</f>
        <v>0</v>
      </c>
      <c r="BJ69" s="39">
        <f>H69*I69</f>
        <v>0</v>
      </c>
      <c r="BK69" s="39"/>
      <c r="BL69" s="39">
        <v>63</v>
      </c>
    </row>
    <row r="70" spans="1:64" ht="15" customHeight="1">
      <c r="A70" s="37" t="s">
        <v>379</v>
      </c>
      <c r="B70" s="38" t="s">
        <v>921</v>
      </c>
      <c r="C70" s="195" t="s">
        <v>277</v>
      </c>
      <c r="D70" s="195"/>
      <c r="E70" s="195"/>
      <c r="F70" s="195"/>
      <c r="G70" s="38" t="s">
        <v>831</v>
      </c>
      <c r="H70" s="39">
        <v>141.96</v>
      </c>
      <c r="I70" s="39">
        <v>0</v>
      </c>
      <c r="J70" s="39">
        <f>H70*AO70</f>
        <v>0</v>
      </c>
      <c r="K70" s="39">
        <f>H70*AP70</f>
        <v>0</v>
      </c>
      <c r="L70" s="39">
        <f>H70*I70</f>
        <v>0</v>
      </c>
      <c r="M70" s="80" t="s">
        <v>576</v>
      </c>
      <c r="Z70" s="39">
        <f>IF(AQ70="5",BJ70,0)</f>
        <v>0</v>
      </c>
      <c r="AB70" s="39">
        <f>IF(AQ70="1",BH70,0)</f>
        <v>0</v>
      </c>
      <c r="AC70" s="39">
        <f>IF(AQ70="1",BI70,0)</f>
        <v>0</v>
      </c>
      <c r="AD70" s="39">
        <f>IF(AQ70="7",BH70,0)</f>
        <v>0</v>
      </c>
      <c r="AE70" s="39">
        <f>IF(AQ70="7",BI70,0)</f>
        <v>0</v>
      </c>
      <c r="AF70" s="39">
        <f>IF(AQ70="2",BH70,0)</f>
        <v>0</v>
      </c>
      <c r="AG70" s="39">
        <f>IF(AQ70="2",BI70,0)</f>
        <v>0</v>
      </c>
      <c r="AH70" s="39">
        <f>IF(AQ70="0",BJ70,0)</f>
        <v>0</v>
      </c>
      <c r="AI70" s="68" t="s">
        <v>587</v>
      </c>
      <c r="AJ70" s="39">
        <f>IF(AN70=0,L70,0)</f>
        <v>0</v>
      </c>
      <c r="AK70" s="39">
        <f>IF(AN70=15,L70,0)</f>
        <v>0</v>
      </c>
      <c r="AL70" s="39">
        <f>IF(AN70=21,L70,0)</f>
        <v>0</v>
      </c>
      <c r="AN70" s="39">
        <v>21</v>
      </c>
      <c r="AO70" s="39">
        <f>I70*0.712375457096692</f>
        <v>0</v>
      </c>
      <c r="AP70" s="39">
        <f>I70*(1-0.712375457096692)</f>
        <v>0</v>
      </c>
      <c r="AQ70" s="40" t="s">
        <v>842</v>
      </c>
      <c r="AV70" s="39">
        <f>AW70+AX70</f>
        <v>0</v>
      </c>
      <c r="AW70" s="39">
        <f>H70*AO70</f>
        <v>0</v>
      </c>
      <c r="AX70" s="39">
        <f>H70*AP70</f>
        <v>0</v>
      </c>
      <c r="AY70" s="40" t="s">
        <v>776</v>
      </c>
      <c r="AZ70" s="40" t="s">
        <v>107</v>
      </c>
      <c r="BA70" s="68" t="s">
        <v>648</v>
      </c>
      <c r="BC70" s="39">
        <f>AW70+AX70</f>
        <v>0</v>
      </c>
      <c r="BD70" s="39">
        <f>I70/(100-BE70)*100</f>
        <v>0</v>
      </c>
      <c r="BE70" s="39">
        <v>0</v>
      </c>
      <c r="BF70" s="39">
        <f>78</f>
        <v>78</v>
      </c>
      <c r="BH70" s="39">
        <f>H70*AO70</f>
        <v>0</v>
      </c>
      <c r="BI70" s="39">
        <f>H70*AP70</f>
        <v>0</v>
      </c>
      <c r="BJ70" s="39">
        <f>H70*I70</f>
        <v>0</v>
      </c>
      <c r="BK70" s="39"/>
      <c r="BL70" s="39">
        <v>63</v>
      </c>
    </row>
    <row r="71" spans="1:64" ht="15" customHeight="1">
      <c r="A71" s="76" t="s">
        <v>587</v>
      </c>
      <c r="B71" s="77" t="s">
        <v>424</v>
      </c>
      <c r="C71" s="221" t="s">
        <v>867</v>
      </c>
      <c r="D71" s="221"/>
      <c r="E71" s="221"/>
      <c r="F71" s="221"/>
      <c r="G71" s="78" t="s">
        <v>784</v>
      </c>
      <c r="H71" s="78" t="s">
        <v>784</v>
      </c>
      <c r="I71" s="78" t="s">
        <v>784</v>
      </c>
      <c r="J71" s="64">
        <f>SUM(J72:J79)</f>
        <v>0</v>
      </c>
      <c r="K71" s="64">
        <f>SUM(K72:K79)</f>
        <v>0</v>
      </c>
      <c r="L71" s="64">
        <f>SUM(L72:L79)</f>
        <v>0</v>
      </c>
      <c r="M71" s="79" t="s">
        <v>587</v>
      </c>
      <c r="AI71" s="68" t="s">
        <v>587</v>
      </c>
      <c r="AS71" s="64">
        <f>SUM(AJ72:AJ79)</f>
        <v>0</v>
      </c>
      <c r="AT71" s="64">
        <f>SUM(AK72:AK79)</f>
        <v>0</v>
      </c>
      <c r="AU71" s="64">
        <f>SUM(AL72:AL79)</f>
        <v>0</v>
      </c>
    </row>
    <row r="72" spans="1:64" ht="15" customHeight="1">
      <c r="A72" s="37" t="s">
        <v>307</v>
      </c>
      <c r="B72" s="38" t="s">
        <v>254</v>
      </c>
      <c r="C72" s="195" t="s">
        <v>768</v>
      </c>
      <c r="D72" s="195"/>
      <c r="E72" s="195"/>
      <c r="F72" s="195"/>
      <c r="G72" s="38" t="s">
        <v>216</v>
      </c>
      <c r="H72" s="39">
        <v>1</v>
      </c>
      <c r="I72" s="39">
        <v>0</v>
      </c>
      <c r="J72" s="39">
        <f>H72*AO72</f>
        <v>0</v>
      </c>
      <c r="K72" s="39">
        <f>H72*AP72</f>
        <v>0</v>
      </c>
      <c r="L72" s="39">
        <f>H72*I72</f>
        <v>0</v>
      </c>
      <c r="M72" s="80" t="s">
        <v>576</v>
      </c>
      <c r="Z72" s="39">
        <f>IF(AQ72="5",BJ72,0)</f>
        <v>0</v>
      </c>
      <c r="AB72" s="39">
        <f>IF(AQ72="1",BH72,0)</f>
        <v>0</v>
      </c>
      <c r="AC72" s="39">
        <f>IF(AQ72="1",BI72,0)</f>
        <v>0</v>
      </c>
      <c r="AD72" s="39">
        <f>IF(AQ72="7",BH72,0)</f>
        <v>0</v>
      </c>
      <c r="AE72" s="39">
        <f>IF(AQ72="7",BI72,0)</f>
        <v>0</v>
      </c>
      <c r="AF72" s="39">
        <f>IF(AQ72="2",BH72,0)</f>
        <v>0</v>
      </c>
      <c r="AG72" s="39">
        <f>IF(AQ72="2",BI72,0)</f>
        <v>0</v>
      </c>
      <c r="AH72" s="39">
        <f>IF(AQ72="0",BJ72,0)</f>
        <v>0</v>
      </c>
      <c r="AI72" s="68" t="s">
        <v>587</v>
      </c>
      <c r="AJ72" s="39">
        <f>IF(AN72=0,L72,0)</f>
        <v>0</v>
      </c>
      <c r="AK72" s="39">
        <f>IF(AN72=15,L72,0)</f>
        <v>0</v>
      </c>
      <c r="AL72" s="39">
        <f>IF(AN72=21,L72,0)</f>
        <v>0</v>
      </c>
      <c r="AN72" s="39">
        <v>21</v>
      </c>
      <c r="AO72" s="39">
        <f>I72*0</f>
        <v>0</v>
      </c>
      <c r="AP72" s="39">
        <f>I72*(1-0)</f>
        <v>0</v>
      </c>
      <c r="AQ72" s="40" t="s">
        <v>842</v>
      </c>
      <c r="AV72" s="39">
        <f>AW72+AX72</f>
        <v>0</v>
      </c>
      <c r="AW72" s="39">
        <f>H72*AO72</f>
        <v>0</v>
      </c>
      <c r="AX72" s="39">
        <f>H72*AP72</f>
        <v>0</v>
      </c>
      <c r="AY72" s="40" t="s">
        <v>569</v>
      </c>
      <c r="AZ72" s="40" t="s">
        <v>107</v>
      </c>
      <c r="BA72" s="68" t="s">
        <v>648</v>
      </c>
      <c r="BC72" s="39">
        <f>AW72+AX72</f>
        <v>0</v>
      </c>
      <c r="BD72" s="39">
        <f>I72/(100-BE72)*100</f>
        <v>0</v>
      </c>
      <c r="BE72" s="39">
        <v>0</v>
      </c>
      <c r="BF72" s="39">
        <f>80</f>
        <v>80</v>
      </c>
      <c r="BH72" s="39">
        <f>H72*AO72</f>
        <v>0</v>
      </c>
      <c r="BI72" s="39">
        <f>H72*AP72</f>
        <v>0</v>
      </c>
      <c r="BJ72" s="39">
        <f>H72*I72</f>
        <v>0</v>
      </c>
      <c r="BK72" s="39"/>
      <c r="BL72" s="39">
        <v>64</v>
      </c>
    </row>
    <row r="73" spans="1:64" ht="13.5" customHeight="1">
      <c r="A73" s="81"/>
      <c r="B73" s="82" t="s">
        <v>440</v>
      </c>
      <c r="C73" s="223" t="s">
        <v>724</v>
      </c>
      <c r="D73" s="224"/>
      <c r="E73" s="224"/>
      <c r="F73" s="224"/>
      <c r="G73" s="224"/>
      <c r="H73" s="224"/>
      <c r="I73" s="224"/>
      <c r="J73" s="224"/>
      <c r="K73" s="224"/>
      <c r="L73" s="224"/>
      <c r="M73" s="225"/>
    </row>
    <row r="74" spans="1:64" ht="15" customHeight="1">
      <c r="A74" s="37" t="s">
        <v>682</v>
      </c>
      <c r="B74" s="38" t="s">
        <v>492</v>
      </c>
      <c r="C74" s="195" t="s">
        <v>749</v>
      </c>
      <c r="D74" s="195"/>
      <c r="E74" s="195"/>
      <c r="F74" s="195"/>
      <c r="G74" s="38" t="s">
        <v>216</v>
      </c>
      <c r="H74" s="39">
        <v>1</v>
      </c>
      <c r="I74" s="39">
        <v>0</v>
      </c>
      <c r="J74" s="39">
        <f>H74*AO74</f>
        <v>0</v>
      </c>
      <c r="K74" s="39">
        <f>H74*AP74</f>
        <v>0</v>
      </c>
      <c r="L74" s="39">
        <f>H74*I74</f>
        <v>0</v>
      </c>
      <c r="M74" s="80" t="s">
        <v>576</v>
      </c>
      <c r="Z74" s="39">
        <f>IF(AQ74="5",BJ74,0)</f>
        <v>0</v>
      </c>
      <c r="AB74" s="39">
        <f>IF(AQ74="1",BH74,0)</f>
        <v>0</v>
      </c>
      <c r="AC74" s="39">
        <f>IF(AQ74="1",BI74,0)</f>
        <v>0</v>
      </c>
      <c r="AD74" s="39">
        <f>IF(AQ74="7",BH74,0)</f>
        <v>0</v>
      </c>
      <c r="AE74" s="39">
        <f>IF(AQ74="7",BI74,0)</f>
        <v>0</v>
      </c>
      <c r="AF74" s="39">
        <f>IF(AQ74="2",BH74,0)</f>
        <v>0</v>
      </c>
      <c r="AG74" s="39">
        <f>IF(AQ74="2",BI74,0)</f>
        <v>0</v>
      </c>
      <c r="AH74" s="39">
        <f>IF(AQ74="0",BJ74,0)</f>
        <v>0</v>
      </c>
      <c r="AI74" s="68" t="s">
        <v>587</v>
      </c>
      <c r="AJ74" s="39">
        <f>IF(AN74=0,L74,0)</f>
        <v>0</v>
      </c>
      <c r="AK74" s="39">
        <f>IF(AN74=15,L74,0)</f>
        <v>0</v>
      </c>
      <c r="AL74" s="39">
        <f>IF(AN74=21,L74,0)</f>
        <v>0</v>
      </c>
      <c r="AN74" s="39">
        <v>21</v>
      </c>
      <c r="AO74" s="39">
        <f>I74*1</f>
        <v>0</v>
      </c>
      <c r="AP74" s="39">
        <f>I74*(1-1)</f>
        <v>0</v>
      </c>
      <c r="AQ74" s="40" t="s">
        <v>842</v>
      </c>
      <c r="AV74" s="39">
        <f>AW74+AX74</f>
        <v>0</v>
      </c>
      <c r="AW74" s="39">
        <f>H74*AO74</f>
        <v>0</v>
      </c>
      <c r="AX74" s="39">
        <f>H74*AP74</f>
        <v>0</v>
      </c>
      <c r="AY74" s="40" t="s">
        <v>569</v>
      </c>
      <c r="AZ74" s="40" t="s">
        <v>107</v>
      </c>
      <c r="BA74" s="68" t="s">
        <v>648</v>
      </c>
      <c r="BC74" s="39">
        <f>AW74+AX74</f>
        <v>0</v>
      </c>
      <c r="BD74" s="39">
        <f>I74/(100-BE74)*100</f>
        <v>0</v>
      </c>
      <c r="BE74" s="39">
        <v>0</v>
      </c>
      <c r="BF74" s="39">
        <f>82</f>
        <v>82</v>
      </c>
      <c r="BH74" s="39">
        <f>H74*AO74</f>
        <v>0</v>
      </c>
      <c r="BI74" s="39">
        <f>H74*AP74</f>
        <v>0</v>
      </c>
      <c r="BJ74" s="39">
        <f>H74*I74</f>
        <v>0</v>
      </c>
      <c r="BK74" s="39"/>
      <c r="BL74" s="39">
        <v>64</v>
      </c>
    </row>
    <row r="75" spans="1:64" ht="15" customHeight="1">
      <c r="A75" s="37" t="s">
        <v>874</v>
      </c>
      <c r="B75" s="38" t="s">
        <v>43</v>
      </c>
      <c r="C75" s="195" t="s">
        <v>768</v>
      </c>
      <c r="D75" s="195"/>
      <c r="E75" s="195"/>
      <c r="F75" s="195"/>
      <c r="G75" s="38" t="s">
        <v>216</v>
      </c>
      <c r="H75" s="39">
        <v>1</v>
      </c>
      <c r="I75" s="39">
        <v>0</v>
      </c>
      <c r="J75" s="39">
        <f>H75*AO75</f>
        <v>0</v>
      </c>
      <c r="K75" s="39">
        <f>H75*AP75</f>
        <v>0</v>
      </c>
      <c r="L75" s="39">
        <f>H75*I75</f>
        <v>0</v>
      </c>
      <c r="M75" s="80" t="s">
        <v>576</v>
      </c>
      <c r="Z75" s="39">
        <f>IF(AQ75="5",BJ75,0)</f>
        <v>0</v>
      </c>
      <c r="AB75" s="39">
        <f>IF(AQ75="1",BH75,0)</f>
        <v>0</v>
      </c>
      <c r="AC75" s="39">
        <f>IF(AQ75="1",BI75,0)</f>
        <v>0</v>
      </c>
      <c r="AD75" s="39">
        <f>IF(AQ75="7",BH75,0)</f>
        <v>0</v>
      </c>
      <c r="AE75" s="39">
        <f>IF(AQ75="7",BI75,0)</f>
        <v>0</v>
      </c>
      <c r="AF75" s="39">
        <f>IF(AQ75="2",BH75,0)</f>
        <v>0</v>
      </c>
      <c r="AG75" s="39">
        <f>IF(AQ75="2",BI75,0)</f>
        <v>0</v>
      </c>
      <c r="AH75" s="39">
        <f>IF(AQ75="0",BJ75,0)</f>
        <v>0</v>
      </c>
      <c r="AI75" s="68" t="s">
        <v>587</v>
      </c>
      <c r="AJ75" s="39">
        <f>IF(AN75=0,L75,0)</f>
        <v>0</v>
      </c>
      <c r="AK75" s="39">
        <f>IF(AN75=15,L75,0)</f>
        <v>0</v>
      </c>
      <c r="AL75" s="39">
        <f>IF(AN75=21,L75,0)</f>
        <v>0</v>
      </c>
      <c r="AN75" s="39">
        <v>21</v>
      </c>
      <c r="AO75" s="39">
        <f>I75*0.656402116402116</f>
        <v>0</v>
      </c>
      <c r="AP75" s="39">
        <f>I75*(1-0.656402116402116)</f>
        <v>0</v>
      </c>
      <c r="AQ75" s="40" t="s">
        <v>842</v>
      </c>
      <c r="AV75" s="39">
        <f>AW75+AX75</f>
        <v>0</v>
      </c>
      <c r="AW75" s="39">
        <f>H75*AO75</f>
        <v>0</v>
      </c>
      <c r="AX75" s="39">
        <f>H75*AP75</f>
        <v>0</v>
      </c>
      <c r="AY75" s="40" t="s">
        <v>569</v>
      </c>
      <c r="AZ75" s="40" t="s">
        <v>107</v>
      </c>
      <c r="BA75" s="68" t="s">
        <v>648</v>
      </c>
      <c r="BC75" s="39">
        <f>AW75+AX75</f>
        <v>0</v>
      </c>
      <c r="BD75" s="39">
        <f>I75/(100-BE75)*100</f>
        <v>0</v>
      </c>
      <c r="BE75" s="39">
        <v>0</v>
      </c>
      <c r="BF75" s="39">
        <f>83</f>
        <v>83</v>
      </c>
      <c r="BH75" s="39">
        <f>H75*AO75</f>
        <v>0</v>
      </c>
      <c r="BI75" s="39">
        <f>H75*AP75</f>
        <v>0</v>
      </c>
      <c r="BJ75" s="39">
        <f>H75*I75</f>
        <v>0</v>
      </c>
      <c r="BK75" s="39"/>
      <c r="BL75" s="39">
        <v>64</v>
      </c>
    </row>
    <row r="76" spans="1:64" ht="13.5" customHeight="1">
      <c r="A76" s="81"/>
      <c r="B76" s="82" t="s">
        <v>440</v>
      </c>
      <c r="C76" s="223" t="s">
        <v>895</v>
      </c>
      <c r="D76" s="224"/>
      <c r="E76" s="224"/>
      <c r="F76" s="224"/>
      <c r="G76" s="224"/>
      <c r="H76" s="224"/>
      <c r="I76" s="224"/>
      <c r="J76" s="224"/>
      <c r="K76" s="224"/>
      <c r="L76" s="224"/>
      <c r="M76" s="225"/>
    </row>
    <row r="77" spans="1:64" ht="15" customHeight="1">
      <c r="A77" s="37" t="s">
        <v>60</v>
      </c>
      <c r="B77" s="38" t="s">
        <v>382</v>
      </c>
      <c r="C77" s="195" t="s">
        <v>768</v>
      </c>
      <c r="D77" s="195"/>
      <c r="E77" s="195"/>
      <c r="F77" s="195"/>
      <c r="G77" s="38" t="s">
        <v>216</v>
      </c>
      <c r="H77" s="39">
        <v>2</v>
      </c>
      <c r="I77" s="39">
        <v>0</v>
      </c>
      <c r="J77" s="39">
        <f>H77*AO77</f>
        <v>0</v>
      </c>
      <c r="K77" s="39">
        <f>H77*AP77</f>
        <v>0</v>
      </c>
      <c r="L77" s="39">
        <f>H77*I77</f>
        <v>0</v>
      </c>
      <c r="M77" s="80" t="s">
        <v>576</v>
      </c>
      <c r="Z77" s="39">
        <f>IF(AQ77="5",BJ77,0)</f>
        <v>0</v>
      </c>
      <c r="AB77" s="39">
        <f>IF(AQ77="1",BH77,0)</f>
        <v>0</v>
      </c>
      <c r="AC77" s="39">
        <f>IF(AQ77="1",BI77,0)</f>
        <v>0</v>
      </c>
      <c r="AD77" s="39">
        <f>IF(AQ77="7",BH77,0)</f>
        <v>0</v>
      </c>
      <c r="AE77" s="39">
        <f>IF(AQ77="7",BI77,0)</f>
        <v>0</v>
      </c>
      <c r="AF77" s="39">
        <f>IF(AQ77="2",BH77,0)</f>
        <v>0</v>
      </c>
      <c r="AG77" s="39">
        <f>IF(AQ77="2",BI77,0)</f>
        <v>0</v>
      </c>
      <c r="AH77" s="39">
        <f>IF(AQ77="0",BJ77,0)</f>
        <v>0</v>
      </c>
      <c r="AI77" s="68" t="s">
        <v>587</v>
      </c>
      <c r="AJ77" s="39">
        <f>IF(AN77=0,L77,0)</f>
        <v>0</v>
      </c>
      <c r="AK77" s="39">
        <f>IF(AN77=15,L77,0)</f>
        <v>0</v>
      </c>
      <c r="AL77" s="39">
        <f>IF(AN77=21,L77,0)</f>
        <v>0</v>
      </c>
      <c r="AN77" s="39">
        <v>21</v>
      </c>
      <c r="AO77" s="39">
        <f>I77*0.698887171561051</f>
        <v>0</v>
      </c>
      <c r="AP77" s="39">
        <f>I77*(1-0.698887171561051)</f>
        <v>0</v>
      </c>
      <c r="AQ77" s="40" t="s">
        <v>842</v>
      </c>
      <c r="AV77" s="39">
        <f>AW77+AX77</f>
        <v>0</v>
      </c>
      <c r="AW77" s="39">
        <f>H77*AO77</f>
        <v>0</v>
      </c>
      <c r="AX77" s="39">
        <f>H77*AP77</f>
        <v>0</v>
      </c>
      <c r="AY77" s="40" t="s">
        <v>569</v>
      </c>
      <c r="AZ77" s="40" t="s">
        <v>107</v>
      </c>
      <c r="BA77" s="68" t="s">
        <v>648</v>
      </c>
      <c r="BC77" s="39">
        <f>AW77+AX77</f>
        <v>0</v>
      </c>
      <c r="BD77" s="39">
        <f>I77/(100-BE77)*100</f>
        <v>0</v>
      </c>
      <c r="BE77" s="39">
        <v>0</v>
      </c>
      <c r="BF77" s="39">
        <f>85</f>
        <v>85</v>
      </c>
      <c r="BH77" s="39">
        <f>H77*AO77</f>
        <v>0</v>
      </c>
      <c r="BI77" s="39">
        <f>H77*AP77</f>
        <v>0</v>
      </c>
      <c r="BJ77" s="39">
        <f>H77*I77</f>
        <v>0</v>
      </c>
      <c r="BK77" s="39"/>
      <c r="BL77" s="39">
        <v>64</v>
      </c>
    </row>
    <row r="78" spans="1:64" ht="13.5" customHeight="1">
      <c r="A78" s="81"/>
      <c r="B78" s="82" t="s">
        <v>440</v>
      </c>
      <c r="C78" s="223" t="s">
        <v>313</v>
      </c>
      <c r="D78" s="224"/>
      <c r="E78" s="224"/>
      <c r="F78" s="224"/>
      <c r="G78" s="224"/>
      <c r="H78" s="224"/>
      <c r="I78" s="224"/>
      <c r="J78" s="224"/>
      <c r="K78" s="224"/>
      <c r="L78" s="224"/>
      <c r="M78" s="225"/>
    </row>
    <row r="79" spans="1:64" ht="15" customHeight="1">
      <c r="A79" s="37" t="s">
        <v>655</v>
      </c>
      <c r="B79" s="38" t="s">
        <v>259</v>
      </c>
      <c r="C79" s="195" t="s">
        <v>301</v>
      </c>
      <c r="D79" s="195"/>
      <c r="E79" s="195"/>
      <c r="F79" s="195"/>
      <c r="G79" s="38" t="s">
        <v>216</v>
      </c>
      <c r="H79" s="39">
        <v>1</v>
      </c>
      <c r="I79" s="39">
        <v>0</v>
      </c>
      <c r="J79" s="39">
        <f>H79*AO79</f>
        <v>0</v>
      </c>
      <c r="K79" s="39">
        <f>H79*AP79</f>
        <v>0</v>
      </c>
      <c r="L79" s="39">
        <f>H79*I79</f>
        <v>0</v>
      </c>
      <c r="M79" s="80" t="s">
        <v>576</v>
      </c>
      <c r="Z79" s="39">
        <f>IF(AQ79="5",BJ79,0)</f>
        <v>0</v>
      </c>
      <c r="AB79" s="39">
        <f>IF(AQ79="1",BH79,0)</f>
        <v>0</v>
      </c>
      <c r="AC79" s="39">
        <f>IF(AQ79="1",BI79,0)</f>
        <v>0</v>
      </c>
      <c r="AD79" s="39">
        <f>IF(AQ79="7",BH79,0)</f>
        <v>0</v>
      </c>
      <c r="AE79" s="39">
        <f>IF(AQ79="7",BI79,0)</f>
        <v>0</v>
      </c>
      <c r="AF79" s="39">
        <f>IF(AQ79="2",BH79,0)</f>
        <v>0</v>
      </c>
      <c r="AG79" s="39">
        <f>IF(AQ79="2",BI79,0)</f>
        <v>0</v>
      </c>
      <c r="AH79" s="39">
        <f>IF(AQ79="0",BJ79,0)</f>
        <v>0</v>
      </c>
      <c r="AI79" s="68" t="s">
        <v>587</v>
      </c>
      <c r="AJ79" s="39">
        <f>IF(AN79=0,L79,0)</f>
        <v>0</v>
      </c>
      <c r="AK79" s="39">
        <f>IF(AN79=15,L79,0)</f>
        <v>0</v>
      </c>
      <c r="AL79" s="39">
        <f>IF(AN79=21,L79,0)</f>
        <v>0</v>
      </c>
      <c r="AN79" s="39">
        <v>21</v>
      </c>
      <c r="AO79" s="39">
        <f>I79*0.386498250485455</f>
        <v>0</v>
      </c>
      <c r="AP79" s="39">
        <f>I79*(1-0.386498250485455)</f>
        <v>0</v>
      </c>
      <c r="AQ79" s="40" t="s">
        <v>842</v>
      </c>
      <c r="AV79" s="39">
        <f>AW79+AX79</f>
        <v>0</v>
      </c>
      <c r="AW79" s="39">
        <f>H79*AO79</f>
        <v>0</v>
      </c>
      <c r="AX79" s="39">
        <f>H79*AP79</f>
        <v>0</v>
      </c>
      <c r="AY79" s="40" t="s">
        <v>569</v>
      </c>
      <c r="AZ79" s="40" t="s">
        <v>107</v>
      </c>
      <c r="BA79" s="68" t="s">
        <v>648</v>
      </c>
      <c r="BC79" s="39">
        <f>AW79+AX79</f>
        <v>0</v>
      </c>
      <c r="BD79" s="39">
        <f>I79/(100-BE79)*100</f>
        <v>0</v>
      </c>
      <c r="BE79" s="39">
        <v>0</v>
      </c>
      <c r="BF79" s="39">
        <f>87</f>
        <v>87</v>
      </c>
      <c r="BH79" s="39">
        <f>H79*AO79</f>
        <v>0</v>
      </c>
      <c r="BI79" s="39">
        <f>H79*AP79</f>
        <v>0</v>
      </c>
      <c r="BJ79" s="39">
        <f>H79*I79</f>
        <v>0</v>
      </c>
      <c r="BK79" s="39"/>
      <c r="BL79" s="39">
        <v>64</v>
      </c>
    </row>
    <row r="80" spans="1:64" ht="13.5" customHeight="1">
      <c r="A80" s="81"/>
      <c r="B80" s="82" t="s">
        <v>440</v>
      </c>
      <c r="C80" s="223" t="s">
        <v>113</v>
      </c>
      <c r="D80" s="224"/>
      <c r="E80" s="224"/>
      <c r="F80" s="224"/>
      <c r="G80" s="224"/>
      <c r="H80" s="224"/>
      <c r="I80" s="224"/>
      <c r="J80" s="224"/>
      <c r="K80" s="224"/>
      <c r="L80" s="224"/>
      <c r="M80" s="225"/>
    </row>
    <row r="81" spans="1:64" ht="15" customHeight="1">
      <c r="A81" s="76" t="s">
        <v>587</v>
      </c>
      <c r="B81" s="77" t="s">
        <v>899</v>
      </c>
      <c r="C81" s="221" t="s">
        <v>548</v>
      </c>
      <c r="D81" s="221"/>
      <c r="E81" s="221"/>
      <c r="F81" s="221"/>
      <c r="G81" s="78" t="s">
        <v>784</v>
      </c>
      <c r="H81" s="78" t="s">
        <v>784</v>
      </c>
      <c r="I81" s="78" t="s">
        <v>784</v>
      </c>
      <c r="J81" s="64">
        <f>SUM(J82:J88)</f>
        <v>0</v>
      </c>
      <c r="K81" s="64">
        <f>SUM(K82:K88)</f>
        <v>0</v>
      </c>
      <c r="L81" s="64">
        <f>SUM(L82:L88)</f>
        <v>0</v>
      </c>
      <c r="M81" s="79" t="s">
        <v>587</v>
      </c>
      <c r="AI81" s="68" t="s">
        <v>587</v>
      </c>
      <c r="AS81" s="64">
        <f>SUM(AJ82:AJ88)</f>
        <v>0</v>
      </c>
      <c r="AT81" s="64">
        <f>SUM(AK82:AK88)</f>
        <v>0</v>
      </c>
      <c r="AU81" s="64">
        <f>SUM(AL82:AL88)</f>
        <v>0</v>
      </c>
    </row>
    <row r="82" spans="1:64" ht="15" customHeight="1">
      <c r="A82" s="37" t="s">
        <v>697</v>
      </c>
      <c r="B82" s="38" t="s">
        <v>370</v>
      </c>
      <c r="C82" s="195" t="s">
        <v>28</v>
      </c>
      <c r="D82" s="195"/>
      <c r="E82" s="195"/>
      <c r="F82" s="195"/>
      <c r="G82" s="38" t="s">
        <v>216</v>
      </c>
      <c r="H82" s="39">
        <v>1</v>
      </c>
      <c r="I82" s="39">
        <v>0</v>
      </c>
      <c r="J82" s="39">
        <f>H82*AO82</f>
        <v>0</v>
      </c>
      <c r="K82" s="39">
        <f>H82*AP82</f>
        <v>0</v>
      </c>
      <c r="L82" s="39">
        <f>H82*I82</f>
        <v>0</v>
      </c>
      <c r="M82" s="80" t="s">
        <v>576</v>
      </c>
      <c r="Z82" s="39">
        <f>IF(AQ82="5",BJ82,0)</f>
        <v>0</v>
      </c>
      <c r="AB82" s="39">
        <f>IF(AQ82="1",BH82,0)</f>
        <v>0</v>
      </c>
      <c r="AC82" s="39">
        <f>IF(AQ82="1",BI82,0)</f>
        <v>0</v>
      </c>
      <c r="AD82" s="39">
        <f>IF(AQ82="7",BH82,0)</f>
        <v>0</v>
      </c>
      <c r="AE82" s="39">
        <f>IF(AQ82="7",BI82,0)</f>
        <v>0</v>
      </c>
      <c r="AF82" s="39">
        <f>IF(AQ82="2",BH82,0)</f>
        <v>0</v>
      </c>
      <c r="AG82" s="39">
        <f>IF(AQ82="2",BI82,0)</f>
        <v>0</v>
      </c>
      <c r="AH82" s="39">
        <f>IF(AQ82="0",BJ82,0)</f>
        <v>0</v>
      </c>
      <c r="AI82" s="68" t="s">
        <v>587</v>
      </c>
      <c r="AJ82" s="39">
        <f>IF(AN82=0,L82,0)</f>
        <v>0</v>
      </c>
      <c r="AK82" s="39">
        <f>IF(AN82=15,L82,0)</f>
        <v>0</v>
      </c>
      <c r="AL82" s="39">
        <f>IF(AN82=21,L82,0)</f>
        <v>0</v>
      </c>
      <c r="AN82" s="39">
        <v>21</v>
      </c>
      <c r="AO82" s="39">
        <f>I82*0.615785567010309</f>
        <v>0</v>
      </c>
      <c r="AP82" s="39">
        <f>I82*(1-0.615785567010309)</f>
        <v>0</v>
      </c>
      <c r="AQ82" s="40" t="s">
        <v>842</v>
      </c>
      <c r="AV82" s="39">
        <f>AW82+AX82</f>
        <v>0</v>
      </c>
      <c r="AW82" s="39">
        <f>H82*AO82</f>
        <v>0</v>
      </c>
      <c r="AX82" s="39">
        <f>H82*AP82</f>
        <v>0</v>
      </c>
      <c r="AY82" s="40" t="s">
        <v>63</v>
      </c>
      <c r="AZ82" s="40" t="s">
        <v>723</v>
      </c>
      <c r="BA82" s="68" t="s">
        <v>648</v>
      </c>
      <c r="BC82" s="39">
        <f>AW82+AX82</f>
        <v>0</v>
      </c>
      <c r="BD82" s="39">
        <f>I82/(100-BE82)*100</f>
        <v>0</v>
      </c>
      <c r="BE82" s="39">
        <v>0</v>
      </c>
      <c r="BF82" s="39">
        <f>90</f>
        <v>90</v>
      </c>
      <c r="BH82" s="39">
        <f>H82*AO82</f>
        <v>0</v>
      </c>
      <c r="BI82" s="39">
        <f>H82*AP82</f>
        <v>0</v>
      </c>
      <c r="BJ82" s="39">
        <f>H82*I82</f>
        <v>0</v>
      </c>
      <c r="BK82" s="39"/>
      <c r="BL82" s="39">
        <v>89</v>
      </c>
    </row>
    <row r="83" spans="1:64" ht="13.5" customHeight="1">
      <c r="A83" s="81"/>
      <c r="B83" s="82" t="s">
        <v>440</v>
      </c>
      <c r="C83" s="223" t="s">
        <v>534</v>
      </c>
      <c r="D83" s="224"/>
      <c r="E83" s="224"/>
      <c r="F83" s="224"/>
      <c r="G83" s="224"/>
      <c r="H83" s="224"/>
      <c r="I83" s="224"/>
      <c r="J83" s="224"/>
      <c r="K83" s="224"/>
      <c r="L83" s="224"/>
      <c r="M83" s="225"/>
    </row>
    <row r="84" spans="1:64" ht="15" customHeight="1">
      <c r="A84" s="37" t="s">
        <v>368</v>
      </c>
      <c r="B84" s="38" t="s">
        <v>185</v>
      </c>
      <c r="C84" s="195" t="s">
        <v>343</v>
      </c>
      <c r="D84" s="195"/>
      <c r="E84" s="195"/>
      <c r="F84" s="195"/>
      <c r="G84" s="38" t="s">
        <v>216</v>
      </c>
      <c r="H84" s="39">
        <v>1</v>
      </c>
      <c r="I84" s="39">
        <v>0</v>
      </c>
      <c r="J84" s="39">
        <f>H84*AO84</f>
        <v>0</v>
      </c>
      <c r="K84" s="39">
        <f>H84*AP84</f>
        <v>0</v>
      </c>
      <c r="L84" s="39">
        <f>H84*I84</f>
        <v>0</v>
      </c>
      <c r="M84" s="80" t="s">
        <v>576</v>
      </c>
      <c r="Z84" s="39">
        <f>IF(AQ84="5",BJ84,0)</f>
        <v>0</v>
      </c>
      <c r="AB84" s="39">
        <f>IF(AQ84="1",BH84,0)</f>
        <v>0</v>
      </c>
      <c r="AC84" s="39">
        <f>IF(AQ84="1",BI84,0)</f>
        <v>0</v>
      </c>
      <c r="AD84" s="39">
        <f>IF(AQ84="7",BH84,0)</f>
        <v>0</v>
      </c>
      <c r="AE84" s="39">
        <f>IF(AQ84="7",BI84,0)</f>
        <v>0</v>
      </c>
      <c r="AF84" s="39">
        <f>IF(AQ84="2",BH84,0)</f>
        <v>0</v>
      </c>
      <c r="AG84" s="39">
        <f>IF(AQ84="2",BI84,0)</f>
        <v>0</v>
      </c>
      <c r="AH84" s="39">
        <f>IF(AQ84="0",BJ84,0)</f>
        <v>0</v>
      </c>
      <c r="AI84" s="68" t="s">
        <v>587</v>
      </c>
      <c r="AJ84" s="39">
        <f>IF(AN84=0,L84,0)</f>
        <v>0</v>
      </c>
      <c r="AK84" s="39">
        <f>IF(AN84=15,L84,0)</f>
        <v>0</v>
      </c>
      <c r="AL84" s="39">
        <f>IF(AN84=21,L84,0)</f>
        <v>0</v>
      </c>
      <c r="AN84" s="39">
        <v>21</v>
      </c>
      <c r="AO84" s="39">
        <f>I84*0.682006825938567</f>
        <v>0</v>
      </c>
      <c r="AP84" s="39">
        <f>I84*(1-0.682006825938567)</f>
        <v>0</v>
      </c>
      <c r="AQ84" s="40" t="s">
        <v>842</v>
      </c>
      <c r="AV84" s="39">
        <f>AW84+AX84</f>
        <v>0</v>
      </c>
      <c r="AW84" s="39">
        <f>H84*AO84</f>
        <v>0</v>
      </c>
      <c r="AX84" s="39">
        <f>H84*AP84</f>
        <v>0</v>
      </c>
      <c r="AY84" s="40" t="s">
        <v>63</v>
      </c>
      <c r="AZ84" s="40" t="s">
        <v>723</v>
      </c>
      <c r="BA84" s="68" t="s">
        <v>648</v>
      </c>
      <c r="BC84" s="39">
        <f>AW84+AX84</f>
        <v>0</v>
      </c>
      <c r="BD84" s="39">
        <f>I84/(100-BE84)*100</f>
        <v>0</v>
      </c>
      <c r="BE84" s="39">
        <v>0</v>
      </c>
      <c r="BF84" s="39">
        <f>92</f>
        <v>92</v>
      </c>
      <c r="BH84" s="39">
        <f>H84*AO84</f>
        <v>0</v>
      </c>
      <c r="BI84" s="39">
        <f>H84*AP84</f>
        <v>0</v>
      </c>
      <c r="BJ84" s="39">
        <f>H84*I84</f>
        <v>0</v>
      </c>
      <c r="BK84" s="39"/>
      <c r="BL84" s="39">
        <v>89</v>
      </c>
    </row>
    <row r="85" spans="1:64" ht="13.5" customHeight="1">
      <c r="A85" s="81"/>
      <c r="B85" s="82" t="s">
        <v>440</v>
      </c>
      <c r="C85" s="223" t="s">
        <v>620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5"/>
    </row>
    <row r="86" spans="1:64" ht="15" customHeight="1">
      <c r="A86" s="37" t="s">
        <v>365</v>
      </c>
      <c r="B86" s="38" t="s">
        <v>155</v>
      </c>
      <c r="C86" s="195" t="s">
        <v>889</v>
      </c>
      <c r="D86" s="195"/>
      <c r="E86" s="195"/>
      <c r="F86" s="195"/>
      <c r="G86" s="38" t="s">
        <v>216</v>
      </c>
      <c r="H86" s="39">
        <v>1</v>
      </c>
      <c r="I86" s="39">
        <v>0</v>
      </c>
      <c r="J86" s="39">
        <f>H86*AO86</f>
        <v>0</v>
      </c>
      <c r="K86" s="39">
        <f>H86*AP86</f>
        <v>0</v>
      </c>
      <c r="L86" s="39">
        <f>H86*I86</f>
        <v>0</v>
      </c>
      <c r="M86" s="80" t="s">
        <v>576</v>
      </c>
      <c r="Z86" s="39">
        <f>IF(AQ86="5",BJ86,0)</f>
        <v>0</v>
      </c>
      <c r="AB86" s="39">
        <f>IF(AQ86="1",BH86,0)</f>
        <v>0</v>
      </c>
      <c r="AC86" s="39">
        <f>IF(AQ86="1",BI86,0)</f>
        <v>0</v>
      </c>
      <c r="AD86" s="39">
        <f>IF(AQ86="7",BH86,0)</f>
        <v>0</v>
      </c>
      <c r="AE86" s="39">
        <f>IF(AQ86="7",BI86,0)</f>
        <v>0</v>
      </c>
      <c r="AF86" s="39">
        <f>IF(AQ86="2",BH86,0)</f>
        <v>0</v>
      </c>
      <c r="AG86" s="39">
        <f>IF(AQ86="2",BI86,0)</f>
        <v>0</v>
      </c>
      <c r="AH86" s="39">
        <f>IF(AQ86="0",BJ86,0)</f>
        <v>0</v>
      </c>
      <c r="AI86" s="68" t="s">
        <v>587</v>
      </c>
      <c r="AJ86" s="39">
        <f>IF(AN86=0,L86,0)</f>
        <v>0</v>
      </c>
      <c r="AK86" s="39">
        <f>IF(AN86=15,L86,0)</f>
        <v>0</v>
      </c>
      <c r="AL86" s="39">
        <f>IF(AN86=21,L86,0)</f>
        <v>0</v>
      </c>
      <c r="AN86" s="39">
        <v>21</v>
      </c>
      <c r="AO86" s="39">
        <f>I86*0.111356898517674</f>
        <v>0</v>
      </c>
      <c r="AP86" s="39">
        <f>I86*(1-0.111356898517674)</f>
        <v>0</v>
      </c>
      <c r="AQ86" s="40" t="s">
        <v>842</v>
      </c>
      <c r="AV86" s="39">
        <f>AW86+AX86</f>
        <v>0</v>
      </c>
      <c r="AW86" s="39">
        <f>H86*AO86</f>
        <v>0</v>
      </c>
      <c r="AX86" s="39">
        <f>H86*AP86</f>
        <v>0</v>
      </c>
      <c r="AY86" s="40" t="s">
        <v>63</v>
      </c>
      <c r="AZ86" s="40" t="s">
        <v>723</v>
      </c>
      <c r="BA86" s="68" t="s">
        <v>648</v>
      </c>
      <c r="BC86" s="39">
        <f>AW86+AX86</f>
        <v>0</v>
      </c>
      <c r="BD86" s="39">
        <f>I86/(100-BE86)*100</f>
        <v>0</v>
      </c>
      <c r="BE86" s="39">
        <v>0</v>
      </c>
      <c r="BF86" s="39">
        <f>94</f>
        <v>94</v>
      </c>
      <c r="BH86" s="39">
        <f>H86*AO86</f>
        <v>0</v>
      </c>
      <c r="BI86" s="39">
        <f>H86*AP86</f>
        <v>0</v>
      </c>
      <c r="BJ86" s="39">
        <f>H86*I86</f>
        <v>0</v>
      </c>
      <c r="BK86" s="39"/>
      <c r="BL86" s="39">
        <v>89</v>
      </c>
    </row>
    <row r="87" spans="1:64" ht="15" customHeight="1">
      <c r="A87" s="37" t="s">
        <v>407</v>
      </c>
      <c r="B87" s="38" t="s">
        <v>840</v>
      </c>
      <c r="C87" s="195" t="s">
        <v>824</v>
      </c>
      <c r="D87" s="195"/>
      <c r="E87" s="195"/>
      <c r="F87" s="195"/>
      <c r="G87" s="38" t="s">
        <v>216</v>
      </c>
      <c r="H87" s="39">
        <v>1</v>
      </c>
      <c r="I87" s="39">
        <v>0</v>
      </c>
      <c r="J87" s="39">
        <f>H87*AO87</f>
        <v>0</v>
      </c>
      <c r="K87" s="39">
        <f>H87*AP87</f>
        <v>0</v>
      </c>
      <c r="L87" s="39">
        <f>H87*I87</f>
        <v>0</v>
      </c>
      <c r="M87" s="80" t="s">
        <v>576</v>
      </c>
      <c r="Z87" s="39">
        <f>IF(AQ87="5",BJ87,0)</f>
        <v>0</v>
      </c>
      <c r="AB87" s="39">
        <f>IF(AQ87="1",BH87,0)</f>
        <v>0</v>
      </c>
      <c r="AC87" s="39">
        <f>IF(AQ87="1",BI87,0)</f>
        <v>0</v>
      </c>
      <c r="AD87" s="39">
        <f>IF(AQ87="7",BH87,0)</f>
        <v>0</v>
      </c>
      <c r="AE87" s="39">
        <f>IF(AQ87="7",BI87,0)</f>
        <v>0</v>
      </c>
      <c r="AF87" s="39">
        <f>IF(AQ87="2",BH87,0)</f>
        <v>0</v>
      </c>
      <c r="AG87" s="39">
        <f>IF(AQ87="2",BI87,0)</f>
        <v>0</v>
      </c>
      <c r="AH87" s="39">
        <f>IF(AQ87="0",BJ87,0)</f>
        <v>0</v>
      </c>
      <c r="AI87" s="68" t="s">
        <v>587</v>
      </c>
      <c r="AJ87" s="39">
        <f>IF(AN87=0,L87,0)</f>
        <v>0</v>
      </c>
      <c r="AK87" s="39">
        <f>IF(AN87=15,L87,0)</f>
        <v>0</v>
      </c>
      <c r="AL87" s="39">
        <f>IF(AN87=21,L87,0)</f>
        <v>0</v>
      </c>
      <c r="AN87" s="39">
        <v>21</v>
      </c>
      <c r="AO87" s="39">
        <f>I87*1</f>
        <v>0</v>
      </c>
      <c r="AP87" s="39">
        <f>I87*(1-1)</f>
        <v>0</v>
      </c>
      <c r="AQ87" s="40" t="s">
        <v>842</v>
      </c>
      <c r="AV87" s="39">
        <f>AW87+AX87</f>
        <v>0</v>
      </c>
      <c r="AW87" s="39">
        <f>H87*AO87</f>
        <v>0</v>
      </c>
      <c r="AX87" s="39">
        <f>H87*AP87</f>
        <v>0</v>
      </c>
      <c r="AY87" s="40" t="s">
        <v>63</v>
      </c>
      <c r="AZ87" s="40" t="s">
        <v>723</v>
      </c>
      <c r="BA87" s="68" t="s">
        <v>648</v>
      </c>
      <c r="BC87" s="39">
        <f>AW87+AX87</f>
        <v>0</v>
      </c>
      <c r="BD87" s="39">
        <f>I87/(100-BE87)*100</f>
        <v>0</v>
      </c>
      <c r="BE87" s="39">
        <v>0</v>
      </c>
      <c r="BF87" s="39">
        <f>95</f>
        <v>95</v>
      </c>
      <c r="BH87" s="39">
        <f>H87*AO87</f>
        <v>0</v>
      </c>
      <c r="BI87" s="39">
        <f>H87*AP87</f>
        <v>0</v>
      </c>
      <c r="BJ87" s="39">
        <f>H87*I87</f>
        <v>0</v>
      </c>
      <c r="BK87" s="39"/>
      <c r="BL87" s="39">
        <v>89</v>
      </c>
    </row>
    <row r="88" spans="1:64" ht="15" customHeight="1">
      <c r="A88" s="37" t="s">
        <v>781</v>
      </c>
      <c r="B88" s="38" t="s">
        <v>15</v>
      </c>
      <c r="C88" s="195" t="s">
        <v>832</v>
      </c>
      <c r="D88" s="195"/>
      <c r="E88" s="195"/>
      <c r="F88" s="195"/>
      <c r="G88" s="38" t="s">
        <v>216</v>
      </c>
      <c r="H88" s="39">
        <v>1</v>
      </c>
      <c r="I88" s="39">
        <v>0</v>
      </c>
      <c r="J88" s="39">
        <f>H88*AO88</f>
        <v>0</v>
      </c>
      <c r="K88" s="39">
        <f>H88*AP88</f>
        <v>0</v>
      </c>
      <c r="L88" s="39">
        <f>H88*I88</f>
        <v>0</v>
      </c>
      <c r="M88" s="80" t="s">
        <v>576</v>
      </c>
      <c r="Z88" s="39">
        <f>IF(AQ88="5",BJ88,0)</f>
        <v>0</v>
      </c>
      <c r="AB88" s="39">
        <f>IF(AQ88="1",BH88,0)</f>
        <v>0</v>
      </c>
      <c r="AC88" s="39">
        <f>IF(AQ88="1",BI88,0)</f>
        <v>0</v>
      </c>
      <c r="AD88" s="39">
        <f>IF(AQ88="7",BH88,0)</f>
        <v>0</v>
      </c>
      <c r="AE88" s="39">
        <f>IF(AQ88="7",BI88,0)</f>
        <v>0</v>
      </c>
      <c r="AF88" s="39">
        <f>IF(AQ88="2",BH88,0)</f>
        <v>0</v>
      </c>
      <c r="AG88" s="39">
        <f>IF(AQ88="2",BI88,0)</f>
        <v>0</v>
      </c>
      <c r="AH88" s="39">
        <f>IF(AQ88="0",BJ88,0)</f>
        <v>0</v>
      </c>
      <c r="AI88" s="68" t="s">
        <v>587</v>
      </c>
      <c r="AJ88" s="39">
        <f>IF(AN88=0,L88,0)</f>
        <v>0</v>
      </c>
      <c r="AK88" s="39">
        <f>IF(AN88=15,L88,0)</f>
        <v>0</v>
      </c>
      <c r="AL88" s="39">
        <f>IF(AN88=21,L88,0)</f>
        <v>0</v>
      </c>
      <c r="AN88" s="39">
        <v>21</v>
      </c>
      <c r="AO88" s="39">
        <f>I88*0.826916666666667</f>
        <v>0</v>
      </c>
      <c r="AP88" s="39">
        <f>I88*(1-0.826916666666667)</f>
        <v>0</v>
      </c>
      <c r="AQ88" s="40" t="s">
        <v>842</v>
      </c>
      <c r="AV88" s="39">
        <f>AW88+AX88</f>
        <v>0</v>
      </c>
      <c r="AW88" s="39">
        <f>H88*AO88</f>
        <v>0</v>
      </c>
      <c r="AX88" s="39">
        <f>H88*AP88</f>
        <v>0</v>
      </c>
      <c r="AY88" s="40" t="s">
        <v>63</v>
      </c>
      <c r="AZ88" s="40" t="s">
        <v>723</v>
      </c>
      <c r="BA88" s="68" t="s">
        <v>648</v>
      </c>
      <c r="BC88" s="39">
        <f>AW88+AX88</f>
        <v>0</v>
      </c>
      <c r="BD88" s="39">
        <f>I88/(100-BE88)*100</f>
        <v>0</v>
      </c>
      <c r="BE88" s="39">
        <v>0</v>
      </c>
      <c r="BF88" s="39">
        <f>96</f>
        <v>96</v>
      </c>
      <c r="BH88" s="39">
        <f>H88*AO88</f>
        <v>0</v>
      </c>
      <c r="BI88" s="39">
        <f>H88*AP88</f>
        <v>0</v>
      </c>
      <c r="BJ88" s="39">
        <f>H88*I88</f>
        <v>0</v>
      </c>
      <c r="BK88" s="39"/>
      <c r="BL88" s="39">
        <v>89</v>
      </c>
    </row>
    <row r="89" spans="1:64" ht="13.5" customHeight="1">
      <c r="A89" s="81"/>
      <c r="B89" s="82" t="s">
        <v>440</v>
      </c>
      <c r="C89" s="223" t="s">
        <v>183</v>
      </c>
      <c r="D89" s="224"/>
      <c r="E89" s="224"/>
      <c r="F89" s="224"/>
      <c r="G89" s="224"/>
      <c r="H89" s="224"/>
      <c r="I89" s="224"/>
      <c r="J89" s="224"/>
      <c r="K89" s="224"/>
      <c r="L89" s="224"/>
      <c r="M89" s="225"/>
    </row>
    <row r="90" spans="1:64" ht="15" customHeight="1">
      <c r="A90" s="76" t="s">
        <v>587</v>
      </c>
      <c r="B90" s="77" t="s">
        <v>29</v>
      </c>
      <c r="C90" s="221" t="s">
        <v>318</v>
      </c>
      <c r="D90" s="221"/>
      <c r="E90" s="221"/>
      <c r="F90" s="221"/>
      <c r="G90" s="78" t="s">
        <v>784</v>
      </c>
      <c r="H90" s="78" t="s">
        <v>784</v>
      </c>
      <c r="I90" s="78" t="s">
        <v>784</v>
      </c>
      <c r="J90" s="64">
        <f>SUM(J91:J91)</f>
        <v>0</v>
      </c>
      <c r="K90" s="64">
        <f>SUM(K91:K91)</f>
        <v>0</v>
      </c>
      <c r="L90" s="64">
        <f>SUM(L91:L91)</f>
        <v>0</v>
      </c>
      <c r="M90" s="79" t="s">
        <v>587</v>
      </c>
      <c r="AI90" s="68" t="s">
        <v>587</v>
      </c>
      <c r="AS90" s="64">
        <f>SUM(AJ91:AJ91)</f>
        <v>0</v>
      </c>
      <c r="AT90" s="64">
        <f>SUM(AK91:AK91)</f>
        <v>0</v>
      </c>
      <c r="AU90" s="64">
        <f>SUM(AL91:AL91)</f>
        <v>0</v>
      </c>
    </row>
    <row r="91" spans="1:64" ht="15" customHeight="1">
      <c r="A91" s="37" t="s">
        <v>557</v>
      </c>
      <c r="B91" s="38" t="s">
        <v>888</v>
      </c>
      <c r="C91" s="195" t="s">
        <v>65</v>
      </c>
      <c r="D91" s="195"/>
      <c r="E91" s="195"/>
      <c r="F91" s="195"/>
      <c r="G91" s="38" t="s">
        <v>701</v>
      </c>
      <c r="H91" s="39">
        <v>4.5</v>
      </c>
      <c r="I91" s="39">
        <v>0</v>
      </c>
      <c r="J91" s="39">
        <f>H91*AO91</f>
        <v>0</v>
      </c>
      <c r="K91" s="39">
        <f>H91*AP91</f>
        <v>0</v>
      </c>
      <c r="L91" s="39">
        <f>H91*I91</f>
        <v>0</v>
      </c>
      <c r="M91" s="80" t="s">
        <v>576</v>
      </c>
      <c r="Z91" s="39">
        <f>IF(AQ91="5",BJ91,0)</f>
        <v>0</v>
      </c>
      <c r="AB91" s="39">
        <f>IF(AQ91="1",BH91,0)</f>
        <v>0</v>
      </c>
      <c r="AC91" s="39">
        <f>IF(AQ91="1",BI91,0)</f>
        <v>0</v>
      </c>
      <c r="AD91" s="39">
        <f>IF(AQ91="7",BH91,0)</f>
        <v>0</v>
      </c>
      <c r="AE91" s="39">
        <f>IF(AQ91="7",BI91,0)</f>
        <v>0</v>
      </c>
      <c r="AF91" s="39">
        <f>IF(AQ91="2",BH91,0)</f>
        <v>0</v>
      </c>
      <c r="AG91" s="39">
        <f>IF(AQ91="2",BI91,0)</f>
        <v>0</v>
      </c>
      <c r="AH91" s="39">
        <f>IF(AQ91="0",BJ91,0)</f>
        <v>0</v>
      </c>
      <c r="AI91" s="68" t="s">
        <v>587</v>
      </c>
      <c r="AJ91" s="39">
        <f>IF(AN91=0,L91,0)</f>
        <v>0</v>
      </c>
      <c r="AK91" s="39">
        <f>IF(AN91=15,L91,0)</f>
        <v>0</v>
      </c>
      <c r="AL91" s="39">
        <f>IF(AN91=21,L91,0)</f>
        <v>0</v>
      </c>
      <c r="AN91" s="39">
        <v>21</v>
      </c>
      <c r="AO91" s="39">
        <f>I91*0.753368237347295</f>
        <v>0</v>
      </c>
      <c r="AP91" s="39">
        <f>I91*(1-0.753368237347295)</f>
        <v>0</v>
      </c>
      <c r="AQ91" s="40" t="s">
        <v>842</v>
      </c>
      <c r="AV91" s="39">
        <f>AW91+AX91</f>
        <v>0</v>
      </c>
      <c r="AW91" s="39">
        <f>H91*AO91</f>
        <v>0</v>
      </c>
      <c r="AX91" s="39">
        <f>H91*AP91</f>
        <v>0</v>
      </c>
      <c r="AY91" s="40" t="s">
        <v>823</v>
      </c>
      <c r="AZ91" s="40" t="s">
        <v>314</v>
      </c>
      <c r="BA91" s="68" t="s">
        <v>648</v>
      </c>
      <c r="BC91" s="39">
        <f>AW91+AX91</f>
        <v>0</v>
      </c>
      <c r="BD91" s="39">
        <f>I91/(100-BE91)*100</f>
        <v>0</v>
      </c>
      <c r="BE91" s="39">
        <v>0</v>
      </c>
      <c r="BF91" s="39">
        <f>99</f>
        <v>99</v>
      </c>
      <c r="BH91" s="39">
        <f>H91*AO91</f>
        <v>0</v>
      </c>
      <c r="BI91" s="39">
        <f>H91*AP91</f>
        <v>0</v>
      </c>
      <c r="BJ91" s="39">
        <f>H91*I91</f>
        <v>0</v>
      </c>
      <c r="BK91" s="39"/>
      <c r="BL91" s="39">
        <v>91</v>
      </c>
    </row>
    <row r="92" spans="1:64" ht="13.5" customHeight="1">
      <c r="A92" s="81"/>
      <c r="B92" s="82" t="s">
        <v>440</v>
      </c>
      <c r="C92" s="223" t="s">
        <v>679</v>
      </c>
      <c r="D92" s="224"/>
      <c r="E92" s="224"/>
      <c r="F92" s="224"/>
      <c r="G92" s="224"/>
      <c r="H92" s="224"/>
      <c r="I92" s="224"/>
      <c r="J92" s="224"/>
      <c r="K92" s="224"/>
      <c r="L92" s="224"/>
      <c r="M92" s="225"/>
    </row>
    <row r="93" spans="1:64" ht="15" customHeight="1">
      <c r="A93" s="76" t="s">
        <v>587</v>
      </c>
      <c r="B93" s="77" t="s">
        <v>766</v>
      </c>
      <c r="C93" s="221" t="s">
        <v>339</v>
      </c>
      <c r="D93" s="221"/>
      <c r="E93" s="221"/>
      <c r="F93" s="221"/>
      <c r="G93" s="78" t="s">
        <v>784</v>
      </c>
      <c r="H93" s="78" t="s">
        <v>784</v>
      </c>
      <c r="I93" s="78" t="s">
        <v>784</v>
      </c>
      <c r="J93" s="64">
        <f>SUM(J94:J94)</f>
        <v>0</v>
      </c>
      <c r="K93" s="64">
        <f>SUM(K94:K94)</f>
        <v>0</v>
      </c>
      <c r="L93" s="64">
        <f>SUM(L94:L94)</f>
        <v>0</v>
      </c>
      <c r="M93" s="79" t="s">
        <v>587</v>
      </c>
      <c r="AI93" s="68" t="s">
        <v>587</v>
      </c>
      <c r="AS93" s="64">
        <f>SUM(AJ94:AJ94)</f>
        <v>0</v>
      </c>
      <c r="AT93" s="64">
        <f>SUM(AK94:AK94)</f>
        <v>0</v>
      </c>
      <c r="AU93" s="64">
        <f>SUM(AL94:AL94)</f>
        <v>0</v>
      </c>
    </row>
    <row r="94" spans="1:64" ht="15" customHeight="1">
      <c r="A94" s="37" t="s">
        <v>536</v>
      </c>
      <c r="B94" s="38" t="s">
        <v>176</v>
      </c>
      <c r="C94" s="195" t="s">
        <v>771</v>
      </c>
      <c r="D94" s="195"/>
      <c r="E94" s="195"/>
      <c r="F94" s="195"/>
      <c r="G94" s="38" t="s">
        <v>831</v>
      </c>
      <c r="H94" s="39">
        <v>7.62</v>
      </c>
      <c r="I94" s="39">
        <v>0</v>
      </c>
      <c r="J94" s="39">
        <f>H94*AO94</f>
        <v>0</v>
      </c>
      <c r="K94" s="39">
        <f>H94*AP94</f>
        <v>0</v>
      </c>
      <c r="L94" s="39">
        <f>H94*I94</f>
        <v>0</v>
      </c>
      <c r="M94" s="80" t="s">
        <v>576</v>
      </c>
      <c r="Z94" s="39">
        <f>IF(AQ94="5",BJ94,0)</f>
        <v>0</v>
      </c>
      <c r="AB94" s="39">
        <f>IF(AQ94="1",BH94,0)</f>
        <v>0</v>
      </c>
      <c r="AC94" s="39">
        <f>IF(AQ94="1",BI94,0)</f>
        <v>0</v>
      </c>
      <c r="AD94" s="39">
        <f>IF(AQ94="7",BH94,0)</f>
        <v>0</v>
      </c>
      <c r="AE94" s="39">
        <f>IF(AQ94="7",BI94,0)</f>
        <v>0</v>
      </c>
      <c r="AF94" s="39">
        <f>IF(AQ94="2",BH94,0)</f>
        <v>0</v>
      </c>
      <c r="AG94" s="39">
        <f>IF(AQ94="2",BI94,0)</f>
        <v>0</v>
      </c>
      <c r="AH94" s="39">
        <f>IF(AQ94="0",BJ94,0)</f>
        <v>0</v>
      </c>
      <c r="AI94" s="68" t="s">
        <v>587</v>
      </c>
      <c r="AJ94" s="39">
        <f>IF(AN94=0,L94,0)</f>
        <v>0</v>
      </c>
      <c r="AK94" s="39">
        <f>IF(AN94=15,L94,0)</f>
        <v>0</v>
      </c>
      <c r="AL94" s="39">
        <f>IF(AN94=21,L94,0)</f>
        <v>0</v>
      </c>
      <c r="AN94" s="39">
        <v>21</v>
      </c>
      <c r="AO94" s="39">
        <f>I94*0.560889713210054</f>
        <v>0</v>
      </c>
      <c r="AP94" s="39">
        <f>I94*(1-0.560889713210054)</f>
        <v>0</v>
      </c>
      <c r="AQ94" s="40" t="s">
        <v>842</v>
      </c>
      <c r="AV94" s="39">
        <f>AW94+AX94</f>
        <v>0</v>
      </c>
      <c r="AW94" s="39">
        <f>H94*AO94</f>
        <v>0</v>
      </c>
      <c r="AX94" s="39">
        <f>H94*AP94</f>
        <v>0</v>
      </c>
      <c r="AY94" s="40" t="s">
        <v>869</v>
      </c>
      <c r="AZ94" s="40" t="s">
        <v>314</v>
      </c>
      <c r="BA94" s="68" t="s">
        <v>648</v>
      </c>
      <c r="BC94" s="39">
        <f>AW94+AX94</f>
        <v>0</v>
      </c>
      <c r="BD94" s="39">
        <f>I94/(100-BE94)*100</f>
        <v>0</v>
      </c>
      <c r="BE94" s="39">
        <v>0</v>
      </c>
      <c r="BF94" s="39">
        <f>102</f>
        <v>102</v>
      </c>
      <c r="BH94" s="39">
        <f>H94*AO94</f>
        <v>0</v>
      </c>
      <c r="BI94" s="39">
        <f>H94*AP94</f>
        <v>0</v>
      </c>
      <c r="BJ94" s="39">
        <f>H94*I94</f>
        <v>0</v>
      </c>
      <c r="BK94" s="39"/>
      <c r="BL94" s="39">
        <v>93</v>
      </c>
    </row>
    <row r="95" spans="1:64" ht="15" customHeight="1">
      <c r="A95" s="76" t="s">
        <v>587</v>
      </c>
      <c r="B95" s="77" t="s">
        <v>95</v>
      </c>
      <c r="C95" s="221" t="s">
        <v>595</v>
      </c>
      <c r="D95" s="221"/>
      <c r="E95" s="221"/>
      <c r="F95" s="221"/>
      <c r="G95" s="78" t="s">
        <v>784</v>
      </c>
      <c r="H95" s="78" t="s">
        <v>784</v>
      </c>
      <c r="I95" s="78" t="s">
        <v>784</v>
      </c>
      <c r="J95" s="64">
        <f>SUM(J96:J96)</f>
        <v>0</v>
      </c>
      <c r="K95" s="64">
        <f>SUM(K96:K96)</f>
        <v>0</v>
      </c>
      <c r="L95" s="64">
        <f>SUM(L96:L96)</f>
        <v>0</v>
      </c>
      <c r="M95" s="79" t="s">
        <v>587</v>
      </c>
      <c r="AI95" s="68" t="s">
        <v>587</v>
      </c>
      <c r="AS95" s="64">
        <f>SUM(AJ96:AJ96)</f>
        <v>0</v>
      </c>
      <c r="AT95" s="64">
        <f>SUM(AK96:AK96)</f>
        <v>0</v>
      </c>
      <c r="AU95" s="64">
        <f>SUM(AL96:AL96)</f>
        <v>0</v>
      </c>
    </row>
    <row r="96" spans="1:64" ht="15" customHeight="1">
      <c r="A96" s="37" t="s">
        <v>800</v>
      </c>
      <c r="B96" s="38" t="s">
        <v>229</v>
      </c>
      <c r="C96" s="195" t="s">
        <v>302</v>
      </c>
      <c r="D96" s="195"/>
      <c r="E96" s="195"/>
      <c r="F96" s="195"/>
      <c r="G96" s="38" t="s">
        <v>831</v>
      </c>
      <c r="H96" s="39">
        <v>357.28</v>
      </c>
      <c r="I96" s="39">
        <v>0</v>
      </c>
      <c r="J96" s="39">
        <f>H96*AO96</f>
        <v>0</v>
      </c>
      <c r="K96" s="39">
        <f>H96*AP96</f>
        <v>0</v>
      </c>
      <c r="L96" s="39">
        <f>H96*I96</f>
        <v>0</v>
      </c>
      <c r="M96" s="80" t="s">
        <v>576</v>
      </c>
      <c r="Z96" s="39">
        <f>IF(AQ96="5",BJ96,0)</f>
        <v>0</v>
      </c>
      <c r="AB96" s="39">
        <f>IF(AQ96="1",BH96,0)</f>
        <v>0</v>
      </c>
      <c r="AC96" s="39">
        <f>IF(AQ96="1",BI96,0)</f>
        <v>0</v>
      </c>
      <c r="AD96" s="39">
        <f>IF(AQ96="7",BH96,0)</f>
        <v>0</v>
      </c>
      <c r="AE96" s="39">
        <f>IF(AQ96="7",BI96,0)</f>
        <v>0</v>
      </c>
      <c r="AF96" s="39">
        <f>IF(AQ96="2",BH96,0)</f>
        <v>0</v>
      </c>
      <c r="AG96" s="39">
        <f>IF(AQ96="2",BI96,0)</f>
        <v>0</v>
      </c>
      <c r="AH96" s="39">
        <f>IF(AQ96="0",BJ96,0)</f>
        <v>0</v>
      </c>
      <c r="AI96" s="68" t="s">
        <v>587</v>
      </c>
      <c r="AJ96" s="39">
        <f>IF(AN96=0,L96,0)</f>
        <v>0</v>
      </c>
      <c r="AK96" s="39">
        <f>IF(AN96=15,L96,0)</f>
        <v>0</v>
      </c>
      <c r="AL96" s="39">
        <f>IF(AN96=21,L96,0)</f>
        <v>0</v>
      </c>
      <c r="AN96" s="39">
        <v>21</v>
      </c>
      <c r="AO96" s="39">
        <f>I96*0.378970432248544</f>
        <v>0</v>
      </c>
      <c r="AP96" s="39">
        <f>I96*(1-0.378970432248544)</f>
        <v>0</v>
      </c>
      <c r="AQ96" s="40" t="s">
        <v>842</v>
      </c>
      <c r="AV96" s="39">
        <f>AW96+AX96</f>
        <v>0</v>
      </c>
      <c r="AW96" s="39">
        <f>H96*AO96</f>
        <v>0</v>
      </c>
      <c r="AX96" s="39">
        <f>H96*AP96</f>
        <v>0</v>
      </c>
      <c r="AY96" s="40" t="s">
        <v>925</v>
      </c>
      <c r="AZ96" s="40" t="s">
        <v>314</v>
      </c>
      <c r="BA96" s="68" t="s">
        <v>648</v>
      </c>
      <c r="BC96" s="39">
        <f>AW96+AX96</f>
        <v>0</v>
      </c>
      <c r="BD96" s="39">
        <f>I96/(100-BE96)*100</f>
        <v>0</v>
      </c>
      <c r="BE96" s="39">
        <v>0</v>
      </c>
      <c r="BF96" s="39">
        <f>104</f>
        <v>104</v>
      </c>
      <c r="BH96" s="39">
        <f>H96*AO96</f>
        <v>0</v>
      </c>
      <c r="BI96" s="39">
        <f>H96*AP96</f>
        <v>0</v>
      </c>
      <c r="BJ96" s="39">
        <f>H96*I96</f>
        <v>0</v>
      </c>
      <c r="BK96" s="39"/>
      <c r="BL96" s="39">
        <v>94</v>
      </c>
    </row>
    <row r="97" spans="1:64" ht="15" customHeight="1">
      <c r="A97" s="76" t="s">
        <v>587</v>
      </c>
      <c r="B97" s="77" t="s">
        <v>345</v>
      </c>
      <c r="C97" s="221" t="s">
        <v>629</v>
      </c>
      <c r="D97" s="221"/>
      <c r="E97" s="221"/>
      <c r="F97" s="221"/>
      <c r="G97" s="78" t="s">
        <v>784</v>
      </c>
      <c r="H97" s="78" t="s">
        <v>784</v>
      </c>
      <c r="I97" s="78" t="s">
        <v>784</v>
      </c>
      <c r="J97" s="64">
        <f>SUM(J98:J99)</f>
        <v>0</v>
      </c>
      <c r="K97" s="64">
        <f>SUM(K98:K99)</f>
        <v>0</v>
      </c>
      <c r="L97" s="64">
        <f>SUM(L98:L99)</f>
        <v>0</v>
      </c>
      <c r="M97" s="79" t="s">
        <v>587</v>
      </c>
      <c r="AI97" s="68" t="s">
        <v>587</v>
      </c>
      <c r="AS97" s="64">
        <f>SUM(AJ98:AJ99)</f>
        <v>0</v>
      </c>
      <c r="AT97" s="64">
        <f>SUM(AK98:AK99)</f>
        <v>0</v>
      </c>
      <c r="AU97" s="64">
        <f>SUM(AL98:AL99)</f>
        <v>0</v>
      </c>
    </row>
    <row r="98" spans="1:64" ht="15" customHeight="1">
      <c r="A98" s="37" t="s">
        <v>502</v>
      </c>
      <c r="B98" s="38" t="s">
        <v>744</v>
      </c>
      <c r="C98" s="195" t="s">
        <v>275</v>
      </c>
      <c r="D98" s="195"/>
      <c r="E98" s="195"/>
      <c r="F98" s="195"/>
      <c r="G98" s="38" t="s">
        <v>831</v>
      </c>
      <c r="H98" s="39">
        <v>357.28</v>
      </c>
      <c r="I98" s="39">
        <v>0</v>
      </c>
      <c r="J98" s="39">
        <f>H98*AO98</f>
        <v>0</v>
      </c>
      <c r="K98" s="39">
        <f>H98*AP98</f>
        <v>0</v>
      </c>
      <c r="L98" s="39">
        <f>H98*I98</f>
        <v>0</v>
      </c>
      <c r="M98" s="80" t="s">
        <v>576</v>
      </c>
      <c r="Z98" s="39">
        <f>IF(AQ98="5",BJ98,0)</f>
        <v>0</v>
      </c>
      <c r="AB98" s="39">
        <f>IF(AQ98="1",BH98,0)</f>
        <v>0</v>
      </c>
      <c r="AC98" s="39">
        <f>IF(AQ98="1",BI98,0)</f>
        <v>0</v>
      </c>
      <c r="AD98" s="39">
        <f>IF(AQ98="7",BH98,0)</f>
        <v>0</v>
      </c>
      <c r="AE98" s="39">
        <f>IF(AQ98="7",BI98,0)</f>
        <v>0</v>
      </c>
      <c r="AF98" s="39">
        <f>IF(AQ98="2",BH98,0)</f>
        <v>0</v>
      </c>
      <c r="AG98" s="39">
        <f>IF(AQ98="2",BI98,0)</f>
        <v>0</v>
      </c>
      <c r="AH98" s="39">
        <f>IF(AQ98="0",BJ98,0)</f>
        <v>0</v>
      </c>
      <c r="AI98" s="68" t="s">
        <v>587</v>
      </c>
      <c r="AJ98" s="39">
        <f>IF(AN98=0,L98,0)</f>
        <v>0</v>
      </c>
      <c r="AK98" s="39">
        <f>IF(AN98=15,L98,0)</f>
        <v>0</v>
      </c>
      <c r="AL98" s="39">
        <f>IF(AN98=21,L98,0)</f>
        <v>0</v>
      </c>
      <c r="AN98" s="39">
        <v>21</v>
      </c>
      <c r="AO98" s="39">
        <f>I98*0.0135315872493976</f>
        <v>0</v>
      </c>
      <c r="AP98" s="39">
        <f>I98*(1-0.0135315872493976)</f>
        <v>0</v>
      </c>
      <c r="AQ98" s="40" t="s">
        <v>842</v>
      </c>
      <c r="AV98" s="39">
        <f>AW98+AX98</f>
        <v>0</v>
      </c>
      <c r="AW98" s="39">
        <f>H98*AO98</f>
        <v>0</v>
      </c>
      <c r="AX98" s="39">
        <f>H98*AP98</f>
        <v>0</v>
      </c>
      <c r="AY98" s="40" t="s">
        <v>523</v>
      </c>
      <c r="AZ98" s="40" t="s">
        <v>314</v>
      </c>
      <c r="BA98" s="68" t="s">
        <v>648</v>
      </c>
      <c r="BC98" s="39">
        <f>AW98+AX98</f>
        <v>0</v>
      </c>
      <c r="BD98" s="39">
        <f>I98/(100-BE98)*100</f>
        <v>0</v>
      </c>
      <c r="BE98" s="39">
        <v>0</v>
      </c>
      <c r="BF98" s="39">
        <f>106</f>
        <v>106</v>
      </c>
      <c r="BH98" s="39">
        <f>H98*AO98</f>
        <v>0</v>
      </c>
      <c r="BI98" s="39">
        <f>H98*AP98</f>
        <v>0</v>
      </c>
      <c r="BJ98" s="39">
        <f>H98*I98</f>
        <v>0</v>
      </c>
      <c r="BK98" s="39"/>
      <c r="BL98" s="39">
        <v>95</v>
      </c>
    </row>
    <row r="99" spans="1:64" ht="15" customHeight="1">
      <c r="A99" s="37" t="s">
        <v>399</v>
      </c>
      <c r="B99" s="38" t="s">
        <v>871</v>
      </c>
      <c r="C99" s="195" t="s">
        <v>616</v>
      </c>
      <c r="D99" s="195"/>
      <c r="E99" s="195"/>
      <c r="F99" s="195"/>
      <c r="G99" s="38" t="s">
        <v>649</v>
      </c>
      <c r="H99" s="39">
        <v>1</v>
      </c>
      <c r="I99" s="39">
        <v>0</v>
      </c>
      <c r="J99" s="39">
        <f>H99*AO99</f>
        <v>0</v>
      </c>
      <c r="K99" s="39">
        <f>H99*AP99</f>
        <v>0</v>
      </c>
      <c r="L99" s="39">
        <f>H99*I99</f>
        <v>0</v>
      </c>
      <c r="M99" s="80" t="s">
        <v>587</v>
      </c>
      <c r="Z99" s="39">
        <f>IF(AQ99="5",BJ99,0)</f>
        <v>0</v>
      </c>
      <c r="AB99" s="39">
        <f>IF(AQ99="1",BH99,0)</f>
        <v>0</v>
      </c>
      <c r="AC99" s="39">
        <f>IF(AQ99="1",BI99,0)</f>
        <v>0</v>
      </c>
      <c r="AD99" s="39">
        <f>IF(AQ99="7",BH99,0)</f>
        <v>0</v>
      </c>
      <c r="AE99" s="39">
        <f>IF(AQ99="7",BI99,0)</f>
        <v>0</v>
      </c>
      <c r="AF99" s="39">
        <f>IF(AQ99="2",BH99,0)</f>
        <v>0</v>
      </c>
      <c r="AG99" s="39">
        <f>IF(AQ99="2",BI99,0)</f>
        <v>0</v>
      </c>
      <c r="AH99" s="39">
        <f>IF(AQ99="0",BJ99,0)</f>
        <v>0</v>
      </c>
      <c r="AI99" s="68" t="s">
        <v>587</v>
      </c>
      <c r="AJ99" s="39">
        <f>IF(AN99=0,L99,0)</f>
        <v>0</v>
      </c>
      <c r="AK99" s="39">
        <f>IF(AN99=15,L99,0)</f>
        <v>0</v>
      </c>
      <c r="AL99" s="39">
        <f>IF(AN99=21,L99,0)</f>
        <v>0</v>
      </c>
      <c r="AN99" s="39">
        <v>21</v>
      </c>
      <c r="AO99" s="39">
        <f>I99*0.8</f>
        <v>0</v>
      </c>
      <c r="AP99" s="39">
        <f>I99*(1-0.8)</f>
        <v>0</v>
      </c>
      <c r="AQ99" s="40" t="s">
        <v>842</v>
      </c>
      <c r="AV99" s="39">
        <f>AW99+AX99</f>
        <v>0</v>
      </c>
      <c r="AW99" s="39">
        <f>H99*AO99</f>
        <v>0</v>
      </c>
      <c r="AX99" s="39">
        <f>H99*AP99</f>
        <v>0</v>
      </c>
      <c r="AY99" s="40" t="s">
        <v>523</v>
      </c>
      <c r="AZ99" s="40" t="s">
        <v>314</v>
      </c>
      <c r="BA99" s="68" t="s">
        <v>648</v>
      </c>
      <c r="BC99" s="39">
        <f>AW99+AX99</f>
        <v>0</v>
      </c>
      <c r="BD99" s="39">
        <f>I99/(100-BE99)*100</f>
        <v>0</v>
      </c>
      <c r="BE99" s="39">
        <v>0</v>
      </c>
      <c r="BF99" s="39">
        <f>107</f>
        <v>107</v>
      </c>
      <c r="BH99" s="39">
        <f>H99*AO99</f>
        <v>0</v>
      </c>
      <c r="BI99" s="39">
        <f>H99*AP99</f>
        <v>0</v>
      </c>
      <c r="BJ99" s="39">
        <f>H99*I99</f>
        <v>0</v>
      </c>
      <c r="BK99" s="39"/>
      <c r="BL99" s="39">
        <v>95</v>
      </c>
    </row>
    <row r="100" spans="1:64" ht="13.5" customHeight="1">
      <c r="A100" s="81"/>
      <c r="B100" s="82" t="s">
        <v>440</v>
      </c>
      <c r="C100" s="223" t="s">
        <v>464</v>
      </c>
      <c r="D100" s="224"/>
      <c r="E100" s="224"/>
      <c r="F100" s="224"/>
      <c r="G100" s="224"/>
      <c r="H100" s="224"/>
      <c r="I100" s="224"/>
      <c r="J100" s="224"/>
      <c r="K100" s="224"/>
      <c r="L100" s="224"/>
      <c r="M100" s="225"/>
    </row>
    <row r="101" spans="1:64" ht="15" customHeight="1">
      <c r="A101" s="76" t="s">
        <v>587</v>
      </c>
      <c r="B101" s="77" t="s">
        <v>893</v>
      </c>
      <c r="C101" s="221" t="s">
        <v>513</v>
      </c>
      <c r="D101" s="221"/>
      <c r="E101" s="221"/>
      <c r="F101" s="221"/>
      <c r="G101" s="78" t="s">
        <v>784</v>
      </c>
      <c r="H101" s="78" t="s">
        <v>784</v>
      </c>
      <c r="I101" s="78" t="s">
        <v>784</v>
      </c>
      <c r="J101" s="64">
        <f>SUM(J102:J102)</f>
        <v>0</v>
      </c>
      <c r="K101" s="64">
        <f>SUM(K102:K102)</f>
        <v>0</v>
      </c>
      <c r="L101" s="64">
        <f>SUM(L102:L102)</f>
        <v>0</v>
      </c>
      <c r="M101" s="79" t="s">
        <v>587</v>
      </c>
      <c r="AI101" s="68" t="s">
        <v>587</v>
      </c>
      <c r="AS101" s="64">
        <f>SUM(AJ102:AJ102)</f>
        <v>0</v>
      </c>
      <c r="AT101" s="64">
        <f>SUM(AK102:AK102)</f>
        <v>0</v>
      </c>
      <c r="AU101" s="64">
        <f>SUM(AL102:AL102)</f>
        <v>0</v>
      </c>
    </row>
    <row r="102" spans="1:64" ht="15" customHeight="1">
      <c r="A102" s="37" t="s">
        <v>100</v>
      </c>
      <c r="B102" s="38" t="s">
        <v>175</v>
      </c>
      <c r="C102" s="195" t="s">
        <v>148</v>
      </c>
      <c r="D102" s="195"/>
      <c r="E102" s="195"/>
      <c r="F102" s="195"/>
      <c r="G102" s="38" t="s">
        <v>401</v>
      </c>
      <c r="H102" s="39">
        <v>116.11799999999999</v>
      </c>
      <c r="I102" s="39">
        <v>0</v>
      </c>
      <c r="J102" s="39">
        <f>H102*AO102</f>
        <v>0</v>
      </c>
      <c r="K102" s="39">
        <f>H102*AP102</f>
        <v>0</v>
      </c>
      <c r="L102" s="39">
        <f>H102*I102</f>
        <v>0</v>
      </c>
      <c r="M102" s="80" t="s">
        <v>576</v>
      </c>
      <c r="Z102" s="39">
        <f>IF(AQ102="5",BJ102,0)</f>
        <v>0</v>
      </c>
      <c r="AB102" s="39">
        <f>IF(AQ102="1",BH102,0)</f>
        <v>0</v>
      </c>
      <c r="AC102" s="39">
        <f>IF(AQ102="1",BI102,0)</f>
        <v>0</v>
      </c>
      <c r="AD102" s="39">
        <f>IF(AQ102="7",BH102,0)</f>
        <v>0</v>
      </c>
      <c r="AE102" s="39">
        <f>IF(AQ102="7",BI102,0)</f>
        <v>0</v>
      </c>
      <c r="AF102" s="39">
        <f>IF(AQ102="2",BH102,0)</f>
        <v>0</v>
      </c>
      <c r="AG102" s="39">
        <f>IF(AQ102="2",BI102,0)</f>
        <v>0</v>
      </c>
      <c r="AH102" s="39">
        <f>IF(AQ102="0",BJ102,0)</f>
        <v>0</v>
      </c>
      <c r="AI102" s="68" t="s">
        <v>587</v>
      </c>
      <c r="AJ102" s="39">
        <f>IF(AN102=0,L102,0)</f>
        <v>0</v>
      </c>
      <c r="AK102" s="39">
        <f>IF(AN102=15,L102,0)</f>
        <v>0</v>
      </c>
      <c r="AL102" s="39">
        <f>IF(AN102=21,L102,0)</f>
        <v>0</v>
      </c>
      <c r="AN102" s="39">
        <v>21</v>
      </c>
      <c r="AO102" s="39">
        <f>I102*0</f>
        <v>0</v>
      </c>
      <c r="AP102" s="39">
        <f>I102*(1-0)</f>
        <v>0</v>
      </c>
      <c r="AQ102" s="40" t="s">
        <v>454</v>
      </c>
      <c r="AV102" s="39">
        <f>AW102+AX102</f>
        <v>0</v>
      </c>
      <c r="AW102" s="39">
        <f>H102*AO102</f>
        <v>0</v>
      </c>
      <c r="AX102" s="39">
        <f>H102*AP102</f>
        <v>0</v>
      </c>
      <c r="AY102" s="40" t="s">
        <v>442</v>
      </c>
      <c r="AZ102" s="40" t="s">
        <v>314</v>
      </c>
      <c r="BA102" s="68" t="s">
        <v>648</v>
      </c>
      <c r="BC102" s="39">
        <f>AW102+AX102</f>
        <v>0</v>
      </c>
      <c r="BD102" s="39">
        <f>I102/(100-BE102)*100</f>
        <v>0</v>
      </c>
      <c r="BE102" s="39">
        <v>0</v>
      </c>
      <c r="BF102" s="39">
        <f>110</f>
        <v>110</v>
      </c>
      <c r="BH102" s="39">
        <f>H102*AO102</f>
        <v>0</v>
      </c>
      <c r="BI102" s="39">
        <f>H102*AP102</f>
        <v>0</v>
      </c>
      <c r="BJ102" s="39">
        <f>H102*I102</f>
        <v>0</v>
      </c>
      <c r="BK102" s="39"/>
      <c r="BL102" s="39"/>
    </row>
    <row r="103" spans="1:64" ht="15" customHeight="1">
      <c r="A103" s="76" t="s">
        <v>587</v>
      </c>
      <c r="B103" s="77" t="s">
        <v>480</v>
      </c>
      <c r="C103" s="221" t="s">
        <v>632</v>
      </c>
      <c r="D103" s="221"/>
      <c r="E103" s="221"/>
      <c r="F103" s="221"/>
      <c r="G103" s="78" t="s">
        <v>784</v>
      </c>
      <c r="H103" s="78" t="s">
        <v>784</v>
      </c>
      <c r="I103" s="78" t="s">
        <v>784</v>
      </c>
      <c r="J103" s="64">
        <f>SUM(J104:J126)</f>
        <v>0</v>
      </c>
      <c r="K103" s="64">
        <f>SUM(K104:K126)</f>
        <v>0</v>
      </c>
      <c r="L103" s="64">
        <f>SUM(L104:L126)</f>
        <v>0</v>
      </c>
      <c r="M103" s="79" t="s">
        <v>587</v>
      </c>
      <c r="AI103" s="68" t="s">
        <v>587</v>
      </c>
      <c r="AS103" s="64">
        <f>SUM(AJ104:AJ126)</f>
        <v>0</v>
      </c>
      <c r="AT103" s="64">
        <f>SUM(AK104:AK126)</f>
        <v>0</v>
      </c>
      <c r="AU103" s="64">
        <f>SUM(AL104:AL126)</f>
        <v>0</v>
      </c>
    </row>
    <row r="104" spans="1:64" ht="15" customHeight="1">
      <c r="A104" s="37" t="s">
        <v>612</v>
      </c>
      <c r="B104" s="38" t="s">
        <v>184</v>
      </c>
      <c r="C104" s="195" t="s">
        <v>333</v>
      </c>
      <c r="D104" s="195"/>
      <c r="E104" s="195"/>
      <c r="F104" s="195"/>
      <c r="G104" s="38" t="s">
        <v>831</v>
      </c>
      <c r="H104" s="39">
        <v>149.56</v>
      </c>
      <c r="I104" s="39">
        <v>0</v>
      </c>
      <c r="J104" s="39">
        <f>H104*AO104</f>
        <v>0</v>
      </c>
      <c r="K104" s="39">
        <f>H104*AP104</f>
        <v>0</v>
      </c>
      <c r="L104" s="39">
        <f>H104*I104</f>
        <v>0</v>
      </c>
      <c r="M104" s="80" t="s">
        <v>576</v>
      </c>
      <c r="Z104" s="39">
        <f>IF(AQ104="5",BJ104,0)</f>
        <v>0</v>
      </c>
      <c r="AB104" s="39">
        <f>IF(AQ104="1",BH104,0)</f>
        <v>0</v>
      </c>
      <c r="AC104" s="39">
        <f>IF(AQ104="1",BI104,0)</f>
        <v>0</v>
      </c>
      <c r="AD104" s="39">
        <f>IF(AQ104="7",BH104,0)</f>
        <v>0</v>
      </c>
      <c r="AE104" s="39">
        <f>IF(AQ104="7",BI104,0)</f>
        <v>0</v>
      </c>
      <c r="AF104" s="39">
        <f>IF(AQ104="2",BH104,0)</f>
        <v>0</v>
      </c>
      <c r="AG104" s="39">
        <f>IF(AQ104="2",BI104,0)</f>
        <v>0</v>
      </c>
      <c r="AH104" s="39">
        <f>IF(AQ104="0",BJ104,0)</f>
        <v>0</v>
      </c>
      <c r="AI104" s="68" t="s">
        <v>587</v>
      </c>
      <c r="AJ104" s="39">
        <f>IF(AN104=0,L104,0)</f>
        <v>0</v>
      </c>
      <c r="AK104" s="39">
        <f>IF(AN104=15,L104,0)</f>
        <v>0</v>
      </c>
      <c r="AL104" s="39">
        <f>IF(AN104=21,L104,0)</f>
        <v>0</v>
      </c>
      <c r="AN104" s="39">
        <v>21</v>
      </c>
      <c r="AO104" s="39">
        <f>I104*0</f>
        <v>0</v>
      </c>
      <c r="AP104" s="39">
        <f>I104*(1-0)</f>
        <v>0</v>
      </c>
      <c r="AQ104" s="40" t="s">
        <v>842</v>
      </c>
      <c r="AV104" s="39">
        <f>AW104+AX104</f>
        <v>0</v>
      </c>
      <c r="AW104" s="39">
        <f>H104*AO104</f>
        <v>0</v>
      </c>
      <c r="AX104" s="39">
        <f>H104*AP104</f>
        <v>0</v>
      </c>
      <c r="AY104" s="40" t="s">
        <v>743</v>
      </c>
      <c r="AZ104" s="40" t="s">
        <v>314</v>
      </c>
      <c r="BA104" s="68" t="s">
        <v>648</v>
      </c>
      <c r="BC104" s="39">
        <f>AW104+AX104</f>
        <v>0</v>
      </c>
      <c r="BD104" s="39">
        <f>I104/(100-BE104)*100</f>
        <v>0</v>
      </c>
      <c r="BE104" s="39">
        <v>0</v>
      </c>
      <c r="BF104" s="39">
        <f>112</f>
        <v>112</v>
      </c>
      <c r="BH104" s="39">
        <f>H104*AO104</f>
        <v>0</v>
      </c>
      <c r="BI104" s="39">
        <f>H104*AP104</f>
        <v>0</v>
      </c>
      <c r="BJ104" s="39">
        <f>H104*I104</f>
        <v>0</v>
      </c>
      <c r="BK104" s="39"/>
      <c r="BL104" s="39">
        <v>96</v>
      </c>
    </row>
    <row r="105" spans="1:64" ht="13.5" customHeight="1">
      <c r="A105" s="81"/>
      <c r="B105" s="82" t="s">
        <v>440</v>
      </c>
      <c r="C105" s="223" t="s">
        <v>814</v>
      </c>
      <c r="D105" s="224"/>
      <c r="E105" s="224"/>
      <c r="F105" s="224"/>
      <c r="G105" s="224"/>
      <c r="H105" s="224"/>
      <c r="I105" s="224"/>
      <c r="J105" s="224"/>
      <c r="K105" s="224"/>
      <c r="L105" s="224"/>
      <c r="M105" s="225"/>
    </row>
    <row r="106" spans="1:64" ht="15" customHeight="1">
      <c r="A106" s="37" t="s">
        <v>934</v>
      </c>
      <c r="B106" s="38" t="s">
        <v>646</v>
      </c>
      <c r="C106" s="195" t="s">
        <v>912</v>
      </c>
      <c r="D106" s="195"/>
      <c r="E106" s="195"/>
      <c r="F106" s="195"/>
      <c r="G106" s="38" t="s">
        <v>831</v>
      </c>
      <c r="H106" s="39">
        <v>12.5</v>
      </c>
      <c r="I106" s="39">
        <v>0</v>
      </c>
      <c r="J106" s="39">
        <f t="shared" ref="J106:J111" si="22">H106*AO106</f>
        <v>0</v>
      </c>
      <c r="K106" s="39">
        <f t="shared" ref="K106:K111" si="23">H106*AP106</f>
        <v>0</v>
      </c>
      <c r="L106" s="39">
        <f t="shared" ref="L106:L111" si="24">H106*I106</f>
        <v>0</v>
      </c>
      <c r="M106" s="80" t="s">
        <v>576</v>
      </c>
      <c r="Z106" s="39">
        <f t="shared" ref="Z106:Z111" si="25">IF(AQ106="5",BJ106,0)</f>
        <v>0</v>
      </c>
      <c r="AB106" s="39">
        <f t="shared" ref="AB106:AB111" si="26">IF(AQ106="1",BH106,0)</f>
        <v>0</v>
      </c>
      <c r="AC106" s="39">
        <f t="shared" ref="AC106:AC111" si="27">IF(AQ106="1",BI106,0)</f>
        <v>0</v>
      </c>
      <c r="AD106" s="39">
        <f t="shared" ref="AD106:AD111" si="28">IF(AQ106="7",BH106,0)</f>
        <v>0</v>
      </c>
      <c r="AE106" s="39">
        <f t="shared" ref="AE106:AE111" si="29">IF(AQ106="7",BI106,0)</f>
        <v>0</v>
      </c>
      <c r="AF106" s="39">
        <f t="shared" ref="AF106:AF111" si="30">IF(AQ106="2",BH106,0)</f>
        <v>0</v>
      </c>
      <c r="AG106" s="39">
        <f t="shared" ref="AG106:AG111" si="31">IF(AQ106="2",BI106,0)</f>
        <v>0</v>
      </c>
      <c r="AH106" s="39">
        <f t="shared" ref="AH106:AH111" si="32">IF(AQ106="0",BJ106,0)</f>
        <v>0</v>
      </c>
      <c r="AI106" s="68" t="s">
        <v>587</v>
      </c>
      <c r="AJ106" s="39">
        <f t="shared" ref="AJ106:AJ111" si="33">IF(AN106=0,L106,0)</f>
        <v>0</v>
      </c>
      <c r="AK106" s="39">
        <f t="shared" ref="AK106:AK111" si="34">IF(AN106=15,L106,0)</f>
        <v>0</v>
      </c>
      <c r="AL106" s="39">
        <f t="shared" ref="AL106:AL111" si="35">IF(AN106=21,L106,0)</f>
        <v>0</v>
      </c>
      <c r="AN106" s="39">
        <v>21</v>
      </c>
      <c r="AO106" s="39">
        <f>I106*0</f>
        <v>0</v>
      </c>
      <c r="AP106" s="39">
        <f>I106*(1-0)</f>
        <v>0</v>
      </c>
      <c r="AQ106" s="40" t="s">
        <v>842</v>
      </c>
      <c r="AV106" s="39">
        <f t="shared" ref="AV106:AV111" si="36">AW106+AX106</f>
        <v>0</v>
      </c>
      <c r="AW106" s="39">
        <f t="shared" ref="AW106:AW111" si="37">H106*AO106</f>
        <v>0</v>
      </c>
      <c r="AX106" s="39">
        <f t="shared" ref="AX106:AX111" si="38">H106*AP106</f>
        <v>0</v>
      </c>
      <c r="AY106" s="40" t="s">
        <v>743</v>
      </c>
      <c r="AZ106" s="40" t="s">
        <v>314</v>
      </c>
      <c r="BA106" s="68" t="s">
        <v>648</v>
      </c>
      <c r="BC106" s="39">
        <f t="shared" ref="BC106:BC111" si="39">AW106+AX106</f>
        <v>0</v>
      </c>
      <c r="BD106" s="39">
        <f t="shared" ref="BD106:BD111" si="40">I106/(100-BE106)*100</f>
        <v>0</v>
      </c>
      <c r="BE106" s="39">
        <v>0</v>
      </c>
      <c r="BF106" s="39">
        <f>114</f>
        <v>114</v>
      </c>
      <c r="BH106" s="39">
        <f t="shared" ref="BH106:BH111" si="41">H106*AO106</f>
        <v>0</v>
      </c>
      <c r="BI106" s="39">
        <f t="shared" ref="BI106:BI111" si="42">H106*AP106</f>
        <v>0</v>
      </c>
      <c r="BJ106" s="39">
        <f t="shared" ref="BJ106:BJ111" si="43">H106*I106</f>
        <v>0</v>
      </c>
      <c r="BK106" s="39"/>
      <c r="BL106" s="39">
        <v>96</v>
      </c>
    </row>
    <row r="107" spans="1:64" ht="15" customHeight="1">
      <c r="A107" s="37" t="s">
        <v>197</v>
      </c>
      <c r="B107" s="38" t="s">
        <v>305</v>
      </c>
      <c r="C107" s="195" t="s">
        <v>819</v>
      </c>
      <c r="D107" s="195"/>
      <c r="E107" s="195"/>
      <c r="F107" s="195"/>
      <c r="G107" s="38" t="s">
        <v>701</v>
      </c>
      <c r="H107" s="39">
        <v>16.3</v>
      </c>
      <c r="I107" s="39">
        <v>0</v>
      </c>
      <c r="J107" s="39">
        <f t="shared" si="22"/>
        <v>0</v>
      </c>
      <c r="K107" s="39">
        <f t="shared" si="23"/>
        <v>0</v>
      </c>
      <c r="L107" s="39">
        <f t="shared" si="24"/>
        <v>0</v>
      </c>
      <c r="M107" s="80" t="s">
        <v>576</v>
      </c>
      <c r="Z107" s="39">
        <f t="shared" si="25"/>
        <v>0</v>
      </c>
      <c r="AB107" s="39">
        <f t="shared" si="26"/>
        <v>0</v>
      </c>
      <c r="AC107" s="39">
        <f t="shared" si="27"/>
        <v>0</v>
      </c>
      <c r="AD107" s="39">
        <f t="shared" si="28"/>
        <v>0</v>
      </c>
      <c r="AE107" s="39">
        <f t="shared" si="29"/>
        <v>0</v>
      </c>
      <c r="AF107" s="39">
        <f t="shared" si="30"/>
        <v>0</v>
      </c>
      <c r="AG107" s="39">
        <f t="shared" si="31"/>
        <v>0</v>
      </c>
      <c r="AH107" s="39">
        <f t="shared" si="32"/>
        <v>0</v>
      </c>
      <c r="AI107" s="68" t="s">
        <v>587</v>
      </c>
      <c r="AJ107" s="39">
        <f t="shared" si="33"/>
        <v>0</v>
      </c>
      <c r="AK107" s="39">
        <f t="shared" si="34"/>
        <v>0</v>
      </c>
      <c r="AL107" s="39">
        <f t="shared" si="35"/>
        <v>0</v>
      </c>
      <c r="AN107" s="39">
        <v>21</v>
      </c>
      <c r="AO107" s="39">
        <f>I107*0</f>
        <v>0</v>
      </c>
      <c r="AP107" s="39">
        <f>I107*(1-0)</f>
        <v>0</v>
      </c>
      <c r="AQ107" s="40" t="s">
        <v>842</v>
      </c>
      <c r="AV107" s="39">
        <f t="shared" si="36"/>
        <v>0</v>
      </c>
      <c r="AW107" s="39">
        <f t="shared" si="37"/>
        <v>0</v>
      </c>
      <c r="AX107" s="39">
        <f t="shared" si="38"/>
        <v>0</v>
      </c>
      <c r="AY107" s="40" t="s">
        <v>743</v>
      </c>
      <c r="AZ107" s="40" t="s">
        <v>314</v>
      </c>
      <c r="BA107" s="68" t="s">
        <v>648</v>
      </c>
      <c r="BC107" s="39">
        <f t="shared" si="39"/>
        <v>0</v>
      </c>
      <c r="BD107" s="39">
        <f t="shared" si="40"/>
        <v>0</v>
      </c>
      <c r="BE107" s="39">
        <v>0</v>
      </c>
      <c r="BF107" s="39">
        <f>115</f>
        <v>115</v>
      </c>
      <c r="BH107" s="39">
        <f t="shared" si="41"/>
        <v>0</v>
      </c>
      <c r="BI107" s="39">
        <f t="shared" si="42"/>
        <v>0</v>
      </c>
      <c r="BJ107" s="39">
        <f t="shared" si="43"/>
        <v>0</v>
      </c>
      <c r="BK107" s="39"/>
      <c r="BL107" s="39">
        <v>96</v>
      </c>
    </row>
    <row r="108" spans="1:64" ht="15" customHeight="1">
      <c r="A108" s="37" t="s">
        <v>424</v>
      </c>
      <c r="B108" s="38" t="s">
        <v>457</v>
      </c>
      <c r="C108" s="195" t="s">
        <v>870</v>
      </c>
      <c r="D108" s="195"/>
      <c r="E108" s="195"/>
      <c r="F108" s="195"/>
      <c r="G108" s="38" t="s">
        <v>831</v>
      </c>
      <c r="H108" s="39">
        <v>13.83</v>
      </c>
      <c r="I108" s="39">
        <v>0</v>
      </c>
      <c r="J108" s="39">
        <f t="shared" si="22"/>
        <v>0</v>
      </c>
      <c r="K108" s="39">
        <f t="shared" si="23"/>
        <v>0</v>
      </c>
      <c r="L108" s="39">
        <f t="shared" si="24"/>
        <v>0</v>
      </c>
      <c r="M108" s="80" t="s">
        <v>576</v>
      </c>
      <c r="Z108" s="39">
        <f t="shared" si="25"/>
        <v>0</v>
      </c>
      <c r="AB108" s="39">
        <f t="shared" si="26"/>
        <v>0</v>
      </c>
      <c r="AC108" s="39">
        <f t="shared" si="27"/>
        <v>0</v>
      </c>
      <c r="AD108" s="39">
        <f t="shared" si="28"/>
        <v>0</v>
      </c>
      <c r="AE108" s="39">
        <f t="shared" si="29"/>
        <v>0</v>
      </c>
      <c r="AF108" s="39">
        <f t="shared" si="30"/>
        <v>0</v>
      </c>
      <c r="AG108" s="39">
        <f t="shared" si="31"/>
        <v>0</v>
      </c>
      <c r="AH108" s="39">
        <f t="shared" si="32"/>
        <v>0</v>
      </c>
      <c r="AI108" s="68" t="s">
        <v>587</v>
      </c>
      <c r="AJ108" s="39">
        <f t="shared" si="33"/>
        <v>0</v>
      </c>
      <c r="AK108" s="39">
        <f t="shared" si="34"/>
        <v>0</v>
      </c>
      <c r="AL108" s="39">
        <f t="shared" si="35"/>
        <v>0</v>
      </c>
      <c r="AN108" s="39">
        <v>21</v>
      </c>
      <c r="AO108" s="39">
        <f>I108*0.0598154466084621</f>
        <v>0</v>
      </c>
      <c r="AP108" s="39">
        <f>I108*(1-0.0598154466084621)</f>
        <v>0</v>
      </c>
      <c r="AQ108" s="40" t="s">
        <v>842</v>
      </c>
      <c r="AV108" s="39">
        <f t="shared" si="36"/>
        <v>0</v>
      </c>
      <c r="AW108" s="39">
        <f t="shared" si="37"/>
        <v>0</v>
      </c>
      <c r="AX108" s="39">
        <f t="shared" si="38"/>
        <v>0</v>
      </c>
      <c r="AY108" s="40" t="s">
        <v>743</v>
      </c>
      <c r="AZ108" s="40" t="s">
        <v>314</v>
      </c>
      <c r="BA108" s="68" t="s">
        <v>648</v>
      </c>
      <c r="BC108" s="39">
        <f t="shared" si="39"/>
        <v>0</v>
      </c>
      <c r="BD108" s="39">
        <f t="shared" si="40"/>
        <v>0</v>
      </c>
      <c r="BE108" s="39">
        <v>0</v>
      </c>
      <c r="BF108" s="39">
        <f>116</f>
        <v>116</v>
      </c>
      <c r="BH108" s="39">
        <f t="shared" si="41"/>
        <v>0</v>
      </c>
      <c r="BI108" s="39">
        <f t="shared" si="42"/>
        <v>0</v>
      </c>
      <c r="BJ108" s="39">
        <f t="shared" si="43"/>
        <v>0</v>
      </c>
      <c r="BK108" s="39"/>
      <c r="BL108" s="39">
        <v>96</v>
      </c>
    </row>
    <row r="109" spans="1:64" ht="15" customHeight="1">
      <c r="A109" s="37" t="s">
        <v>928</v>
      </c>
      <c r="B109" s="38" t="s">
        <v>225</v>
      </c>
      <c r="C109" s="195" t="s">
        <v>346</v>
      </c>
      <c r="D109" s="195"/>
      <c r="E109" s="195"/>
      <c r="F109" s="195"/>
      <c r="G109" s="38" t="s">
        <v>831</v>
      </c>
      <c r="H109" s="39">
        <v>25.023</v>
      </c>
      <c r="I109" s="39">
        <v>0</v>
      </c>
      <c r="J109" s="39">
        <f t="shared" si="22"/>
        <v>0</v>
      </c>
      <c r="K109" s="39">
        <f t="shared" si="23"/>
        <v>0</v>
      </c>
      <c r="L109" s="39">
        <f t="shared" si="24"/>
        <v>0</v>
      </c>
      <c r="M109" s="80" t="s">
        <v>576</v>
      </c>
      <c r="Z109" s="39">
        <f t="shared" si="25"/>
        <v>0</v>
      </c>
      <c r="AB109" s="39">
        <f t="shared" si="26"/>
        <v>0</v>
      </c>
      <c r="AC109" s="39">
        <f t="shared" si="27"/>
        <v>0</v>
      </c>
      <c r="AD109" s="39">
        <f t="shared" si="28"/>
        <v>0</v>
      </c>
      <c r="AE109" s="39">
        <f t="shared" si="29"/>
        <v>0</v>
      </c>
      <c r="AF109" s="39">
        <f t="shared" si="30"/>
        <v>0</v>
      </c>
      <c r="AG109" s="39">
        <f t="shared" si="31"/>
        <v>0</v>
      </c>
      <c r="AH109" s="39">
        <f t="shared" si="32"/>
        <v>0</v>
      </c>
      <c r="AI109" s="68" t="s">
        <v>587</v>
      </c>
      <c r="AJ109" s="39">
        <f t="shared" si="33"/>
        <v>0</v>
      </c>
      <c r="AK109" s="39">
        <f t="shared" si="34"/>
        <v>0</v>
      </c>
      <c r="AL109" s="39">
        <f t="shared" si="35"/>
        <v>0</v>
      </c>
      <c r="AN109" s="39">
        <v>21</v>
      </c>
      <c r="AO109" s="39">
        <f>I109*0.136970520361354</f>
        <v>0</v>
      </c>
      <c r="AP109" s="39">
        <f>I109*(1-0.136970520361354)</f>
        <v>0</v>
      </c>
      <c r="AQ109" s="40" t="s">
        <v>842</v>
      </c>
      <c r="AV109" s="39">
        <f t="shared" si="36"/>
        <v>0</v>
      </c>
      <c r="AW109" s="39">
        <f t="shared" si="37"/>
        <v>0</v>
      </c>
      <c r="AX109" s="39">
        <f t="shared" si="38"/>
        <v>0</v>
      </c>
      <c r="AY109" s="40" t="s">
        <v>743</v>
      </c>
      <c r="AZ109" s="40" t="s">
        <v>314</v>
      </c>
      <c r="BA109" s="68" t="s">
        <v>648</v>
      </c>
      <c r="BC109" s="39">
        <f t="shared" si="39"/>
        <v>0</v>
      </c>
      <c r="BD109" s="39">
        <f t="shared" si="40"/>
        <v>0</v>
      </c>
      <c r="BE109" s="39">
        <v>0</v>
      </c>
      <c r="BF109" s="39">
        <f>117</f>
        <v>117</v>
      </c>
      <c r="BH109" s="39">
        <f t="shared" si="41"/>
        <v>0</v>
      </c>
      <c r="BI109" s="39">
        <f t="shared" si="42"/>
        <v>0</v>
      </c>
      <c r="BJ109" s="39">
        <f t="shared" si="43"/>
        <v>0</v>
      </c>
      <c r="BK109" s="39"/>
      <c r="BL109" s="39">
        <v>96</v>
      </c>
    </row>
    <row r="110" spans="1:64" ht="15" customHeight="1">
      <c r="A110" s="37" t="s">
        <v>882</v>
      </c>
      <c r="B110" s="38" t="s">
        <v>841</v>
      </c>
      <c r="C110" s="195" t="s">
        <v>898</v>
      </c>
      <c r="D110" s="195"/>
      <c r="E110" s="195"/>
      <c r="F110" s="195"/>
      <c r="G110" s="38" t="s">
        <v>831</v>
      </c>
      <c r="H110" s="39">
        <v>62.988</v>
      </c>
      <c r="I110" s="39">
        <v>0</v>
      </c>
      <c r="J110" s="39">
        <f t="shared" si="22"/>
        <v>0</v>
      </c>
      <c r="K110" s="39">
        <f t="shared" si="23"/>
        <v>0</v>
      </c>
      <c r="L110" s="39">
        <f t="shared" si="24"/>
        <v>0</v>
      </c>
      <c r="M110" s="80" t="s">
        <v>576</v>
      </c>
      <c r="Z110" s="39">
        <f t="shared" si="25"/>
        <v>0</v>
      </c>
      <c r="AB110" s="39">
        <f t="shared" si="26"/>
        <v>0</v>
      </c>
      <c r="AC110" s="39">
        <f t="shared" si="27"/>
        <v>0</v>
      </c>
      <c r="AD110" s="39">
        <f t="shared" si="28"/>
        <v>0</v>
      </c>
      <c r="AE110" s="39">
        <f t="shared" si="29"/>
        <v>0</v>
      </c>
      <c r="AF110" s="39">
        <f t="shared" si="30"/>
        <v>0</v>
      </c>
      <c r="AG110" s="39">
        <f t="shared" si="31"/>
        <v>0</v>
      </c>
      <c r="AH110" s="39">
        <f t="shared" si="32"/>
        <v>0</v>
      </c>
      <c r="AI110" s="68" t="s">
        <v>587</v>
      </c>
      <c r="AJ110" s="39">
        <f t="shared" si="33"/>
        <v>0</v>
      </c>
      <c r="AK110" s="39">
        <f t="shared" si="34"/>
        <v>0</v>
      </c>
      <c r="AL110" s="39">
        <f t="shared" si="35"/>
        <v>0</v>
      </c>
      <c r="AN110" s="39">
        <v>21</v>
      </c>
      <c r="AO110" s="39">
        <f>I110*0.102632727089948</f>
        <v>0</v>
      </c>
      <c r="AP110" s="39">
        <f>I110*(1-0.102632727089948)</f>
        <v>0</v>
      </c>
      <c r="AQ110" s="40" t="s">
        <v>842</v>
      </c>
      <c r="AV110" s="39">
        <f t="shared" si="36"/>
        <v>0</v>
      </c>
      <c r="AW110" s="39">
        <f t="shared" si="37"/>
        <v>0</v>
      </c>
      <c r="AX110" s="39">
        <f t="shared" si="38"/>
        <v>0</v>
      </c>
      <c r="AY110" s="40" t="s">
        <v>743</v>
      </c>
      <c r="AZ110" s="40" t="s">
        <v>314</v>
      </c>
      <c r="BA110" s="68" t="s">
        <v>648</v>
      </c>
      <c r="BC110" s="39">
        <f t="shared" si="39"/>
        <v>0</v>
      </c>
      <c r="BD110" s="39">
        <f t="shared" si="40"/>
        <v>0</v>
      </c>
      <c r="BE110" s="39">
        <v>0</v>
      </c>
      <c r="BF110" s="39">
        <f>118</f>
        <v>118</v>
      </c>
      <c r="BH110" s="39">
        <f t="shared" si="41"/>
        <v>0</v>
      </c>
      <c r="BI110" s="39">
        <f t="shared" si="42"/>
        <v>0</v>
      </c>
      <c r="BJ110" s="39">
        <f t="shared" si="43"/>
        <v>0</v>
      </c>
      <c r="BK110" s="39"/>
      <c r="BL110" s="39">
        <v>96</v>
      </c>
    </row>
    <row r="111" spans="1:64" ht="15" customHeight="1">
      <c r="A111" s="37" t="s">
        <v>10</v>
      </c>
      <c r="B111" s="38" t="s">
        <v>915</v>
      </c>
      <c r="C111" s="195" t="s">
        <v>496</v>
      </c>
      <c r="D111" s="195"/>
      <c r="E111" s="195"/>
      <c r="F111" s="195"/>
      <c r="G111" s="38" t="s">
        <v>812</v>
      </c>
      <c r="H111" s="39">
        <v>0.55300000000000005</v>
      </c>
      <c r="I111" s="39">
        <v>0</v>
      </c>
      <c r="J111" s="39">
        <f t="shared" si="22"/>
        <v>0</v>
      </c>
      <c r="K111" s="39">
        <f t="shared" si="23"/>
        <v>0</v>
      </c>
      <c r="L111" s="39">
        <f t="shared" si="24"/>
        <v>0</v>
      </c>
      <c r="M111" s="80" t="s">
        <v>576</v>
      </c>
      <c r="Z111" s="39">
        <f t="shared" si="25"/>
        <v>0</v>
      </c>
      <c r="AB111" s="39">
        <f t="shared" si="26"/>
        <v>0</v>
      </c>
      <c r="AC111" s="39">
        <f t="shared" si="27"/>
        <v>0</v>
      </c>
      <c r="AD111" s="39">
        <f t="shared" si="28"/>
        <v>0</v>
      </c>
      <c r="AE111" s="39">
        <f t="shared" si="29"/>
        <v>0</v>
      </c>
      <c r="AF111" s="39">
        <f t="shared" si="30"/>
        <v>0</v>
      </c>
      <c r="AG111" s="39">
        <f t="shared" si="31"/>
        <v>0</v>
      </c>
      <c r="AH111" s="39">
        <f t="shared" si="32"/>
        <v>0</v>
      </c>
      <c r="AI111" s="68" t="s">
        <v>587</v>
      </c>
      <c r="AJ111" s="39">
        <f t="shared" si="33"/>
        <v>0</v>
      </c>
      <c r="AK111" s="39">
        <f t="shared" si="34"/>
        <v>0</v>
      </c>
      <c r="AL111" s="39">
        <f t="shared" si="35"/>
        <v>0</v>
      </c>
      <c r="AN111" s="39">
        <v>21</v>
      </c>
      <c r="AO111" s="39">
        <f>I111*0.0400067635658915</f>
        <v>0</v>
      </c>
      <c r="AP111" s="39">
        <f>I111*(1-0.0400067635658915)</f>
        <v>0</v>
      </c>
      <c r="AQ111" s="40" t="s">
        <v>842</v>
      </c>
      <c r="AV111" s="39">
        <f t="shared" si="36"/>
        <v>0</v>
      </c>
      <c r="AW111" s="39">
        <f t="shared" si="37"/>
        <v>0</v>
      </c>
      <c r="AX111" s="39">
        <f t="shared" si="38"/>
        <v>0</v>
      </c>
      <c r="AY111" s="40" t="s">
        <v>743</v>
      </c>
      <c r="AZ111" s="40" t="s">
        <v>314</v>
      </c>
      <c r="BA111" s="68" t="s">
        <v>648</v>
      </c>
      <c r="BC111" s="39">
        <f t="shared" si="39"/>
        <v>0</v>
      </c>
      <c r="BD111" s="39">
        <f t="shared" si="40"/>
        <v>0</v>
      </c>
      <c r="BE111" s="39">
        <v>0</v>
      </c>
      <c r="BF111" s="39">
        <f>119</f>
        <v>119</v>
      </c>
      <c r="BH111" s="39">
        <f t="shared" si="41"/>
        <v>0</v>
      </c>
      <c r="BI111" s="39">
        <f t="shared" si="42"/>
        <v>0</v>
      </c>
      <c r="BJ111" s="39">
        <f t="shared" si="43"/>
        <v>0</v>
      </c>
      <c r="BK111" s="39"/>
      <c r="BL111" s="39">
        <v>96</v>
      </c>
    </row>
    <row r="112" spans="1:64" ht="13.5" customHeight="1">
      <c r="A112" s="81"/>
      <c r="B112" s="82" t="s">
        <v>440</v>
      </c>
      <c r="C112" s="223" t="s">
        <v>773</v>
      </c>
      <c r="D112" s="224"/>
      <c r="E112" s="224"/>
      <c r="F112" s="224"/>
      <c r="G112" s="224"/>
      <c r="H112" s="224"/>
      <c r="I112" s="224"/>
      <c r="J112" s="224"/>
      <c r="K112" s="224"/>
      <c r="L112" s="224"/>
      <c r="M112" s="225"/>
    </row>
    <row r="113" spans="1:64" ht="15" customHeight="1">
      <c r="A113" s="37" t="s">
        <v>143</v>
      </c>
      <c r="B113" s="38" t="s">
        <v>506</v>
      </c>
      <c r="C113" s="195" t="s">
        <v>117</v>
      </c>
      <c r="D113" s="195"/>
      <c r="E113" s="195"/>
      <c r="F113" s="195"/>
      <c r="G113" s="38" t="s">
        <v>831</v>
      </c>
      <c r="H113" s="39">
        <v>2.4750000000000001</v>
      </c>
      <c r="I113" s="39">
        <v>0</v>
      </c>
      <c r="J113" s="39">
        <f t="shared" ref="J113:J121" si="44">H113*AO113</f>
        <v>0</v>
      </c>
      <c r="K113" s="39">
        <f t="shared" ref="K113:K121" si="45">H113*AP113</f>
        <v>0</v>
      </c>
      <c r="L113" s="39">
        <f t="shared" ref="L113:L121" si="46">H113*I113</f>
        <v>0</v>
      </c>
      <c r="M113" s="80" t="s">
        <v>576</v>
      </c>
      <c r="Z113" s="39">
        <f t="shared" ref="Z113:Z121" si="47">IF(AQ113="5",BJ113,0)</f>
        <v>0</v>
      </c>
      <c r="AB113" s="39">
        <f t="shared" ref="AB113:AB121" si="48">IF(AQ113="1",BH113,0)</f>
        <v>0</v>
      </c>
      <c r="AC113" s="39">
        <f t="shared" ref="AC113:AC121" si="49">IF(AQ113="1",BI113,0)</f>
        <v>0</v>
      </c>
      <c r="AD113" s="39">
        <f t="shared" ref="AD113:AD121" si="50">IF(AQ113="7",BH113,0)</f>
        <v>0</v>
      </c>
      <c r="AE113" s="39">
        <f t="shared" ref="AE113:AE121" si="51">IF(AQ113="7",BI113,0)</f>
        <v>0</v>
      </c>
      <c r="AF113" s="39">
        <f t="shared" ref="AF113:AF121" si="52">IF(AQ113="2",BH113,0)</f>
        <v>0</v>
      </c>
      <c r="AG113" s="39">
        <f t="shared" ref="AG113:AG121" si="53">IF(AQ113="2",BI113,0)</f>
        <v>0</v>
      </c>
      <c r="AH113" s="39">
        <f t="shared" ref="AH113:AH121" si="54">IF(AQ113="0",BJ113,0)</f>
        <v>0</v>
      </c>
      <c r="AI113" s="68" t="s">
        <v>587</v>
      </c>
      <c r="AJ113" s="39">
        <f t="shared" ref="AJ113:AJ121" si="55">IF(AN113=0,L113,0)</f>
        <v>0</v>
      </c>
      <c r="AK113" s="39">
        <f t="shared" ref="AK113:AK121" si="56">IF(AN113=15,L113,0)</f>
        <v>0</v>
      </c>
      <c r="AL113" s="39">
        <f t="shared" ref="AL113:AL121" si="57">IF(AN113=21,L113,0)</f>
        <v>0</v>
      </c>
      <c r="AN113" s="39">
        <v>21</v>
      </c>
      <c r="AO113" s="39">
        <f>I113*0.140436273475417</f>
        <v>0</v>
      </c>
      <c r="AP113" s="39">
        <f>I113*(1-0.140436273475417)</f>
        <v>0</v>
      </c>
      <c r="AQ113" s="40" t="s">
        <v>842</v>
      </c>
      <c r="AV113" s="39">
        <f t="shared" ref="AV113:AV121" si="58">AW113+AX113</f>
        <v>0</v>
      </c>
      <c r="AW113" s="39">
        <f t="shared" ref="AW113:AW121" si="59">H113*AO113</f>
        <v>0</v>
      </c>
      <c r="AX113" s="39">
        <f t="shared" ref="AX113:AX121" si="60">H113*AP113</f>
        <v>0</v>
      </c>
      <c r="AY113" s="40" t="s">
        <v>743</v>
      </c>
      <c r="AZ113" s="40" t="s">
        <v>314</v>
      </c>
      <c r="BA113" s="68" t="s">
        <v>648</v>
      </c>
      <c r="BC113" s="39">
        <f t="shared" ref="BC113:BC121" si="61">AW113+AX113</f>
        <v>0</v>
      </c>
      <c r="BD113" s="39">
        <f t="shared" ref="BD113:BD121" si="62">I113/(100-BE113)*100</f>
        <v>0</v>
      </c>
      <c r="BE113" s="39">
        <v>0</v>
      </c>
      <c r="BF113" s="39">
        <f>121</f>
        <v>121</v>
      </c>
      <c r="BH113" s="39">
        <f t="shared" ref="BH113:BH121" si="63">H113*AO113</f>
        <v>0</v>
      </c>
      <c r="BI113" s="39">
        <f t="shared" ref="BI113:BI121" si="64">H113*AP113</f>
        <v>0</v>
      </c>
      <c r="BJ113" s="39">
        <f t="shared" ref="BJ113:BJ121" si="65">H113*I113</f>
        <v>0</v>
      </c>
      <c r="BK113" s="39"/>
      <c r="BL113" s="39">
        <v>96</v>
      </c>
    </row>
    <row r="114" spans="1:64" ht="15" customHeight="1">
      <c r="A114" s="37" t="s">
        <v>178</v>
      </c>
      <c r="B114" s="38" t="s">
        <v>410</v>
      </c>
      <c r="C114" s="195" t="s">
        <v>299</v>
      </c>
      <c r="D114" s="195"/>
      <c r="E114" s="195"/>
      <c r="F114" s="195"/>
      <c r="G114" s="38" t="s">
        <v>701</v>
      </c>
      <c r="H114" s="39">
        <v>1.5</v>
      </c>
      <c r="I114" s="39">
        <v>0</v>
      </c>
      <c r="J114" s="39">
        <f t="shared" si="44"/>
        <v>0</v>
      </c>
      <c r="K114" s="39">
        <f t="shared" si="45"/>
        <v>0</v>
      </c>
      <c r="L114" s="39">
        <f t="shared" si="46"/>
        <v>0</v>
      </c>
      <c r="M114" s="80" t="s">
        <v>576</v>
      </c>
      <c r="Z114" s="39">
        <f t="shared" si="47"/>
        <v>0</v>
      </c>
      <c r="AB114" s="39">
        <f t="shared" si="48"/>
        <v>0</v>
      </c>
      <c r="AC114" s="39">
        <f t="shared" si="49"/>
        <v>0</v>
      </c>
      <c r="AD114" s="39">
        <f t="shared" si="50"/>
        <v>0</v>
      </c>
      <c r="AE114" s="39">
        <f t="shared" si="51"/>
        <v>0</v>
      </c>
      <c r="AF114" s="39">
        <f t="shared" si="52"/>
        <v>0</v>
      </c>
      <c r="AG114" s="39">
        <f t="shared" si="53"/>
        <v>0</v>
      </c>
      <c r="AH114" s="39">
        <f t="shared" si="54"/>
        <v>0</v>
      </c>
      <c r="AI114" s="68" t="s">
        <v>587</v>
      </c>
      <c r="AJ114" s="39">
        <f t="shared" si="55"/>
        <v>0</v>
      </c>
      <c r="AK114" s="39">
        <f t="shared" si="56"/>
        <v>0</v>
      </c>
      <c r="AL114" s="39">
        <f t="shared" si="57"/>
        <v>0</v>
      </c>
      <c r="AN114" s="39">
        <v>21</v>
      </c>
      <c r="AO114" s="39">
        <f>I114*0</f>
        <v>0</v>
      </c>
      <c r="AP114" s="39">
        <f>I114*(1-0)</f>
        <v>0</v>
      </c>
      <c r="AQ114" s="40" t="s">
        <v>842</v>
      </c>
      <c r="AV114" s="39">
        <f t="shared" si="58"/>
        <v>0</v>
      </c>
      <c r="AW114" s="39">
        <f t="shared" si="59"/>
        <v>0</v>
      </c>
      <c r="AX114" s="39">
        <f t="shared" si="60"/>
        <v>0</v>
      </c>
      <c r="AY114" s="40" t="s">
        <v>743</v>
      </c>
      <c r="AZ114" s="40" t="s">
        <v>314</v>
      </c>
      <c r="BA114" s="68" t="s">
        <v>648</v>
      </c>
      <c r="BC114" s="39">
        <f t="shared" si="61"/>
        <v>0</v>
      </c>
      <c r="BD114" s="39">
        <f t="shared" si="62"/>
        <v>0</v>
      </c>
      <c r="BE114" s="39">
        <v>0</v>
      </c>
      <c r="BF114" s="39">
        <f>122</f>
        <v>122</v>
      </c>
      <c r="BH114" s="39">
        <f t="shared" si="63"/>
        <v>0</v>
      </c>
      <c r="BI114" s="39">
        <f t="shared" si="64"/>
        <v>0</v>
      </c>
      <c r="BJ114" s="39">
        <f t="shared" si="65"/>
        <v>0</v>
      </c>
      <c r="BK114" s="39"/>
      <c r="BL114" s="39">
        <v>96</v>
      </c>
    </row>
    <row r="115" spans="1:64" ht="15" customHeight="1">
      <c r="A115" s="37" t="s">
        <v>666</v>
      </c>
      <c r="B115" s="38" t="s">
        <v>915</v>
      </c>
      <c r="C115" s="195" t="s">
        <v>496</v>
      </c>
      <c r="D115" s="195"/>
      <c r="E115" s="195"/>
      <c r="F115" s="195"/>
      <c r="G115" s="38" t="s">
        <v>812</v>
      </c>
      <c r="H115" s="39">
        <v>1.008</v>
      </c>
      <c r="I115" s="39">
        <v>0</v>
      </c>
      <c r="J115" s="39">
        <f t="shared" si="44"/>
        <v>0</v>
      </c>
      <c r="K115" s="39">
        <f t="shared" si="45"/>
        <v>0</v>
      </c>
      <c r="L115" s="39">
        <f t="shared" si="46"/>
        <v>0</v>
      </c>
      <c r="M115" s="80" t="s">
        <v>576</v>
      </c>
      <c r="Z115" s="39">
        <f t="shared" si="47"/>
        <v>0</v>
      </c>
      <c r="AB115" s="39">
        <f t="shared" si="48"/>
        <v>0</v>
      </c>
      <c r="AC115" s="39">
        <f t="shared" si="49"/>
        <v>0</v>
      </c>
      <c r="AD115" s="39">
        <f t="shared" si="50"/>
        <v>0</v>
      </c>
      <c r="AE115" s="39">
        <f t="shared" si="51"/>
        <v>0</v>
      </c>
      <c r="AF115" s="39">
        <f t="shared" si="52"/>
        <v>0</v>
      </c>
      <c r="AG115" s="39">
        <f t="shared" si="53"/>
        <v>0</v>
      </c>
      <c r="AH115" s="39">
        <f t="shared" si="54"/>
        <v>0</v>
      </c>
      <c r="AI115" s="68" t="s">
        <v>587</v>
      </c>
      <c r="AJ115" s="39">
        <f t="shared" si="55"/>
        <v>0</v>
      </c>
      <c r="AK115" s="39">
        <f t="shared" si="56"/>
        <v>0</v>
      </c>
      <c r="AL115" s="39">
        <f t="shared" si="57"/>
        <v>0</v>
      </c>
      <c r="AN115" s="39">
        <v>21</v>
      </c>
      <c r="AO115" s="39">
        <f>I115*0.0400091866028708</f>
        <v>0</v>
      </c>
      <c r="AP115" s="39">
        <f>I115*(1-0.0400091866028708)</f>
        <v>0</v>
      </c>
      <c r="AQ115" s="40" t="s">
        <v>842</v>
      </c>
      <c r="AV115" s="39">
        <f t="shared" si="58"/>
        <v>0</v>
      </c>
      <c r="AW115" s="39">
        <f t="shared" si="59"/>
        <v>0</v>
      </c>
      <c r="AX115" s="39">
        <f t="shared" si="60"/>
        <v>0</v>
      </c>
      <c r="AY115" s="40" t="s">
        <v>743</v>
      </c>
      <c r="AZ115" s="40" t="s">
        <v>314</v>
      </c>
      <c r="BA115" s="68" t="s">
        <v>648</v>
      </c>
      <c r="BC115" s="39">
        <f t="shared" si="61"/>
        <v>0</v>
      </c>
      <c r="BD115" s="39">
        <f t="shared" si="62"/>
        <v>0</v>
      </c>
      <c r="BE115" s="39">
        <v>0</v>
      </c>
      <c r="BF115" s="39">
        <f>123</f>
        <v>123</v>
      </c>
      <c r="BH115" s="39">
        <f t="shared" si="63"/>
        <v>0</v>
      </c>
      <c r="BI115" s="39">
        <f t="shared" si="64"/>
        <v>0</v>
      </c>
      <c r="BJ115" s="39">
        <f t="shared" si="65"/>
        <v>0</v>
      </c>
      <c r="BK115" s="39"/>
      <c r="BL115" s="39">
        <v>96</v>
      </c>
    </row>
    <row r="116" spans="1:64" ht="15" customHeight="1">
      <c r="A116" s="37" t="s">
        <v>72</v>
      </c>
      <c r="B116" s="38" t="s">
        <v>860</v>
      </c>
      <c r="C116" s="195" t="s">
        <v>282</v>
      </c>
      <c r="D116" s="195"/>
      <c r="E116" s="195"/>
      <c r="F116" s="195"/>
      <c r="G116" s="38" t="s">
        <v>831</v>
      </c>
      <c r="H116" s="39">
        <v>2</v>
      </c>
      <c r="I116" s="39">
        <v>0</v>
      </c>
      <c r="J116" s="39">
        <f t="shared" si="44"/>
        <v>0</v>
      </c>
      <c r="K116" s="39">
        <f t="shared" si="45"/>
        <v>0</v>
      </c>
      <c r="L116" s="39">
        <f t="shared" si="46"/>
        <v>0</v>
      </c>
      <c r="M116" s="80" t="s">
        <v>576</v>
      </c>
      <c r="Z116" s="39">
        <f t="shared" si="47"/>
        <v>0</v>
      </c>
      <c r="AB116" s="39">
        <f t="shared" si="48"/>
        <v>0</v>
      </c>
      <c r="AC116" s="39">
        <f t="shared" si="49"/>
        <v>0</v>
      </c>
      <c r="AD116" s="39">
        <f t="shared" si="50"/>
        <v>0</v>
      </c>
      <c r="AE116" s="39">
        <f t="shared" si="51"/>
        <v>0</v>
      </c>
      <c r="AF116" s="39">
        <f t="shared" si="52"/>
        <v>0</v>
      </c>
      <c r="AG116" s="39">
        <f t="shared" si="53"/>
        <v>0</v>
      </c>
      <c r="AH116" s="39">
        <f t="shared" si="54"/>
        <v>0</v>
      </c>
      <c r="AI116" s="68" t="s">
        <v>587</v>
      </c>
      <c r="AJ116" s="39">
        <f t="shared" si="55"/>
        <v>0</v>
      </c>
      <c r="AK116" s="39">
        <f t="shared" si="56"/>
        <v>0</v>
      </c>
      <c r="AL116" s="39">
        <f t="shared" si="57"/>
        <v>0</v>
      </c>
      <c r="AN116" s="39">
        <v>21</v>
      </c>
      <c r="AO116" s="39">
        <f>I116*0.0693404634581105</f>
        <v>0</v>
      </c>
      <c r="AP116" s="39">
        <f>I116*(1-0.0693404634581105)</f>
        <v>0</v>
      </c>
      <c r="AQ116" s="40" t="s">
        <v>842</v>
      </c>
      <c r="AV116" s="39">
        <f t="shared" si="58"/>
        <v>0</v>
      </c>
      <c r="AW116" s="39">
        <f t="shared" si="59"/>
        <v>0</v>
      </c>
      <c r="AX116" s="39">
        <f t="shared" si="60"/>
        <v>0</v>
      </c>
      <c r="AY116" s="40" t="s">
        <v>743</v>
      </c>
      <c r="AZ116" s="40" t="s">
        <v>314</v>
      </c>
      <c r="BA116" s="68" t="s">
        <v>648</v>
      </c>
      <c r="BC116" s="39">
        <f t="shared" si="61"/>
        <v>0</v>
      </c>
      <c r="BD116" s="39">
        <f t="shared" si="62"/>
        <v>0</v>
      </c>
      <c r="BE116" s="39">
        <v>0</v>
      </c>
      <c r="BF116" s="39">
        <f>124</f>
        <v>124</v>
      </c>
      <c r="BH116" s="39">
        <f t="shared" si="63"/>
        <v>0</v>
      </c>
      <c r="BI116" s="39">
        <f t="shared" si="64"/>
        <v>0</v>
      </c>
      <c r="BJ116" s="39">
        <f t="shared" si="65"/>
        <v>0</v>
      </c>
      <c r="BK116" s="39"/>
      <c r="BL116" s="39">
        <v>96</v>
      </c>
    </row>
    <row r="117" spans="1:64" ht="15" customHeight="1">
      <c r="A117" s="37" t="s">
        <v>657</v>
      </c>
      <c r="B117" s="38" t="s">
        <v>659</v>
      </c>
      <c r="C117" s="195" t="s">
        <v>563</v>
      </c>
      <c r="D117" s="195"/>
      <c r="E117" s="195"/>
      <c r="F117" s="195"/>
      <c r="G117" s="38" t="s">
        <v>216</v>
      </c>
      <c r="H117" s="39">
        <v>7</v>
      </c>
      <c r="I117" s="39">
        <v>0</v>
      </c>
      <c r="J117" s="39">
        <f t="shared" si="44"/>
        <v>0</v>
      </c>
      <c r="K117" s="39">
        <f t="shared" si="45"/>
        <v>0</v>
      </c>
      <c r="L117" s="39">
        <f t="shared" si="46"/>
        <v>0</v>
      </c>
      <c r="M117" s="80" t="s">
        <v>576</v>
      </c>
      <c r="Z117" s="39">
        <f t="shared" si="47"/>
        <v>0</v>
      </c>
      <c r="AB117" s="39">
        <f t="shared" si="48"/>
        <v>0</v>
      </c>
      <c r="AC117" s="39">
        <f t="shared" si="49"/>
        <v>0</v>
      </c>
      <c r="AD117" s="39">
        <f t="shared" si="50"/>
        <v>0</v>
      </c>
      <c r="AE117" s="39">
        <f t="shared" si="51"/>
        <v>0</v>
      </c>
      <c r="AF117" s="39">
        <f t="shared" si="52"/>
        <v>0</v>
      </c>
      <c r="AG117" s="39">
        <f t="shared" si="53"/>
        <v>0</v>
      </c>
      <c r="AH117" s="39">
        <f t="shared" si="54"/>
        <v>0</v>
      </c>
      <c r="AI117" s="68" t="s">
        <v>587</v>
      </c>
      <c r="AJ117" s="39">
        <f t="shared" si="55"/>
        <v>0</v>
      </c>
      <c r="AK117" s="39">
        <f t="shared" si="56"/>
        <v>0</v>
      </c>
      <c r="AL117" s="39">
        <f t="shared" si="57"/>
        <v>0</v>
      </c>
      <c r="AN117" s="39">
        <v>21</v>
      </c>
      <c r="AO117" s="39">
        <f>I117*0</f>
        <v>0</v>
      </c>
      <c r="AP117" s="39">
        <f>I117*(1-0)</f>
        <v>0</v>
      </c>
      <c r="AQ117" s="40" t="s">
        <v>842</v>
      </c>
      <c r="AV117" s="39">
        <f t="shared" si="58"/>
        <v>0</v>
      </c>
      <c r="AW117" s="39">
        <f t="shared" si="59"/>
        <v>0</v>
      </c>
      <c r="AX117" s="39">
        <f t="shared" si="60"/>
        <v>0</v>
      </c>
      <c r="AY117" s="40" t="s">
        <v>743</v>
      </c>
      <c r="AZ117" s="40" t="s">
        <v>314</v>
      </c>
      <c r="BA117" s="68" t="s">
        <v>648</v>
      </c>
      <c r="BC117" s="39">
        <f t="shared" si="61"/>
        <v>0</v>
      </c>
      <c r="BD117" s="39">
        <f t="shared" si="62"/>
        <v>0</v>
      </c>
      <c r="BE117" s="39">
        <v>0</v>
      </c>
      <c r="BF117" s="39">
        <f>125</f>
        <v>125</v>
      </c>
      <c r="BH117" s="39">
        <f t="shared" si="63"/>
        <v>0</v>
      </c>
      <c r="BI117" s="39">
        <f t="shared" si="64"/>
        <v>0</v>
      </c>
      <c r="BJ117" s="39">
        <f t="shared" si="65"/>
        <v>0</v>
      </c>
      <c r="BK117" s="39"/>
      <c r="BL117" s="39">
        <v>96</v>
      </c>
    </row>
    <row r="118" spans="1:64" ht="15" customHeight="1">
      <c r="A118" s="37" t="s">
        <v>526</v>
      </c>
      <c r="B118" s="38" t="s">
        <v>165</v>
      </c>
      <c r="C118" s="195" t="s">
        <v>481</v>
      </c>
      <c r="D118" s="195"/>
      <c r="E118" s="195"/>
      <c r="F118" s="195"/>
      <c r="G118" s="38" t="s">
        <v>831</v>
      </c>
      <c r="H118" s="39">
        <v>9</v>
      </c>
      <c r="I118" s="39">
        <v>0</v>
      </c>
      <c r="J118" s="39">
        <f t="shared" si="44"/>
        <v>0</v>
      </c>
      <c r="K118" s="39">
        <f t="shared" si="45"/>
        <v>0</v>
      </c>
      <c r="L118" s="39">
        <f t="shared" si="46"/>
        <v>0</v>
      </c>
      <c r="M118" s="80" t="s">
        <v>576</v>
      </c>
      <c r="Z118" s="39">
        <f t="shared" si="47"/>
        <v>0</v>
      </c>
      <c r="AB118" s="39">
        <f t="shared" si="48"/>
        <v>0</v>
      </c>
      <c r="AC118" s="39">
        <f t="shared" si="49"/>
        <v>0</v>
      </c>
      <c r="AD118" s="39">
        <f t="shared" si="50"/>
        <v>0</v>
      </c>
      <c r="AE118" s="39">
        <f t="shared" si="51"/>
        <v>0</v>
      </c>
      <c r="AF118" s="39">
        <f t="shared" si="52"/>
        <v>0</v>
      </c>
      <c r="AG118" s="39">
        <f t="shared" si="53"/>
        <v>0</v>
      </c>
      <c r="AH118" s="39">
        <f t="shared" si="54"/>
        <v>0</v>
      </c>
      <c r="AI118" s="68" t="s">
        <v>587</v>
      </c>
      <c r="AJ118" s="39">
        <f t="shared" si="55"/>
        <v>0</v>
      </c>
      <c r="AK118" s="39">
        <f t="shared" si="56"/>
        <v>0</v>
      </c>
      <c r="AL118" s="39">
        <f t="shared" si="57"/>
        <v>0</v>
      </c>
      <c r="AN118" s="39">
        <v>21</v>
      </c>
      <c r="AO118" s="39">
        <f>I118*0.0772009029345373</f>
        <v>0</v>
      </c>
      <c r="AP118" s="39">
        <f>I118*(1-0.0772009029345373)</f>
        <v>0</v>
      </c>
      <c r="AQ118" s="40" t="s">
        <v>842</v>
      </c>
      <c r="AV118" s="39">
        <f t="shared" si="58"/>
        <v>0</v>
      </c>
      <c r="AW118" s="39">
        <f t="shared" si="59"/>
        <v>0</v>
      </c>
      <c r="AX118" s="39">
        <f t="shared" si="60"/>
        <v>0</v>
      </c>
      <c r="AY118" s="40" t="s">
        <v>743</v>
      </c>
      <c r="AZ118" s="40" t="s">
        <v>314</v>
      </c>
      <c r="BA118" s="68" t="s">
        <v>648</v>
      </c>
      <c r="BC118" s="39">
        <f t="shared" si="61"/>
        <v>0</v>
      </c>
      <c r="BD118" s="39">
        <f t="shared" si="62"/>
        <v>0</v>
      </c>
      <c r="BE118" s="39">
        <v>0</v>
      </c>
      <c r="BF118" s="39">
        <f>126</f>
        <v>126</v>
      </c>
      <c r="BH118" s="39">
        <f t="shared" si="63"/>
        <v>0</v>
      </c>
      <c r="BI118" s="39">
        <f t="shared" si="64"/>
        <v>0</v>
      </c>
      <c r="BJ118" s="39">
        <f t="shared" si="65"/>
        <v>0</v>
      </c>
      <c r="BK118" s="39"/>
      <c r="BL118" s="39">
        <v>96</v>
      </c>
    </row>
    <row r="119" spans="1:64" ht="15" customHeight="1">
      <c r="A119" s="37" t="s">
        <v>854</v>
      </c>
      <c r="B119" s="38" t="s">
        <v>487</v>
      </c>
      <c r="C119" s="195" t="s">
        <v>730</v>
      </c>
      <c r="D119" s="195"/>
      <c r="E119" s="195"/>
      <c r="F119" s="195"/>
      <c r="G119" s="38" t="s">
        <v>831</v>
      </c>
      <c r="H119" s="39">
        <v>3.2</v>
      </c>
      <c r="I119" s="39">
        <v>0</v>
      </c>
      <c r="J119" s="39">
        <f t="shared" si="44"/>
        <v>0</v>
      </c>
      <c r="K119" s="39">
        <f t="shared" si="45"/>
        <v>0</v>
      </c>
      <c r="L119" s="39">
        <f t="shared" si="46"/>
        <v>0</v>
      </c>
      <c r="M119" s="80" t="s">
        <v>576</v>
      </c>
      <c r="Z119" s="39">
        <f t="shared" si="47"/>
        <v>0</v>
      </c>
      <c r="AB119" s="39">
        <f t="shared" si="48"/>
        <v>0</v>
      </c>
      <c r="AC119" s="39">
        <f t="shared" si="49"/>
        <v>0</v>
      </c>
      <c r="AD119" s="39">
        <f t="shared" si="50"/>
        <v>0</v>
      </c>
      <c r="AE119" s="39">
        <f t="shared" si="51"/>
        <v>0</v>
      </c>
      <c r="AF119" s="39">
        <f t="shared" si="52"/>
        <v>0</v>
      </c>
      <c r="AG119" s="39">
        <f t="shared" si="53"/>
        <v>0</v>
      </c>
      <c r="AH119" s="39">
        <f t="shared" si="54"/>
        <v>0</v>
      </c>
      <c r="AI119" s="68" t="s">
        <v>587</v>
      </c>
      <c r="AJ119" s="39">
        <f t="shared" si="55"/>
        <v>0</v>
      </c>
      <c r="AK119" s="39">
        <f t="shared" si="56"/>
        <v>0</v>
      </c>
      <c r="AL119" s="39">
        <f t="shared" si="57"/>
        <v>0</v>
      </c>
      <c r="AN119" s="39">
        <v>21</v>
      </c>
      <c r="AO119" s="39">
        <f>I119*0.0853430656934307</f>
        <v>0</v>
      </c>
      <c r="AP119" s="39">
        <f>I119*(1-0.0853430656934307)</f>
        <v>0</v>
      </c>
      <c r="AQ119" s="40" t="s">
        <v>842</v>
      </c>
      <c r="AV119" s="39">
        <f t="shared" si="58"/>
        <v>0</v>
      </c>
      <c r="AW119" s="39">
        <f t="shared" si="59"/>
        <v>0</v>
      </c>
      <c r="AX119" s="39">
        <f t="shared" si="60"/>
        <v>0</v>
      </c>
      <c r="AY119" s="40" t="s">
        <v>743</v>
      </c>
      <c r="AZ119" s="40" t="s">
        <v>314</v>
      </c>
      <c r="BA119" s="68" t="s">
        <v>648</v>
      </c>
      <c r="BC119" s="39">
        <f t="shared" si="61"/>
        <v>0</v>
      </c>
      <c r="BD119" s="39">
        <f t="shared" si="62"/>
        <v>0</v>
      </c>
      <c r="BE119" s="39">
        <v>0</v>
      </c>
      <c r="BF119" s="39">
        <f>127</f>
        <v>127</v>
      </c>
      <c r="BH119" s="39">
        <f t="shared" si="63"/>
        <v>0</v>
      </c>
      <c r="BI119" s="39">
        <f t="shared" si="64"/>
        <v>0</v>
      </c>
      <c r="BJ119" s="39">
        <f t="shared" si="65"/>
        <v>0</v>
      </c>
      <c r="BK119" s="39"/>
      <c r="BL119" s="39">
        <v>96</v>
      </c>
    </row>
    <row r="120" spans="1:64" ht="15" customHeight="1">
      <c r="A120" s="37" t="s">
        <v>779</v>
      </c>
      <c r="B120" s="38" t="s">
        <v>589</v>
      </c>
      <c r="C120" s="195" t="s">
        <v>385</v>
      </c>
      <c r="D120" s="195"/>
      <c r="E120" s="195"/>
      <c r="F120" s="195"/>
      <c r="G120" s="38" t="s">
        <v>216</v>
      </c>
      <c r="H120" s="39">
        <v>1</v>
      </c>
      <c r="I120" s="39">
        <v>0</v>
      </c>
      <c r="J120" s="39">
        <f t="shared" si="44"/>
        <v>0</v>
      </c>
      <c r="K120" s="39">
        <f t="shared" si="45"/>
        <v>0</v>
      </c>
      <c r="L120" s="39">
        <f t="shared" si="46"/>
        <v>0</v>
      </c>
      <c r="M120" s="80" t="s">
        <v>576</v>
      </c>
      <c r="Z120" s="39">
        <f t="shared" si="47"/>
        <v>0</v>
      </c>
      <c r="AB120" s="39">
        <f t="shared" si="48"/>
        <v>0</v>
      </c>
      <c r="AC120" s="39">
        <f t="shared" si="49"/>
        <v>0</v>
      </c>
      <c r="AD120" s="39">
        <f t="shared" si="50"/>
        <v>0</v>
      </c>
      <c r="AE120" s="39">
        <f t="shared" si="51"/>
        <v>0</v>
      </c>
      <c r="AF120" s="39">
        <f t="shared" si="52"/>
        <v>0</v>
      </c>
      <c r="AG120" s="39">
        <f t="shared" si="53"/>
        <v>0</v>
      </c>
      <c r="AH120" s="39">
        <f t="shared" si="54"/>
        <v>0</v>
      </c>
      <c r="AI120" s="68" t="s">
        <v>587</v>
      </c>
      <c r="AJ120" s="39">
        <f t="shared" si="55"/>
        <v>0</v>
      </c>
      <c r="AK120" s="39">
        <f t="shared" si="56"/>
        <v>0</v>
      </c>
      <c r="AL120" s="39">
        <f t="shared" si="57"/>
        <v>0</v>
      </c>
      <c r="AN120" s="39">
        <v>21</v>
      </c>
      <c r="AO120" s="39">
        <f>I120*0</f>
        <v>0</v>
      </c>
      <c r="AP120" s="39">
        <f>I120*(1-0)</f>
        <v>0</v>
      </c>
      <c r="AQ120" s="40" t="s">
        <v>842</v>
      </c>
      <c r="AV120" s="39">
        <f t="shared" si="58"/>
        <v>0</v>
      </c>
      <c r="AW120" s="39">
        <f t="shared" si="59"/>
        <v>0</v>
      </c>
      <c r="AX120" s="39">
        <f t="shared" si="60"/>
        <v>0</v>
      </c>
      <c r="AY120" s="40" t="s">
        <v>743</v>
      </c>
      <c r="AZ120" s="40" t="s">
        <v>314</v>
      </c>
      <c r="BA120" s="68" t="s">
        <v>648</v>
      </c>
      <c r="BC120" s="39">
        <f t="shared" si="61"/>
        <v>0</v>
      </c>
      <c r="BD120" s="39">
        <f t="shared" si="62"/>
        <v>0</v>
      </c>
      <c r="BE120" s="39">
        <v>0</v>
      </c>
      <c r="BF120" s="39">
        <f>128</f>
        <v>128</v>
      </c>
      <c r="BH120" s="39">
        <f t="shared" si="63"/>
        <v>0</v>
      </c>
      <c r="BI120" s="39">
        <f t="shared" si="64"/>
        <v>0</v>
      </c>
      <c r="BJ120" s="39">
        <f t="shared" si="65"/>
        <v>0</v>
      </c>
      <c r="BK120" s="39"/>
      <c r="BL120" s="39">
        <v>96</v>
      </c>
    </row>
    <row r="121" spans="1:64" ht="15" customHeight="1">
      <c r="A121" s="37" t="s">
        <v>564</v>
      </c>
      <c r="B121" s="38" t="s">
        <v>878</v>
      </c>
      <c r="C121" s="195" t="s">
        <v>909</v>
      </c>
      <c r="D121" s="195"/>
      <c r="E121" s="195"/>
      <c r="F121" s="195"/>
      <c r="G121" s="38" t="s">
        <v>812</v>
      </c>
      <c r="H121" s="39">
        <v>0.63</v>
      </c>
      <c r="I121" s="39">
        <v>0</v>
      </c>
      <c r="J121" s="39">
        <f t="shared" si="44"/>
        <v>0</v>
      </c>
      <c r="K121" s="39">
        <f t="shared" si="45"/>
        <v>0</v>
      </c>
      <c r="L121" s="39">
        <f t="shared" si="46"/>
        <v>0</v>
      </c>
      <c r="M121" s="80" t="s">
        <v>576</v>
      </c>
      <c r="Z121" s="39">
        <f t="shared" si="47"/>
        <v>0</v>
      </c>
      <c r="AB121" s="39">
        <f t="shared" si="48"/>
        <v>0</v>
      </c>
      <c r="AC121" s="39">
        <f t="shared" si="49"/>
        <v>0</v>
      </c>
      <c r="AD121" s="39">
        <f t="shared" si="50"/>
        <v>0</v>
      </c>
      <c r="AE121" s="39">
        <f t="shared" si="51"/>
        <v>0</v>
      </c>
      <c r="AF121" s="39">
        <f t="shared" si="52"/>
        <v>0</v>
      </c>
      <c r="AG121" s="39">
        <f t="shared" si="53"/>
        <v>0</v>
      </c>
      <c r="AH121" s="39">
        <f t="shared" si="54"/>
        <v>0</v>
      </c>
      <c r="AI121" s="68" t="s">
        <v>587</v>
      </c>
      <c r="AJ121" s="39">
        <f t="shared" si="55"/>
        <v>0</v>
      </c>
      <c r="AK121" s="39">
        <f t="shared" si="56"/>
        <v>0</v>
      </c>
      <c r="AL121" s="39">
        <f t="shared" si="57"/>
        <v>0</v>
      </c>
      <c r="AN121" s="39">
        <v>21</v>
      </c>
      <c r="AO121" s="39">
        <f>I121*0.0358231530845392</f>
        <v>0</v>
      </c>
      <c r="AP121" s="39">
        <f>I121*(1-0.0358231530845392)</f>
        <v>0</v>
      </c>
      <c r="AQ121" s="40" t="s">
        <v>842</v>
      </c>
      <c r="AV121" s="39">
        <f t="shared" si="58"/>
        <v>0</v>
      </c>
      <c r="AW121" s="39">
        <f t="shared" si="59"/>
        <v>0</v>
      </c>
      <c r="AX121" s="39">
        <f t="shared" si="60"/>
        <v>0</v>
      </c>
      <c r="AY121" s="40" t="s">
        <v>743</v>
      </c>
      <c r="AZ121" s="40" t="s">
        <v>314</v>
      </c>
      <c r="BA121" s="68" t="s">
        <v>648</v>
      </c>
      <c r="BC121" s="39">
        <f t="shared" si="61"/>
        <v>0</v>
      </c>
      <c r="BD121" s="39">
        <f t="shared" si="62"/>
        <v>0</v>
      </c>
      <c r="BE121" s="39">
        <v>0</v>
      </c>
      <c r="BF121" s="39">
        <f>129</f>
        <v>129</v>
      </c>
      <c r="BH121" s="39">
        <f t="shared" si="63"/>
        <v>0</v>
      </c>
      <c r="BI121" s="39">
        <f t="shared" si="64"/>
        <v>0</v>
      </c>
      <c r="BJ121" s="39">
        <f t="shared" si="65"/>
        <v>0</v>
      </c>
      <c r="BK121" s="39"/>
      <c r="BL121" s="39">
        <v>96</v>
      </c>
    </row>
    <row r="122" spans="1:64" ht="13.5" customHeight="1">
      <c r="A122" s="81"/>
      <c r="B122" s="82" t="s">
        <v>440</v>
      </c>
      <c r="C122" s="223" t="s">
        <v>445</v>
      </c>
      <c r="D122" s="224"/>
      <c r="E122" s="224"/>
      <c r="F122" s="224"/>
      <c r="G122" s="224"/>
      <c r="H122" s="224"/>
      <c r="I122" s="224"/>
      <c r="J122" s="224"/>
      <c r="K122" s="224"/>
      <c r="L122" s="224"/>
      <c r="M122" s="225"/>
    </row>
    <row r="123" spans="1:64" ht="15" customHeight="1">
      <c r="A123" s="37" t="s">
        <v>438</v>
      </c>
      <c r="B123" s="38" t="s">
        <v>722</v>
      </c>
      <c r="C123" s="195" t="s">
        <v>419</v>
      </c>
      <c r="D123" s="195"/>
      <c r="E123" s="195"/>
      <c r="F123" s="195"/>
      <c r="G123" s="38" t="s">
        <v>831</v>
      </c>
      <c r="H123" s="39">
        <v>1.05</v>
      </c>
      <c r="I123" s="39">
        <v>0</v>
      </c>
      <c r="J123" s="39">
        <f>H123*AO123</f>
        <v>0</v>
      </c>
      <c r="K123" s="39">
        <f>H123*AP123</f>
        <v>0</v>
      </c>
      <c r="L123" s="39">
        <f>H123*I123</f>
        <v>0</v>
      </c>
      <c r="M123" s="80" t="s">
        <v>576</v>
      </c>
      <c r="Z123" s="39">
        <f>IF(AQ123="5",BJ123,0)</f>
        <v>0</v>
      </c>
      <c r="AB123" s="39">
        <f>IF(AQ123="1",BH123,0)</f>
        <v>0</v>
      </c>
      <c r="AC123" s="39">
        <f>IF(AQ123="1",BI123,0)</f>
        <v>0</v>
      </c>
      <c r="AD123" s="39">
        <f>IF(AQ123="7",BH123,0)</f>
        <v>0</v>
      </c>
      <c r="AE123" s="39">
        <f>IF(AQ123="7",BI123,0)</f>
        <v>0</v>
      </c>
      <c r="AF123" s="39">
        <f>IF(AQ123="2",BH123,0)</f>
        <v>0</v>
      </c>
      <c r="AG123" s="39">
        <f>IF(AQ123="2",BI123,0)</f>
        <v>0</v>
      </c>
      <c r="AH123" s="39">
        <f>IF(AQ123="0",BJ123,0)</f>
        <v>0</v>
      </c>
      <c r="AI123" s="68" t="s">
        <v>587</v>
      </c>
      <c r="AJ123" s="39">
        <f>IF(AN123=0,L123,0)</f>
        <v>0</v>
      </c>
      <c r="AK123" s="39">
        <f>IF(AN123=15,L123,0)</f>
        <v>0</v>
      </c>
      <c r="AL123" s="39">
        <f>IF(AN123=21,L123,0)</f>
        <v>0</v>
      </c>
      <c r="AN123" s="39">
        <v>21</v>
      </c>
      <c r="AO123" s="39">
        <f>I123*0.113504068047337</f>
        <v>0</v>
      </c>
      <c r="AP123" s="39">
        <f>I123*(1-0.113504068047337)</f>
        <v>0</v>
      </c>
      <c r="AQ123" s="40" t="s">
        <v>842</v>
      </c>
      <c r="AV123" s="39">
        <f>AW123+AX123</f>
        <v>0</v>
      </c>
      <c r="AW123" s="39">
        <f>H123*AO123</f>
        <v>0</v>
      </c>
      <c r="AX123" s="39">
        <f>H123*AP123</f>
        <v>0</v>
      </c>
      <c r="AY123" s="40" t="s">
        <v>743</v>
      </c>
      <c r="AZ123" s="40" t="s">
        <v>314</v>
      </c>
      <c r="BA123" s="68" t="s">
        <v>648</v>
      </c>
      <c r="BC123" s="39">
        <f>AW123+AX123</f>
        <v>0</v>
      </c>
      <c r="BD123" s="39">
        <f>I123/(100-BE123)*100</f>
        <v>0</v>
      </c>
      <c r="BE123" s="39">
        <v>0</v>
      </c>
      <c r="BF123" s="39">
        <f>131</f>
        <v>131</v>
      </c>
      <c r="BH123" s="39">
        <f>H123*AO123</f>
        <v>0</v>
      </c>
      <c r="BI123" s="39">
        <f>H123*AP123</f>
        <v>0</v>
      </c>
      <c r="BJ123" s="39">
        <f>H123*I123</f>
        <v>0</v>
      </c>
      <c r="BK123" s="39"/>
      <c r="BL123" s="39">
        <v>96</v>
      </c>
    </row>
    <row r="124" spans="1:64" ht="15" customHeight="1">
      <c r="A124" s="37" t="s">
        <v>188</v>
      </c>
      <c r="B124" s="38" t="s">
        <v>149</v>
      </c>
      <c r="C124" s="195" t="s">
        <v>432</v>
      </c>
      <c r="D124" s="195"/>
      <c r="E124" s="195"/>
      <c r="F124" s="195"/>
      <c r="G124" s="38" t="s">
        <v>701</v>
      </c>
      <c r="H124" s="39">
        <v>1.5</v>
      </c>
      <c r="I124" s="39">
        <v>0</v>
      </c>
      <c r="J124" s="39">
        <f>H124*AO124</f>
        <v>0</v>
      </c>
      <c r="K124" s="39">
        <f>H124*AP124</f>
        <v>0</v>
      </c>
      <c r="L124" s="39">
        <f>H124*I124</f>
        <v>0</v>
      </c>
      <c r="M124" s="80" t="s">
        <v>576</v>
      </c>
      <c r="Z124" s="39">
        <f>IF(AQ124="5",BJ124,0)</f>
        <v>0</v>
      </c>
      <c r="AB124" s="39">
        <f>IF(AQ124="1",BH124,0)</f>
        <v>0</v>
      </c>
      <c r="AC124" s="39">
        <f>IF(AQ124="1",BI124,0)</f>
        <v>0</v>
      </c>
      <c r="AD124" s="39">
        <f>IF(AQ124="7",BH124,0)</f>
        <v>0</v>
      </c>
      <c r="AE124" s="39">
        <f>IF(AQ124="7",BI124,0)</f>
        <v>0</v>
      </c>
      <c r="AF124" s="39">
        <f>IF(AQ124="2",BH124,0)</f>
        <v>0</v>
      </c>
      <c r="AG124" s="39">
        <f>IF(AQ124="2",BI124,0)</f>
        <v>0</v>
      </c>
      <c r="AH124" s="39">
        <f>IF(AQ124="0",BJ124,0)</f>
        <v>0</v>
      </c>
      <c r="AI124" s="68" t="s">
        <v>587</v>
      </c>
      <c r="AJ124" s="39">
        <f>IF(AN124=0,L124,0)</f>
        <v>0</v>
      </c>
      <c r="AK124" s="39">
        <f>IF(AN124=15,L124,0)</f>
        <v>0</v>
      </c>
      <c r="AL124" s="39">
        <f>IF(AN124=21,L124,0)</f>
        <v>0</v>
      </c>
      <c r="AN124" s="39">
        <v>21</v>
      </c>
      <c r="AO124" s="39">
        <f>I124*0</f>
        <v>0</v>
      </c>
      <c r="AP124" s="39">
        <f>I124*(1-0)</f>
        <v>0</v>
      </c>
      <c r="AQ124" s="40" t="s">
        <v>842</v>
      </c>
      <c r="AV124" s="39">
        <f>AW124+AX124</f>
        <v>0</v>
      </c>
      <c r="AW124" s="39">
        <f>H124*AO124</f>
        <v>0</v>
      </c>
      <c r="AX124" s="39">
        <f>H124*AP124</f>
        <v>0</v>
      </c>
      <c r="AY124" s="40" t="s">
        <v>743</v>
      </c>
      <c r="AZ124" s="40" t="s">
        <v>314</v>
      </c>
      <c r="BA124" s="68" t="s">
        <v>648</v>
      </c>
      <c r="BC124" s="39">
        <f>AW124+AX124</f>
        <v>0</v>
      </c>
      <c r="BD124" s="39">
        <f>I124/(100-BE124)*100</f>
        <v>0</v>
      </c>
      <c r="BE124" s="39">
        <v>0</v>
      </c>
      <c r="BF124" s="39">
        <f>132</f>
        <v>132</v>
      </c>
      <c r="BH124" s="39">
        <f>H124*AO124</f>
        <v>0</v>
      </c>
      <c r="BI124" s="39">
        <f>H124*AP124</f>
        <v>0</v>
      </c>
      <c r="BJ124" s="39">
        <f>H124*I124</f>
        <v>0</v>
      </c>
      <c r="BK124" s="39"/>
      <c r="BL124" s="39">
        <v>96</v>
      </c>
    </row>
    <row r="125" spans="1:64" ht="13.5" customHeight="1">
      <c r="A125" s="81"/>
      <c r="B125" s="82" t="s">
        <v>440</v>
      </c>
      <c r="C125" s="223" t="s">
        <v>284</v>
      </c>
      <c r="D125" s="224"/>
      <c r="E125" s="224"/>
      <c r="F125" s="224"/>
      <c r="G125" s="224"/>
      <c r="H125" s="224"/>
      <c r="I125" s="224"/>
      <c r="J125" s="224"/>
      <c r="K125" s="224"/>
      <c r="L125" s="224"/>
      <c r="M125" s="225"/>
    </row>
    <row r="126" spans="1:64" ht="15" customHeight="1">
      <c r="A126" s="37" t="s">
        <v>71</v>
      </c>
      <c r="B126" s="38" t="s">
        <v>130</v>
      </c>
      <c r="C126" s="195" t="s">
        <v>727</v>
      </c>
      <c r="D126" s="195"/>
      <c r="E126" s="195"/>
      <c r="F126" s="195"/>
      <c r="G126" s="38" t="s">
        <v>831</v>
      </c>
      <c r="H126" s="39">
        <v>16.3</v>
      </c>
      <c r="I126" s="39">
        <v>0</v>
      </c>
      <c r="J126" s="39">
        <f>H126*AO126</f>
        <v>0</v>
      </c>
      <c r="K126" s="39">
        <f>H126*AP126</f>
        <v>0</v>
      </c>
      <c r="L126" s="39">
        <f>H126*I126</f>
        <v>0</v>
      </c>
      <c r="M126" s="80" t="s">
        <v>576</v>
      </c>
      <c r="Z126" s="39">
        <f>IF(AQ126="5",BJ126,0)</f>
        <v>0</v>
      </c>
      <c r="AB126" s="39">
        <f>IF(AQ126="1",BH126,0)</f>
        <v>0</v>
      </c>
      <c r="AC126" s="39">
        <f>IF(AQ126="1",BI126,0)</f>
        <v>0</v>
      </c>
      <c r="AD126" s="39">
        <f>IF(AQ126="7",BH126,0)</f>
        <v>0</v>
      </c>
      <c r="AE126" s="39">
        <f>IF(AQ126="7",BI126,0)</f>
        <v>0</v>
      </c>
      <c r="AF126" s="39">
        <f>IF(AQ126="2",BH126,0)</f>
        <v>0</v>
      </c>
      <c r="AG126" s="39">
        <f>IF(AQ126="2",BI126,0)</f>
        <v>0</v>
      </c>
      <c r="AH126" s="39">
        <f>IF(AQ126="0",BJ126,0)</f>
        <v>0</v>
      </c>
      <c r="AI126" s="68" t="s">
        <v>587</v>
      </c>
      <c r="AJ126" s="39">
        <f>IF(AN126=0,L126,0)</f>
        <v>0</v>
      </c>
      <c r="AK126" s="39">
        <f>IF(AN126=15,L126,0)</f>
        <v>0</v>
      </c>
      <c r="AL126" s="39">
        <f>IF(AN126=21,L126,0)</f>
        <v>0</v>
      </c>
      <c r="AN126" s="39">
        <v>21</v>
      </c>
      <c r="AO126" s="39">
        <f>I126*0</f>
        <v>0</v>
      </c>
      <c r="AP126" s="39">
        <f>I126*(1-0)</f>
        <v>0</v>
      </c>
      <c r="AQ126" s="40" t="s">
        <v>842</v>
      </c>
      <c r="AV126" s="39">
        <f>AW126+AX126</f>
        <v>0</v>
      </c>
      <c r="AW126" s="39">
        <f>H126*AO126</f>
        <v>0</v>
      </c>
      <c r="AX126" s="39">
        <f>H126*AP126</f>
        <v>0</v>
      </c>
      <c r="AY126" s="40" t="s">
        <v>743</v>
      </c>
      <c r="AZ126" s="40" t="s">
        <v>314</v>
      </c>
      <c r="BA126" s="68" t="s">
        <v>648</v>
      </c>
      <c r="BC126" s="39">
        <f>AW126+AX126</f>
        <v>0</v>
      </c>
      <c r="BD126" s="39">
        <f>I126/(100-BE126)*100</f>
        <v>0</v>
      </c>
      <c r="BE126" s="39">
        <v>0</v>
      </c>
      <c r="BF126" s="39">
        <f>134</f>
        <v>134</v>
      </c>
      <c r="BH126" s="39">
        <f>H126*AO126</f>
        <v>0</v>
      </c>
      <c r="BI126" s="39">
        <f>H126*AP126</f>
        <v>0</v>
      </c>
      <c r="BJ126" s="39">
        <f>H126*I126</f>
        <v>0</v>
      </c>
      <c r="BK126" s="39"/>
      <c r="BL126" s="39">
        <v>96</v>
      </c>
    </row>
    <row r="127" spans="1:64" ht="13.5" customHeight="1">
      <c r="A127" s="81"/>
      <c r="B127" s="82" t="s">
        <v>440</v>
      </c>
      <c r="C127" s="223" t="s">
        <v>939</v>
      </c>
      <c r="D127" s="224"/>
      <c r="E127" s="224"/>
      <c r="F127" s="224"/>
      <c r="G127" s="224"/>
      <c r="H127" s="224"/>
      <c r="I127" s="224"/>
      <c r="J127" s="224"/>
      <c r="K127" s="224"/>
      <c r="L127" s="224"/>
      <c r="M127" s="225"/>
    </row>
    <row r="128" spans="1:64" ht="15" customHeight="1">
      <c r="A128" s="76" t="s">
        <v>587</v>
      </c>
      <c r="B128" s="77" t="s">
        <v>93</v>
      </c>
      <c r="C128" s="221" t="s">
        <v>929</v>
      </c>
      <c r="D128" s="221"/>
      <c r="E128" s="221"/>
      <c r="F128" s="221"/>
      <c r="G128" s="78" t="s">
        <v>784</v>
      </c>
      <c r="H128" s="78" t="s">
        <v>784</v>
      </c>
      <c r="I128" s="78" t="s">
        <v>784</v>
      </c>
      <c r="J128" s="64">
        <f>SUM(J129:J142)</f>
        <v>0</v>
      </c>
      <c r="K128" s="64">
        <f>SUM(K129:K142)</f>
        <v>0</v>
      </c>
      <c r="L128" s="64">
        <f>SUM(L129:L142)</f>
        <v>0</v>
      </c>
      <c r="M128" s="79" t="s">
        <v>587</v>
      </c>
      <c r="AI128" s="68" t="s">
        <v>587</v>
      </c>
      <c r="AS128" s="64">
        <f>SUM(AJ129:AJ142)</f>
        <v>0</v>
      </c>
      <c r="AT128" s="64">
        <f>SUM(AK129:AK142)</f>
        <v>0</v>
      </c>
      <c r="AU128" s="64">
        <f>SUM(AL129:AL142)</f>
        <v>0</v>
      </c>
    </row>
    <row r="129" spans="1:64" ht="15" customHeight="1">
      <c r="A129" s="37" t="s">
        <v>830</v>
      </c>
      <c r="B129" s="38" t="s">
        <v>927</v>
      </c>
      <c r="C129" s="195" t="s">
        <v>567</v>
      </c>
      <c r="D129" s="195"/>
      <c r="E129" s="195"/>
      <c r="F129" s="195"/>
      <c r="G129" s="38" t="s">
        <v>216</v>
      </c>
      <c r="H129" s="39">
        <v>3</v>
      </c>
      <c r="I129" s="39">
        <v>0</v>
      </c>
      <c r="J129" s="39">
        <f t="shared" ref="J129:J142" si="66">H129*AO129</f>
        <v>0</v>
      </c>
      <c r="K129" s="39">
        <f t="shared" ref="K129:K142" si="67">H129*AP129</f>
        <v>0</v>
      </c>
      <c r="L129" s="39">
        <f t="shared" ref="L129:L142" si="68">H129*I129</f>
        <v>0</v>
      </c>
      <c r="M129" s="80" t="s">
        <v>576</v>
      </c>
      <c r="Z129" s="39">
        <f t="shared" ref="Z129:Z142" si="69">IF(AQ129="5",BJ129,0)</f>
        <v>0</v>
      </c>
      <c r="AB129" s="39">
        <f t="shared" ref="AB129:AB142" si="70">IF(AQ129="1",BH129,0)</f>
        <v>0</v>
      </c>
      <c r="AC129" s="39">
        <f t="shared" ref="AC129:AC142" si="71">IF(AQ129="1",BI129,0)</f>
        <v>0</v>
      </c>
      <c r="AD129" s="39">
        <f t="shared" ref="AD129:AD142" si="72">IF(AQ129="7",BH129,0)</f>
        <v>0</v>
      </c>
      <c r="AE129" s="39">
        <f t="shared" ref="AE129:AE142" si="73">IF(AQ129="7",BI129,0)</f>
        <v>0</v>
      </c>
      <c r="AF129" s="39">
        <f t="shared" ref="AF129:AF142" si="74">IF(AQ129="2",BH129,0)</f>
        <v>0</v>
      </c>
      <c r="AG129" s="39">
        <f t="shared" ref="AG129:AG142" si="75">IF(AQ129="2",BI129,0)</f>
        <v>0</v>
      </c>
      <c r="AH129" s="39">
        <f t="shared" ref="AH129:AH142" si="76">IF(AQ129="0",BJ129,0)</f>
        <v>0</v>
      </c>
      <c r="AI129" s="68" t="s">
        <v>587</v>
      </c>
      <c r="AJ129" s="39">
        <f t="shared" ref="AJ129:AJ142" si="77">IF(AN129=0,L129,0)</f>
        <v>0</v>
      </c>
      <c r="AK129" s="39">
        <f t="shared" ref="AK129:AK142" si="78">IF(AN129=15,L129,0)</f>
        <v>0</v>
      </c>
      <c r="AL129" s="39">
        <f t="shared" ref="AL129:AL142" si="79">IF(AN129=21,L129,0)</f>
        <v>0</v>
      </c>
      <c r="AN129" s="39">
        <v>21</v>
      </c>
      <c r="AO129" s="39">
        <f>I129*0.0549435028248587</f>
        <v>0</v>
      </c>
      <c r="AP129" s="39">
        <f>I129*(1-0.0549435028248587)</f>
        <v>0</v>
      </c>
      <c r="AQ129" s="40" t="s">
        <v>842</v>
      </c>
      <c r="AV129" s="39">
        <f t="shared" ref="AV129:AV142" si="80">AW129+AX129</f>
        <v>0</v>
      </c>
      <c r="AW129" s="39">
        <f t="shared" ref="AW129:AW142" si="81">H129*AO129</f>
        <v>0</v>
      </c>
      <c r="AX129" s="39">
        <f t="shared" ref="AX129:AX142" si="82">H129*AP129</f>
        <v>0</v>
      </c>
      <c r="AY129" s="40" t="s">
        <v>270</v>
      </c>
      <c r="AZ129" s="40" t="s">
        <v>314</v>
      </c>
      <c r="BA129" s="68" t="s">
        <v>648</v>
      </c>
      <c r="BC129" s="39">
        <f t="shared" ref="BC129:BC142" si="83">AW129+AX129</f>
        <v>0</v>
      </c>
      <c r="BD129" s="39">
        <f t="shared" ref="BD129:BD142" si="84">I129/(100-BE129)*100</f>
        <v>0</v>
      </c>
      <c r="BE129" s="39">
        <v>0</v>
      </c>
      <c r="BF129" s="39">
        <f>137</f>
        <v>137</v>
      </c>
      <c r="BH129" s="39">
        <f t="shared" ref="BH129:BH142" si="85">H129*AO129</f>
        <v>0</v>
      </c>
      <c r="BI129" s="39">
        <f t="shared" ref="BI129:BI142" si="86">H129*AP129</f>
        <v>0</v>
      </c>
      <c r="BJ129" s="39">
        <f t="shared" ref="BJ129:BJ142" si="87">H129*I129</f>
        <v>0</v>
      </c>
      <c r="BK129" s="39"/>
      <c r="BL129" s="39">
        <v>97</v>
      </c>
    </row>
    <row r="130" spans="1:64" ht="15" customHeight="1">
      <c r="A130" s="37" t="s">
        <v>144</v>
      </c>
      <c r="B130" s="38" t="s">
        <v>901</v>
      </c>
      <c r="C130" s="195" t="s">
        <v>702</v>
      </c>
      <c r="D130" s="195"/>
      <c r="E130" s="195"/>
      <c r="F130" s="195"/>
      <c r="G130" s="38" t="s">
        <v>216</v>
      </c>
      <c r="H130" s="39">
        <v>6</v>
      </c>
      <c r="I130" s="39">
        <v>0</v>
      </c>
      <c r="J130" s="39">
        <f t="shared" si="66"/>
        <v>0</v>
      </c>
      <c r="K130" s="39">
        <f t="shared" si="67"/>
        <v>0</v>
      </c>
      <c r="L130" s="39">
        <f t="shared" si="68"/>
        <v>0</v>
      </c>
      <c r="M130" s="80" t="s">
        <v>576</v>
      </c>
      <c r="Z130" s="39">
        <f t="shared" si="69"/>
        <v>0</v>
      </c>
      <c r="AB130" s="39">
        <f t="shared" si="70"/>
        <v>0</v>
      </c>
      <c r="AC130" s="39">
        <f t="shared" si="71"/>
        <v>0</v>
      </c>
      <c r="AD130" s="39">
        <f t="shared" si="72"/>
        <v>0</v>
      </c>
      <c r="AE130" s="39">
        <f t="shared" si="73"/>
        <v>0</v>
      </c>
      <c r="AF130" s="39">
        <f t="shared" si="74"/>
        <v>0</v>
      </c>
      <c r="AG130" s="39">
        <f t="shared" si="75"/>
        <v>0</v>
      </c>
      <c r="AH130" s="39">
        <f t="shared" si="76"/>
        <v>0</v>
      </c>
      <c r="AI130" s="68" t="s">
        <v>587</v>
      </c>
      <c r="AJ130" s="39">
        <f t="shared" si="77"/>
        <v>0</v>
      </c>
      <c r="AK130" s="39">
        <f t="shared" si="78"/>
        <v>0</v>
      </c>
      <c r="AL130" s="39">
        <f t="shared" si="79"/>
        <v>0</v>
      </c>
      <c r="AN130" s="39">
        <v>21</v>
      </c>
      <c r="AO130" s="39">
        <f>I130*0.0779384748989612</f>
        <v>0</v>
      </c>
      <c r="AP130" s="39">
        <f>I130*(1-0.0779384748989612)</f>
        <v>0</v>
      </c>
      <c r="AQ130" s="40" t="s">
        <v>842</v>
      </c>
      <c r="AV130" s="39">
        <f t="shared" si="80"/>
        <v>0</v>
      </c>
      <c r="AW130" s="39">
        <f t="shared" si="81"/>
        <v>0</v>
      </c>
      <c r="AX130" s="39">
        <f t="shared" si="82"/>
        <v>0</v>
      </c>
      <c r="AY130" s="40" t="s">
        <v>270</v>
      </c>
      <c r="AZ130" s="40" t="s">
        <v>314</v>
      </c>
      <c r="BA130" s="68" t="s">
        <v>648</v>
      </c>
      <c r="BC130" s="39">
        <f t="shared" si="83"/>
        <v>0</v>
      </c>
      <c r="BD130" s="39">
        <f t="shared" si="84"/>
        <v>0</v>
      </c>
      <c r="BE130" s="39">
        <v>0</v>
      </c>
      <c r="BF130" s="39">
        <f>138</f>
        <v>138</v>
      </c>
      <c r="BH130" s="39">
        <f t="shared" si="85"/>
        <v>0</v>
      </c>
      <c r="BI130" s="39">
        <f t="shared" si="86"/>
        <v>0</v>
      </c>
      <c r="BJ130" s="39">
        <f t="shared" si="87"/>
        <v>0</v>
      </c>
      <c r="BK130" s="39"/>
      <c r="BL130" s="39">
        <v>97</v>
      </c>
    </row>
    <row r="131" spans="1:64" ht="15" customHeight="1">
      <c r="A131" s="37" t="s">
        <v>158</v>
      </c>
      <c r="B131" s="38" t="s">
        <v>644</v>
      </c>
      <c r="C131" s="195" t="s">
        <v>790</v>
      </c>
      <c r="D131" s="195"/>
      <c r="E131" s="195"/>
      <c r="F131" s="195"/>
      <c r="G131" s="38" t="s">
        <v>216</v>
      </c>
      <c r="H131" s="39">
        <v>3</v>
      </c>
      <c r="I131" s="39">
        <v>0</v>
      </c>
      <c r="J131" s="39">
        <f t="shared" si="66"/>
        <v>0</v>
      </c>
      <c r="K131" s="39">
        <f t="shared" si="67"/>
        <v>0</v>
      </c>
      <c r="L131" s="39">
        <f t="shared" si="68"/>
        <v>0</v>
      </c>
      <c r="M131" s="80" t="s">
        <v>576</v>
      </c>
      <c r="Z131" s="39">
        <f t="shared" si="69"/>
        <v>0</v>
      </c>
      <c r="AB131" s="39">
        <f t="shared" si="70"/>
        <v>0</v>
      </c>
      <c r="AC131" s="39">
        <f t="shared" si="71"/>
        <v>0</v>
      </c>
      <c r="AD131" s="39">
        <f t="shared" si="72"/>
        <v>0</v>
      </c>
      <c r="AE131" s="39">
        <f t="shared" si="73"/>
        <v>0</v>
      </c>
      <c r="AF131" s="39">
        <f t="shared" si="74"/>
        <v>0</v>
      </c>
      <c r="AG131" s="39">
        <f t="shared" si="75"/>
        <v>0</v>
      </c>
      <c r="AH131" s="39">
        <f t="shared" si="76"/>
        <v>0</v>
      </c>
      <c r="AI131" s="68" t="s">
        <v>587</v>
      </c>
      <c r="AJ131" s="39">
        <f t="shared" si="77"/>
        <v>0</v>
      </c>
      <c r="AK131" s="39">
        <f t="shared" si="78"/>
        <v>0</v>
      </c>
      <c r="AL131" s="39">
        <f t="shared" si="79"/>
        <v>0</v>
      </c>
      <c r="AN131" s="39">
        <v>21</v>
      </c>
      <c r="AO131" s="39">
        <f>I131*0</f>
        <v>0</v>
      </c>
      <c r="AP131" s="39">
        <f>I131*(1-0)</f>
        <v>0</v>
      </c>
      <c r="AQ131" s="40" t="s">
        <v>842</v>
      </c>
      <c r="AV131" s="39">
        <f t="shared" si="80"/>
        <v>0</v>
      </c>
      <c r="AW131" s="39">
        <f t="shared" si="81"/>
        <v>0</v>
      </c>
      <c r="AX131" s="39">
        <f t="shared" si="82"/>
        <v>0</v>
      </c>
      <c r="AY131" s="40" t="s">
        <v>270</v>
      </c>
      <c r="AZ131" s="40" t="s">
        <v>314</v>
      </c>
      <c r="BA131" s="68" t="s">
        <v>648</v>
      </c>
      <c r="BC131" s="39">
        <f t="shared" si="83"/>
        <v>0</v>
      </c>
      <c r="BD131" s="39">
        <f t="shared" si="84"/>
        <v>0</v>
      </c>
      <c r="BE131" s="39">
        <v>0</v>
      </c>
      <c r="BF131" s="39">
        <f>139</f>
        <v>139</v>
      </c>
      <c r="BH131" s="39">
        <f t="shared" si="85"/>
        <v>0</v>
      </c>
      <c r="BI131" s="39">
        <f t="shared" si="86"/>
        <v>0</v>
      </c>
      <c r="BJ131" s="39">
        <f t="shared" si="87"/>
        <v>0</v>
      </c>
      <c r="BK131" s="39"/>
      <c r="BL131" s="39">
        <v>97</v>
      </c>
    </row>
    <row r="132" spans="1:64" ht="15" customHeight="1">
      <c r="A132" s="37" t="s">
        <v>865</v>
      </c>
      <c r="B132" s="38" t="s">
        <v>206</v>
      </c>
      <c r="C132" s="195" t="s">
        <v>119</v>
      </c>
      <c r="D132" s="195"/>
      <c r="E132" s="195"/>
      <c r="F132" s="195"/>
      <c r="G132" s="38" t="s">
        <v>216</v>
      </c>
      <c r="H132" s="39">
        <v>4</v>
      </c>
      <c r="I132" s="39">
        <v>0</v>
      </c>
      <c r="J132" s="39">
        <f t="shared" si="66"/>
        <v>0</v>
      </c>
      <c r="K132" s="39">
        <f t="shared" si="67"/>
        <v>0</v>
      </c>
      <c r="L132" s="39">
        <f t="shared" si="68"/>
        <v>0</v>
      </c>
      <c r="M132" s="80" t="s">
        <v>576</v>
      </c>
      <c r="Z132" s="39">
        <f t="shared" si="69"/>
        <v>0</v>
      </c>
      <c r="AB132" s="39">
        <f t="shared" si="70"/>
        <v>0</v>
      </c>
      <c r="AC132" s="39">
        <f t="shared" si="71"/>
        <v>0</v>
      </c>
      <c r="AD132" s="39">
        <f t="shared" si="72"/>
        <v>0</v>
      </c>
      <c r="AE132" s="39">
        <f t="shared" si="73"/>
        <v>0</v>
      </c>
      <c r="AF132" s="39">
        <f t="shared" si="74"/>
        <v>0</v>
      </c>
      <c r="AG132" s="39">
        <f t="shared" si="75"/>
        <v>0</v>
      </c>
      <c r="AH132" s="39">
        <f t="shared" si="76"/>
        <v>0</v>
      </c>
      <c r="AI132" s="68" t="s">
        <v>587</v>
      </c>
      <c r="AJ132" s="39">
        <f t="shared" si="77"/>
        <v>0</v>
      </c>
      <c r="AK132" s="39">
        <f t="shared" si="78"/>
        <v>0</v>
      </c>
      <c r="AL132" s="39">
        <f t="shared" si="79"/>
        <v>0</v>
      </c>
      <c r="AN132" s="39">
        <v>21</v>
      </c>
      <c r="AO132" s="39">
        <f>I132*0.102192066805846</f>
        <v>0</v>
      </c>
      <c r="AP132" s="39">
        <f>I132*(1-0.102192066805846)</f>
        <v>0</v>
      </c>
      <c r="AQ132" s="40" t="s">
        <v>842</v>
      </c>
      <c r="AV132" s="39">
        <f t="shared" si="80"/>
        <v>0</v>
      </c>
      <c r="AW132" s="39">
        <f t="shared" si="81"/>
        <v>0</v>
      </c>
      <c r="AX132" s="39">
        <f t="shared" si="82"/>
        <v>0</v>
      </c>
      <c r="AY132" s="40" t="s">
        <v>270</v>
      </c>
      <c r="AZ132" s="40" t="s">
        <v>314</v>
      </c>
      <c r="BA132" s="68" t="s">
        <v>648</v>
      </c>
      <c r="BC132" s="39">
        <f t="shared" si="83"/>
        <v>0</v>
      </c>
      <c r="BD132" s="39">
        <f t="shared" si="84"/>
        <v>0</v>
      </c>
      <c r="BE132" s="39">
        <v>0</v>
      </c>
      <c r="BF132" s="39">
        <f>140</f>
        <v>140</v>
      </c>
      <c r="BH132" s="39">
        <f t="shared" si="85"/>
        <v>0</v>
      </c>
      <c r="BI132" s="39">
        <f t="shared" si="86"/>
        <v>0</v>
      </c>
      <c r="BJ132" s="39">
        <f t="shared" si="87"/>
        <v>0</v>
      </c>
      <c r="BK132" s="39"/>
      <c r="BL132" s="39">
        <v>97</v>
      </c>
    </row>
    <row r="133" spans="1:64" ht="15" customHeight="1">
      <c r="A133" s="37" t="s">
        <v>509</v>
      </c>
      <c r="B133" s="38" t="s">
        <v>390</v>
      </c>
      <c r="C133" s="195" t="s">
        <v>734</v>
      </c>
      <c r="D133" s="195"/>
      <c r="E133" s="195"/>
      <c r="F133" s="195"/>
      <c r="G133" s="38" t="s">
        <v>216</v>
      </c>
      <c r="H133" s="39">
        <v>11</v>
      </c>
      <c r="I133" s="39">
        <v>0</v>
      </c>
      <c r="J133" s="39">
        <f t="shared" si="66"/>
        <v>0</v>
      </c>
      <c r="K133" s="39">
        <f t="shared" si="67"/>
        <v>0</v>
      </c>
      <c r="L133" s="39">
        <f t="shared" si="68"/>
        <v>0</v>
      </c>
      <c r="M133" s="80" t="s">
        <v>576</v>
      </c>
      <c r="Z133" s="39">
        <f t="shared" si="69"/>
        <v>0</v>
      </c>
      <c r="AB133" s="39">
        <f t="shared" si="70"/>
        <v>0</v>
      </c>
      <c r="AC133" s="39">
        <f t="shared" si="71"/>
        <v>0</v>
      </c>
      <c r="AD133" s="39">
        <f t="shared" si="72"/>
        <v>0</v>
      </c>
      <c r="AE133" s="39">
        <f t="shared" si="73"/>
        <v>0</v>
      </c>
      <c r="AF133" s="39">
        <f t="shared" si="74"/>
        <v>0</v>
      </c>
      <c r="AG133" s="39">
        <f t="shared" si="75"/>
        <v>0</v>
      </c>
      <c r="AH133" s="39">
        <f t="shared" si="76"/>
        <v>0</v>
      </c>
      <c r="AI133" s="68" t="s">
        <v>587</v>
      </c>
      <c r="AJ133" s="39">
        <f t="shared" si="77"/>
        <v>0</v>
      </c>
      <c r="AK133" s="39">
        <f t="shared" si="78"/>
        <v>0</v>
      </c>
      <c r="AL133" s="39">
        <f t="shared" si="79"/>
        <v>0</v>
      </c>
      <c r="AN133" s="39">
        <v>21</v>
      </c>
      <c r="AO133" s="39">
        <f>I133*0</f>
        <v>0</v>
      </c>
      <c r="AP133" s="39">
        <f>I133*(1-0)</f>
        <v>0</v>
      </c>
      <c r="AQ133" s="40" t="s">
        <v>842</v>
      </c>
      <c r="AV133" s="39">
        <f t="shared" si="80"/>
        <v>0</v>
      </c>
      <c r="AW133" s="39">
        <f t="shared" si="81"/>
        <v>0</v>
      </c>
      <c r="AX133" s="39">
        <f t="shared" si="82"/>
        <v>0</v>
      </c>
      <c r="AY133" s="40" t="s">
        <v>270</v>
      </c>
      <c r="AZ133" s="40" t="s">
        <v>314</v>
      </c>
      <c r="BA133" s="68" t="s">
        <v>648</v>
      </c>
      <c r="BC133" s="39">
        <f t="shared" si="83"/>
        <v>0</v>
      </c>
      <c r="BD133" s="39">
        <f t="shared" si="84"/>
        <v>0</v>
      </c>
      <c r="BE133" s="39">
        <v>0</v>
      </c>
      <c r="BF133" s="39">
        <f>141</f>
        <v>141</v>
      </c>
      <c r="BH133" s="39">
        <f t="shared" si="85"/>
        <v>0</v>
      </c>
      <c r="BI133" s="39">
        <f t="shared" si="86"/>
        <v>0</v>
      </c>
      <c r="BJ133" s="39">
        <f t="shared" si="87"/>
        <v>0</v>
      </c>
      <c r="BK133" s="39"/>
      <c r="BL133" s="39">
        <v>97</v>
      </c>
    </row>
    <row r="134" spans="1:64" ht="15" customHeight="1">
      <c r="A134" s="37" t="s">
        <v>423</v>
      </c>
      <c r="B134" s="38" t="s">
        <v>1</v>
      </c>
      <c r="C134" s="195" t="s">
        <v>478</v>
      </c>
      <c r="D134" s="195"/>
      <c r="E134" s="195"/>
      <c r="F134" s="195"/>
      <c r="G134" s="38" t="s">
        <v>216</v>
      </c>
      <c r="H134" s="39">
        <v>1</v>
      </c>
      <c r="I134" s="39">
        <v>0</v>
      </c>
      <c r="J134" s="39">
        <f t="shared" si="66"/>
        <v>0</v>
      </c>
      <c r="K134" s="39">
        <f t="shared" si="67"/>
        <v>0</v>
      </c>
      <c r="L134" s="39">
        <f t="shared" si="68"/>
        <v>0</v>
      </c>
      <c r="M134" s="80" t="s">
        <v>576</v>
      </c>
      <c r="Z134" s="39">
        <f t="shared" si="69"/>
        <v>0</v>
      </c>
      <c r="AB134" s="39">
        <f t="shared" si="70"/>
        <v>0</v>
      </c>
      <c r="AC134" s="39">
        <f t="shared" si="71"/>
        <v>0</v>
      </c>
      <c r="AD134" s="39">
        <f t="shared" si="72"/>
        <v>0</v>
      </c>
      <c r="AE134" s="39">
        <f t="shared" si="73"/>
        <v>0</v>
      </c>
      <c r="AF134" s="39">
        <f t="shared" si="74"/>
        <v>0</v>
      </c>
      <c r="AG134" s="39">
        <f t="shared" si="75"/>
        <v>0</v>
      </c>
      <c r="AH134" s="39">
        <f t="shared" si="76"/>
        <v>0</v>
      </c>
      <c r="AI134" s="68" t="s">
        <v>587</v>
      </c>
      <c r="AJ134" s="39">
        <f t="shared" si="77"/>
        <v>0</v>
      </c>
      <c r="AK134" s="39">
        <f t="shared" si="78"/>
        <v>0</v>
      </c>
      <c r="AL134" s="39">
        <f t="shared" si="79"/>
        <v>0</v>
      </c>
      <c r="AN134" s="39">
        <v>21</v>
      </c>
      <c r="AO134" s="39">
        <f>I134*0</f>
        <v>0</v>
      </c>
      <c r="AP134" s="39">
        <f>I134*(1-0)</f>
        <v>0</v>
      </c>
      <c r="AQ134" s="40" t="s">
        <v>842</v>
      </c>
      <c r="AV134" s="39">
        <f t="shared" si="80"/>
        <v>0</v>
      </c>
      <c r="AW134" s="39">
        <f t="shared" si="81"/>
        <v>0</v>
      </c>
      <c r="AX134" s="39">
        <f t="shared" si="82"/>
        <v>0</v>
      </c>
      <c r="AY134" s="40" t="s">
        <v>270</v>
      </c>
      <c r="AZ134" s="40" t="s">
        <v>314</v>
      </c>
      <c r="BA134" s="68" t="s">
        <v>648</v>
      </c>
      <c r="BC134" s="39">
        <f t="shared" si="83"/>
        <v>0</v>
      </c>
      <c r="BD134" s="39">
        <f t="shared" si="84"/>
        <v>0</v>
      </c>
      <c r="BE134" s="39">
        <v>0</v>
      </c>
      <c r="BF134" s="39">
        <f>142</f>
        <v>142</v>
      </c>
      <c r="BH134" s="39">
        <f t="shared" si="85"/>
        <v>0</v>
      </c>
      <c r="BI134" s="39">
        <f t="shared" si="86"/>
        <v>0</v>
      </c>
      <c r="BJ134" s="39">
        <f t="shared" si="87"/>
        <v>0</v>
      </c>
      <c r="BK134" s="39"/>
      <c r="BL134" s="39">
        <v>97</v>
      </c>
    </row>
    <row r="135" spans="1:64" ht="15" customHeight="1">
      <c r="A135" s="37" t="s">
        <v>554</v>
      </c>
      <c r="B135" s="38" t="s">
        <v>692</v>
      </c>
      <c r="C135" s="195" t="s">
        <v>687</v>
      </c>
      <c r="D135" s="195"/>
      <c r="E135" s="195"/>
      <c r="F135" s="195"/>
      <c r="G135" s="38" t="s">
        <v>812</v>
      </c>
      <c r="H135" s="39">
        <v>0.158</v>
      </c>
      <c r="I135" s="39">
        <v>0</v>
      </c>
      <c r="J135" s="39">
        <f t="shared" si="66"/>
        <v>0</v>
      </c>
      <c r="K135" s="39">
        <f t="shared" si="67"/>
        <v>0</v>
      </c>
      <c r="L135" s="39">
        <f t="shared" si="68"/>
        <v>0</v>
      </c>
      <c r="M135" s="80" t="s">
        <v>576</v>
      </c>
      <c r="Z135" s="39">
        <f t="shared" si="69"/>
        <v>0</v>
      </c>
      <c r="AB135" s="39">
        <f t="shared" si="70"/>
        <v>0</v>
      </c>
      <c r="AC135" s="39">
        <f t="shared" si="71"/>
        <v>0</v>
      </c>
      <c r="AD135" s="39">
        <f t="shared" si="72"/>
        <v>0</v>
      </c>
      <c r="AE135" s="39">
        <f t="shared" si="73"/>
        <v>0</v>
      </c>
      <c r="AF135" s="39">
        <f t="shared" si="74"/>
        <v>0</v>
      </c>
      <c r="AG135" s="39">
        <f t="shared" si="75"/>
        <v>0</v>
      </c>
      <c r="AH135" s="39">
        <f t="shared" si="76"/>
        <v>0</v>
      </c>
      <c r="AI135" s="68" t="s">
        <v>587</v>
      </c>
      <c r="AJ135" s="39">
        <f t="shared" si="77"/>
        <v>0</v>
      </c>
      <c r="AK135" s="39">
        <f t="shared" si="78"/>
        <v>0</v>
      </c>
      <c r="AL135" s="39">
        <f t="shared" si="79"/>
        <v>0</v>
      </c>
      <c r="AN135" s="39">
        <v>21</v>
      </c>
      <c r="AO135" s="39">
        <f>I135*0</f>
        <v>0</v>
      </c>
      <c r="AP135" s="39">
        <f>I135*(1-0)</f>
        <v>0</v>
      </c>
      <c r="AQ135" s="40" t="s">
        <v>842</v>
      </c>
      <c r="AV135" s="39">
        <f t="shared" si="80"/>
        <v>0</v>
      </c>
      <c r="AW135" s="39">
        <f t="shared" si="81"/>
        <v>0</v>
      </c>
      <c r="AX135" s="39">
        <f t="shared" si="82"/>
        <v>0</v>
      </c>
      <c r="AY135" s="40" t="s">
        <v>270</v>
      </c>
      <c r="AZ135" s="40" t="s">
        <v>314</v>
      </c>
      <c r="BA135" s="68" t="s">
        <v>648</v>
      </c>
      <c r="BC135" s="39">
        <f t="shared" si="83"/>
        <v>0</v>
      </c>
      <c r="BD135" s="39">
        <f t="shared" si="84"/>
        <v>0</v>
      </c>
      <c r="BE135" s="39">
        <v>0</v>
      </c>
      <c r="BF135" s="39">
        <f>143</f>
        <v>143</v>
      </c>
      <c r="BH135" s="39">
        <f t="shared" si="85"/>
        <v>0</v>
      </c>
      <c r="BI135" s="39">
        <f t="shared" si="86"/>
        <v>0</v>
      </c>
      <c r="BJ135" s="39">
        <f t="shared" si="87"/>
        <v>0</v>
      </c>
      <c r="BK135" s="39"/>
      <c r="BL135" s="39">
        <v>97</v>
      </c>
    </row>
    <row r="136" spans="1:64" ht="15" customHeight="1">
      <c r="A136" s="37" t="s">
        <v>31</v>
      </c>
      <c r="B136" s="38" t="s">
        <v>664</v>
      </c>
      <c r="C136" s="195" t="s">
        <v>57</v>
      </c>
      <c r="D136" s="195"/>
      <c r="E136" s="195"/>
      <c r="F136" s="195"/>
      <c r="G136" s="38" t="s">
        <v>831</v>
      </c>
      <c r="H136" s="39">
        <v>93.201999999999998</v>
      </c>
      <c r="I136" s="39">
        <v>0</v>
      </c>
      <c r="J136" s="39">
        <f t="shared" si="66"/>
        <v>0</v>
      </c>
      <c r="K136" s="39">
        <f t="shared" si="67"/>
        <v>0</v>
      </c>
      <c r="L136" s="39">
        <f t="shared" si="68"/>
        <v>0</v>
      </c>
      <c r="M136" s="80" t="s">
        <v>576</v>
      </c>
      <c r="Z136" s="39">
        <f t="shared" si="69"/>
        <v>0</v>
      </c>
      <c r="AB136" s="39">
        <f t="shared" si="70"/>
        <v>0</v>
      </c>
      <c r="AC136" s="39">
        <f t="shared" si="71"/>
        <v>0</v>
      </c>
      <c r="AD136" s="39">
        <f t="shared" si="72"/>
        <v>0</v>
      </c>
      <c r="AE136" s="39">
        <f t="shared" si="73"/>
        <v>0</v>
      </c>
      <c r="AF136" s="39">
        <f t="shared" si="74"/>
        <v>0</v>
      </c>
      <c r="AG136" s="39">
        <f t="shared" si="75"/>
        <v>0</v>
      </c>
      <c r="AH136" s="39">
        <f t="shared" si="76"/>
        <v>0</v>
      </c>
      <c r="AI136" s="68" t="s">
        <v>587</v>
      </c>
      <c r="AJ136" s="39">
        <f t="shared" si="77"/>
        <v>0</v>
      </c>
      <c r="AK136" s="39">
        <f t="shared" si="78"/>
        <v>0</v>
      </c>
      <c r="AL136" s="39">
        <f t="shared" si="79"/>
        <v>0</v>
      </c>
      <c r="AN136" s="39">
        <v>21</v>
      </c>
      <c r="AO136" s="39">
        <f>I136*0</f>
        <v>0</v>
      </c>
      <c r="AP136" s="39">
        <f>I136*(1-0)</f>
        <v>0</v>
      </c>
      <c r="AQ136" s="40" t="s">
        <v>842</v>
      </c>
      <c r="AV136" s="39">
        <f t="shared" si="80"/>
        <v>0</v>
      </c>
      <c r="AW136" s="39">
        <f t="shared" si="81"/>
        <v>0</v>
      </c>
      <c r="AX136" s="39">
        <f t="shared" si="82"/>
        <v>0</v>
      </c>
      <c r="AY136" s="40" t="s">
        <v>270</v>
      </c>
      <c r="AZ136" s="40" t="s">
        <v>314</v>
      </c>
      <c r="BA136" s="68" t="s">
        <v>648</v>
      </c>
      <c r="BC136" s="39">
        <f t="shared" si="83"/>
        <v>0</v>
      </c>
      <c r="BD136" s="39">
        <f t="shared" si="84"/>
        <v>0</v>
      </c>
      <c r="BE136" s="39">
        <v>0</v>
      </c>
      <c r="BF136" s="39">
        <f>144</f>
        <v>144</v>
      </c>
      <c r="BH136" s="39">
        <f t="shared" si="85"/>
        <v>0</v>
      </c>
      <c r="BI136" s="39">
        <f t="shared" si="86"/>
        <v>0</v>
      </c>
      <c r="BJ136" s="39">
        <f t="shared" si="87"/>
        <v>0</v>
      </c>
      <c r="BK136" s="39"/>
      <c r="BL136" s="39">
        <v>97</v>
      </c>
    </row>
    <row r="137" spans="1:64" ht="15" customHeight="1">
      <c r="A137" s="37" t="s">
        <v>905</v>
      </c>
      <c r="B137" s="38" t="s">
        <v>914</v>
      </c>
      <c r="C137" s="195" t="s">
        <v>495</v>
      </c>
      <c r="D137" s="195"/>
      <c r="E137" s="195"/>
      <c r="F137" s="195"/>
      <c r="G137" s="38" t="s">
        <v>831</v>
      </c>
      <c r="H137" s="39">
        <v>2.4239999999999999</v>
      </c>
      <c r="I137" s="39">
        <v>0</v>
      </c>
      <c r="J137" s="39">
        <f t="shared" si="66"/>
        <v>0</v>
      </c>
      <c r="K137" s="39">
        <f t="shared" si="67"/>
        <v>0</v>
      </c>
      <c r="L137" s="39">
        <f t="shared" si="68"/>
        <v>0</v>
      </c>
      <c r="M137" s="80" t="s">
        <v>576</v>
      </c>
      <c r="Z137" s="39">
        <f t="shared" si="69"/>
        <v>0</v>
      </c>
      <c r="AB137" s="39">
        <f t="shared" si="70"/>
        <v>0</v>
      </c>
      <c r="AC137" s="39">
        <f t="shared" si="71"/>
        <v>0</v>
      </c>
      <c r="AD137" s="39">
        <f t="shared" si="72"/>
        <v>0</v>
      </c>
      <c r="AE137" s="39">
        <f t="shared" si="73"/>
        <v>0</v>
      </c>
      <c r="AF137" s="39">
        <f t="shared" si="74"/>
        <v>0</v>
      </c>
      <c r="AG137" s="39">
        <f t="shared" si="75"/>
        <v>0</v>
      </c>
      <c r="AH137" s="39">
        <f t="shared" si="76"/>
        <v>0</v>
      </c>
      <c r="AI137" s="68" t="s">
        <v>587</v>
      </c>
      <c r="AJ137" s="39">
        <f t="shared" si="77"/>
        <v>0</v>
      </c>
      <c r="AK137" s="39">
        <f t="shared" si="78"/>
        <v>0</v>
      </c>
      <c r="AL137" s="39">
        <f t="shared" si="79"/>
        <v>0</v>
      </c>
      <c r="AN137" s="39">
        <v>21</v>
      </c>
      <c r="AO137" s="39">
        <f>I137*0.0775896209203324</f>
        <v>0</v>
      </c>
      <c r="AP137" s="39">
        <f>I137*(1-0.0775896209203324)</f>
        <v>0</v>
      </c>
      <c r="AQ137" s="40" t="s">
        <v>842</v>
      </c>
      <c r="AV137" s="39">
        <f t="shared" si="80"/>
        <v>0</v>
      </c>
      <c r="AW137" s="39">
        <f t="shared" si="81"/>
        <v>0</v>
      </c>
      <c r="AX137" s="39">
        <f t="shared" si="82"/>
        <v>0</v>
      </c>
      <c r="AY137" s="40" t="s">
        <v>270</v>
      </c>
      <c r="AZ137" s="40" t="s">
        <v>314</v>
      </c>
      <c r="BA137" s="68" t="s">
        <v>648</v>
      </c>
      <c r="BC137" s="39">
        <f t="shared" si="83"/>
        <v>0</v>
      </c>
      <c r="BD137" s="39">
        <f t="shared" si="84"/>
        <v>0</v>
      </c>
      <c r="BE137" s="39">
        <v>0</v>
      </c>
      <c r="BF137" s="39">
        <f>145</f>
        <v>145</v>
      </c>
      <c r="BH137" s="39">
        <f t="shared" si="85"/>
        <v>0</v>
      </c>
      <c r="BI137" s="39">
        <f t="shared" si="86"/>
        <v>0</v>
      </c>
      <c r="BJ137" s="39">
        <f t="shared" si="87"/>
        <v>0</v>
      </c>
      <c r="BK137" s="39"/>
      <c r="BL137" s="39">
        <v>97</v>
      </c>
    </row>
    <row r="138" spans="1:64" ht="15" customHeight="1">
      <c r="A138" s="37" t="s">
        <v>899</v>
      </c>
      <c r="B138" s="38" t="s">
        <v>344</v>
      </c>
      <c r="C138" s="195" t="s">
        <v>936</v>
      </c>
      <c r="D138" s="195"/>
      <c r="E138" s="195"/>
      <c r="F138" s="195"/>
      <c r="G138" s="38" t="s">
        <v>831</v>
      </c>
      <c r="H138" s="39">
        <v>74.7</v>
      </c>
      <c r="I138" s="39">
        <v>0</v>
      </c>
      <c r="J138" s="39">
        <f t="shared" si="66"/>
        <v>0</v>
      </c>
      <c r="K138" s="39">
        <f t="shared" si="67"/>
        <v>0</v>
      </c>
      <c r="L138" s="39">
        <f t="shared" si="68"/>
        <v>0</v>
      </c>
      <c r="M138" s="80" t="s">
        <v>576</v>
      </c>
      <c r="Z138" s="39">
        <f t="shared" si="69"/>
        <v>0</v>
      </c>
      <c r="AB138" s="39">
        <f t="shared" si="70"/>
        <v>0</v>
      </c>
      <c r="AC138" s="39">
        <f t="shared" si="71"/>
        <v>0</v>
      </c>
      <c r="AD138" s="39">
        <f t="shared" si="72"/>
        <v>0</v>
      </c>
      <c r="AE138" s="39">
        <f t="shared" si="73"/>
        <v>0</v>
      </c>
      <c r="AF138" s="39">
        <f t="shared" si="74"/>
        <v>0</v>
      </c>
      <c r="AG138" s="39">
        <f t="shared" si="75"/>
        <v>0</v>
      </c>
      <c r="AH138" s="39">
        <f t="shared" si="76"/>
        <v>0</v>
      </c>
      <c r="AI138" s="68" t="s">
        <v>587</v>
      </c>
      <c r="AJ138" s="39">
        <f t="shared" si="77"/>
        <v>0</v>
      </c>
      <c r="AK138" s="39">
        <f t="shared" si="78"/>
        <v>0</v>
      </c>
      <c r="AL138" s="39">
        <f t="shared" si="79"/>
        <v>0</v>
      </c>
      <c r="AN138" s="39">
        <v>21</v>
      </c>
      <c r="AO138" s="39">
        <f>I138*0</f>
        <v>0</v>
      </c>
      <c r="AP138" s="39">
        <f>I138*(1-0)</f>
        <v>0</v>
      </c>
      <c r="AQ138" s="40" t="s">
        <v>842</v>
      </c>
      <c r="AV138" s="39">
        <f t="shared" si="80"/>
        <v>0</v>
      </c>
      <c r="AW138" s="39">
        <f t="shared" si="81"/>
        <v>0</v>
      </c>
      <c r="AX138" s="39">
        <f t="shared" si="82"/>
        <v>0</v>
      </c>
      <c r="AY138" s="40" t="s">
        <v>270</v>
      </c>
      <c r="AZ138" s="40" t="s">
        <v>314</v>
      </c>
      <c r="BA138" s="68" t="s">
        <v>648</v>
      </c>
      <c r="BC138" s="39">
        <f t="shared" si="83"/>
        <v>0</v>
      </c>
      <c r="BD138" s="39">
        <f t="shared" si="84"/>
        <v>0</v>
      </c>
      <c r="BE138" s="39">
        <v>0</v>
      </c>
      <c r="BF138" s="39">
        <f>146</f>
        <v>146</v>
      </c>
      <c r="BH138" s="39">
        <f t="shared" si="85"/>
        <v>0</v>
      </c>
      <c r="BI138" s="39">
        <f t="shared" si="86"/>
        <v>0</v>
      </c>
      <c r="BJ138" s="39">
        <f t="shared" si="87"/>
        <v>0</v>
      </c>
      <c r="BK138" s="39"/>
      <c r="BL138" s="39">
        <v>97</v>
      </c>
    </row>
    <row r="139" spans="1:64" ht="15" customHeight="1">
      <c r="A139" s="37" t="s">
        <v>896</v>
      </c>
      <c r="B139" s="38" t="s">
        <v>362</v>
      </c>
      <c r="C139" s="195" t="s">
        <v>444</v>
      </c>
      <c r="D139" s="195"/>
      <c r="E139" s="195"/>
      <c r="F139" s="195"/>
      <c r="G139" s="38" t="s">
        <v>701</v>
      </c>
      <c r="H139" s="39">
        <v>23.59</v>
      </c>
      <c r="I139" s="39">
        <v>0</v>
      </c>
      <c r="J139" s="39">
        <f t="shared" si="66"/>
        <v>0</v>
      </c>
      <c r="K139" s="39">
        <f t="shared" si="67"/>
        <v>0</v>
      </c>
      <c r="L139" s="39">
        <f t="shared" si="68"/>
        <v>0</v>
      </c>
      <c r="M139" s="80" t="s">
        <v>576</v>
      </c>
      <c r="Z139" s="39">
        <f t="shared" si="69"/>
        <v>0</v>
      </c>
      <c r="AB139" s="39">
        <f t="shared" si="70"/>
        <v>0</v>
      </c>
      <c r="AC139" s="39">
        <f t="shared" si="71"/>
        <v>0</v>
      </c>
      <c r="AD139" s="39">
        <f t="shared" si="72"/>
        <v>0</v>
      </c>
      <c r="AE139" s="39">
        <f t="shared" si="73"/>
        <v>0</v>
      </c>
      <c r="AF139" s="39">
        <f t="shared" si="74"/>
        <v>0</v>
      </c>
      <c r="AG139" s="39">
        <f t="shared" si="75"/>
        <v>0</v>
      </c>
      <c r="AH139" s="39">
        <f t="shared" si="76"/>
        <v>0</v>
      </c>
      <c r="AI139" s="68" t="s">
        <v>587</v>
      </c>
      <c r="AJ139" s="39">
        <f t="shared" si="77"/>
        <v>0</v>
      </c>
      <c r="AK139" s="39">
        <f t="shared" si="78"/>
        <v>0</v>
      </c>
      <c r="AL139" s="39">
        <f t="shared" si="79"/>
        <v>0</v>
      </c>
      <c r="AN139" s="39">
        <v>21</v>
      </c>
      <c r="AO139" s="39">
        <f>I139*0</f>
        <v>0</v>
      </c>
      <c r="AP139" s="39">
        <f>I139*(1-0)</f>
        <v>0</v>
      </c>
      <c r="AQ139" s="40" t="s">
        <v>842</v>
      </c>
      <c r="AV139" s="39">
        <f t="shared" si="80"/>
        <v>0</v>
      </c>
      <c r="AW139" s="39">
        <f t="shared" si="81"/>
        <v>0</v>
      </c>
      <c r="AX139" s="39">
        <f t="shared" si="82"/>
        <v>0</v>
      </c>
      <c r="AY139" s="40" t="s">
        <v>270</v>
      </c>
      <c r="AZ139" s="40" t="s">
        <v>314</v>
      </c>
      <c r="BA139" s="68" t="s">
        <v>648</v>
      </c>
      <c r="BC139" s="39">
        <f t="shared" si="83"/>
        <v>0</v>
      </c>
      <c r="BD139" s="39">
        <f t="shared" si="84"/>
        <v>0</v>
      </c>
      <c r="BE139" s="39">
        <v>0</v>
      </c>
      <c r="BF139" s="39">
        <f>147</f>
        <v>147</v>
      </c>
      <c r="BH139" s="39">
        <f t="shared" si="85"/>
        <v>0</v>
      </c>
      <c r="BI139" s="39">
        <f t="shared" si="86"/>
        <v>0</v>
      </c>
      <c r="BJ139" s="39">
        <f t="shared" si="87"/>
        <v>0</v>
      </c>
      <c r="BK139" s="39"/>
      <c r="BL139" s="39">
        <v>97</v>
      </c>
    </row>
    <row r="140" spans="1:64" ht="15" customHeight="1">
      <c r="A140" s="37" t="s">
        <v>29</v>
      </c>
      <c r="B140" s="38" t="s">
        <v>357</v>
      </c>
      <c r="C140" s="195" t="s">
        <v>465</v>
      </c>
      <c r="D140" s="195"/>
      <c r="E140" s="195"/>
      <c r="F140" s="195"/>
      <c r="G140" s="38" t="s">
        <v>701</v>
      </c>
      <c r="H140" s="39">
        <v>10.11</v>
      </c>
      <c r="I140" s="39">
        <v>0</v>
      </c>
      <c r="J140" s="39">
        <f t="shared" si="66"/>
        <v>0</v>
      </c>
      <c r="K140" s="39">
        <f t="shared" si="67"/>
        <v>0</v>
      </c>
      <c r="L140" s="39">
        <f t="shared" si="68"/>
        <v>0</v>
      </c>
      <c r="M140" s="80" t="s">
        <v>576</v>
      </c>
      <c r="Z140" s="39">
        <f t="shared" si="69"/>
        <v>0</v>
      </c>
      <c r="AB140" s="39">
        <f t="shared" si="70"/>
        <v>0</v>
      </c>
      <c r="AC140" s="39">
        <f t="shared" si="71"/>
        <v>0</v>
      </c>
      <c r="AD140" s="39">
        <f t="shared" si="72"/>
        <v>0</v>
      </c>
      <c r="AE140" s="39">
        <f t="shared" si="73"/>
        <v>0</v>
      </c>
      <c r="AF140" s="39">
        <f t="shared" si="74"/>
        <v>0</v>
      </c>
      <c r="AG140" s="39">
        <f t="shared" si="75"/>
        <v>0</v>
      </c>
      <c r="AH140" s="39">
        <f t="shared" si="76"/>
        <v>0</v>
      </c>
      <c r="AI140" s="68" t="s">
        <v>587</v>
      </c>
      <c r="AJ140" s="39">
        <f t="shared" si="77"/>
        <v>0</v>
      </c>
      <c r="AK140" s="39">
        <f t="shared" si="78"/>
        <v>0</v>
      </c>
      <c r="AL140" s="39">
        <f t="shared" si="79"/>
        <v>0</v>
      </c>
      <c r="AN140" s="39">
        <v>21</v>
      </c>
      <c r="AO140" s="39">
        <f>I140*0</f>
        <v>0</v>
      </c>
      <c r="AP140" s="39">
        <f>I140*(1-0)</f>
        <v>0</v>
      </c>
      <c r="AQ140" s="40" t="s">
        <v>842</v>
      </c>
      <c r="AV140" s="39">
        <f t="shared" si="80"/>
        <v>0</v>
      </c>
      <c r="AW140" s="39">
        <f t="shared" si="81"/>
        <v>0</v>
      </c>
      <c r="AX140" s="39">
        <f t="shared" si="82"/>
        <v>0</v>
      </c>
      <c r="AY140" s="40" t="s">
        <v>270</v>
      </c>
      <c r="AZ140" s="40" t="s">
        <v>314</v>
      </c>
      <c r="BA140" s="68" t="s">
        <v>648</v>
      </c>
      <c r="BC140" s="39">
        <f t="shared" si="83"/>
        <v>0</v>
      </c>
      <c r="BD140" s="39">
        <f t="shared" si="84"/>
        <v>0</v>
      </c>
      <c r="BE140" s="39">
        <v>0</v>
      </c>
      <c r="BF140" s="39">
        <f>148</f>
        <v>148</v>
      </c>
      <c r="BH140" s="39">
        <f t="shared" si="85"/>
        <v>0</v>
      </c>
      <c r="BI140" s="39">
        <f t="shared" si="86"/>
        <v>0</v>
      </c>
      <c r="BJ140" s="39">
        <f t="shared" si="87"/>
        <v>0</v>
      </c>
      <c r="BK140" s="39"/>
      <c r="BL140" s="39">
        <v>97</v>
      </c>
    </row>
    <row r="141" spans="1:64" ht="15" customHeight="1">
      <c r="A141" s="37" t="s">
        <v>0</v>
      </c>
      <c r="B141" s="38" t="s">
        <v>425</v>
      </c>
      <c r="C141" s="195" t="s">
        <v>911</v>
      </c>
      <c r="D141" s="195"/>
      <c r="E141" s="195"/>
      <c r="F141" s="195"/>
      <c r="G141" s="38" t="s">
        <v>701</v>
      </c>
      <c r="H141" s="39">
        <v>6.74</v>
      </c>
      <c r="I141" s="39">
        <v>0</v>
      </c>
      <c r="J141" s="39">
        <f t="shared" si="66"/>
        <v>0</v>
      </c>
      <c r="K141" s="39">
        <f t="shared" si="67"/>
        <v>0</v>
      </c>
      <c r="L141" s="39">
        <f t="shared" si="68"/>
        <v>0</v>
      </c>
      <c r="M141" s="80" t="s">
        <v>576</v>
      </c>
      <c r="Z141" s="39">
        <f t="shared" si="69"/>
        <v>0</v>
      </c>
      <c r="AB141" s="39">
        <f t="shared" si="70"/>
        <v>0</v>
      </c>
      <c r="AC141" s="39">
        <f t="shared" si="71"/>
        <v>0</v>
      </c>
      <c r="AD141" s="39">
        <f t="shared" si="72"/>
        <v>0</v>
      </c>
      <c r="AE141" s="39">
        <f t="shared" si="73"/>
        <v>0</v>
      </c>
      <c r="AF141" s="39">
        <f t="shared" si="74"/>
        <v>0</v>
      </c>
      <c r="AG141" s="39">
        <f t="shared" si="75"/>
        <v>0</v>
      </c>
      <c r="AH141" s="39">
        <f t="shared" si="76"/>
        <v>0</v>
      </c>
      <c r="AI141" s="68" t="s">
        <v>587</v>
      </c>
      <c r="AJ141" s="39">
        <f t="shared" si="77"/>
        <v>0</v>
      </c>
      <c r="AK141" s="39">
        <f t="shared" si="78"/>
        <v>0</v>
      </c>
      <c r="AL141" s="39">
        <f t="shared" si="79"/>
        <v>0</v>
      </c>
      <c r="AN141" s="39">
        <v>21</v>
      </c>
      <c r="AO141" s="39">
        <f>I141*0</f>
        <v>0</v>
      </c>
      <c r="AP141" s="39">
        <f>I141*(1-0)</f>
        <v>0</v>
      </c>
      <c r="AQ141" s="40" t="s">
        <v>842</v>
      </c>
      <c r="AV141" s="39">
        <f t="shared" si="80"/>
        <v>0</v>
      </c>
      <c r="AW141" s="39">
        <f t="shared" si="81"/>
        <v>0</v>
      </c>
      <c r="AX141" s="39">
        <f t="shared" si="82"/>
        <v>0</v>
      </c>
      <c r="AY141" s="40" t="s">
        <v>270</v>
      </c>
      <c r="AZ141" s="40" t="s">
        <v>314</v>
      </c>
      <c r="BA141" s="68" t="s">
        <v>648</v>
      </c>
      <c r="BC141" s="39">
        <f t="shared" si="83"/>
        <v>0</v>
      </c>
      <c r="BD141" s="39">
        <f t="shared" si="84"/>
        <v>0</v>
      </c>
      <c r="BE141" s="39">
        <v>0</v>
      </c>
      <c r="BF141" s="39">
        <f>149</f>
        <v>149</v>
      </c>
      <c r="BH141" s="39">
        <f t="shared" si="85"/>
        <v>0</v>
      </c>
      <c r="BI141" s="39">
        <f t="shared" si="86"/>
        <v>0</v>
      </c>
      <c r="BJ141" s="39">
        <f t="shared" si="87"/>
        <v>0</v>
      </c>
      <c r="BK141" s="39"/>
      <c r="BL141" s="39">
        <v>97</v>
      </c>
    </row>
    <row r="142" spans="1:64" ht="15" customHeight="1">
      <c r="A142" s="37" t="s">
        <v>766</v>
      </c>
      <c r="B142" s="38" t="s">
        <v>918</v>
      </c>
      <c r="C142" s="195" t="s">
        <v>46</v>
      </c>
      <c r="D142" s="195"/>
      <c r="E142" s="195"/>
      <c r="F142" s="195"/>
      <c r="G142" s="38" t="s">
        <v>216</v>
      </c>
      <c r="H142" s="39">
        <v>1</v>
      </c>
      <c r="I142" s="39">
        <v>0</v>
      </c>
      <c r="J142" s="39">
        <f t="shared" si="66"/>
        <v>0</v>
      </c>
      <c r="K142" s="39">
        <f t="shared" si="67"/>
        <v>0</v>
      </c>
      <c r="L142" s="39">
        <f t="shared" si="68"/>
        <v>0</v>
      </c>
      <c r="M142" s="80" t="s">
        <v>576</v>
      </c>
      <c r="Z142" s="39">
        <f t="shared" si="69"/>
        <v>0</v>
      </c>
      <c r="AB142" s="39">
        <f t="shared" si="70"/>
        <v>0</v>
      </c>
      <c r="AC142" s="39">
        <f t="shared" si="71"/>
        <v>0</v>
      </c>
      <c r="AD142" s="39">
        <f t="shared" si="72"/>
        <v>0</v>
      </c>
      <c r="AE142" s="39">
        <f t="shared" si="73"/>
        <v>0</v>
      </c>
      <c r="AF142" s="39">
        <f t="shared" si="74"/>
        <v>0</v>
      </c>
      <c r="AG142" s="39">
        <f t="shared" si="75"/>
        <v>0</v>
      </c>
      <c r="AH142" s="39">
        <f t="shared" si="76"/>
        <v>0</v>
      </c>
      <c r="AI142" s="68" t="s">
        <v>587</v>
      </c>
      <c r="AJ142" s="39">
        <f t="shared" si="77"/>
        <v>0</v>
      </c>
      <c r="AK142" s="39">
        <f t="shared" si="78"/>
        <v>0</v>
      </c>
      <c r="AL142" s="39">
        <f t="shared" si="79"/>
        <v>0</v>
      </c>
      <c r="AN142" s="39">
        <v>21</v>
      </c>
      <c r="AO142" s="39">
        <f>I142*0</f>
        <v>0</v>
      </c>
      <c r="AP142" s="39">
        <f>I142*(1-0)</f>
        <v>0</v>
      </c>
      <c r="AQ142" s="40" t="s">
        <v>842</v>
      </c>
      <c r="AV142" s="39">
        <f t="shared" si="80"/>
        <v>0</v>
      </c>
      <c r="AW142" s="39">
        <f t="shared" si="81"/>
        <v>0</v>
      </c>
      <c r="AX142" s="39">
        <f t="shared" si="82"/>
        <v>0</v>
      </c>
      <c r="AY142" s="40" t="s">
        <v>270</v>
      </c>
      <c r="AZ142" s="40" t="s">
        <v>314</v>
      </c>
      <c r="BA142" s="68" t="s">
        <v>648</v>
      </c>
      <c r="BC142" s="39">
        <f t="shared" si="83"/>
        <v>0</v>
      </c>
      <c r="BD142" s="39">
        <f t="shared" si="84"/>
        <v>0</v>
      </c>
      <c r="BE142" s="39">
        <v>0</v>
      </c>
      <c r="BF142" s="39">
        <f>150</f>
        <v>150</v>
      </c>
      <c r="BH142" s="39">
        <f t="shared" si="85"/>
        <v>0</v>
      </c>
      <c r="BI142" s="39">
        <f t="shared" si="86"/>
        <v>0</v>
      </c>
      <c r="BJ142" s="39">
        <f t="shared" si="87"/>
        <v>0</v>
      </c>
      <c r="BK142" s="39"/>
      <c r="BL142" s="39">
        <v>97</v>
      </c>
    </row>
    <row r="143" spans="1:64" ht="13.5" customHeight="1">
      <c r="A143" s="81"/>
      <c r="B143" s="82" t="s">
        <v>440</v>
      </c>
      <c r="C143" s="223" t="s">
        <v>843</v>
      </c>
      <c r="D143" s="224"/>
      <c r="E143" s="224"/>
      <c r="F143" s="224"/>
      <c r="G143" s="224"/>
      <c r="H143" s="224"/>
      <c r="I143" s="224"/>
      <c r="J143" s="224"/>
      <c r="K143" s="224"/>
      <c r="L143" s="224"/>
      <c r="M143" s="225"/>
    </row>
    <row r="144" spans="1:64" ht="15" customHeight="1">
      <c r="A144" s="76" t="s">
        <v>587</v>
      </c>
      <c r="B144" s="77" t="s">
        <v>288</v>
      </c>
      <c r="C144" s="221" t="s">
        <v>374</v>
      </c>
      <c r="D144" s="221"/>
      <c r="E144" s="221"/>
      <c r="F144" s="221"/>
      <c r="G144" s="78" t="s">
        <v>784</v>
      </c>
      <c r="H144" s="78" t="s">
        <v>784</v>
      </c>
      <c r="I144" s="78" t="s">
        <v>784</v>
      </c>
      <c r="J144" s="64">
        <f>SUM(J145:J154)</f>
        <v>0</v>
      </c>
      <c r="K144" s="64">
        <f>SUM(K145:K154)</f>
        <v>0</v>
      </c>
      <c r="L144" s="64">
        <f>SUM(L145:L154)</f>
        <v>0</v>
      </c>
      <c r="M144" s="79" t="s">
        <v>587</v>
      </c>
      <c r="AI144" s="68" t="s">
        <v>587</v>
      </c>
      <c r="AS144" s="64">
        <f>SUM(AJ145:AJ154)</f>
        <v>0</v>
      </c>
      <c r="AT144" s="64">
        <f>SUM(AK145:AK154)</f>
        <v>0</v>
      </c>
      <c r="AU144" s="64">
        <f>SUM(AL145:AL154)</f>
        <v>0</v>
      </c>
    </row>
    <row r="145" spans="1:64" ht="15" customHeight="1">
      <c r="A145" s="37" t="s">
        <v>95</v>
      </c>
      <c r="B145" s="38" t="s">
        <v>864</v>
      </c>
      <c r="C145" s="195" t="s">
        <v>227</v>
      </c>
      <c r="D145" s="195"/>
      <c r="E145" s="195"/>
      <c r="F145" s="195"/>
      <c r="G145" s="38" t="s">
        <v>401</v>
      </c>
      <c r="H145" s="39">
        <v>45.506999999999998</v>
      </c>
      <c r="I145" s="39">
        <v>0</v>
      </c>
      <c r="J145" s="39">
        <f>H145*AO145</f>
        <v>0</v>
      </c>
      <c r="K145" s="39">
        <f>H145*AP145</f>
        <v>0</v>
      </c>
      <c r="L145" s="39">
        <f>H145*I145</f>
        <v>0</v>
      </c>
      <c r="M145" s="80" t="s">
        <v>576</v>
      </c>
      <c r="Z145" s="39">
        <f>IF(AQ145="5",BJ145,0)</f>
        <v>0</v>
      </c>
      <c r="AB145" s="39">
        <f>IF(AQ145="1",BH145,0)</f>
        <v>0</v>
      </c>
      <c r="AC145" s="39">
        <f>IF(AQ145="1",BI145,0)</f>
        <v>0</v>
      </c>
      <c r="AD145" s="39">
        <f>IF(AQ145="7",BH145,0)</f>
        <v>0</v>
      </c>
      <c r="AE145" s="39">
        <f>IF(AQ145="7",BI145,0)</f>
        <v>0</v>
      </c>
      <c r="AF145" s="39">
        <f>IF(AQ145="2",BH145,0)</f>
        <v>0</v>
      </c>
      <c r="AG145" s="39">
        <f>IF(AQ145="2",BI145,0)</f>
        <v>0</v>
      </c>
      <c r="AH145" s="39">
        <f>IF(AQ145="0",BJ145,0)</f>
        <v>0</v>
      </c>
      <c r="AI145" s="68" t="s">
        <v>587</v>
      </c>
      <c r="AJ145" s="39">
        <f>IF(AN145=0,L145,0)</f>
        <v>0</v>
      </c>
      <c r="AK145" s="39">
        <f>IF(AN145=15,L145,0)</f>
        <v>0</v>
      </c>
      <c r="AL145" s="39">
        <f>IF(AN145=21,L145,0)</f>
        <v>0</v>
      </c>
      <c r="AN145" s="39">
        <v>21</v>
      </c>
      <c r="AO145" s="39">
        <f>I145*0</f>
        <v>0</v>
      </c>
      <c r="AP145" s="39">
        <f>I145*(1-0)</f>
        <v>0</v>
      </c>
      <c r="AQ145" s="40" t="s">
        <v>454</v>
      </c>
      <c r="AV145" s="39">
        <f>AW145+AX145</f>
        <v>0</v>
      </c>
      <c r="AW145" s="39">
        <f>H145*AO145</f>
        <v>0</v>
      </c>
      <c r="AX145" s="39">
        <f>H145*AP145</f>
        <v>0</v>
      </c>
      <c r="AY145" s="40" t="s">
        <v>355</v>
      </c>
      <c r="AZ145" s="40" t="s">
        <v>314</v>
      </c>
      <c r="BA145" s="68" t="s">
        <v>648</v>
      </c>
      <c r="BC145" s="39">
        <f>AW145+AX145</f>
        <v>0</v>
      </c>
      <c r="BD145" s="39">
        <f>I145/(100-BE145)*100</f>
        <v>0</v>
      </c>
      <c r="BE145" s="39">
        <v>0</v>
      </c>
      <c r="BF145" s="39">
        <f>153</f>
        <v>153</v>
      </c>
      <c r="BH145" s="39">
        <f>H145*AO145</f>
        <v>0</v>
      </c>
      <c r="BI145" s="39">
        <f>H145*AP145</f>
        <v>0</v>
      </c>
      <c r="BJ145" s="39">
        <f>H145*I145</f>
        <v>0</v>
      </c>
      <c r="BK145" s="39"/>
      <c r="BL145" s="39"/>
    </row>
    <row r="146" spans="1:64" ht="15" customHeight="1">
      <c r="A146" s="37" t="s">
        <v>345</v>
      </c>
      <c r="B146" s="38" t="s">
        <v>173</v>
      </c>
      <c r="C146" s="195" t="s">
        <v>429</v>
      </c>
      <c r="D146" s="195"/>
      <c r="E146" s="195"/>
      <c r="F146" s="195"/>
      <c r="G146" s="38" t="s">
        <v>401</v>
      </c>
      <c r="H146" s="39">
        <v>91.013999999999996</v>
      </c>
      <c r="I146" s="39">
        <v>0</v>
      </c>
      <c r="J146" s="39">
        <f>H146*AO146</f>
        <v>0</v>
      </c>
      <c r="K146" s="39">
        <f>H146*AP146</f>
        <v>0</v>
      </c>
      <c r="L146" s="39">
        <f>H146*I146</f>
        <v>0</v>
      </c>
      <c r="M146" s="80" t="s">
        <v>576</v>
      </c>
      <c r="Z146" s="39">
        <f>IF(AQ146="5",BJ146,0)</f>
        <v>0</v>
      </c>
      <c r="AB146" s="39">
        <f>IF(AQ146="1",BH146,0)</f>
        <v>0</v>
      </c>
      <c r="AC146" s="39">
        <f>IF(AQ146="1",BI146,0)</f>
        <v>0</v>
      </c>
      <c r="AD146" s="39">
        <f>IF(AQ146="7",BH146,0)</f>
        <v>0</v>
      </c>
      <c r="AE146" s="39">
        <f>IF(AQ146="7",BI146,0)</f>
        <v>0</v>
      </c>
      <c r="AF146" s="39">
        <f>IF(AQ146="2",BH146,0)</f>
        <v>0</v>
      </c>
      <c r="AG146" s="39">
        <f>IF(AQ146="2",BI146,0)</f>
        <v>0</v>
      </c>
      <c r="AH146" s="39">
        <f>IF(AQ146="0",BJ146,0)</f>
        <v>0</v>
      </c>
      <c r="AI146" s="68" t="s">
        <v>587</v>
      </c>
      <c r="AJ146" s="39">
        <f>IF(AN146=0,L146,0)</f>
        <v>0</v>
      </c>
      <c r="AK146" s="39">
        <f>IF(AN146=15,L146,0)</f>
        <v>0</v>
      </c>
      <c r="AL146" s="39">
        <f>IF(AN146=21,L146,0)</f>
        <v>0</v>
      </c>
      <c r="AN146" s="39">
        <v>21</v>
      </c>
      <c r="AO146" s="39">
        <f>I146*0</f>
        <v>0</v>
      </c>
      <c r="AP146" s="39">
        <f>I146*(1-0)</f>
        <v>0</v>
      </c>
      <c r="AQ146" s="40" t="s">
        <v>454</v>
      </c>
      <c r="AV146" s="39">
        <f>AW146+AX146</f>
        <v>0</v>
      </c>
      <c r="AW146" s="39">
        <f>H146*AO146</f>
        <v>0</v>
      </c>
      <c r="AX146" s="39">
        <f>H146*AP146</f>
        <v>0</v>
      </c>
      <c r="AY146" s="40" t="s">
        <v>355</v>
      </c>
      <c r="AZ146" s="40" t="s">
        <v>314</v>
      </c>
      <c r="BA146" s="68" t="s">
        <v>648</v>
      </c>
      <c r="BC146" s="39">
        <f>AW146+AX146</f>
        <v>0</v>
      </c>
      <c r="BD146" s="39">
        <f>I146/(100-BE146)*100</f>
        <v>0</v>
      </c>
      <c r="BE146" s="39">
        <v>0</v>
      </c>
      <c r="BF146" s="39">
        <f>154</f>
        <v>154</v>
      </c>
      <c r="BH146" s="39">
        <f>H146*AO146</f>
        <v>0</v>
      </c>
      <c r="BI146" s="39">
        <f>H146*AP146</f>
        <v>0</v>
      </c>
      <c r="BJ146" s="39">
        <f>H146*I146</f>
        <v>0</v>
      </c>
      <c r="BK146" s="39"/>
      <c r="BL146" s="39"/>
    </row>
    <row r="147" spans="1:64" ht="15" customHeight="1">
      <c r="A147" s="37" t="s">
        <v>480</v>
      </c>
      <c r="B147" s="38" t="s">
        <v>669</v>
      </c>
      <c r="C147" s="195" t="s">
        <v>561</v>
      </c>
      <c r="D147" s="195"/>
      <c r="E147" s="195"/>
      <c r="F147" s="195"/>
      <c r="G147" s="38" t="s">
        <v>401</v>
      </c>
      <c r="H147" s="39">
        <v>45.506999999999998</v>
      </c>
      <c r="I147" s="39">
        <v>0</v>
      </c>
      <c r="J147" s="39">
        <f>H147*AO147</f>
        <v>0</v>
      </c>
      <c r="K147" s="39">
        <f>H147*AP147</f>
        <v>0</v>
      </c>
      <c r="L147" s="39">
        <f>H147*I147</f>
        <v>0</v>
      </c>
      <c r="M147" s="80" t="s">
        <v>576</v>
      </c>
      <c r="Z147" s="39">
        <f>IF(AQ147="5",BJ147,0)</f>
        <v>0</v>
      </c>
      <c r="AB147" s="39">
        <f>IF(AQ147="1",BH147,0)</f>
        <v>0</v>
      </c>
      <c r="AC147" s="39">
        <f>IF(AQ147="1",BI147,0)</f>
        <v>0</v>
      </c>
      <c r="AD147" s="39">
        <f>IF(AQ147="7",BH147,0)</f>
        <v>0</v>
      </c>
      <c r="AE147" s="39">
        <f>IF(AQ147="7",BI147,0)</f>
        <v>0</v>
      </c>
      <c r="AF147" s="39">
        <f>IF(AQ147="2",BH147,0)</f>
        <v>0</v>
      </c>
      <c r="AG147" s="39">
        <f>IF(AQ147="2",BI147,0)</f>
        <v>0</v>
      </c>
      <c r="AH147" s="39">
        <f>IF(AQ147="0",BJ147,0)</f>
        <v>0</v>
      </c>
      <c r="AI147" s="68" t="s">
        <v>587</v>
      </c>
      <c r="AJ147" s="39">
        <f>IF(AN147=0,L147,0)</f>
        <v>0</v>
      </c>
      <c r="AK147" s="39">
        <f>IF(AN147=15,L147,0)</f>
        <v>0</v>
      </c>
      <c r="AL147" s="39">
        <f>IF(AN147=21,L147,0)</f>
        <v>0</v>
      </c>
      <c r="AN147" s="39">
        <v>21</v>
      </c>
      <c r="AO147" s="39">
        <f>I147*0.00998701978579675</f>
        <v>0</v>
      </c>
      <c r="AP147" s="39">
        <f>I147*(1-0.00998701978579675)</f>
        <v>0</v>
      </c>
      <c r="AQ147" s="40" t="s">
        <v>454</v>
      </c>
      <c r="AV147" s="39">
        <f>AW147+AX147</f>
        <v>0</v>
      </c>
      <c r="AW147" s="39">
        <f>H147*AO147</f>
        <v>0</v>
      </c>
      <c r="AX147" s="39">
        <f>H147*AP147</f>
        <v>0</v>
      </c>
      <c r="AY147" s="40" t="s">
        <v>355</v>
      </c>
      <c r="AZ147" s="40" t="s">
        <v>314</v>
      </c>
      <c r="BA147" s="68" t="s">
        <v>648</v>
      </c>
      <c r="BC147" s="39">
        <f>AW147+AX147</f>
        <v>0</v>
      </c>
      <c r="BD147" s="39">
        <f>I147/(100-BE147)*100</f>
        <v>0</v>
      </c>
      <c r="BE147" s="39">
        <v>0</v>
      </c>
      <c r="BF147" s="39">
        <f>155</f>
        <v>155</v>
      </c>
      <c r="BH147" s="39">
        <f>H147*AO147</f>
        <v>0</v>
      </c>
      <c r="BI147" s="39">
        <f>H147*AP147</f>
        <v>0</v>
      </c>
      <c r="BJ147" s="39">
        <f>H147*I147</f>
        <v>0</v>
      </c>
      <c r="BK147" s="39"/>
      <c r="BL147" s="39"/>
    </row>
    <row r="148" spans="1:64" ht="13.5" customHeight="1">
      <c r="A148" s="81"/>
      <c r="B148" s="82" t="s">
        <v>440</v>
      </c>
      <c r="C148" s="223" t="s">
        <v>577</v>
      </c>
      <c r="D148" s="224"/>
      <c r="E148" s="224"/>
      <c r="F148" s="224"/>
      <c r="G148" s="224"/>
      <c r="H148" s="224"/>
      <c r="I148" s="224"/>
      <c r="J148" s="224"/>
      <c r="K148" s="224"/>
      <c r="L148" s="224"/>
      <c r="M148" s="225"/>
    </row>
    <row r="149" spans="1:64" ht="15" customHeight="1">
      <c r="A149" s="37" t="s">
        <v>93</v>
      </c>
      <c r="B149" s="38" t="s">
        <v>579</v>
      </c>
      <c r="C149" s="195" t="s">
        <v>251</v>
      </c>
      <c r="D149" s="195"/>
      <c r="E149" s="195"/>
      <c r="F149" s="195"/>
      <c r="G149" s="38" t="s">
        <v>401</v>
      </c>
      <c r="H149" s="39">
        <v>182.02799999999999</v>
      </c>
      <c r="I149" s="39">
        <v>0</v>
      </c>
      <c r="J149" s="39">
        <f t="shared" ref="J149:J154" si="88">H149*AO149</f>
        <v>0</v>
      </c>
      <c r="K149" s="39">
        <f t="shared" ref="K149:K154" si="89">H149*AP149</f>
        <v>0</v>
      </c>
      <c r="L149" s="39">
        <f t="shared" ref="L149:L154" si="90">H149*I149</f>
        <v>0</v>
      </c>
      <c r="M149" s="80" t="s">
        <v>576</v>
      </c>
      <c r="Z149" s="39">
        <f t="shared" ref="Z149:Z154" si="91">IF(AQ149="5",BJ149,0)</f>
        <v>0</v>
      </c>
      <c r="AB149" s="39">
        <f t="shared" ref="AB149:AB154" si="92">IF(AQ149="1",BH149,0)</f>
        <v>0</v>
      </c>
      <c r="AC149" s="39">
        <f t="shared" ref="AC149:AC154" si="93">IF(AQ149="1",BI149,0)</f>
        <v>0</v>
      </c>
      <c r="AD149" s="39">
        <f t="shared" ref="AD149:AD154" si="94">IF(AQ149="7",BH149,0)</f>
        <v>0</v>
      </c>
      <c r="AE149" s="39">
        <f t="shared" ref="AE149:AE154" si="95">IF(AQ149="7",BI149,0)</f>
        <v>0</v>
      </c>
      <c r="AF149" s="39">
        <f t="shared" ref="AF149:AF154" si="96">IF(AQ149="2",BH149,0)</f>
        <v>0</v>
      </c>
      <c r="AG149" s="39">
        <f t="shared" ref="AG149:AG154" si="97">IF(AQ149="2",BI149,0)</f>
        <v>0</v>
      </c>
      <c r="AH149" s="39">
        <f t="shared" ref="AH149:AH154" si="98">IF(AQ149="0",BJ149,0)</f>
        <v>0</v>
      </c>
      <c r="AI149" s="68" t="s">
        <v>587</v>
      </c>
      <c r="AJ149" s="39">
        <f t="shared" ref="AJ149:AJ154" si="99">IF(AN149=0,L149,0)</f>
        <v>0</v>
      </c>
      <c r="AK149" s="39">
        <f t="shared" ref="AK149:AK154" si="100">IF(AN149=15,L149,0)</f>
        <v>0</v>
      </c>
      <c r="AL149" s="39">
        <f t="shared" ref="AL149:AL154" si="101">IF(AN149=21,L149,0)</f>
        <v>0</v>
      </c>
      <c r="AN149" s="39">
        <v>21</v>
      </c>
      <c r="AO149" s="39">
        <f t="shared" ref="AO149:AO154" si="102">I149*0</f>
        <v>0</v>
      </c>
      <c r="AP149" s="39">
        <f t="shared" ref="AP149:AP154" si="103">I149*(1-0)</f>
        <v>0</v>
      </c>
      <c r="AQ149" s="40" t="s">
        <v>454</v>
      </c>
      <c r="AV149" s="39">
        <f t="shared" ref="AV149:AV154" si="104">AW149+AX149</f>
        <v>0</v>
      </c>
      <c r="AW149" s="39">
        <f t="shared" ref="AW149:AW154" si="105">H149*AO149</f>
        <v>0</v>
      </c>
      <c r="AX149" s="39">
        <f t="shared" ref="AX149:AX154" si="106">H149*AP149</f>
        <v>0</v>
      </c>
      <c r="AY149" s="40" t="s">
        <v>355</v>
      </c>
      <c r="AZ149" s="40" t="s">
        <v>314</v>
      </c>
      <c r="BA149" s="68" t="s">
        <v>648</v>
      </c>
      <c r="BC149" s="39">
        <f t="shared" ref="BC149:BC154" si="107">AW149+AX149</f>
        <v>0</v>
      </c>
      <c r="BD149" s="39">
        <f t="shared" ref="BD149:BD154" si="108">I149/(100-BE149)*100</f>
        <v>0</v>
      </c>
      <c r="BE149" s="39">
        <v>0</v>
      </c>
      <c r="BF149" s="39">
        <f>157</f>
        <v>157</v>
      </c>
      <c r="BH149" s="39">
        <f t="shared" ref="BH149:BH154" si="109">H149*AO149</f>
        <v>0</v>
      </c>
      <c r="BI149" s="39">
        <f t="shared" ref="BI149:BI154" si="110">H149*AP149</f>
        <v>0</v>
      </c>
      <c r="BJ149" s="39">
        <f t="shared" ref="BJ149:BJ154" si="111">H149*I149</f>
        <v>0</v>
      </c>
      <c r="BK149" s="39"/>
      <c r="BL149" s="39"/>
    </row>
    <row r="150" spans="1:64" ht="15" customHeight="1">
      <c r="A150" s="37" t="s">
        <v>593</v>
      </c>
      <c r="B150" s="38" t="s">
        <v>68</v>
      </c>
      <c r="C150" s="195" t="s">
        <v>450</v>
      </c>
      <c r="D150" s="195"/>
      <c r="E150" s="195"/>
      <c r="F150" s="195"/>
      <c r="G150" s="38" t="s">
        <v>401</v>
      </c>
      <c r="H150" s="39">
        <v>8.077</v>
      </c>
      <c r="I150" s="39">
        <v>0</v>
      </c>
      <c r="J150" s="39">
        <f t="shared" si="88"/>
        <v>0</v>
      </c>
      <c r="K150" s="39">
        <f t="shared" si="89"/>
        <v>0</v>
      </c>
      <c r="L150" s="39">
        <f t="shared" si="90"/>
        <v>0</v>
      </c>
      <c r="M150" s="80" t="s">
        <v>576</v>
      </c>
      <c r="Z150" s="39">
        <f t="shared" si="91"/>
        <v>0</v>
      </c>
      <c r="AB150" s="39">
        <f t="shared" si="92"/>
        <v>0</v>
      </c>
      <c r="AC150" s="39">
        <f t="shared" si="93"/>
        <v>0</v>
      </c>
      <c r="AD150" s="39">
        <f t="shared" si="94"/>
        <v>0</v>
      </c>
      <c r="AE150" s="39">
        <f t="shared" si="95"/>
        <v>0</v>
      </c>
      <c r="AF150" s="39">
        <f t="shared" si="96"/>
        <v>0</v>
      </c>
      <c r="AG150" s="39">
        <f t="shared" si="97"/>
        <v>0</v>
      </c>
      <c r="AH150" s="39">
        <f t="shared" si="98"/>
        <v>0</v>
      </c>
      <c r="AI150" s="68" t="s">
        <v>587</v>
      </c>
      <c r="AJ150" s="39">
        <f t="shared" si="99"/>
        <v>0</v>
      </c>
      <c r="AK150" s="39">
        <f t="shared" si="100"/>
        <v>0</v>
      </c>
      <c r="AL150" s="39">
        <f t="shared" si="101"/>
        <v>0</v>
      </c>
      <c r="AN150" s="39">
        <v>21</v>
      </c>
      <c r="AO150" s="39">
        <f t="shared" si="102"/>
        <v>0</v>
      </c>
      <c r="AP150" s="39">
        <f t="shared" si="103"/>
        <v>0</v>
      </c>
      <c r="AQ150" s="40" t="s">
        <v>454</v>
      </c>
      <c r="AV150" s="39">
        <f t="shared" si="104"/>
        <v>0</v>
      </c>
      <c r="AW150" s="39">
        <f t="shared" si="105"/>
        <v>0</v>
      </c>
      <c r="AX150" s="39">
        <f t="shared" si="106"/>
        <v>0</v>
      </c>
      <c r="AY150" s="40" t="s">
        <v>355</v>
      </c>
      <c r="AZ150" s="40" t="s">
        <v>314</v>
      </c>
      <c r="BA150" s="68" t="s">
        <v>648</v>
      </c>
      <c r="BC150" s="39">
        <f t="shared" si="107"/>
        <v>0</v>
      </c>
      <c r="BD150" s="39">
        <f t="shared" si="108"/>
        <v>0</v>
      </c>
      <c r="BE150" s="39">
        <v>0</v>
      </c>
      <c r="BF150" s="39">
        <f>158</f>
        <v>158</v>
      </c>
      <c r="BH150" s="39">
        <f t="shared" si="109"/>
        <v>0</v>
      </c>
      <c r="BI150" s="39">
        <f t="shared" si="110"/>
        <v>0</v>
      </c>
      <c r="BJ150" s="39">
        <f t="shared" si="111"/>
        <v>0</v>
      </c>
      <c r="BK150" s="39"/>
      <c r="BL150" s="39"/>
    </row>
    <row r="151" spans="1:64" ht="15" customHeight="1">
      <c r="A151" s="37" t="s">
        <v>411</v>
      </c>
      <c r="B151" s="38" t="s">
        <v>449</v>
      </c>
      <c r="C151" s="195" t="s">
        <v>426</v>
      </c>
      <c r="D151" s="195"/>
      <c r="E151" s="195"/>
      <c r="F151" s="195"/>
      <c r="G151" s="38" t="s">
        <v>401</v>
      </c>
      <c r="H151" s="39">
        <v>0.16800000000000001</v>
      </c>
      <c r="I151" s="39">
        <v>0</v>
      </c>
      <c r="J151" s="39">
        <f t="shared" si="88"/>
        <v>0</v>
      </c>
      <c r="K151" s="39">
        <f t="shared" si="89"/>
        <v>0</v>
      </c>
      <c r="L151" s="39">
        <f t="shared" si="90"/>
        <v>0</v>
      </c>
      <c r="M151" s="80" t="s">
        <v>576</v>
      </c>
      <c r="Z151" s="39">
        <f t="shared" si="91"/>
        <v>0</v>
      </c>
      <c r="AB151" s="39">
        <f t="shared" si="92"/>
        <v>0</v>
      </c>
      <c r="AC151" s="39">
        <f t="shared" si="93"/>
        <v>0</v>
      </c>
      <c r="AD151" s="39">
        <f t="shared" si="94"/>
        <v>0</v>
      </c>
      <c r="AE151" s="39">
        <f t="shared" si="95"/>
        <v>0</v>
      </c>
      <c r="AF151" s="39">
        <f t="shared" si="96"/>
        <v>0</v>
      </c>
      <c r="AG151" s="39">
        <f t="shared" si="97"/>
        <v>0</v>
      </c>
      <c r="AH151" s="39">
        <f t="shared" si="98"/>
        <v>0</v>
      </c>
      <c r="AI151" s="68" t="s">
        <v>587</v>
      </c>
      <c r="AJ151" s="39">
        <f t="shared" si="99"/>
        <v>0</v>
      </c>
      <c r="AK151" s="39">
        <f t="shared" si="100"/>
        <v>0</v>
      </c>
      <c r="AL151" s="39">
        <f t="shared" si="101"/>
        <v>0</v>
      </c>
      <c r="AN151" s="39">
        <v>21</v>
      </c>
      <c r="AO151" s="39">
        <f t="shared" si="102"/>
        <v>0</v>
      </c>
      <c r="AP151" s="39">
        <f t="shared" si="103"/>
        <v>0</v>
      </c>
      <c r="AQ151" s="40" t="s">
        <v>454</v>
      </c>
      <c r="AV151" s="39">
        <f t="shared" si="104"/>
        <v>0</v>
      </c>
      <c r="AW151" s="39">
        <f t="shared" si="105"/>
        <v>0</v>
      </c>
      <c r="AX151" s="39">
        <f t="shared" si="106"/>
        <v>0</v>
      </c>
      <c r="AY151" s="40" t="s">
        <v>355</v>
      </c>
      <c r="AZ151" s="40" t="s">
        <v>314</v>
      </c>
      <c r="BA151" s="68" t="s">
        <v>648</v>
      </c>
      <c r="BC151" s="39">
        <f t="shared" si="107"/>
        <v>0</v>
      </c>
      <c r="BD151" s="39">
        <f t="shared" si="108"/>
        <v>0</v>
      </c>
      <c r="BE151" s="39">
        <v>0</v>
      </c>
      <c r="BF151" s="39">
        <f>159</f>
        <v>159</v>
      </c>
      <c r="BH151" s="39">
        <f t="shared" si="109"/>
        <v>0</v>
      </c>
      <c r="BI151" s="39">
        <f t="shared" si="110"/>
        <v>0</v>
      </c>
      <c r="BJ151" s="39">
        <f t="shared" si="111"/>
        <v>0</v>
      </c>
      <c r="BK151" s="39"/>
      <c r="BL151" s="39"/>
    </row>
    <row r="152" spans="1:64" ht="15" customHeight="1">
      <c r="A152" s="37" t="s">
        <v>694</v>
      </c>
      <c r="B152" s="38" t="s">
        <v>293</v>
      </c>
      <c r="C152" s="195" t="s">
        <v>741</v>
      </c>
      <c r="D152" s="195"/>
      <c r="E152" s="195"/>
      <c r="F152" s="195"/>
      <c r="G152" s="38" t="s">
        <v>401</v>
      </c>
      <c r="H152" s="39">
        <v>30.579000000000001</v>
      </c>
      <c r="I152" s="39">
        <v>0</v>
      </c>
      <c r="J152" s="39">
        <f t="shared" si="88"/>
        <v>0</v>
      </c>
      <c r="K152" s="39">
        <f t="shared" si="89"/>
        <v>0</v>
      </c>
      <c r="L152" s="39">
        <f t="shared" si="90"/>
        <v>0</v>
      </c>
      <c r="M152" s="80" t="s">
        <v>576</v>
      </c>
      <c r="Z152" s="39">
        <f t="shared" si="91"/>
        <v>0</v>
      </c>
      <c r="AB152" s="39">
        <f t="shared" si="92"/>
        <v>0</v>
      </c>
      <c r="AC152" s="39">
        <f t="shared" si="93"/>
        <v>0</v>
      </c>
      <c r="AD152" s="39">
        <f t="shared" si="94"/>
        <v>0</v>
      </c>
      <c r="AE152" s="39">
        <f t="shared" si="95"/>
        <v>0</v>
      </c>
      <c r="AF152" s="39">
        <f t="shared" si="96"/>
        <v>0</v>
      </c>
      <c r="AG152" s="39">
        <f t="shared" si="97"/>
        <v>0</v>
      </c>
      <c r="AH152" s="39">
        <f t="shared" si="98"/>
        <v>0</v>
      </c>
      <c r="AI152" s="68" t="s">
        <v>587</v>
      </c>
      <c r="AJ152" s="39">
        <f t="shared" si="99"/>
        <v>0</v>
      </c>
      <c r="AK152" s="39">
        <f t="shared" si="100"/>
        <v>0</v>
      </c>
      <c r="AL152" s="39">
        <f t="shared" si="101"/>
        <v>0</v>
      </c>
      <c r="AN152" s="39">
        <v>21</v>
      </c>
      <c r="AO152" s="39">
        <f t="shared" si="102"/>
        <v>0</v>
      </c>
      <c r="AP152" s="39">
        <f t="shared" si="103"/>
        <v>0</v>
      </c>
      <c r="AQ152" s="40" t="s">
        <v>454</v>
      </c>
      <c r="AV152" s="39">
        <f t="shared" si="104"/>
        <v>0</v>
      </c>
      <c r="AW152" s="39">
        <f t="shared" si="105"/>
        <v>0</v>
      </c>
      <c r="AX152" s="39">
        <f t="shared" si="106"/>
        <v>0</v>
      </c>
      <c r="AY152" s="40" t="s">
        <v>355</v>
      </c>
      <c r="AZ152" s="40" t="s">
        <v>314</v>
      </c>
      <c r="BA152" s="68" t="s">
        <v>648</v>
      </c>
      <c r="BC152" s="39">
        <f t="shared" si="107"/>
        <v>0</v>
      </c>
      <c r="BD152" s="39">
        <f t="shared" si="108"/>
        <v>0</v>
      </c>
      <c r="BE152" s="39">
        <v>0</v>
      </c>
      <c r="BF152" s="39">
        <f>160</f>
        <v>160</v>
      </c>
      <c r="BH152" s="39">
        <f t="shared" si="109"/>
        <v>0</v>
      </c>
      <c r="BI152" s="39">
        <f t="shared" si="110"/>
        <v>0</v>
      </c>
      <c r="BJ152" s="39">
        <f t="shared" si="111"/>
        <v>0</v>
      </c>
      <c r="BK152" s="39"/>
      <c r="BL152" s="39"/>
    </row>
    <row r="153" spans="1:64" ht="15" customHeight="1">
      <c r="A153" s="37" t="s">
        <v>778</v>
      </c>
      <c r="B153" s="38" t="s">
        <v>528</v>
      </c>
      <c r="C153" s="195" t="s">
        <v>294</v>
      </c>
      <c r="D153" s="195"/>
      <c r="E153" s="195"/>
      <c r="F153" s="195"/>
      <c r="G153" s="38" t="s">
        <v>401</v>
      </c>
      <c r="H153" s="39">
        <v>0.13900000000000001</v>
      </c>
      <c r="I153" s="39">
        <v>0</v>
      </c>
      <c r="J153" s="39">
        <f t="shared" si="88"/>
        <v>0</v>
      </c>
      <c r="K153" s="39">
        <f t="shared" si="89"/>
        <v>0</v>
      </c>
      <c r="L153" s="39">
        <f t="shared" si="90"/>
        <v>0</v>
      </c>
      <c r="M153" s="80" t="s">
        <v>576</v>
      </c>
      <c r="Z153" s="39">
        <f t="shared" si="91"/>
        <v>0</v>
      </c>
      <c r="AB153" s="39">
        <f t="shared" si="92"/>
        <v>0</v>
      </c>
      <c r="AC153" s="39">
        <f t="shared" si="93"/>
        <v>0</v>
      </c>
      <c r="AD153" s="39">
        <f t="shared" si="94"/>
        <v>0</v>
      </c>
      <c r="AE153" s="39">
        <f t="shared" si="95"/>
        <v>0</v>
      </c>
      <c r="AF153" s="39">
        <f t="shared" si="96"/>
        <v>0</v>
      </c>
      <c r="AG153" s="39">
        <f t="shared" si="97"/>
        <v>0</v>
      </c>
      <c r="AH153" s="39">
        <f t="shared" si="98"/>
        <v>0</v>
      </c>
      <c r="AI153" s="68" t="s">
        <v>587</v>
      </c>
      <c r="AJ153" s="39">
        <f t="shared" si="99"/>
        <v>0</v>
      </c>
      <c r="AK153" s="39">
        <f t="shared" si="100"/>
        <v>0</v>
      </c>
      <c r="AL153" s="39">
        <f t="shared" si="101"/>
        <v>0</v>
      </c>
      <c r="AN153" s="39">
        <v>21</v>
      </c>
      <c r="AO153" s="39">
        <f t="shared" si="102"/>
        <v>0</v>
      </c>
      <c r="AP153" s="39">
        <f t="shared" si="103"/>
        <v>0</v>
      </c>
      <c r="AQ153" s="40" t="s">
        <v>454</v>
      </c>
      <c r="AV153" s="39">
        <f t="shared" si="104"/>
        <v>0</v>
      </c>
      <c r="AW153" s="39">
        <f t="shared" si="105"/>
        <v>0</v>
      </c>
      <c r="AX153" s="39">
        <f t="shared" si="106"/>
        <v>0</v>
      </c>
      <c r="AY153" s="40" t="s">
        <v>355</v>
      </c>
      <c r="AZ153" s="40" t="s">
        <v>314</v>
      </c>
      <c r="BA153" s="68" t="s">
        <v>648</v>
      </c>
      <c r="BC153" s="39">
        <f t="shared" si="107"/>
        <v>0</v>
      </c>
      <c r="BD153" s="39">
        <f t="shared" si="108"/>
        <v>0</v>
      </c>
      <c r="BE153" s="39">
        <v>0</v>
      </c>
      <c r="BF153" s="39">
        <f>161</f>
        <v>161</v>
      </c>
      <c r="BH153" s="39">
        <f t="shared" si="109"/>
        <v>0</v>
      </c>
      <c r="BI153" s="39">
        <f t="shared" si="110"/>
        <v>0</v>
      </c>
      <c r="BJ153" s="39">
        <f t="shared" si="111"/>
        <v>0</v>
      </c>
      <c r="BK153" s="39"/>
      <c r="BL153" s="39"/>
    </row>
    <row r="154" spans="1:64" ht="15" customHeight="1">
      <c r="A154" s="37" t="s">
        <v>738</v>
      </c>
      <c r="B154" s="38" t="s">
        <v>330</v>
      </c>
      <c r="C154" s="195" t="s">
        <v>794</v>
      </c>
      <c r="D154" s="195"/>
      <c r="E154" s="195"/>
      <c r="F154" s="195"/>
      <c r="G154" s="38" t="s">
        <v>401</v>
      </c>
      <c r="H154" s="39">
        <v>0.29299999999999998</v>
      </c>
      <c r="I154" s="39">
        <v>0</v>
      </c>
      <c r="J154" s="39">
        <f t="shared" si="88"/>
        <v>0</v>
      </c>
      <c r="K154" s="39">
        <f t="shared" si="89"/>
        <v>0</v>
      </c>
      <c r="L154" s="39">
        <f t="shared" si="90"/>
        <v>0</v>
      </c>
      <c r="M154" s="80" t="s">
        <v>576</v>
      </c>
      <c r="Z154" s="39">
        <f t="shared" si="91"/>
        <v>0</v>
      </c>
      <c r="AB154" s="39">
        <f t="shared" si="92"/>
        <v>0</v>
      </c>
      <c r="AC154" s="39">
        <f t="shared" si="93"/>
        <v>0</v>
      </c>
      <c r="AD154" s="39">
        <f t="shared" si="94"/>
        <v>0</v>
      </c>
      <c r="AE154" s="39">
        <f t="shared" si="95"/>
        <v>0</v>
      </c>
      <c r="AF154" s="39">
        <f t="shared" si="96"/>
        <v>0</v>
      </c>
      <c r="AG154" s="39">
        <f t="shared" si="97"/>
        <v>0</v>
      </c>
      <c r="AH154" s="39">
        <f t="shared" si="98"/>
        <v>0</v>
      </c>
      <c r="AI154" s="68" t="s">
        <v>587</v>
      </c>
      <c r="AJ154" s="39">
        <f t="shared" si="99"/>
        <v>0</v>
      </c>
      <c r="AK154" s="39">
        <f t="shared" si="100"/>
        <v>0</v>
      </c>
      <c r="AL154" s="39">
        <f t="shared" si="101"/>
        <v>0</v>
      </c>
      <c r="AN154" s="39">
        <v>21</v>
      </c>
      <c r="AO154" s="39">
        <f t="shared" si="102"/>
        <v>0</v>
      </c>
      <c r="AP154" s="39">
        <f t="shared" si="103"/>
        <v>0</v>
      </c>
      <c r="AQ154" s="40" t="s">
        <v>454</v>
      </c>
      <c r="AV154" s="39">
        <f t="shared" si="104"/>
        <v>0</v>
      </c>
      <c r="AW154" s="39">
        <f t="shared" si="105"/>
        <v>0</v>
      </c>
      <c r="AX154" s="39">
        <f t="shared" si="106"/>
        <v>0</v>
      </c>
      <c r="AY154" s="40" t="s">
        <v>355</v>
      </c>
      <c r="AZ154" s="40" t="s">
        <v>314</v>
      </c>
      <c r="BA154" s="68" t="s">
        <v>648</v>
      </c>
      <c r="BC154" s="39">
        <f t="shared" si="107"/>
        <v>0</v>
      </c>
      <c r="BD154" s="39">
        <f t="shared" si="108"/>
        <v>0</v>
      </c>
      <c r="BE154" s="39">
        <v>0</v>
      </c>
      <c r="BF154" s="39">
        <f>162</f>
        <v>162</v>
      </c>
      <c r="BH154" s="39">
        <f t="shared" si="109"/>
        <v>0</v>
      </c>
      <c r="BI154" s="39">
        <f t="shared" si="110"/>
        <v>0</v>
      </c>
      <c r="BJ154" s="39">
        <f t="shared" si="111"/>
        <v>0</v>
      </c>
      <c r="BK154" s="39"/>
      <c r="BL154" s="39"/>
    </row>
    <row r="155" spans="1:64" ht="15" customHeight="1">
      <c r="A155" s="76" t="s">
        <v>587</v>
      </c>
      <c r="B155" s="165" t="s">
        <v>126</v>
      </c>
      <c r="C155" s="221" t="s">
        <v>642</v>
      </c>
      <c r="D155" s="221"/>
      <c r="E155" s="221"/>
      <c r="F155" s="221"/>
      <c r="G155" s="78" t="s">
        <v>784</v>
      </c>
      <c r="H155" s="78" t="s">
        <v>784</v>
      </c>
      <c r="I155" s="78" t="s">
        <v>784</v>
      </c>
      <c r="J155" s="64">
        <f>SUM(J156:J156)</f>
        <v>0</v>
      </c>
      <c r="K155" s="64">
        <f>SUM(K156:K156)</f>
        <v>0</v>
      </c>
      <c r="L155" s="64">
        <f>SUM(L156:L156)</f>
        <v>0</v>
      </c>
      <c r="M155" s="79" t="s">
        <v>587</v>
      </c>
      <c r="AI155" s="68" t="s">
        <v>587</v>
      </c>
      <c r="AS155" s="64">
        <f>SUM(AJ156:AJ156)</f>
        <v>0</v>
      </c>
      <c r="AT155" s="64">
        <f>SUM(AK156:AK156)</f>
        <v>0</v>
      </c>
      <c r="AU155" s="64">
        <f>SUM(AL156:AL156)</f>
        <v>0</v>
      </c>
    </row>
    <row r="156" spans="1:64" ht="15" customHeight="1">
      <c r="A156" s="37" t="s">
        <v>16</v>
      </c>
      <c r="B156" s="38" t="s">
        <v>381</v>
      </c>
      <c r="C156" s="195" t="s">
        <v>728</v>
      </c>
      <c r="D156" s="195"/>
      <c r="E156" s="195"/>
      <c r="F156" s="195"/>
      <c r="G156" s="38" t="s">
        <v>649</v>
      </c>
      <c r="H156" s="39">
        <v>1</v>
      </c>
      <c r="I156" s="39">
        <v>0</v>
      </c>
      <c r="J156" s="39">
        <v>0</v>
      </c>
      <c r="K156" s="39">
        <v>0</v>
      </c>
      <c r="L156" s="39">
        <f>H156*I156</f>
        <v>0</v>
      </c>
      <c r="M156" s="80" t="s">
        <v>587</v>
      </c>
      <c r="Z156" s="39">
        <f>IF(AQ156="5",BJ156,0)</f>
        <v>0</v>
      </c>
      <c r="AB156" s="39">
        <f>IF(AQ156="1",BH156,0)</f>
        <v>0</v>
      </c>
      <c r="AC156" s="39">
        <f>IF(AQ156="1",BI156,0)</f>
        <v>0</v>
      </c>
      <c r="AD156" s="39">
        <f>IF(AQ156="7",BH156,0)</f>
        <v>0</v>
      </c>
      <c r="AE156" s="39">
        <f>IF(AQ156="7",BI156,0)</f>
        <v>0</v>
      </c>
      <c r="AF156" s="39">
        <f>IF(AQ156="2",BH156,0)</f>
        <v>0</v>
      </c>
      <c r="AG156" s="39">
        <f>IF(AQ156="2",BI156,0)</f>
        <v>0</v>
      </c>
      <c r="AH156" s="39">
        <f>IF(AQ156="0",BJ156,0)</f>
        <v>0</v>
      </c>
      <c r="AI156" s="68" t="s">
        <v>587</v>
      </c>
      <c r="AJ156" s="39">
        <f>IF(AN156=0,L156,0)</f>
        <v>0</v>
      </c>
      <c r="AK156" s="39">
        <f>IF(AN156=15,L156,0)</f>
        <v>0</v>
      </c>
      <c r="AL156" s="39">
        <f>IF(AN156=21,L156,0)</f>
        <v>0</v>
      </c>
      <c r="AN156" s="39">
        <v>21</v>
      </c>
      <c r="AO156" s="39">
        <f>I156*0.8</f>
        <v>0</v>
      </c>
      <c r="AP156" s="39">
        <f>I156*(1-0.8)</f>
        <v>0</v>
      </c>
      <c r="AQ156" s="40" t="s">
        <v>582</v>
      </c>
      <c r="AV156" s="39">
        <f>AW156+AX156</f>
        <v>0</v>
      </c>
      <c r="AW156" s="39">
        <f>H156*AO156</f>
        <v>0</v>
      </c>
      <c r="AX156" s="39">
        <f>H156*AP156</f>
        <v>0</v>
      </c>
      <c r="AY156" s="40" t="s">
        <v>880</v>
      </c>
      <c r="AZ156" s="40" t="s">
        <v>314</v>
      </c>
      <c r="BA156" s="68" t="s">
        <v>648</v>
      </c>
      <c r="BC156" s="39">
        <f>AW156+AX156</f>
        <v>0</v>
      </c>
      <c r="BD156" s="39">
        <f>I156/(100-BE156)*100</f>
        <v>0</v>
      </c>
      <c r="BE156" s="39">
        <v>0</v>
      </c>
      <c r="BF156" s="39">
        <f>164</f>
        <v>164</v>
      </c>
      <c r="BH156" s="39">
        <f>H156*AO156</f>
        <v>0</v>
      </c>
      <c r="BI156" s="39">
        <f>H156*AP156</f>
        <v>0</v>
      </c>
      <c r="BJ156" s="39">
        <f>H156*I156</f>
        <v>0</v>
      </c>
      <c r="BK156" s="39"/>
      <c r="BL156" s="39"/>
    </row>
    <row r="157" spans="1:64" ht="13.5" customHeight="1">
      <c r="A157" s="81"/>
      <c r="B157" s="82" t="s">
        <v>440</v>
      </c>
      <c r="C157" s="223" t="s">
        <v>464</v>
      </c>
      <c r="D157" s="224"/>
      <c r="E157" s="224"/>
      <c r="F157" s="224"/>
      <c r="G157" s="224"/>
      <c r="H157" s="224"/>
      <c r="I157" s="224"/>
      <c r="J157" s="224"/>
      <c r="K157" s="224"/>
      <c r="L157" s="224"/>
      <c r="M157" s="225"/>
    </row>
    <row r="158" spans="1:64" ht="15" customHeight="1">
      <c r="A158" s="76" t="s">
        <v>587</v>
      </c>
      <c r="B158" s="165" t="s">
        <v>116</v>
      </c>
      <c r="C158" s="221" t="s">
        <v>405</v>
      </c>
      <c r="D158" s="221"/>
      <c r="E158" s="221"/>
      <c r="F158" s="221"/>
      <c r="G158" s="78" t="s">
        <v>784</v>
      </c>
      <c r="H158" s="78" t="s">
        <v>784</v>
      </c>
      <c r="I158" s="78" t="s">
        <v>784</v>
      </c>
      <c r="J158" s="64">
        <f>SUM(J159:J159)</f>
        <v>0</v>
      </c>
      <c r="K158" s="64">
        <f>SUM(K159:K159)</f>
        <v>0</v>
      </c>
      <c r="L158" s="64">
        <f>SUM(L159:L159)</f>
        <v>0</v>
      </c>
      <c r="M158" s="79" t="s">
        <v>587</v>
      </c>
      <c r="AI158" s="68" t="s">
        <v>587</v>
      </c>
      <c r="AS158" s="64">
        <f>SUM(AJ159:AJ159)</f>
        <v>0</v>
      </c>
      <c r="AT158" s="64">
        <f>SUM(AK159:AK159)</f>
        <v>0</v>
      </c>
      <c r="AU158" s="64">
        <f>SUM(AL159:AL159)</f>
        <v>0</v>
      </c>
    </row>
    <row r="159" spans="1:64" ht="15" customHeight="1">
      <c r="A159" s="37" t="s">
        <v>338</v>
      </c>
      <c r="B159" s="38" t="s">
        <v>436</v>
      </c>
      <c r="C159" s="195" t="s">
        <v>456</v>
      </c>
      <c r="D159" s="195"/>
      <c r="E159" s="195"/>
      <c r="F159" s="195"/>
      <c r="G159" s="38" t="s">
        <v>649</v>
      </c>
      <c r="H159" s="39">
        <v>1</v>
      </c>
      <c r="I159" s="39">
        <v>0</v>
      </c>
      <c r="J159" s="39">
        <v>0</v>
      </c>
      <c r="K159" s="39">
        <v>0</v>
      </c>
      <c r="L159" s="39">
        <f>H159*I159</f>
        <v>0</v>
      </c>
      <c r="M159" s="80" t="s">
        <v>587</v>
      </c>
      <c r="Z159" s="39">
        <f>IF(AQ159="5",BJ159,0)</f>
        <v>0</v>
      </c>
      <c r="AB159" s="39">
        <f>IF(AQ159="1",BH159,0)</f>
        <v>0</v>
      </c>
      <c r="AC159" s="39">
        <f>IF(AQ159="1",BI159,0)</f>
        <v>0</v>
      </c>
      <c r="AD159" s="39">
        <f>IF(AQ159="7",BH159,0)</f>
        <v>0</v>
      </c>
      <c r="AE159" s="39">
        <f>IF(AQ159="7",BI159,0)</f>
        <v>0</v>
      </c>
      <c r="AF159" s="39">
        <f>IF(AQ159="2",BH159,0)</f>
        <v>0</v>
      </c>
      <c r="AG159" s="39">
        <f>IF(AQ159="2",BI159,0)</f>
        <v>0</v>
      </c>
      <c r="AH159" s="39">
        <f>IF(AQ159="0",BJ159,0)</f>
        <v>0</v>
      </c>
      <c r="AI159" s="68" t="s">
        <v>587</v>
      </c>
      <c r="AJ159" s="39">
        <f>IF(AN159=0,L159,0)</f>
        <v>0</v>
      </c>
      <c r="AK159" s="39">
        <f>IF(AN159=15,L159,0)</f>
        <v>0</v>
      </c>
      <c r="AL159" s="39">
        <f>IF(AN159=21,L159,0)</f>
        <v>0</v>
      </c>
      <c r="AN159" s="39">
        <v>21</v>
      </c>
      <c r="AO159" s="39">
        <f>I159*0.899084303699879</f>
        <v>0</v>
      </c>
      <c r="AP159" s="39">
        <f>I159*(1-0.899084303699879)</f>
        <v>0</v>
      </c>
      <c r="AQ159" s="40" t="s">
        <v>582</v>
      </c>
      <c r="AV159" s="39">
        <f>AW159+AX159</f>
        <v>0</v>
      </c>
      <c r="AW159" s="39">
        <f>H159*AO159</f>
        <v>0</v>
      </c>
      <c r="AX159" s="39">
        <f>H159*AP159</f>
        <v>0</v>
      </c>
      <c r="AY159" s="40" t="s">
        <v>541</v>
      </c>
      <c r="AZ159" s="40" t="s">
        <v>314</v>
      </c>
      <c r="BA159" s="68" t="s">
        <v>648</v>
      </c>
      <c r="BC159" s="39">
        <f>AW159+AX159</f>
        <v>0</v>
      </c>
      <c r="BD159" s="39">
        <f>I159/(100-BE159)*100</f>
        <v>0</v>
      </c>
      <c r="BE159" s="39">
        <v>0</v>
      </c>
      <c r="BF159" s="39">
        <f>167</f>
        <v>167</v>
      </c>
      <c r="BH159" s="39">
        <f>H159*AO159</f>
        <v>0</v>
      </c>
      <c r="BI159" s="39">
        <f>H159*AP159</f>
        <v>0</v>
      </c>
      <c r="BJ159" s="39">
        <f>H159*I159</f>
        <v>0</v>
      </c>
      <c r="BK159" s="39"/>
      <c r="BL159" s="39"/>
    </row>
    <row r="160" spans="1:64" ht="13.5" customHeight="1">
      <c r="A160" s="81"/>
      <c r="B160" s="82" t="s">
        <v>440</v>
      </c>
      <c r="C160" s="223" t="s">
        <v>464</v>
      </c>
      <c r="D160" s="224"/>
      <c r="E160" s="224"/>
      <c r="F160" s="224"/>
      <c r="G160" s="224"/>
      <c r="H160" s="224"/>
      <c r="I160" s="224"/>
      <c r="J160" s="224"/>
      <c r="K160" s="224"/>
      <c r="L160" s="224"/>
      <c r="M160" s="225"/>
    </row>
    <row r="161" spans="1:64" ht="15" customHeight="1">
      <c r="A161" s="76" t="s">
        <v>587</v>
      </c>
      <c r="B161" s="77" t="s">
        <v>50</v>
      </c>
      <c r="C161" s="221" t="s">
        <v>940</v>
      </c>
      <c r="D161" s="221"/>
      <c r="E161" s="221"/>
      <c r="F161" s="221"/>
      <c r="G161" s="78" t="s">
        <v>784</v>
      </c>
      <c r="H161" s="78" t="s">
        <v>784</v>
      </c>
      <c r="I161" s="78" t="s">
        <v>784</v>
      </c>
      <c r="J161" s="64">
        <f>SUM(J162:J168)</f>
        <v>0</v>
      </c>
      <c r="K161" s="64">
        <f>SUM(K162:K168)</f>
        <v>0</v>
      </c>
      <c r="L161" s="64">
        <f>SUM(L162:L168)</f>
        <v>0</v>
      </c>
      <c r="M161" s="79" t="s">
        <v>587</v>
      </c>
      <c r="AI161" s="68" t="s">
        <v>587</v>
      </c>
      <c r="AS161" s="64">
        <f>SUM(AJ162:AJ168)</f>
        <v>0</v>
      </c>
      <c r="AT161" s="64">
        <f>SUM(AK162:AK168)</f>
        <v>0</v>
      </c>
      <c r="AU161" s="64">
        <f>SUM(AL162:AL168)</f>
        <v>0</v>
      </c>
    </row>
    <row r="162" spans="1:64" ht="15" customHeight="1">
      <c r="A162" s="37" t="s">
        <v>108</v>
      </c>
      <c r="B162" s="38" t="s">
        <v>256</v>
      </c>
      <c r="C162" s="195" t="s">
        <v>815</v>
      </c>
      <c r="D162" s="195"/>
      <c r="E162" s="195"/>
      <c r="F162" s="195"/>
      <c r="G162" s="38" t="s">
        <v>831</v>
      </c>
      <c r="H162" s="39">
        <v>12.5</v>
      </c>
      <c r="I162" s="39">
        <v>0</v>
      </c>
      <c r="J162" s="39">
        <f>H162*AO162</f>
        <v>0</v>
      </c>
      <c r="K162" s="39">
        <f>H162*AP162</f>
        <v>0</v>
      </c>
      <c r="L162" s="39">
        <f>H162*I162</f>
        <v>0</v>
      </c>
      <c r="M162" s="80" t="s">
        <v>576</v>
      </c>
      <c r="Z162" s="39">
        <f>IF(AQ162="5",BJ162,0)</f>
        <v>0</v>
      </c>
      <c r="AB162" s="39">
        <f>IF(AQ162="1",BH162,0)</f>
        <v>0</v>
      </c>
      <c r="AC162" s="39">
        <f>IF(AQ162="1",BI162,0)</f>
        <v>0</v>
      </c>
      <c r="AD162" s="39">
        <f>IF(AQ162="7",BH162,0)</f>
        <v>0</v>
      </c>
      <c r="AE162" s="39">
        <f>IF(AQ162="7",BI162,0)</f>
        <v>0</v>
      </c>
      <c r="AF162" s="39">
        <f>IF(AQ162="2",BH162,0)</f>
        <v>0</v>
      </c>
      <c r="AG162" s="39">
        <f>IF(AQ162="2",BI162,0)</f>
        <v>0</v>
      </c>
      <c r="AH162" s="39">
        <f>IF(AQ162="0",BJ162,0)</f>
        <v>0</v>
      </c>
      <c r="AI162" s="68" t="s">
        <v>587</v>
      </c>
      <c r="AJ162" s="39">
        <f>IF(AN162=0,L162,0)</f>
        <v>0</v>
      </c>
      <c r="AK162" s="39">
        <f>IF(AN162=15,L162,0)</f>
        <v>0</v>
      </c>
      <c r="AL162" s="39">
        <f>IF(AN162=21,L162,0)</f>
        <v>0</v>
      </c>
      <c r="AN162" s="39">
        <v>21</v>
      </c>
      <c r="AO162" s="39">
        <f>I162*0.626404494382023</f>
        <v>0</v>
      </c>
      <c r="AP162" s="39">
        <f>I162*(1-0.626404494382023)</f>
        <v>0</v>
      </c>
      <c r="AQ162" s="40" t="s">
        <v>846</v>
      </c>
      <c r="AV162" s="39">
        <f>AW162+AX162</f>
        <v>0</v>
      </c>
      <c r="AW162" s="39">
        <f>H162*AO162</f>
        <v>0</v>
      </c>
      <c r="AX162" s="39">
        <f>H162*AP162</f>
        <v>0</v>
      </c>
      <c r="AY162" s="40" t="s">
        <v>736</v>
      </c>
      <c r="AZ162" s="40" t="s">
        <v>690</v>
      </c>
      <c r="BA162" s="68" t="s">
        <v>648</v>
      </c>
      <c r="BC162" s="39">
        <f>AW162+AX162</f>
        <v>0</v>
      </c>
      <c r="BD162" s="39">
        <f>I162/(100-BE162)*100</f>
        <v>0</v>
      </c>
      <c r="BE162" s="39">
        <v>0</v>
      </c>
      <c r="BF162" s="39">
        <f>170</f>
        <v>170</v>
      </c>
      <c r="BH162" s="39">
        <f>H162*AO162</f>
        <v>0</v>
      </c>
      <c r="BI162" s="39">
        <f>H162*AP162</f>
        <v>0</v>
      </c>
      <c r="BJ162" s="39">
        <f>H162*I162</f>
        <v>0</v>
      </c>
      <c r="BK162" s="39"/>
      <c r="BL162" s="39">
        <v>711</v>
      </c>
    </row>
    <row r="163" spans="1:64" ht="13.5" customHeight="1">
      <c r="A163" s="81"/>
      <c r="B163" s="82" t="s">
        <v>440</v>
      </c>
      <c r="C163" s="223" t="s">
        <v>615</v>
      </c>
      <c r="D163" s="224"/>
      <c r="E163" s="224"/>
      <c r="F163" s="224"/>
      <c r="G163" s="224"/>
      <c r="H163" s="224"/>
      <c r="I163" s="224"/>
      <c r="J163" s="224"/>
      <c r="K163" s="224"/>
      <c r="L163" s="224"/>
      <c r="M163" s="225"/>
    </row>
    <row r="164" spans="1:64" ht="15" customHeight="1">
      <c r="A164" s="37" t="s">
        <v>924</v>
      </c>
      <c r="B164" s="38" t="s">
        <v>161</v>
      </c>
      <c r="C164" s="195" t="s">
        <v>170</v>
      </c>
      <c r="D164" s="195"/>
      <c r="E164" s="195"/>
      <c r="F164" s="195"/>
      <c r="G164" s="38" t="s">
        <v>831</v>
      </c>
      <c r="H164" s="39">
        <v>141.96</v>
      </c>
      <c r="I164" s="39">
        <v>0</v>
      </c>
      <c r="J164" s="39">
        <f>H164*AO164</f>
        <v>0</v>
      </c>
      <c r="K164" s="39">
        <f>H164*AP164</f>
        <v>0</v>
      </c>
      <c r="L164" s="39">
        <f>H164*I164</f>
        <v>0</v>
      </c>
      <c r="M164" s="80" t="s">
        <v>576</v>
      </c>
      <c r="Z164" s="39">
        <f>IF(AQ164="5",BJ164,0)</f>
        <v>0</v>
      </c>
      <c r="AB164" s="39">
        <f>IF(AQ164="1",BH164,0)</f>
        <v>0</v>
      </c>
      <c r="AC164" s="39">
        <f>IF(AQ164="1",BI164,0)</f>
        <v>0</v>
      </c>
      <c r="AD164" s="39">
        <f>IF(AQ164="7",BH164,0)</f>
        <v>0</v>
      </c>
      <c r="AE164" s="39">
        <f>IF(AQ164="7",BI164,0)</f>
        <v>0</v>
      </c>
      <c r="AF164" s="39">
        <f>IF(AQ164="2",BH164,0)</f>
        <v>0</v>
      </c>
      <c r="AG164" s="39">
        <f>IF(AQ164="2",BI164,0)</f>
        <v>0</v>
      </c>
      <c r="AH164" s="39">
        <f>IF(AQ164="0",BJ164,0)</f>
        <v>0</v>
      </c>
      <c r="AI164" s="68" t="s">
        <v>587</v>
      </c>
      <c r="AJ164" s="39">
        <f>IF(AN164=0,L164,0)</f>
        <v>0</v>
      </c>
      <c r="AK164" s="39">
        <f>IF(AN164=15,L164,0)</f>
        <v>0</v>
      </c>
      <c r="AL164" s="39">
        <f>IF(AN164=21,L164,0)</f>
        <v>0</v>
      </c>
      <c r="AN164" s="39">
        <v>21</v>
      </c>
      <c r="AO164" s="39">
        <f>I164*0.673041825830472</f>
        <v>0</v>
      </c>
      <c r="AP164" s="39">
        <f>I164*(1-0.673041825830472)</f>
        <v>0</v>
      </c>
      <c r="AQ164" s="40" t="s">
        <v>846</v>
      </c>
      <c r="AV164" s="39">
        <f>AW164+AX164</f>
        <v>0</v>
      </c>
      <c r="AW164" s="39">
        <f>H164*AO164</f>
        <v>0</v>
      </c>
      <c r="AX164" s="39">
        <f>H164*AP164</f>
        <v>0</v>
      </c>
      <c r="AY164" s="40" t="s">
        <v>736</v>
      </c>
      <c r="AZ164" s="40" t="s">
        <v>690</v>
      </c>
      <c r="BA164" s="68" t="s">
        <v>648</v>
      </c>
      <c r="BC164" s="39">
        <f>AW164+AX164</f>
        <v>0</v>
      </c>
      <c r="BD164" s="39">
        <f>I164/(100-BE164)*100</f>
        <v>0</v>
      </c>
      <c r="BE164" s="39">
        <v>0</v>
      </c>
      <c r="BF164" s="39">
        <f>172</f>
        <v>172</v>
      </c>
      <c r="BH164" s="39">
        <f>H164*AO164</f>
        <v>0</v>
      </c>
      <c r="BI164" s="39">
        <f>H164*AP164</f>
        <v>0</v>
      </c>
      <c r="BJ164" s="39">
        <f>H164*I164</f>
        <v>0</v>
      </c>
      <c r="BK164" s="39"/>
      <c r="BL164" s="39">
        <v>711</v>
      </c>
    </row>
    <row r="165" spans="1:64" ht="13.5" customHeight="1">
      <c r="A165" s="81"/>
      <c r="B165" s="82" t="s">
        <v>440</v>
      </c>
      <c r="C165" s="223" t="s">
        <v>726</v>
      </c>
      <c r="D165" s="224"/>
      <c r="E165" s="224"/>
      <c r="F165" s="224"/>
      <c r="G165" s="224"/>
      <c r="H165" s="224"/>
      <c r="I165" s="224"/>
      <c r="J165" s="224"/>
      <c r="K165" s="224"/>
      <c r="L165" s="224"/>
      <c r="M165" s="225"/>
    </row>
    <row r="166" spans="1:64" ht="15" customHeight="1">
      <c r="A166" s="37" t="s">
        <v>413</v>
      </c>
      <c r="B166" s="38" t="s">
        <v>161</v>
      </c>
      <c r="C166" s="195" t="s">
        <v>170</v>
      </c>
      <c r="D166" s="195"/>
      <c r="E166" s="195"/>
      <c r="F166" s="195"/>
      <c r="G166" s="38" t="s">
        <v>831</v>
      </c>
      <c r="H166" s="39">
        <v>141.96</v>
      </c>
      <c r="I166" s="39">
        <v>0</v>
      </c>
      <c r="J166" s="39">
        <f>H166*AO166</f>
        <v>0</v>
      </c>
      <c r="K166" s="39">
        <f>H166*AP166</f>
        <v>0</v>
      </c>
      <c r="L166" s="39">
        <f>H166*I166</f>
        <v>0</v>
      </c>
      <c r="M166" s="80" t="s">
        <v>576</v>
      </c>
      <c r="Z166" s="39">
        <f>IF(AQ166="5",BJ166,0)</f>
        <v>0</v>
      </c>
      <c r="AB166" s="39">
        <f>IF(AQ166="1",BH166,0)</f>
        <v>0</v>
      </c>
      <c r="AC166" s="39">
        <f>IF(AQ166="1",BI166,0)</f>
        <v>0</v>
      </c>
      <c r="AD166" s="39">
        <f>IF(AQ166="7",BH166,0)</f>
        <v>0</v>
      </c>
      <c r="AE166" s="39">
        <f>IF(AQ166="7",BI166,0)</f>
        <v>0</v>
      </c>
      <c r="AF166" s="39">
        <f>IF(AQ166="2",BH166,0)</f>
        <v>0</v>
      </c>
      <c r="AG166" s="39">
        <f>IF(AQ166="2",BI166,0)</f>
        <v>0</v>
      </c>
      <c r="AH166" s="39">
        <f>IF(AQ166="0",BJ166,0)</f>
        <v>0</v>
      </c>
      <c r="AI166" s="68" t="s">
        <v>587</v>
      </c>
      <c r="AJ166" s="39">
        <f>IF(AN166=0,L166,0)</f>
        <v>0</v>
      </c>
      <c r="AK166" s="39">
        <f>IF(AN166=15,L166,0)</f>
        <v>0</v>
      </c>
      <c r="AL166" s="39">
        <f>IF(AN166=21,L166,0)</f>
        <v>0</v>
      </c>
      <c r="AN166" s="39">
        <v>21</v>
      </c>
      <c r="AO166" s="39">
        <f>I166*0.673041825830472</f>
        <v>0</v>
      </c>
      <c r="AP166" s="39">
        <f>I166*(1-0.673041825830472)</f>
        <v>0</v>
      </c>
      <c r="AQ166" s="40" t="s">
        <v>846</v>
      </c>
      <c r="AV166" s="39">
        <f>AW166+AX166</f>
        <v>0</v>
      </c>
      <c r="AW166" s="39">
        <f>H166*AO166</f>
        <v>0</v>
      </c>
      <c r="AX166" s="39">
        <f>H166*AP166</f>
        <v>0</v>
      </c>
      <c r="AY166" s="40" t="s">
        <v>736</v>
      </c>
      <c r="AZ166" s="40" t="s">
        <v>690</v>
      </c>
      <c r="BA166" s="68" t="s">
        <v>648</v>
      </c>
      <c r="BC166" s="39">
        <f>AW166+AX166</f>
        <v>0</v>
      </c>
      <c r="BD166" s="39">
        <f>I166/(100-BE166)*100</f>
        <v>0</v>
      </c>
      <c r="BE166" s="39">
        <v>0</v>
      </c>
      <c r="BF166" s="39">
        <f>174</f>
        <v>174</v>
      </c>
      <c r="BH166" s="39">
        <f>H166*AO166</f>
        <v>0</v>
      </c>
      <c r="BI166" s="39">
        <f>H166*AP166</f>
        <v>0</v>
      </c>
      <c r="BJ166" s="39">
        <f>H166*I166</f>
        <v>0</v>
      </c>
      <c r="BK166" s="39"/>
      <c r="BL166" s="39">
        <v>711</v>
      </c>
    </row>
    <row r="167" spans="1:64" ht="13.5" customHeight="1">
      <c r="A167" s="81"/>
      <c r="B167" s="82" t="s">
        <v>440</v>
      </c>
      <c r="C167" s="223" t="s">
        <v>726</v>
      </c>
      <c r="D167" s="224"/>
      <c r="E167" s="224"/>
      <c r="F167" s="224"/>
      <c r="G167" s="224"/>
      <c r="H167" s="224"/>
      <c r="I167" s="224"/>
      <c r="J167" s="224"/>
      <c r="K167" s="224"/>
      <c r="L167" s="224"/>
      <c r="M167" s="225"/>
    </row>
    <row r="168" spans="1:64" ht="15" customHeight="1">
      <c r="A168" s="37" t="s">
        <v>695</v>
      </c>
      <c r="B168" s="38" t="s">
        <v>801</v>
      </c>
      <c r="C168" s="195" t="s">
        <v>662</v>
      </c>
      <c r="D168" s="195"/>
      <c r="E168" s="195"/>
      <c r="F168" s="195"/>
      <c r="G168" s="38" t="s">
        <v>401</v>
      </c>
      <c r="H168" s="39">
        <v>1.0129999999999999</v>
      </c>
      <c r="I168" s="39">
        <v>0</v>
      </c>
      <c r="J168" s="39">
        <f>H168*AO168</f>
        <v>0</v>
      </c>
      <c r="K168" s="39">
        <f>H168*AP168</f>
        <v>0</v>
      </c>
      <c r="L168" s="39">
        <f>H168*I168</f>
        <v>0</v>
      </c>
      <c r="M168" s="80" t="s">
        <v>576</v>
      </c>
      <c r="Z168" s="39">
        <f>IF(AQ168="5",BJ168,0)</f>
        <v>0</v>
      </c>
      <c r="AB168" s="39">
        <f>IF(AQ168="1",BH168,0)</f>
        <v>0</v>
      </c>
      <c r="AC168" s="39">
        <f>IF(AQ168="1",BI168,0)</f>
        <v>0</v>
      </c>
      <c r="AD168" s="39">
        <f>IF(AQ168="7",BH168,0)</f>
        <v>0</v>
      </c>
      <c r="AE168" s="39">
        <f>IF(AQ168="7",BI168,0)</f>
        <v>0</v>
      </c>
      <c r="AF168" s="39">
        <f>IF(AQ168="2",BH168,0)</f>
        <v>0</v>
      </c>
      <c r="AG168" s="39">
        <f>IF(AQ168="2",BI168,0)</f>
        <v>0</v>
      </c>
      <c r="AH168" s="39">
        <f>IF(AQ168="0",BJ168,0)</f>
        <v>0</v>
      </c>
      <c r="AI168" s="68" t="s">
        <v>587</v>
      </c>
      <c r="AJ168" s="39">
        <f>IF(AN168=0,L168,0)</f>
        <v>0</v>
      </c>
      <c r="AK168" s="39">
        <f>IF(AN168=15,L168,0)</f>
        <v>0</v>
      </c>
      <c r="AL168" s="39">
        <f>IF(AN168=21,L168,0)</f>
        <v>0</v>
      </c>
      <c r="AN168" s="39">
        <v>21</v>
      </c>
      <c r="AO168" s="39">
        <f>I168*0</f>
        <v>0</v>
      </c>
      <c r="AP168" s="39">
        <f>I168*(1-0)</f>
        <v>0</v>
      </c>
      <c r="AQ168" s="40" t="s">
        <v>454</v>
      </c>
      <c r="AV168" s="39">
        <f>AW168+AX168</f>
        <v>0</v>
      </c>
      <c r="AW168" s="39">
        <f>H168*AO168</f>
        <v>0</v>
      </c>
      <c r="AX168" s="39">
        <f>H168*AP168</f>
        <v>0</v>
      </c>
      <c r="AY168" s="40" t="s">
        <v>736</v>
      </c>
      <c r="AZ168" s="40" t="s">
        <v>690</v>
      </c>
      <c r="BA168" s="68" t="s">
        <v>648</v>
      </c>
      <c r="BC168" s="39">
        <f>AW168+AX168</f>
        <v>0</v>
      </c>
      <c r="BD168" s="39">
        <f>I168/(100-BE168)*100</f>
        <v>0</v>
      </c>
      <c r="BE168" s="39">
        <v>0</v>
      </c>
      <c r="BF168" s="39">
        <f>176</f>
        <v>176</v>
      </c>
      <c r="BH168" s="39">
        <f>H168*AO168</f>
        <v>0</v>
      </c>
      <c r="BI168" s="39">
        <f>H168*AP168</f>
        <v>0</v>
      </c>
      <c r="BJ168" s="39">
        <f>H168*I168</f>
        <v>0</v>
      </c>
      <c r="BK168" s="39"/>
      <c r="BL168" s="39">
        <v>711</v>
      </c>
    </row>
    <row r="169" spans="1:64" ht="15" customHeight="1">
      <c r="A169" s="76" t="s">
        <v>587</v>
      </c>
      <c r="B169" s="77" t="s">
        <v>543</v>
      </c>
      <c r="C169" s="221" t="s">
        <v>949</v>
      </c>
      <c r="D169" s="221"/>
      <c r="E169" s="221"/>
      <c r="F169" s="221"/>
      <c r="G169" s="78" t="s">
        <v>784</v>
      </c>
      <c r="H169" s="78" t="s">
        <v>784</v>
      </c>
      <c r="I169" s="78" t="s">
        <v>784</v>
      </c>
      <c r="J169" s="64">
        <f>SUM(J170:J188)</f>
        <v>0</v>
      </c>
      <c r="K169" s="64">
        <f>SUM(K170:K188)</f>
        <v>0</v>
      </c>
      <c r="L169" s="64">
        <f>SUM(L170:L188)</f>
        <v>0</v>
      </c>
      <c r="M169" s="79" t="s">
        <v>587</v>
      </c>
      <c r="AI169" s="68" t="s">
        <v>587</v>
      </c>
      <c r="AS169" s="64">
        <f>SUM(AJ170:AJ188)</f>
        <v>0</v>
      </c>
      <c r="AT169" s="64">
        <f>SUM(AK170:AK188)</f>
        <v>0</v>
      </c>
      <c r="AU169" s="64">
        <f>SUM(AL170:AL188)</f>
        <v>0</v>
      </c>
    </row>
    <row r="170" spans="1:64" ht="15" customHeight="1">
      <c r="A170" s="37" t="s">
        <v>400</v>
      </c>
      <c r="B170" s="38" t="s">
        <v>359</v>
      </c>
      <c r="C170" s="195" t="s">
        <v>386</v>
      </c>
      <c r="D170" s="195"/>
      <c r="E170" s="195"/>
      <c r="F170" s="195"/>
      <c r="G170" s="38" t="s">
        <v>701</v>
      </c>
      <c r="H170" s="39">
        <v>14</v>
      </c>
      <c r="I170" s="39">
        <v>0</v>
      </c>
      <c r="J170" s="39">
        <f t="shared" ref="J170:J178" si="112">H170*AO170</f>
        <v>0</v>
      </c>
      <c r="K170" s="39">
        <f t="shared" ref="K170:K178" si="113">H170*AP170</f>
        <v>0</v>
      </c>
      <c r="L170" s="39">
        <f t="shared" ref="L170:L178" si="114">H170*I170</f>
        <v>0</v>
      </c>
      <c r="M170" s="80" t="s">
        <v>576</v>
      </c>
      <c r="Z170" s="39">
        <f t="shared" ref="Z170:Z178" si="115">IF(AQ170="5",BJ170,0)</f>
        <v>0</v>
      </c>
      <c r="AB170" s="39">
        <f t="shared" ref="AB170:AB178" si="116">IF(AQ170="1",BH170,0)</f>
        <v>0</v>
      </c>
      <c r="AC170" s="39">
        <f t="shared" ref="AC170:AC178" si="117">IF(AQ170="1",BI170,0)</f>
        <v>0</v>
      </c>
      <c r="AD170" s="39">
        <f t="shared" ref="AD170:AD178" si="118">IF(AQ170="7",BH170,0)</f>
        <v>0</v>
      </c>
      <c r="AE170" s="39">
        <f t="shared" ref="AE170:AE178" si="119">IF(AQ170="7",BI170,0)</f>
        <v>0</v>
      </c>
      <c r="AF170" s="39">
        <f t="shared" ref="AF170:AF178" si="120">IF(AQ170="2",BH170,0)</f>
        <v>0</v>
      </c>
      <c r="AG170" s="39">
        <f t="shared" ref="AG170:AG178" si="121">IF(AQ170="2",BI170,0)</f>
        <v>0</v>
      </c>
      <c r="AH170" s="39">
        <f t="shared" ref="AH170:AH178" si="122">IF(AQ170="0",BJ170,0)</f>
        <v>0</v>
      </c>
      <c r="AI170" s="68" t="s">
        <v>587</v>
      </c>
      <c r="AJ170" s="39">
        <f t="shared" ref="AJ170:AJ178" si="123">IF(AN170=0,L170,0)</f>
        <v>0</v>
      </c>
      <c r="AK170" s="39">
        <f t="shared" ref="AK170:AK178" si="124">IF(AN170=15,L170,0)</f>
        <v>0</v>
      </c>
      <c r="AL170" s="39">
        <f t="shared" ref="AL170:AL178" si="125">IF(AN170=21,L170,0)</f>
        <v>0</v>
      </c>
      <c r="AN170" s="39">
        <v>21</v>
      </c>
      <c r="AO170" s="39">
        <f>I170*0.398747225213741</f>
        <v>0</v>
      </c>
      <c r="AP170" s="39">
        <f>I170*(1-0.398747225213741)</f>
        <v>0</v>
      </c>
      <c r="AQ170" s="40" t="s">
        <v>846</v>
      </c>
      <c r="AV170" s="39">
        <f t="shared" ref="AV170:AV178" si="126">AW170+AX170</f>
        <v>0</v>
      </c>
      <c r="AW170" s="39">
        <f t="shared" ref="AW170:AW178" si="127">H170*AO170</f>
        <v>0</v>
      </c>
      <c r="AX170" s="39">
        <f t="shared" ref="AX170:AX178" si="128">H170*AP170</f>
        <v>0</v>
      </c>
      <c r="AY170" s="40" t="s">
        <v>129</v>
      </c>
      <c r="AZ170" s="40" t="s">
        <v>52</v>
      </c>
      <c r="BA170" s="68" t="s">
        <v>648</v>
      </c>
      <c r="BC170" s="39">
        <f t="shared" ref="BC170:BC178" si="129">AW170+AX170</f>
        <v>0</v>
      </c>
      <c r="BD170" s="39">
        <f t="shared" ref="BD170:BD178" si="130">I170/(100-BE170)*100</f>
        <v>0</v>
      </c>
      <c r="BE170" s="39">
        <v>0</v>
      </c>
      <c r="BF170" s="39">
        <f>178</f>
        <v>178</v>
      </c>
      <c r="BH170" s="39">
        <f t="shared" ref="BH170:BH178" si="131">H170*AO170</f>
        <v>0</v>
      </c>
      <c r="BI170" s="39">
        <f t="shared" ref="BI170:BI178" si="132">H170*AP170</f>
        <v>0</v>
      </c>
      <c r="BJ170" s="39">
        <f t="shared" ref="BJ170:BJ178" si="133">H170*I170</f>
        <v>0</v>
      </c>
      <c r="BK170" s="39"/>
      <c r="BL170" s="39">
        <v>721</v>
      </c>
    </row>
    <row r="171" spans="1:64" ht="15" customHeight="1">
      <c r="A171" s="37" t="s">
        <v>544</v>
      </c>
      <c r="B171" s="38" t="s">
        <v>23</v>
      </c>
      <c r="C171" s="195" t="s">
        <v>751</v>
      </c>
      <c r="D171" s="195"/>
      <c r="E171" s="195"/>
      <c r="F171" s="195"/>
      <c r="G171" s="38" t="s">
        <v>701</v>
      </c>
      <c r="H171" s="39">
        <v>19</v>
      </c>
      <c r="I171" s="39">
        <v>0</v>
      </c>
      <c r="J171" s="39">
        <f t="shared" si="112"/>
        <v>0</v>
      </c>
      <c r="K171" s="39">
        <f t="shared" si="113"/>
        <v>0</v>
      </c>
      <c r="L171" s="39">
        <f t="shared" si="114"/>
        <v>0</v>
      </c>
      <c r="M171" s="80" t="s">
        <v>576</v>
      </c>
      <c r="Z171" s="39">
        <f t="shared" si="115"/>
        <v>0</v>
      </c>
      <c r="AB171" s="39">
        <f t="shared" si="116"/>
        <v>0</v>
      </c>
      <c r="AC171" s="39">
        <f t="shared" si="117"/>
        <v>0</v>
      </c>
      <c r="AD171" s="39">
        <f t="shared" si="118"/>
        <v>0</v>
      </c>
      <c r="AE171" s="39">
        <f t="shared" si="119"/>
        <v>0</v>
      </c>
      <c r="AF171" s="39">
        <f t="shared" si="120"/>
        <v>0</v>
      </c>
      <c r="AG171" s="39">
        <f t="shared" si="121"/>
        <v>0</v>
      </c>
      <c r="AH171" s="39">
        <f t="shared" si="122"/>
        <v>0</v>
      </c>
      <c r="AI171" s="68" t="s">
        <v>587</v>
      </c>
      <c r="AJ171" s="39">
        <f t="shared" si="123"/>
        <v>0</v>
      </c>
      <c r="AK171" s="39">
        <f t="shared" si="124"/>
        <v>0</v>
      </c>
      <c r="AL171" s="39">
        <f t="shared" si="125"/>
        <v>0</v>
      </c>
      <c r="AN171" s="39">
        <v>21</v>
      </c>
      <c r="AO171" s="39">
        <f>I171*0.429154251941582</f>
        <v>0</v>
      </c>
      <c r="AP171" s="39">
        <f>I171*(1-0.429154251941582)</f>
        <v>0</v>
      </c>
      <c r="AQ171" s="40" t="s">
        <v>846</v>
      </c>
      <c r="AV171" s="39">
        <f t="shared" si="126"/>
        <v>0</v>
      </c>
      <c r="AW171" s="39">
        <f t="shared" si="127"/>
        <v>0</v>
      </c>
      <c r="AX171" s="39">
        <f t="shared" si="128"/>
        <v>0</v>
      </c>
      <c r="AY171" s="40" t="s">
        <v>129</v>
      </c>
      <c r="AZ171" s="40" t="s">
        <v>52</v>
      </c>
      <c r="BA171" s="68" t="s">
        <v>648</v>
      </c>
      <c r="BC171" s="39">
        <f t="shared" si="129"/>
        <v>0</v>
      </c>
      <c r="BD171" s="39">
        <f t="shared" si="130"/>
        <v>0</v>
      </c>
      <c r="BE171" s="39">
        <v>0</v>
      </c>
      <c r="BF171" s="39">
        <f>179</f>
        <v>179</v>
      </c>
      <c r="BH171" s="39">
        <f t="shared" si="131"/>
        <v>0</v>
      </c>
      <c r="BI171" s="39">
        <f t="shared" si="132"/>
        <v>0</v>
      </c>
      <c r="BJ171" s="39">
        <f t="shared" si="133"/>
        <v>0</v>
      </c>
      <c r="BK171" s="39"/>
      <c r="BL171" s="39">
        <v>721</v>
      </c>
    </row>
    <row r="172" spans="1:64" ht="15" customHeight="1">
      <c r="A172" s="37" t="s">
        <v>913</v>
      </c>
      <c r="B172" s="38" t="s">
        <v>36</v>
      </c>
      <c r="C172" s="195" t="s">
        <v>605</v>
      </c>
      <c r="D172" s="195"/>
      <c r="E172" s="195"/>
      <c r="F172" s="195"/>
      <c r="G172" s="38" t="s">
        <v>701</v>
      </c>
      <c r="H172" s="39">
        <v>53</v>
      </c>
      <c r="I172" s="39">
        <v>0</v>
      </c>
      <c r="J172" s="39">
        <f t="shared" si="112"/>
        <v>0</v>
      </c>
      <c r="K172" s="39">
        <f t="shared" si="113"/>
        <v>0</v>
      </c>
      <c r="L172" s="39">
        <f t="shared" si="114"/>
        <v>0</v>
      </c>
      <c r="M172" s="80" t="s">
        <v>576</v>
      </c>
      <c r="Z172" s="39">
        <f t="shared" si="115"/>
        <v>0</v>
      </c>
      <c r="AB172" s="39">
        <f t="shared" si="116"/>
        <v>0</v>
      </c>
      <c r="AC172" s="39">
        <f t="shared" si="117"/>
        <v>0</v>
      </c>
      <c r="AD172" s="39">
        <f t="shared" si="118"/>
        <v>0</v>
      </c>
      <c r="AE172" s="39">
        <f t="shared" si="119"/>
        <v>0</v>
      </c>
      <c r="AF172" s="39">
        <f t="shared" si="120"/>
        <v>0</v>
      </c>
      <c r="AG172" s="39">
        <f t="shared" si="121"/>
        <v>0</v>
      </c>
      <c r="AH172" s="39">
        <f t="shared" si="122"/>
        <v>0</v>
      </c>
      <c r="AI172" s="68" t="s">
        <v>587</v>
      </c>
      <c r="AJ172" s="39">
        <f t="shared" si="123"/>
        <v>0</v>
      </c>
      <c r="AK172" s="39">
        <f t="shared" si="124"/>
        <v>0</v>
      </c>
      <c r="AL172" s="39">
        <f t="shared" si="125"/>
        <v>0</v>
      </c>
      <c r="AN172" s="39">
        <v>21</v>
      </c>
      <c r="AO172" s="39">
        <f>I172*0.535819935691318</f>
        <v>0</v>
      </c>
      <c r="AP172" s="39">
        <f>I172*(1-0.535819935691318)</f>
        <v>0</v>
      </c>
      <c r="AQ172" s="40" t="s">
        <v>846</v>
      </c>
      <c r="AV172" s="39">
        <f t="shared" si="126"/>
        <v>0</v>
      </c>
      <c r="AW172" s="39">
        <f t="shared" si="127"/>
        <v>0</v>
      </c>
      <c r="AX172" s="39">
        <f t="shared" si="128"/>
        <v>0</v>
      </c>
      <c r="AY172" s="40" t="s">
        <v>129</v>
      </c>
      <c r="AZ172" s="40" t="s">
        <v>52</v>
      </c>
      <c r="BA172" s="68" t="s">
        <v>648</v>
      </c>
      <c r="BC172" s="39">
        <f t="shared" si="129"/>
        <v>0</v>
      </c>
      <c r="BD172" s="39">
        <f t="shared" si="130"/>
        <v>0</v>
      </c>
      <c r="BE172" s="39">
        <v>0</v>
      </c>
      <c r="BF172" s="39">
        <f>180</f>
        <v>180</v>
      </c>
      <c r="BH172" s="39">
        <f t="shared" si="131"/>
        <v>0</v>
      </c>
      <c r="BI172" s="39">
        <f t="shared" si="132"/>
        <v>0</v>
      </c>
      <c r="BJ172" s="39">
        <f t="shared" si="133"/>
        <v>0</v>
      </c>
      <c r="BK172" s="39"/>
      <c r="BL172" s="39">
        <v>721</v>
      </c>
    </row>
    <row r="173" spans="1:64" ht="15" customHeight="1">
      <c r="A173" s="37" t="s">
        <v>594</v>
      </c>
      <c r="B173" s="38" t="s">
        <v>375</v>
      </c>
      <c r="C173" s="195" t="s">
        <v>372</v>
      </c>
      <c r="D173" s="195"/>
      <c r="E173" s="195"/>
      <c r="F173" s="195"/>
      <c r="G173" s="38" t="s">
        <v>216</v>
      </c>
      <c r="H173" s="39">
        <v>1</v>
      </c>
      <c r="I173" s="39">
        <v>0</v>
      </c>
      <c r="J173" s="39">
        <f t="shared" si="112"/>
        <v>0</v>
      </c>
      <c r="K173" s="39">
        <f t="shared" si="113"/>
        <v>0</v>
      </c>
      <c r="L173" s="39">
        <f t="shared" si="114"/>
        <v>0</v>
      </c>
      <c r="M173" s="80" t="s">
        <v>576</v>
      </c>
      <c r="Z173" s="39">
        <f t="shared" si="115"/>
        <v>0</v>
      </c>
      <c r="AB173" s="39">
        <f t="shared" si="116"/>
        <v>0</v>
      </c>
      <c r="AC173" s="39">
        <f t="shared" si="117"/>
        <v>0</v>
      </c>
      <c r="AD173" s="39">
        <f t="shared" si="118"/>
        <v>0</v>
      </c>
      <c r="AE173" s="39">
        <f t="shared" si="119"/>
        <v>0</v>
      </c>
      <c r="AF173" s="39">
        <f t="shared" si="120"/>
        <v>0</v>
      </c>
      <c r="AG173" s="39">
        <f t="shared" si="121"/>
        <v>0</v>
      </c>
      <c r="AH173" s="39">
        <f t="shared" si="122"/>
        <v>0</v>
      </c>
      <c r="AI173" s="68" t="s">
        <v>587</v>
      </c>
      <c r="AJ173" s="39">
        <f t="shared" si="123"/>
        <v>0</v>
      </c>
      <c r="AK173" s="39">
        <f t="shared" si="124"/>
        <v>0</v>
      </c>
      <c r="AL173" s="39">
        <f t="shared" si="125"/>
        <v>0</v>
      </c>
      <c r="AN173" s="39">
        <v>21</v>
      </c>
      <c r="AO173" s="39">
        <f>I173*0.247151162790698</f>
        <v>0</v>
      </c>
      <c r="AP173" s="39">
        <f>I173*(1-0.247151162790698)</f>
        <v>0</v>
      </c>
      <c r="AQ173" s="40" t="s">
        <v>846</v>
      </c>
      <c r="AV173" s="39">
        <f t="shared" si="126"/>
        <v>0</v>
      </c>
      <c r="AW173" s="39">
        <f t="shared" si="127"/>
        <v>0</v>
      </c>
      <c r="AX173" s="39">
        <f t="shared" si="128"/>
        <v>0</v>
      </c>
      <c r="AY173" s="40" t="s">
        <v>129</v>
      </c>
      <c r="AZ173" s="40" t="s">
        <v>52</v>
      </c>
      <c r="BA173" s="68" t="s">
        <v>648</v>
      </c>
      <c r="BC173" s="39">
        <f t="shared" si="129"/>
        <v>0</v>
      </c>
      <c r="BD173" s="39">
        <f t="shared" si="130"/>
        <v>0</v>
      </c>
      <c r="BE173" s="39">
        <v>0</v>
      </c>
      <c r="BF173" s="39">
        <f>181</f>
        <v>181</v>
      </c>
      <c r="BH173" s="39">
        <f t="shared" si="131"/>
        <v>0</v>
      </c>
      <c r="BI173" s="39">
        <f t="shared" si="132"/>
        <v>0</v>
      </c>
      <c r="BJ173" s="39">
        <f t="shared" si="133"/>
        <v>0</v>
      </c>
      <c r="BK173" s="39"/>
      <c r="BL173" s="39">
        <v>721</v>
      </c>
    </row>
    <row r="174" spans="1:64" ht="15" customHeight="1">
      <c r="A174" s="37" t="s">
        <v>922</v>
      </c>
      <c r="B174" s="38" t="s">
        <v>650</v>
      </c>
      <c r="C174" s="195" t="s">
        <v>675</v>
      </c>
      <c r="D174" s="195"/>
      <c r="E174" s="195"/>
      <c r="F174" s="195"/>
      <c r="G174" s="38" t="s">
        <v>216</v>
      </c>
      <c r="H174" s="39">
        <v>3</v>
      </c>
      <c r="I174" s="39">
        <v>0</v>
      </c>
      <c r="J174" s="39">
        <f t="shared" si="112"/>
        <v>0</v>
      </c>
      <c r="K174" s="39">
        <f t="shared" si="113"/>
        <v>0</v>
      </c>
      <c r="L174" s="39">
        <f t="shared" si="114"/>
        <v>0</v>
      </c>
      <c r="M174" s="80" t="s">
        <v>576</v>
      </c>
      <c r="Z174" s="39">
        <f t="shared" si="115"/>
        <v>0</v>
      </c>
      <c r="AB174" s="39">
        <f t="shared" si="116"/>
        <v>0</v>
      </c>
      <c r="AC174" s="39">
        <f t="shared" si="117"/>
        <v>0</v>
      </c>
      <c r="AD174" s="39">
        <f t="shared" si="118"/>
        <v>0</v>
      </c>
      <c r="AE174" s="39">
        <f t="shared" si="119"/>
        <v>0</v>
      </c>
      <c r="AF174" s="39">
        <f t="shared" si="120"/>
        <v>0</v>
      </c>
      <c r="AG174" s="39">
        <f t="shared" si="121"/>
        <v>0</v>
      </c>
      <c r="AH174" s="39">
        <f t="shared" si="122"/>
        <v>0</v>
      </c>
      <c r="AI174" s="68" t="s">
        <v>587</v>
      </c>
      <c r="AJ174" s="39">
        <f t="shared" si="123"/>
        <v>0</v>
      </c>
      <c r="AK174" s="39">
        <f t="shared" si="124"/>
        <v>0</v>
      </c>
      <c r="AL174" s="39">
        <f t="shared" si="125"/>
        <v>0</v>
      </c>
      <c r="AN174" s="39">
        <v>21</v>
      </c>
      <c r="AO174" s="39">
        <f>I174*0.250500963391137</f>
        <v>0</v>
      </c>
      <c r="AP174" s="39">
        <f>I174*(1-0.250500963391137)</f>
        <v>0</v>
      </c>
      <c r="AQ174" s="40" t="s">
        <v>846</v>
      </c>
      <c r="AV174" s="39">
        <f t="shared" si="126"/>
        <v>0</v>
      </c>
      <c r="AW174" s="39">
        <f t="shared" si="127"/>
        <v>0</v>
      </c>
      <c r="AX174" s="39">
        <f t="shared" si="128"/>
        <v>0</v>
      </c>
      <c r="AY174" s="40" t="s">
        <v>129</v>
      </c>
      <c r="AZ174" s="40" t="s">
        <v>52</v>
      </c>
      <c r="BA174" s="68" t="s">
        <v>648</v>
      </c>
      <c r="BC174" s="39">
        <f t="shared" si="129"/>
        <v>0</v>
      </c>
      <c r="BD174" s="39">
        <f t="shared" si="130"/>
        <v>0</v>
      </c>
      <c r="BE174" s="39">
        <v>0</v>
      </c>
      <c r="BF174" s="39">
        <f>182</f>
        <v>182</v>
      </c>
      <c r="BH174" s="39">
        <f t="shared" si="131"/>
        <v>0</v>
      </c>
      <c r="BI174" s="39">
        <f t="shared" si="132"/>
        <v>0</v>
      </c>
      <c r="BJ174" s="39">
        <f t="shared" si="133"/>
        <v>0</v>
      </c>
      <c r="BK174" s="39"/>
      <c r="BL174" s="39">
        <v>721</v>
      </c>
    </row>
    <row r="175" spans="1:64" ht="15" customHeight="1">
      <c r="A175" s="37" t="s">
        <v>873</v>
      </c>
      <c r="B175" s="38" t="s">
        <v>452</v>
      </c>
      <c r="C175" s="195" t="s">
        <v>798</v>
      </c>
      <c r="D175" s="195"/>
      <c r="E175" s="195"/>
      <c r="F175" s="195"/>
      <c r="G175" s="38" t="s">
        <v>216</v>
      </c>
      <c r="H175" s="39">
        <v>17</v>
      </c>
      <c r="I175" s="39">
        <v>0</v>
      </c>
      <c r="J175" s="39">
        <f t="shared" si="112"/>
        <v>0</v>
      </c>
      <c r="K175" s="39">
        <f t="shared" si="113"/>
        <v>0</v>
      </c>
      <c r="L175" s="39">
        <f t="shared" si="114"/>
        <v>0</v>
      </c>
      <c r="M175" s="80" t="s">
        <v>576</v>
      </c>
      <c r="Z175" s="39">
        <f t="shared" si="115"/>
        <v>0</v>
      </c>
      <c r="AB175" s="39">
        <f t="shared" si="116"/>
        <v>0</v>
      </c>
      <c r="AC175" s="39">
        <f t="shared" si="117"/>
        <v>0</v>
      </c>
      <c r="AD175" s="39">
        <f t="shared" si="118"/>
        <v>0</v>
      </c>
      <c r="AE175" s="39">
        <f t="shared" si="119"/>
        <v>0</v>
      </c>
      <c r="AF175" s="39">
        <f t="shared" si="120"/>
        <v>0</v>
      </c>
      <c r="AG175" s="39">
        <f t="shared" si="121"/>
        <v>0</v>
      </c>
      <c r="AH175" s="39">
        <f t="shared" si="122"/>
        <v>0</v>
      </c>
      <c r="AI175" s="68" t="s">
        <v>587</v>
      </c>
      <c r="AJ175" s="39">
        <f t="shared" si="123"/>
        <v>0</v>
      </c>
      <c r="AK175" s="39">
        <f t="shared" si="124"/>
        <v>0</v>
      </c>
      <c r="AL175" s="39">
        <f t="shared" si="125"/>
        <v>0</v>
      </c>
      <c r="AN175" s="39">
        <v>21</v>
      </c>
      <c r="AO175" s="39">
        <f>I175*0.304848066298343</f>
        <v>0</v>
      </c>
      <c r="AP175" s="39">
        <f>I175*(1-0.304848066298343)</f>
        <v>0</v>
      </c>
      <c r="AQ175" s="40" t="s">
        <v>846</v>
      </c>
      <c r="AV175" s="39">
        <f t="shared" si="126"/>
        <v>0</v>
      </c>
      <c r="AW175" s="39">
        <f t="shared" si="127"/>
        <v>0</v>
      </c>
      <c r="AX175" s="39">
        <f t="shared" si="128"/>
        <v>0</v>
      </c>
      <c r="AY175" s="40" t="s">
        <v>129</v>
      </c>
      <c r="AZ175" s="40" t="s">
        <v>52</v>
      </c>
      <c r="BA175" s="68" t="s">
        <v>648</v>
      </c>
      <c r="BC175" s="39">
        <f t="shared" si="129"/>
        <v>0</v>
      </c>
      <c r="BD175" s="39">
        <f t="shared" si="130"/>
        <v>0</v>
      </c>
      <c r="BE175" s="39">
        <v>0</v>
      </c>
      <c r="BF175" s="39">
        <f>183</f>
        <v>183</v>
      </c>
      <c r="BH175" s="39">
        <f t="shared" si="131"/>
        <v>0</v>
      </c>
      <c r="BI175" s="39">
        <f t="shared" si="132"/>
        <v>0</v>
      </c>
      <c r="BJ175" s="39">
        <f t="shared" si="133"/>
        <v>0</v>
      </c>
      <c r="BK175" s="39"/>
      <c r="BL175" s="39">
        <v>721</v>
      </c>
    </row>
    <row r="176" spans="1:64" ht="15" customHeight="1">
      <c r="A176" s="37" t="s">
        <v>805</v>
      </c>
      <c r="B176" s="38" t="s">
        <v>415</v>
      </c>
      <c r="C176" s="195" t="s">
        <v>455</v>
      </c>
      <c r="D176" s="195"/>
      <c r="E176" s="195"/>
      <c r="F176" s="195"/>
      <c r="G176" s="38" t="s">
        <v>216</v>
      </c>
      <c r="H176" s="39">
        <v>1</v>
      </c>
      <c r="I176" s="39">
        <v>0</v>
      </c>
      <c r="J176" s="39">
        <f t="shared" si="112"/>
        <v>0</v>
      </c>
      <c r="K176" s="39">
        <f t="shared" si="113"/>
        <v>0</v>
      </c>
      <c r="L176" s="39">
        <f t="shared" si="114"/>
        <v>0</v>
      </c>
      <c r="M176" s="80" t="s">
        <v>576</v>
      </c>
      <c r="Z176" s="39">
        <f t="shared" si="115"/>
        <v>0</v>
      </c>
      <c r="AB176" s="39">
        <f t="shared" si="116"/>
        <v>0</v>
      </c>
      <c r="AC176" s="39">
        <f t="shared" si="117"/>
        <v>0</v>
      </c>
      <c r="AD176" s="39">
        <f t="shared" si="118"/>
        <v>0</v>
      </c>
      <c r="AE176" s="39">
        <f t="shared" si="119"/>
        <v>0</v>
      </c>
      <c r="AF176" s="39">
        <f t="shared" si="120"/>
        <v>0</v>
      </c>
      <c r="AG176" s="39">
        <f t="shared" si="121"/>
        <v>0</v>
      </c>
      <c r="AH176" s="39">
        <f t="shared" si="122"/>
        <v>0</v>
      </c>
      <c r="AI176" s="68" t="s">
        <v>587</v>
      </c>
      <c r="AJ176" s="39">
        <f t="shared" si="123"/>
        <v>0</v>
      </c>
      <c r="AK176" s="39">
        <f t="shared" si="124"/>
        <v>0</v>
      </c>
      <c r="AL176" s="39">
        <f t="shared" si="125"/>
        <v>0</v>
      </c>
      <c r="AN176" s="39">
        <v>21</v>
      </c>
      <c r="AO176" s="39">
        <f>I176*0.552922590837283</f>
        <v>0</v>
      </c>
      <c r="AP176" s="39">
        <f>I176*(1-0.552922590837283)</f>
        <v>0</v>
      </c>
      <c r="AQ176" s="40" t="s">
        <v>846</v>
      </c>
      <c r="AV176" s="39">
        <f t="shared" si="126"/>
        <v>0</v>
      </c>
      <c r="AW176" s="39">
        <f t="shared" si="127"/>
        <v>0</v>
      </c>
      <c r="AX176" s="39">
        <f t="shared" si="128"/>
        <v>0</v>
      </c>
      <c r="AY176" s="40" t="s">
        <v>129</v>
      </c>
      <c r="AZ176" s="40" t="s">
        <v>52</v>
      </c>
      <c r="BA176" s="68" t="s">
        <v>648</v>
      </c>
      <c r="BC176" s="39">
        <f t="shared" si="129"/>
        <v>0</v>
      </c>
      <c r="BD176" s="39">
        <f t="shared" si="130"/>
        <v>0</v>
      </c>
      <c r="BE176" s="39">
        <v>0</v>
      </c>
      <c r="BF176" s="39">
        <f>184</f>
        <v>184</v>
      </c>
      <c r="BH176" s="39">
        <f t="shared" si="131"/>
        <v>0</v>
      </c>
      <c r="BI176" s="39">
        <f t="shared" si="132"/>
        <v>0</v>
      </c>
      <c r="BJ176" s="39">
        <f t="shared" si="133"/>
        <v>0</v>
      </c>
      <c r="BK176" s="39"/>
      <c r="BL176" s="39">
        <v>721</v>
      </c>
    </row>
    <row r="177" spans="1:64" ht="15" customHeight="1">
      <c r="A177" s="37" t="s">
        <v>446</v>
      </c>
      <c r="B177" s="38" t="s">
        <v>48</v>
      </c>
      <c r="C177" s="195" t="s">
        <v>273</v>
      </c>
      <c r="D177" s="195"/>
      <c r="E177" s="195"/>
      <c r="F177" s="195"/>
      <c r="G177" s="38" t="s">
        <v>216</v>
      </c>
      <c r="H177" s="39">
        <v>3</v>
      </c>
      <c r="I177" s="39">
        <v>0</v>
      </c>
      <c r="J177" s="39">
        <f t="shared" si="112"/>
        <v>0</v>
      </c>
      <c r="K177" s="39">
        <f t="shared" si="113"/>
        <v>0</v>
      </c>
      <c r="L177" s="39">
        <f t="shared" si="114"/>
        <v>0</v>
      </c>
      <c r="M177" s="80" t="s">
        <v>576</v>
      </c>
      <c r="Z177" s="39">
        <f t="shared" si="115"/>
        <v>0</v>
      </c>
      <c r="AB177" s="39">
        <f t="shared" si="116"/>
        <v>0</v>
      </c>
      <c r="AC177" s="39">
        <f t="shared" si="117"/>
        <v>0</v>
      </c>
      <c r="AD177" s="39">
        <f t="shared" si="118"/>
        <v>0</v>
      </c>
      <c r="AE177" s="39">
        <f t="shared" si="119"/>
        <v>0</v>
      </c>
      <c r="AF177" s="39">
        <f t="shared" si="120"/>
        <v>0</v>
      </c>
      <c r="AG177" s="39">
        <f t="shared" si="121"/>
        <v>0</v>
      </c>
      <c r="AH177" s="39">
        <f t="shared" si="122"/>
        <v>0</v>
      </c>
      <c r="AI177" s="68" t="s">
        <v>587</v>
      </c>
      <c r="AJ177" s="39">
        <f t="shared" si="123"/>
        <v>0</v>
      </c>
      <c r="AK177" s="39">
        <f t="shared" si="124"/>
        <v>0</v>
      </c>
      <c r="AL177" s="39">
        <f t="shared" si="125"/>
        <v>0</v>
      </c>
      <c r="AN177" s="39">
        <v>21</v>
      </c>
      <c r="AO177" s="39">
        <f>I177*0.476959700731168</f>
        <v>0</v>
      </c>
      <c r="AP177" s="39">
        <f>I177*(1-0.476959700731168)</f>
        <v>0</v>
      </c>
      <c r="AQ177" s="40" t="s">
        <v>846</v>
      </c>
      <c r="AV177" s="39">
        <f t="shared" si="126"/>
        <v>0</v>
      </c>
      <c r="AW177" s="39">
        <f t="shared" si="127"/>
        <v>0</v>
      </c>
      <c r="AX177" s="39">
        <f t="shared" si="128"/>
        <v>0</v>
      </c>
      <c r="AY177" s="40" t="s">
        <v>129</v>
      </c>
      <c r="AZ177" s="40" t="s">
        <v>52</v>
      </c>
      <c r="BA177" s="68" t="s">
        <v>648</v>
      </c>
      <c r="BC177" s="39">
        <f t="shared" si="129"/>
        <v>0</v>
      </c>
      <c r="BD177" s="39">
        <f t="shared" si="130"/>
        <v>0</v>
      </c>
      <c r="BE177" s="39">
        <v>0</v>
      </c>
      <c r="BF177" s="39">
        <f>185</f>
        <v>185</v>
      </c>
      <c r="BH177" s="39">
        <f t="shared" si="131"/>
        <v>0</v>
      </c>
      <c r="BI177" s="39">
        <f t="shared" si="132"/>
        <v>0</v>
      </c>
      <c r="BJ177" s="39">
        <f t="shared" si="133"/>
        <v>0</v>
      </c>
      <c r="BK177" s="39"/>
      <c r="BL177" s="39">
        <v>721</v>
      </c>
    </row>
    <row r="178" spans="1:64" ht="15" customHeight="1">
      <c r="A178" s="37" t="s">
        <v>404</v>
      </c>
      <c r="B178" s="38" t="s">
        <v>257</v>
      </c>
      <c r="C178" s="195" t="s">
        <v>900</v>
      </c>
      <c r="D178" s="195"/>
      <c r="E178" s="195"/>
      <c r="F178" s="195"/>
      <c r="G178" s="38" t="s">
        <v>216</v>
      </c>
      <c r="H178" s="39">
        <v>5</v>
      </c>
      <c r="I178" s="39">
        <v>0</v>
      </c>
      <c r="J178" s="39">
        <f t="shared" si="112"/>
        <v>0</v>
      </c>
      <c r="K178" s="39">
        <f t="shared" si="113"/>
        <v>0</v>
      </c>
      <c r="L178" s="39">
        <f t="shared" si="114"/>
        <v>0</v>
      </c>
      <c r="M178" s="80" t="s">
        <v>576</v>
      </c>
      <c r="Z178" s="39">
        <f t="shared" si="115"/>
        <v>0</v>
      </c>
      <c r="AB178" s="39">
        <f t="shared" si="116"/>
        <v>0</v>
      </c>
      <c r="AC178" s="39">
        <f t="shared" si="117"/>
        <v>0</v>
      </c>
      <c r="AD178" s="39">
        <f t="shared" si="118"/>
        <v>0</v>
      </c>
      <c r="AE178" s="39">
        <f t="shared" si="119"/>
        <v>0</v>
      </c>
      <c r="AF178" s="39">
        <f t="shared" si="120"/>
        <v>0</v>
      </c>
      <c r="AG178" s="39">
        <f t="shared" si="121"/>
        <v>0</v>
      </c>
      <c r="AH178" s="39">
        <f t="shared" si="122"/>
        <v>0</v>
      </c>
      <c r="AI178" s="68" t="s">
        <v>587</v>
      </c>
      <c r="AJ178" s="39">
        <f t="shared" si="123"/>
        <v>0</v>
      </c>
      <c r="AK178" s="39">
        <f t="shared" si="124"/>
        <v>0</v>
      </c>
      <c r="AL178" s="39">
        <f t="shared" si="125"/>
        <v>0</v>
      </c>
      <c r="AN178" s="39">
        <v>21</v>
      </c>
      <c r="AO178" s="39">
        <f>I178*0.960703309692671</f>
        <v>0</v>
      </c>
      <c r="AP178" s="39">
        <f>I178*(1-0.960703309692671)</f>
        <v>0</v>
      </c>
      <c r="AQ178" s="40" t="s">
        <v>846</v>
      </c>
      <c r="AV178" s="39">
        <f t="shared" si="126"/>
        <v>0</v>
      </c>
      <c r="AW178" s="39">
        <f t="shared" si="127"/>
        <v>0</v>
      </c>
      <c r="AX178" s="39">
        <f t="shared" si="128"/>
        <v>0</v>
      </c>
      <c r="AY178" s="40" t="s">
        <v>129</v>
      </c>
      <c r="AZ178" s="40" t="s">
        <v>52</v>
      </c>
      <c r="BA178" s="68" t="s">
        <v>648</v>
      </c>
      <c r="BC178" s="39">
        <f t="shared" si="129"/>
        <v>0</v>
      </c>
      <c r="BD178" s="39">
        <f t="shared" si="130"/>
        <v>0</v>
      </c>
      <c r="BE178" s="39">
        <v>0</v>
      </c>
      <c r="BF178" s="39">
        <f>186</f>
        <v>186</v>
      </c>
      <c r="BH178" s="39">
        <f t="shared" si="131"/>
        <v>0</v>
      </c>
      <c r="BI178" s="39">
        <f t="shared" si="132"/>
        <v>0</v>
      </c>
      <c r="BJ178" s="39">
        <f t="shared" si="133"/>
        <v>0</v>
      </c>
      <c r="BK178" s="39"/>
      <c r="BL178" s="39">
        <v>721</v>
      </c>
    </row>
    <row r="179" spans="1:64" ht="13.5" customHeight="1">
      <c r="A179" s="81"/>
      <c r="B179" s="82" t="s">
        <v>440</v>
      </c>
      <c r="C179" s="223" t="s">
        <v>369</v>
      </c>
      <c r="D179" s="224"/>
      <c r="E179" s="224"/>
      <c r="F179" s="224"/>
      <c r="G179" s="224"/>
      <c r="H179" s="224"/>
      <c r="I179" s="224"/>
      <c r="J179" s="224"/>
      <c r="K179" s="224"/>
      <c r="L179" s="224"/>
      <c r="M179" s="225"/>
    </row>
    <row r="180" spans="1:64" ht="15" customHeight="1">
      <c r="A180" s="37" t="s">
        <v>366</v>
      </c>
      <c r="B180" s="38" t="s">
        <v>160</v>
      </c>
      <c r="C180" s="195" t="s">
        <v>816</v>
      </c>
      <c r="D180" s="195"/>
      <c r="E180" s="195"/>
      <c r="F180" s="195"/>
      <c r="G180" s="38" t="s">
        <v>216</v>
      </c>
      <c r="H180" s="39">
        <v>17</v>
      </c>
      <c r="I180" s="39">
        <v>0</v>
      </c>
      <c r="J180" s="39">
        <f t="shared" ref="J180:J188" si="134">H180*AO180</f>
        <v>0</v>
      </c>
      <c r="K180" s="39">
        <f t="shared" ref="K180:K188" si="135">H180*AP180</f>
        <v>0</v>
      </c>
      <c r="L180" s="39">
        <f t="shared" ref="L180:L188" si="136">H180*I180</f>
        <v>0</v>
      </c>
      <c r="M180" s="80" t="s">
        <v>576</v>
      </c>
      <c r="Z180" s="39">
        <f t="shared" ref="Z180:Z188" si="137">IF(AQ180="5",BJ180,0)</f>
        <v>0</v>
      </c>
      <c r="AB180" s="39">
        <f t="shared" ref="AB180:AB188" si="138">IF(AQ180="1",BH180,0)</f>
        <v>0</v>
      </c>
      <c r="AC180" s="39">
        <f t="shared" ref="AC180:AC188" si="139">IF(AQ180="1",BI180,0)</f>
        <v>0</v>
      </c>
      <c r="AD180" s="39">
        <f t="shared" ref="AD180:AD188" si="140">IF(AQ180="7",BH180,0)</f>
        <v>0</v>
      </c>
      <c r="AE180" s="39">
        <f t="shared" ref="AE180:AE188" si="141">IF(AQ180="7",BI180,0)</f>
        <v>0</v>
      </c>
      <c r="AF180" s="39">
        <f t="shared" ref="AF180:AF188" si="142">IF(AQ180="2",BH180,0)</f>
        <v>0</v>
      </c>
      <c r="AG180" s="39">
        <f t="shared" ref="AG180:AG188" si="143">IF(AQ180="2",BI180,0)</f>
        <v>0</v>
      </c>
      <c r="AH180" s="39">
        <f t="shared" ref="AH180:AH188" si="144">IF(AQ180="0",BJ180,0)</f>
        <v>0</v>
      </c>
      <c r="AI180" s="68" t="s">
        <v>587</v>
      </c>
      <c r="AJ180" s="39">
        <f t="shared" ref="AJ180:AJ188" si="145">IF(AN180=0,L180,0)</f>
        <v>0</v>
      </c>
      <c r="AK180" s="39">
        <f t="shared" ref="AK180:AK188" si="146">IF(AN180=15,L180,0)</f>
        <v>0</v>
      </c>
      <c r="AL180" s="39">
        <f t="shared" ref="AL180:AL188" si="147">IF(AN180=21,L180,0)</f>
        <v>0</v>
      </c>
      <c r="AN180" s="39">
        <v>21</v>
      </c>
      <c r="AO180" s="39">
        <f>I180*0.261518987341772</f>
        <v>0</v>
      </c>
      <c r="AP180" s="39">
        <f>I180*(1-0.261518987341772)</f>
        <v>0</v>
      </c>
      <c r="AQ180" s="40" t="s">
        <v>846</v>
      </c>
      <c r="AV180" s="39">
        <f t="shared" ref="AV180:AV188" si="148">AW180+AX180</f>
        <v>0</v>
      </c>
      <c r="AW180" s="39">
        <f t="shared" ref="AW180:AW188" si="149">H180*AO180</f>
        <v>0</v>
      </c>
      <c r="AX180" s="39">
        <f t="shared" ref="AX180:AX188" si="150">H180*AP180</f>
        <v>0</v>
      </c>
      <c r="AY180" s="40" t="s">
        <v>129</v>
      </c>
      <c r="AZ180" s="40" t="s">
        <v>52</v>
      </c>
      <c r="BA180" s="68" t="s">
        <v>648</v>
      </c>
      <c r="BC180" s="39">
        <f t="shared" ref="BC180:BC188" si="151">AW180+AX180</f>
        <v>0</v>
      </c>
      <c r="BD180" s="39">
        <f t="shared" ref="BD180:BD188" si="152">I180/(100-BE180)*100</f>
        <v>0</v>
      </c>
      <c r="BE180" s="39">
        <v>0</v>
      </c>
      <c r="BF180" s="39">
        <f>188</f>
        <v>188</v>
      </c>
      <c r="BH180" s="39">
        <f t="shared" ref="BH180:BH188" si="153">H180*AO180</f>
        <v>0</v>
      </c>
      <c r="BI180" s="39">
        <f t="shared" ref="BI180:BI188" si="154">H180*AP180</f>
        <v>0</v>
      </c>
      <c r="BJ180" s="39">
        <f t="shared" ref="BJ180:BJ188" si="155">H180*I180</f>
        <v>0</v>
      </c>
      <c r="BK180" s="39"/>
      <c r="BL180" s="39">
        <v>721</v>
      </c>
    </row>
    <row r="181" spans="1:64" ht="15" customHeight="1">
      <c r="A181" s="37" t="s">
        <v>151</v>
      </c>
      <c r="B181" s="38" t="s">
        <v>169</v>
      </c>
      <c r="C181" s="195" t="s">
        <v>930</v>
      </c>
      <c r="D181" s="195"/>
      <c r="E181" s="195"/>
      <c r="F181" s="195"/>
      <c r="G181" s="38" t="s">
        <v>216</v>
      </c>
      <c r="H181" s="39">
        <v>10</v>
      </c>
      <c r="I181" s="39">
        <v>0</v>
      </c>
      <c r="J181" s="39">
        <f t="shared" si="134"/>
        <v>0</v>
      </c>
      <c r="K181" s="39">
        <f t="shared" si="135"/>
        <v>0</v>
      </c>
      <c r="L181" s="39">
        <f t="shared" si="136"/>
        <v>0</v>
      </c>
      <c r="M181" s="80" t="s">
        <v>576</v>
      </c>
      <c r="Z181" s="39">
        <f t="shared" si="137"/>
        <v>0</v>
      </c>
      <c r="AB181" s="39">
        <f t="shared" si="138"/>
        <v>0</v>
      </c>
      <c r="AC181" s="39">
        <f t="shared" si="139"/>
        <v>0</v>
      </c>
      <c r="AD181" s="39">
        <f t="shared" si="140"/>
        <v>0</v>
      </c>
      <c r="AE181" s="39">
        <f t="shared" si="141"/>
        <v>0</v>
      </c>
      <c r="AF181" s="39">
        <f t="shared" si="142"/>
        <v>0</v>
      </c>
      <c r="AG181" s="39">
        <f t="shared" si="143"/>
        <v>0</v>
      </c>
      <c r="AH181" s="39">
        <f t="shared" si="144"/>
        <v>0</v>
      </c>
      <c r="AI181" s="68" t="s">
        <v>587</v>
      </c>
      <c r="AJ181" s="39">
        <f t="shared" si="145"/>
        <v>0</v>
      </c>
      <c r="AK181" s="39">
        <f t="shared" si="146"/>
        <v>0</v>
      </c>
      <c r="AL181" s="39">
        <f t="shared" si="147"/>
        <v>0</v>
      </c>
      <c r="AN181" s="39">
        <v>21</v>
      </c>
      <c r="AO181" s="39">
        <f>I181*1</f>
        <v>0</v>
      </c>
      <c r="AP181" s="39">
        <f>I181*(1-1)</f>
        <v>0</v>
      </c>
      <c r="AQ181" s="40" t="s">
        <v>846</v>
      </c>
      <c r="AV181" s="39">
        <f t="shared" si="148"/>
        <v>0</v>
      </c>
      <c r="AW181" s="39">
        <f t="shared" si="149"/>
        <v>0</v>
      </c>
      <c r="AX181" s="39">
        <f t="shared" si="150"/>
        <v>0</v>
      </c>
      <c r="AY181" s="40" t="s">
        <v>129</v>
      </c>
      <c r="AZ181" s="40" t="s">
        <v>52</v>
      </c>
      <c r="BA181" s="68" t="s">
        <v>648</v>
      </c>
      <c r="BC181" s="39">
        <f t="shared" si="151"/>
        <v>0</v>
      </c>
      <c r="BD181" s="39">
        <f t="shared" si="152"/>
        <v>0</v>
      </c>
      <c r="BE181" s="39">
        <v>0</v>
      </c>
      <c r="BF181" s="39">
        <f>189</f>
        <v>189</v>
      </c>
      <c r="BH181" s="39">
        <f t="shared" si="153"/>
        <v>0</v>
      </c>
      <c r="BI181" s="39">
        <f t="shared" si="154"/>
        <v>0</v>
      </c>
      <c r="BJ181" s="39">
        <f t="shared" si="155"/>
        <v>0</v>
      </c>
      <c r="BK181" s="39"/>
      <c r="BL181" s="39">
        <v>721</v>
      </c>
    </row>
    <row r="182" spans="1:64" ht="15" customHeight="1">
      <c r="A182" s="37" t="s">
        <v>196</v>
      </c>
      <c r="B182" s="38" t="s">
        <v>218</v>
      </c>
      <c r="C182" s="195" t="s">
        <v>435</v>
      </c>
      <c r="D182" s="195"/>
      <c r="E182" s="195"/>
      <c r="F182" s="195"/>
      <c r="G182" s="38" t="s">
        <v>216</v>
      </c>
      <c r="H182" s="39">
        <v>7</v>
      </c>
      <c r="I182" s="39">
        <v>0</v>
      </c>
      <c r="J182" s="39">
        <f t="shared" si="134"/>
        <v>0</v>
      </c>
      <c r="K182" s="39">
        <f t="shared" si="135"/>
        <v>0</v>
      </c>
      <c r="L182" s="39">
        <f t="shared" si="136"/>
        <v>0</v>
      </c>
      <c r="M182" s="80" t="s">
        <v>576</v>
      </c>
      <c r="Z182" s="39">
        <f t="shared" si="137"/>
        <v>0</v>
      </c>
      <c r="AB182" s="39">
        <f t="shared" si="138"/>
        <v>0</v>
      </c>
      <c r="AC182" s="39">
        <f t="shared" si="139"/>
        <v>0</v>
      </c>
      <c r="AD182" s="39">
        <f t="shared" si="140"/>
        <v>0</v>
      </c>
      <c r="AE182" s="39">
        <f t="shared" si="141"/>
        <v>0</v>
      </c>
      <c r="AF182" s="39">
        <f t="shared" si="142"/>
        <v>0</v>
      </c>
      <c r="AG182" s="39">
        <f t="shared" si="143"/>
        <v>0</v>
      </c>
      <c r="AH182" s="39">
        <f t="shared" si="144"/>
        <v>0</v>
      </c>
      <c r="AI182" s="68" t="s">
        <v>587</v>
      </c>
      <c r="AJ182" s="39">
        <f t="shared" si="145"/>
        <v>0</v>
      </c>
      <c r="AK182" s="39">
        <f t="shared" si="146"/>
        <v>0</v>
      </c>
      <c r="AL182" s="39">
        <f t="shared" si="147"/>
        <v>0</v>
      </c>
      <c r="AN182" s="39">
        <v>21</v>
      </c>
      <c r="AO182" s="39">
        <f>I182*1</f>
        <v>0</v>
      </c>
      <c r="AP182" s="39">
        <f>I182*(1-1)</f>
        <v>0</v>
      </c>
      <c r="AQ182" s="40" t="s">
        <v>846</v>
      </c>
      <c r="AV182" s="39">
        <f t="shared" si="148"/>
        <v>0</v>
      </c>
      <c r="AW182" s="39">
        <f t="shared" si="149"/>
        <v>0</v>
      </c>
      <c r="AX182" s="39">
        <f t="shared" si="150"/>
        <v>0</v>
      </c>
      <c r="AY182" s="40" t="s">
        <v>129</v>
      </c>
      <c r="AZ182" s="40" t="s">
        <v>52</v>
      </c>
      <c r="BA182" s="68" t="s">
        <v>648</v>
      </c>
      <c r="BC182" s="39">
        <f t="shared" si="151"/>
        <v>0</v>
      </c>
      <c r="BD182" s="39">
        <f t="shared" si="152"/>
        <v>0</v>
      </c>
      <c r="BE182" s="39">
        <v>0</v>
      </c>
      <c r="BF182" s="39">
        <f>190</f>
        <v>190</v>
      </c>
      <c r="BH182" s="39">
        <f t="shared" si="153"/>
        <v>0</v>
      </c>
      <c r="BI182" s="39">
        <f t="shared" si="154"/>
        <v>0</v>
      </c>
      <c r="BJ182" s="39">
        <f t="shared" si="155"/>
        <v>0</v>
      </c>
      <c r="BK182" s="39"/>
      <c r="BL182" s="39">
        <v>721</v>
      </c>
    </row>
    <row r="183" spans="1:64" ht="15" customHeight="1">
      <c r="A183" s="37" t="s">
        <v>94</v>
      </c>
      <c r="B183" s="38" t="s">
        <v>715</v>
      </c>
      <c r="C183" s="195" t="s">
        <v>51</v>
      </c>
      <c r="D183" s="195"/>
      <c r="E183" s="195"/>
      <c r="F183" s="195"/>
      <c r="G183" s="38" t="s">
        <v>701</v>
      </c>
      <c r="H183" s="39">
        <v>86</v>
      </c>
      <c r="I183" s="39">
        <v>0</v>
      </c>
      <c r="J183" s="39">
        <f t="shared" si="134"/>
        <v>0</v>
      </c>
      <c r="K183" s="39">
        <f t="shared" si="135"/>
        <v>0</v>
      </c>
      <c r="L183" s="39">
        <f t="shared" si="136"/>
        <v>0</v>
      </c>
      <c r="M183" s="80" t="s">
        <v>576</v>
      </c>
      <c r="Z183" s="39">
        <f t="shared" si="137"/>
        <v>0</v>
      </c>
      <c r="AB183" s="39">
        <f t="shared" si="138"/>
        <v>0</v>
      </c>
      <c r="AC183" s="39">
        <f t="shared" si="139"/>
        <v>0</v>
      </c>
      <c r="AD183" s="39">
        <f t="shared" si="140"/>
        <v>0</v>
      </c>
      <c r="AE183" s="39">
        <f t="shared" si="141"/>
        <v>0</v>
      </c>
      <c r="AF183" s="39">
        <f t="shared" si="142"/>
        <v>0</v>
      </c>
      <c r="AG183" s="39">
        <f t="shared" si="143"/>
        <v>0</v>
      </c>
      <c r="AH183" s="39">
        <f t="shared" si="144"/>
        <v>0</v>
      </c>
      <c r="AI183" s="68" t="s">
        <v>587</v>
      </c>
      <c r="AJ183" s="39">
        <f t="shared" si="145"/>
        <v>0</v>
      </c>
      <c r="AK183" s="39">
        <f t="shared" si="146"/>
        <v>0</v>
      </c>
      <c r="AL183" s="39">
        <f t="shared" si="147"/>
        <v>0</v>
      </c>
      <c r="AN183" s="39">
        <v>21</v>
      </c>
      <c r="AO183" s="39">
        <f>I183*0.0275092936802974</f>
        <v>0</v>
      </c>
      <c r="AP183" s="39">
        <f>I183*(1-0.0275092936802974)</f>
        <v>0</v>
      </c>
      <c r="AQ183" s="40" t="s">
        <v>846</v>
      </c>
      <c r="AV183" s="39">
        <f t="shared" si="148"/>
        <v>0</v>
      </c>
      <c r="AW183" s="39">
        <f t="shared" si="149"/>
        <v>0</v>
      </c>
      <c r="AX183" s="39">
        <f t="shared" si="150"/>
        <v>0</v>
      </c>
      <c r="AY183" s="40" t="s">
        <v>129</v>
      </c>
      <c r="AZ183" s="40" t="s">
        <v>52</v>
      </c>
      <c r="BA183" s="68" t="s">
        <v>648</v>
      </c>
      <c r="BC183" s="39">
        <f t="shared" si="151"/>
        <v>0</v>
      </c>
      <c r="BD183" s="39">
        <f t="shared" si="152"/>
        <v>0</v>
      </c>
      <c r="BE183" s="39">
        <v>0</v>
      </c>
      <c r="BF183" s="39">
        <f>191</f>
        <v>191</v>
      </c>
      <c r="BH183" s="39">
        <f t="shared" si="153"/>
        <v>0</v>
      </c>
      <c r="BI183" s="39">
        <f t="shared" si="154"/>
        <v>0</v>
      </c>
      <c r="BJ183" s="39">
        <f t="shared" si="155"/>
        <v>0</v>
      </c>
      <c r="BK183" s="39"/>
      <c r="BL183" s="39">
        <v>721</v>
      </c>
    </row>
    <row r="184" spans="1:64" ht="15" customHeight="1">
      <c r="A184" s="37" t="s">
        <v>120</v>
      </c>
      <c r="B184" s="38" t="s">
        <v>387</v>
      </c>
      <c r="C184" s="195" t="s">
        <v>322</v>
      </c>
      <c r="D184" s="195"/>
      <c r="E184" s="195"/>
      <c r="F184" s="195"/>
      <c r="G184" s="38" t="s">
        <v>216</v>
      </c>
      <c r="H184" s="39">
        <v>1</v>
      </c>
      <c r="I184" s="39">
        <v>0</v>
      </c>
      <c r="J184" s="39">
        <f t="shared" si="134"/>
        <v>0</v>
      </c>
      <c r="K184" s="39">
        <f t="shared" si="135"/>
        <v>0</v>
      </c>
      <c r="L184" s="39">
        <f t="shared" si="136"/>
        <v>0</v>
      </c>
      <c r="M184" s="80" t="s">
        <v>576</v>
      </c>
      <c r="Z184" s="39">
        <f t="shared" si="137"/>
        <v>0</v>
      </c>
      <c r="AB184" s="39">
        <f t="shared" si="138"/>
        <v>0</v>
      </c>
      <c r="AC184" s="39">
        <f t="shared" si="139"/>
        <v>0</v>
      </c>
      <c r="AD184" s="39">
        <f t="shared" si="140"/>
        <v>0</v>
      </c>
      <c r="AE184" s="39">
        <f t="shared" si="141"/>
        <v>0</v>
      </c>
      <c r="AF184" s="39">
        <f t="shared" si="142"/>
        <v>0</v>
      </c>
      <c r="AG184" s="39">
        <f t="shared" si="143"/>
        <v>0</v>
      </c>
      <c r="AH184" s="39">
        <f t="shared" si="144"/>
        <v>0</v>
      </c>
      <c r="AI184" s="68" t="s">
        <v>587</v>
      </c>
      <c r="AJ184" s="39">
        <f t="shared" si="145"/>
        <v>0</v>
      </c>
      <c r="AK184" s="39">
        <f t="shared" si="146"/>
        <v>0</v>
      </c>
      <c r="AL184" s="39">
        <f t="shared" si="147"/>
        <v>0</v>
      </c>
      <c r="AN184" s="39">
        <v>21</v>
      </c>
      <c r="AO184" s="39">
        <f>I184*0.816811594202899</f>
        <v>0</v>
      </c>
      <c r="AP184" s="39">
        <f>I184*(1-0.816811594202899)</f>
        <v>0</v>
      </c>
      <c r="AQ184" s="40" t="s">
        <v>846</v>
      </c>
      <c r="AV184" s="39">
        <f t="shared" si="148"/>
        <v>0</v>
      </c>
      <c r="AW184" s="39">
        <f t="shared" si="149"/>
        <v>0</v>
      </c>
      <c r="AX184" s="39">
        <f t="shared" si="150"/>
        <v>0</v>
      </c>
      <c r="AY184" s="40" t="s">
        <v>129</v>
      </c>
      <c r="AZ184" s="40" t="s">
        <v>52</v>
      </c>
      <c r="BA184" s="68" t="s">
        <v>648</v>
      </c>
      <c r="BC184" s="39">
        <f t="shared" si="151"/>
        <v>0</v>
      </c>
      <c r="BD184" s="39">
        <f t="shared" si="152"/>
        <v>0</v>
      </c>
      <c r="BE184" s="39">
        <v>0</v>
      </c>
      <c r="BF184" s="39">
        <f>192</f>
        <v>192</v>
      </c>
      <c r="BH184" s="39">
        <f t="shared" si="153"/>
        <v>0</v>
      </c>
      <c r="BI184" s="39">
        <f t="shared" si="154"/>
        <v>0</v>
      </c>
      <c r="BJ184" s="39">
        <f t="shared" si="155"/>
        <v>0</v>
      </c>
      <c r="BK184" s="39"/>
      <c r="BL184" s="39">
        <v>721</v>
      </c>
    </row>
    <row r="185" spans="1:64" ht="15" customHeight="1">
      <c r="A185" s="37" t="s">
        <v>791</v>
      </c>
      <c r="B185" s="38" t="s">
        <v>641</v>
      </c>
      <c r="C185" s="195" t="s">
        <v>645</v>
      </c>
      <c r="D185" s="195"/>
      <c r="E185" s="195"/>
      <c r="F185" s="195"/>
      <c r="G185" s="38" t="s">
        <v>216</v>
      </c>
      <c r="H185" s="39">
        <v>2</v>
      </c>
      <c r="I185" s="39">
        <v>0</v>
      </c>
      <c r="J185" s="39">
        <f t="shared" si="134"/>
        <v>0</v>
      </c>
      <c r="K185" s="39">
        <f t="shared" si="135"/>
        <v>0</v>
      </c>
      <c r="L185" s="39">
        <f t="shared" si="136"/>
        <v>0</v>
      </c>
      <c r="M185" s="80" t="s">
        <v>576</v>
      </c>
      <c r="Z185" s="39">
        <f t="shared" si="137"/>
        <v>0</v>
      </c>
      <c r="AB185" s="39">
        <f t="shared" si="138"/>
        <v>0</v>
      </c>
      <c r="AC185" s="39">
        <f t="shared" si="139"/>
        <v>0</v>
      </c>
      <c r="AD185" s="39">
        <f t="shared" si="140"/>
        <v>0</v>
      </c>
      <c r="AE185" s="39">
        <f t="shared" si="141"/>
        <v>0</v>
      </c>
      <c r="AF185" s="39">
        <f t="shared" si="142"/>
        <v>0</v>
      </c>
      <c r="AG185" s="39">
        <f t="shared" si="143"/>
        <v>0</v>
      </c>
      <c r="AH185" s="39">
        <f t="shared" si="144"/>
        <v>0</v>
      </c>
      <c r="AI185" s="68" t="s">
        <v>587</v>
      </c>
      <c r="AJ185" s="39">
        <f t="shared" si="145"/>
        <v>0</v>
      </c>
      <c r="AK185" s="39">
        <f t="shared" si="146"/>
        <v>0</v>
      </c>
      <c r="AL185" s="39">
        <f t="shared" si="147"/>
        <v>0</v>
      </c>
      <c r="AN185" s="39">
        <v>21</v>
      </c>
      <c r="AO185" s="39">
        <f>I185*0.817846153846154</f>
        <v>0</v>
      </c>
      <c r="AP185" s="39">
        <f>I185*(1-0.817846153846154)</f>
        <v>0</v>
      </c>
      <c r="AQ185" s="40" t="s">
        <v>846</v>
      </c>
      <c r="AV185" s="39">
        <f t="shared" si="148"/>
        <v>0</v>
      </c>
      <c r="AW185" s="39">
        <f t="shared" si="149"/>
        <v>0</v>
      </c>
      <c r="AX185" s="39">
        <f t="shared" si="150"/>
        <v>0</v>
      </c>
      <c r="AY185" s="40" t="s">
        <v>129</v>
      </c>
      <c r="AZ185" s="40" t="s">
        <v>52</v>
      </c>
      <c r="BA185" s="68" t="s">
        <v>648</v>
      </c>
      <c r="BC185" s="39">
        <f t="shared" si="151"/>
        <v>0</v>
      </c>
      <c r="BD185" s="39">
        <f t="shared" si="152"/>
        <v>0</v>
      </c>
      <c r="BE185" s="39">
        <v>0</v>
      </c>
      <c r="BF185" s="39">
        <f>193</f>
        <v>193</v>
      </c>
      <c r="BH185" s="39">
        <f t="shared" si="153"/>
        <v>0</v>
      </c>
      <c r="BI185" s="39">
        <f t="shared" si="154"/>
        <v>0</v>
      </c>
      <c r="BJ185" s="39">
        <f t="shared" si="155"/>
        <v>0</v>
      </c>
      <c r="BK185" s="39"/>
      <c r="BL185" s="39">
        <v>721</v>
      </c>
    </row>
    <row r="186" spans="1:64" ht="15" customHeight="1">
      <c r="A186" s="37" t="s">
        <v>619</v>
      </c>
      <c r="B186" s="38" t="s">
        <v>719</v>
      </c>
      <c r="C186" s="195" t="s">
        <v>199</v>
      </c>
      <c r="D186" s="195"/>
      <c r="E186" s="195"/>
      <c r="F186" s="195"/>
      <c r="G186" s="38" t="s">
        <v>701</v>
      </c>
      <c r="H186" s="39">
        <v>2</v>
      </c>
      <c r="I186" s="39">
        <v>0</v>
      </c>
      <c r="J186" s="39">
        <f t="shared" si="134"/>
        <v>0</v>
      </c>
      <c r="K186" s="39">
        <f t="shared" si="135"/>
        <v>0</v>
      </c>
      <c r="L186" s="39">
        <f t="shared" si="136"/>
        <v>0</v>
      </c>
      <c r="M186" s="80" t="s">
        <v>576</v>
      </c>
      <c r="Z186" s="39">
        <f t="shared" si="137"/>
        <v>0</v>
      </c>
      <c r="AB186" s="39">
        <f t="shared" si="138"/>
        <v>0</v>
      </c>
      <c r="AC186" s="39">
        <f t="shared" si="139"/>
        <v>0</v>
      </c>
      <c r="AD186" s="39">
        <f t="shared" si="140"/>
        <v>0</v>
      </c>
      <c r="AE186" s="39">
        <f t="shared" si="141"/>
        <v>0</v>
      </c>
      <c r="AF186" s="39">
        <f t="shared" si="142"/>
        <v>0</v>
      </c>
      <c r="AG186" s="39">
        <f t="shared" si="143"/>
        <v>0</v>
      </c>
      <c r="AH186" s="39">
        <f t="shared" si="144"/>
        <v>0</v>
      </c>
      <c r="AI186" s="68" t="s">
        <v>587</v>
      </c>
      <c r="AJ186" s="39">
        <f t="shared" si="145"/>
        <v>0</v>
      </c>
      <c r="AK186" s="39">
        <f t="shared" si="146"/>
        <v>0</v>
      </c>
      <c r="AL186" s="39">
        <f t="shared" si="147"/>
        <v>0</v>
      </c>
      <c r="AN186" s="39">
        <v>21</v>
      </c>
      <c r="AO186" s="39">
        <f>I186*0.465782983970407</f>
        <v>0</v>
      </c>
      <c r="AP186" s="39">
        <f>I186*(1-0.465782983970407)</f>
        <v>0</v>
      </c>
      <c r="AQ186" s="40" t="s">
        <v>846</v>
      </c>
      <c r="AV186" s="39">
        <f t="shared" si="148"/>
        <v>0</v>
      </c>
      <c r="AW186" s="39">
        <f t="shared" si="149"/>
        <v>0</v>
      </c>
      <c r="AX186" s="39">
        <f t="shared" si="150"/>
        <v>0</v>
      </c>
      <c r="AY186" s="40" t="s">
        <v>129</v>
      </c>
      <c r="AZ186" s="40" t="s">
        <v>52</v>
      </c>
      <c r="BA186" s="68" t="s">
        <v>648</v>
      </c>
      <c r="BC186" s="39">
        <f t="shared" si="151"/>
        <v>0</v>
      </c>
      <c r="BD186" s="39">
        <f t="shared" si="152"/>
        <v>0</v>
      </c>
      <c r="BE186" s="39">
        <v>0</v>
      </c>
      <c r="BF186" s="39">
        <f>194</f>
        <v>194</v>
      </c>
      <c r="BH186" s="39">
        <f t="shared" si="153"/>
        <v>0</v>
      </c>
      <c r="BI186" s="39">
        <f t="shared" si="154"/>
        <v>0</v>
      </c>
      <c r="BJ186" s="39">
        <f t="shared" si="155"/>
        <v>0</v>
      </c>
      <c r="BK186" s="39"/>
      <c r="BL186" s="39">
        <v>721</v>
      </c>
    </row>
    <row r="187" spans="1:64" ht="15" customHeight="1">
      <c r="A187" s="37" t="s">
        <v>417</v>
      </c>
      <c r="B187" s="38" t="s">
        <v>463</v>
      </c>
      <c r="C187" s="195" t="s">
        <v>42</v>
      </c>
      <c r="D187" s="195"/>
      <c r="E187" s="195"/>
      <c r="F187" s="195"/>
      <c r="G187" s="38" t="s">
        <v>550</v>
      </c>
      <c r="H187" s="39">
        <v>3</v>
      </c>
      <c r="I187" s="39">
        <v>0</v>
      </c>
      <c r="J187" s="39">
        <f t="shared" si="134"/>
        <v>0</v>
      </c>
      <c r="K187" s="39">
        <f t="shared" si="135"/>
        <v>0</v>
      </c>
      <c r="L187" s="39">
        <f t="shared" si="136"/>
        <v>0</v>
      </c>
      <c r="M187" s="80" t="s">
        <v>587</v>
      </c>
      <c r="Z187" s="39">
        <f t="shared" si="137"/>
        <v>0</v>
      </c>
      <c r="AB187" s="39">
        <f t="shared" si="138"/>
        <v>0</v>
      </c>
      <c r="AC187" s="39">
        <f t="shared" si="139"/>
        <v>0</v>
      </c>
      <c r="AD187" s="39">
        <f t="shared" si="140"/>
        <v>0</v>
      </c>
      <c r="AE187" s="39">
        <f t="shared" si="141"/>
        <v>0</v>
      </c>
      <c r="AF187" s="39">
        <f t="shared" si="142"/>
        <v>0</v>
      </c>
      <c r="AG187" s="39">
        <f t="shared" si="143"/>
        <v>0</v>
      </c>
      <c r="AH187" s="39">
        <f t="shared" si="144"/>
        <v>0</v>
      </c>
      <c r="AI187" s="68" t="s">
        <v>587</v>
      </c>
      <c r="AJ187" s="39">
        <f t="shared" si="145"/>
        <v>0</v>
      </c>
      <c r="AK187" s="39">
        <f t="shared" si="146"/>
        <v>0</v>
      </c>
      <c r="AL187" s="39">
        <f t="shared" si="147"/>
        <v>0</v>
      </c>
      <c r="AN187" s="39">
        <v>21</v>
      </c>
      <c r="AO187" s="39">
        <f>I187*0.8</f>
        <v>0</v>
      </c>
      <c r="AP187" s="39">
        <f>I187*(1-0.8)</f>
        <v>0</v>
      </c>
      <c r="AQ187" s="40" t="s">
        <v>846</v>
      </c>
      <c r="AV187" s="39">
        <f t="shared" si="148"/>
        <v>0</v>
      </c>
      <c r="AW187" s="39">
        <f t="shared" si="149"/>
        <v>0</v>
      </c>
      <c r="AX187" s="39">
        <f t="shared" si="150"/>
        <v>0</v>
      </c>
      <c r="AY187" s="40" t="s">
        <v>129</v>
      </c>
      <c r="AZ187" s="40" t="s">
        <v>52</v>
      </c>
      <c r="BA187" s="68" t="s">
        <v>648</v>
      </c>
      <c r="BC187" s="39">
        <f t="shared" si="151"/>
        <v>0</v>
      </c>
      <c r="BD187" s="39">
        <f t="shared" si="152"/>
        <v>0</v>
      </c>
      <c r="BE187" s="39">
        <v>0</v>
      </c>
      <c r="BF187" s="39">
        <f>195</f>
        <v>195</v>
      </c>
      <c r="BH187" s="39">
        <f t="shared" si="153"/>
        <v>0</v>
      </c>
      <c r="BI187" s="39">
        <f t="shared" si="154"/>
        <v>0</v>
      </c>
      <c r="BJ187" s="39">
        <f t="shared" si="155"/>
        <v>0</v>
      </c>
      <c r="BK187" s="39"/>
      <c r="BL187" s="39">
        <v>721</v>
      </c>
    </row>
    <row r="188" spans="1:64" ht="15" customHeight="1">
      <c r="A188" s="37" t="s">
        <v>618</v>
      </c>
      <c r="B188" s="38" t="s">
        <v>18</v>
      </c>
      <c r="C188" s="195" t="s">
        <v>87</v>
      </c>
      <c r="D188" s="195"/>
      <c r="E188" s="195"/>
      <c r="F188" s="195"/>
      <c r="G188" s="38" t="s">
        <v>401</v>
      </c>
      <c r="H188" s="39">
        <v>0.11600000000000001</v>
      </c>
      <c r="I188" s="39">
        <v>0</v>
      </c>
      <c r="J188" s="39">
        <f t="shared" si="134"/>
        <v>0</v>
      </c>
      <c r="K188" s="39">
        <f t="shared" si="135"/>
        <v>0</v>
      </c>
      <c r="L188" s="39">
        <f t="shared" si="136"/>
        <v>0</v>
      </c>
      <c r="M188" s="80" t="s">
        <v>576</v>
      </c>
      <c r="Z188" s="39">
        <f t="shared" si="137"/>
        <v>0</v>
      </c>
      <c r="AB188" s="39">
        <f t="shared" si="138"/>
        <v>0</v>
      </c>
      <c r="AC188" s="39">
        <f t="shared" si="139"/>
        <v>0</v>
      </c>
      <c r="AD188" s="39">
        <f t="shared" si="140"/>
        <v>0</v>
      </c>
      <c r="AE188" s="39">
        <f t="shared" si="141"/>
        <v>0</v>
      </c>
      <c r="AF188" s="39">
        <f t="shared" si="142"/>
        <v>0</v>
      </c>
      <c r="AG188" s="39">
        <f t="shared" si="143"/>
        <v>0</v>
      </c>
      <c r="AH188" s="39">
        <f t="shared" si="144"/>
        <v>0</v>
      </c>
      <c r="AI188" s="68" t="s">
        <v>587</v>
      </c>
      <c r="AJ188" s="39">
        <f t="shared" si="145"/>
        <v>0</v>
      </c>
      <c r="AK188" s="39">
        <f t="shared" si="146"/>
        <v>0</v>
      </c>
      <c r="AL188" s="39">
        <f t="shared" si="147"/>
        <v>0</v>
      </c>
      <c r="AN188" s="39">
        <v>21</v>
      </c>
      <c r="AO188" s="39">
        <f>I188*0</f>
        <v>0</v>
      </c>
      <c r="AP188" s="39">
        <f>I188*(1-0)</f>
        <v>0</v>
      </c>
      <c r="AQ188" s="40" t="s">
        <v>454</v>
      </c>
      <c r="AV188" s="39">
        <f t="shared" si="148"/>
        <v>0</v>
      </c>
      <c r="AW188" s="39">
        <f t="shared" si="149"/>
        <v>0</v>
      </c>
      <c r="AX188" s="39">
        <f t="shared" si="150"/>
        <v>0</v>
      </c>
      <c r="AY188" s="40" t="s">
        <v>129</v>
      </c>
      <c r="AZ188" s="40" t="s">
        <v>52</v>
      </c>
      <c r="BA188" s="68" t="s">
        <v>648</v>
      </c>
      <c r="BC188" s="39">
        <f t="shared" si="151"/>
        <v>0</v>
      </c>
      <c r="BD188" s="39">
        <f t="shared" si="152"/>
        <v>0</v>
      </c>
      <c r="BE188" s="39">
        <v>0</v>
      </c>
      <c r="BF188" s="39">
        <f>196</f>
        <v>196</v>
      </c>
      <c r="BH188" s="39">
        <f t="shared" si="153"/>
        <v>0</v>
      </c>
      <c r="BI188" s="39">
        <f t="shared" si="154"/>
        <v>0</v>
      </c>
      <c r="BJ188" s="39">
        <f t="shared" si="155"/>
        <v>0</v>
      </c>
      <c r="BK188" s="39"/>
      <c r="BL188" s="39">
        <v>721</v>
      </c>
    </row>
    <row r="189" spans="1:64" ht="15" customHeight="1">
      <c r="A189" s="76" t="s">
        <v>587</v>
      </c>
      <c r="B189" s="77" t="s">
        <v>762</v>
      </c>
      <c r="C189" s="221" t="s">
        <v>524</v>
      </c>
      <c r="D189" s="221"/>
      <c r="E189" s="221"/>
      <c r="F189" s="221"/>
      <c r="G189" s="78" t="s">
        <v>784</v>
      </c>
      <c r="H189" s="78" t="s">
        <v>784</v>
      </c>
      <c r="I189" s="78" t="s">
        <v>784</v>
      </c>
      <c r="J189" s="64">
        <f>SUM(J190:J229)</f>
        <v>0</v>
      </c>
      <c r="K189" s="64">
        <f>SUM(K190:K229)</f>
        <v>0</v>
      </c>
      <c r="L189" s="64">
        <f>SUM(L190:L229)</f>
        <v>0</v>
      </c>
      <c r="M189" s="79" t="s">
        <v>587</v>
      </c>
      <c r="AI189" s="68" t="s">
        <v>587</v>
      </c>
      <c r="AS189" s="64">
        <f>SUM(AJ190:AJ229)</f>
        <v>0</v>
      </c>
      <c r="AT189" s="64">
        <f>SUM(AK190:AK229)</f>
        <v>0</v>
      </c>
      <c r="AU189" s="64">
        <f>SUM(AL190:AL229)</f>
        <v>0</v>
      </c>
    </row>
    <row r="190" spans="1:64" ht="15" customHeight="1">
      <c r="A190" s="37" t="s">
        <v>283</v>
      </c>
      <c r="B190" s="38" t="s">
        <v>171</v>
      </c>
      <c r="C190" s="195" t="s">
        <v>317</v>
      </c>
      <c r="D190" s="195"/>
      <c r="E190" s="195"/>
      <c r="F190" s="195"/>
      <c r="G190" s="38" t="s">
        <v>701</v>
      </c>
      <c r="H190" s="39">
        <v>65</v>
      </c>
      <c r="I190" s="39">
        <v>0</v>
      </c>
      <c r="J190" s="39">
        <f>H190*AO190</f>
        <v>0</v>
      </c>
      <c r="K190" s="39">
        <f>H190*AP190</f>
        <v>0</v>
      </c>
      <c r="L190" s="39">
        <f>H190*I190</f>
        <v>0</v>
      </c>
      <c r="M190" s="80" t="s">
        <v>576</v>
      </c>
      <c r="Z190" s="39">
        <f>IF(AQ190="5",BJ190,0)</f>
        <v>0</v>
      </c>
      <c r="AB190" s="39">
        <f>IF(AQ190="1",BH190,0)</f>
        <v>0</v>
      </c>
      <c r="AC190" s="39">
        <f>IF(AQ190="1",BI190,0)</f>
        <v>0</v>
      </c>
      <c r="AD190" s="39">
        <f>IF(AQ190="7",BH190,0)</f>
        <v>0</v>
      </c>
      <c r="AE190" s="39">
        <f>IF(AQ190="7",BI190,0)</f>
        <v>0</v>
      </c>
      <c r="AF190" s="39">
        <f>IF(AQ190="2",BH190,0)</f>
        <v>0</v>
      </c>
      <c r="AG190" s="39">
        <f>IF(AQ190="2",BI190,0)</f>
        <v>0</v>
      </c>
      <c r="AH190" s="39">
        <f>IF(AQ190="0",BJ190,0)</f>
        <v>0</v>
      </c>
      <c r="AI190" s="68" t="s">
        <v>587</v>
      </c>
      <c r="AJ190" s="39">
        <f>IF(AN190=0,L190,0)</f>
        <v>0</v>
      </c>
      <c r="AK190" s="39">
        <f>IF(AN190=15,L190,0)</f>
        <v>0</v>
      </c>
      <c r="AL190" s="39">
        <f>IF(AN190=21,L190,0)</f>
        <v>0</v>
      </c>
      <c r="AN190" s="39">
        <v>21</v>
      </c>
      <c r="AO190" s="39">
        <f>I190*0.18894472361809</f>
        <v>0</v>
      </c>
      <c r="AP190" s="39">
        <f>I190*(1-0.18894472361809)</f>
        <v>0</v>
      </c>
      <c r="AQ190" s="40" t="s">
        <v>846</v>
      </c>
      <c r="AV190" s="39">
        <f>AW190+AX190</f>
        <v>0</v>
      </c>
      <c r="AW190" s="39">
        <f>H190*AO190</f>
        <v>0</v>
      </c>
      <c r="AX190" s="39">
        <f>H190*AP190</f>
        <v>0</v>
      </c>
      <c r="AY190" s="40" t="s">
        <v>538</v>
      </c>
      <c r="AZ190" s="40" t="s">
        <v>52</v>
      </c>
      <c r="BA190" s="68" t="s">
        <v>648</v>
      </c>
      <c r="BC190" s="39">
        <f>AW190+AX190</f>
        <v>0</v>
      </c>
      <c r="BD190" s="39">
        <f>I190/(100-BE190)*100</f>
        <v>0</v>
      </c>
      <c r="BE190" s="39">
        <v>0</v>
      </c>
      <c r="BF190" s="39">
        <f>198</f>
        <v>198</v>
      </c>
      <c r="BH190" s="39">
        <f>H190*AO190</f>
        <v>0</v>
      </c>
      <c r="BI190" s="39">
        <f>H190*AP190</f>
        <v>0</v>
      </c>
      <c r="BJ190" s="39">
        <f>H190*I190</f>
        <v>0</v>
      </c>
      <c r="BK190" s="39"/>
      <c r="BL190" s="39">
        <v>722</v>
      </c>
    </row>
    <row r="191" spans="1:64" ht="13.5" customHeight="1">
      <c r="A191" s="81"/>
      <c r="B191" s="82" t="s">
        <v>440</v>
      </c>
      <c r="C191" s="223" t="s">
        <v>101</v>
      </c>
      <c r="D191" s="224"/>
      <c r="E191" s="224"/>
      <c r="F191" s="224"/>
      <c r="G191" s="224"/>
      <c r="H191" s="224"/>
      <c r="I191" s="224"/>
      <c r="J191" s="224"/>
      <c r="K191" s="224"/>
      <c r="L191" s="224"/>
      <c r="M191" s="225"/>
    </row>
    <row r="192" spans="1:64" ht="15" customHeight="1">
      <c r="A192" s="37" t="s">
        <v>396</v>
      </c>
      <c r="B192" s="38" t="s">
        <v>331</v>
      </c>
      <c r="C192" s="195" t="s">
        <v>274</v>
      </c>
      <c r="D192" s="195"/>
      <c r="E192" s="195"/>
      <c r="F192" s="195"/>
      <c r="G192" s="38" t="s">
        <v>701</v>
      </c>
      <c r="H192" s="39">
        <v>125</v>
      </c>
      <c r="I192" s="39">
        <v>0</v>
      </c>
      <c r="J192" s="39">
        <f>H192*AO192</f>
        <v>0</v>
      </c>
      <c r="K192" s="39">
        <f>H192*AP192</f>
        <v>0</v>
      </c>
      <c r="L192" s="39">
        <f>H192*I192</f>
        <v>0</v>
      </c>
      <c r="M192" s="80" t="s">
        <v>576</v>
      </c>
      <c r="Z192" s="39">
        <f>IF(AQ192="5",BJ192,0)</f>
        <v>0</v>
      </c>
      <c r="AB192" s="39">
        <f>IF(AQ192="1",BH192,0)</f>
        <v>0</v>
      </c>
      <c r="AC192" s="39">
        <f>IF(AQ192="1",BI192,0)</f>
        <v>0</v>
      </c>
      <c r="AD192" s="39">
        <f>IF(AQ192="7",BH192,0)</f>
        <v>0</v>
      </c>
      <c r="AE192" s="39">
        <f>IF(AQ192="7",BI192,0)</f>
        <v>0</v>
      </c>
      <c r="AF192" s="39">
        <f>IF(AQ192="2",BH192,0)</f>
        <v>0</v>
      </c>
      <c r="AG192" s="39">
        <f>IF(AQ192="2",BI192,0)</f>
        <v>0</v>
      </c>
      <c r="AH192" s="39">
        <f>IF(AQ192="0",BJ192,0)</f>
        <v>0</v>
      </c>
      <c r="AI192" s="68" t="s">
        <v>587</v>
      </c>
      <c r="AJ192" s="39">
        <f>IF(AN192=0,L192,0)</f>
        <v>0</v>
      </c>
      <c r="AK192" s="39">
        <f>IF(AN192=15,L192,0)</f>
        <v>0</v>
      </c>
      <c r="AL192" s="39">
        <f>IF(AN192=21,L192,0)</f>
        <v>0</v>
      </c>
      <c r="AN192" s="39">
        <v>21</v>
      </c>
      <c r="AO192" s="39">
        <f>I192*0.322082018927445</f>
        <v>0</v>
      </c>
      <c r="AP192" s="39">
        <f>I192*(1-0.322082018927445)</f>
        <v>0</v>
      </c>
      <c r="AQ192" s="40" t="s">
        <v>846</v>
      </c>
      <c r="AV192" s="39">
        <f>AW192+AX192</f>
        <v>0</v>
      </c>
      <c r="AW192" s="39">
        <f>H192*AO192</f>
        <v>0</v>
      </c>
      <c r="AX192" s="39">
        <f>H192*AP192</f>
        <v>0</v>
      </c>
      <c r="AY192" s="40" t="s">
        <v>538</v>
      </c>
      <c r="AZ192" s="40" t="s">
        <v>52</v>
      </c>
      <c r="BA192" s="68" t="s">
        <v>648</v>
      </c>
      <c r="BC192" s="39">
        <f>AW192+AX192</f>
        <v>0</v>
      </c>
      <c r="BD192" s="39">
        <f>I192/(100-BE192)*100</f>
        <v>0</v>
      </c>
      <c r="BE192" s="39">
        <v>0</v>
      </c>
      <c r="BF192" s="39">
        <f>200</f>
        <v>200</v>
      </c>
      <c r="BH192" s="39">
        <f>H192*AO192</f>
        <v>0</v>
      </c>
      <c r="BI192" s="39">
        <f>H192*AP192</f>
        <v>0</v>
      </c>
      <c r="BJ192" s="39">
        <f>H192*I192</f>
        <v>0</v>
      </c>
      <c r="BK192" s="39"/>
      <c r="BL192" s="39">
        <v>722</v>
      </c>
    </row>
    <row r="193" spans="1:64" ht="13.5" customHeight="1">
      <c r="A193" s="81"/>
      <c r="B193" s="82" t="s">
        <v>440</v>
      </c>
      <c r="C193" s="223" t="s">
        <v>247</v>
      </c>
      <c r="D193" s="224"/>
      <c r="E193" s="224"/>
      <c r="F193" s="224"/>
      <c r="G193" s="224"/>
      <c r="H193" s="224"/>
      <c r="I193" s="224"/>
      <c r="J193" s="224"/>
      <c r="K193" s="224"/>
      <c r="L193" s="224"/>
      <c r="M193" s="225"/>
    </row>
    <row r="194" spans="1:64" ht="15" customHeight="1">
      <c r="A194" s="37" t="s">
        <v>248</v>
      </c>
      <c r="B194" s="38" t="s">
        <v>477</v>
      </c>
      <c r="C194" s="195" t="s">
        <v>274</v>
      </c>
      <c r="D194" s="195"/>
      <c r="E194" s="195"/>
      <c r="F194" s="195"/>
      <c r="G194" s="38" t="s">
        <v>701</v>
      </c>
      <c r="H194" s="39">
        <v>45</v>
      </c>
      <c r="I194" s="39">
        <v>0</v>
      </c>
      <c r="J194" s="39">
        <f>H194*AO194</f>
        <v>0</v>
      </c>
      <c r="K194" s="39">
        <f>H194*AP194</f>
        <v>0</v>
      </c>
      <c r="L194" s="39">
        <f>H194*I194</f>
        <v>0</v>
      </c>
      <c r="M194" s="80" t="s">
        <v>576</v>
      </c>
      <c r="Z194" s="39">
        <f>IF(AQ194="5",BJ194,0)</f>
        <v>0</v>
      </c>
      <c r="AB194" s="39">
        <f>IF(AQ194="1",BH194,0)</f>
        <v>0</v>
      </c>
      <c r="AC194" s="39">
        <f>IF(AQ194="1",BI194,0)</f>
        <v>0</v>
      </c>
      <c r="AD194" s="39">
        <f>IF(AQ194="7",BH194,0)</f>
        <v>0</v>
      </c>
      <c r="AE194" s="39">
        <f>IF(AQ194="7",BI194,0)</f>
        <v>0</v>
      </c>
      <c r="AF194" s="39">
        <f>IF(AQ194="2",BH194,0)</f>
        <v>0</v>
      </c>
      <c r="AG194" s="39">
        <f>IF(AQ194="2",BI194,0)</f>
        <v>0</v>
      </c>
      <c r="AH194" s="39">
        <f>IF(AQ194="0",BJ194,0)</f>
        <v>0</v>
      </c>
      <c r="AI194" s="68" t="s">
        <v>587</v>
      </c>
      <c r="AJ194" s="39">
        <f>IF(AN194=0,L194,0)</f>
        <v>0</v>
      </c>
      <c r="AK194" s="39">
        <f>IF(AN194=15,L194,0)</f>
        <v>0</v>
      </c>
      <c r="AL194" s="39">
        <f>IF(AN194=21,L194,0)</f>
        <v>0</v>
      </c>
      <c r="AN194" s="39">
        <v>21</v>
      </c>
      <c r="AO194" s="39">
        <f>I194*0.386425992779783</f>
        <v>0</v>
      </c>
      <c r="AP194" s="39">
        <f>I194*(1-0.386425992779783)</f>
        <v>0</v>
      </c>
      <c r="AQ194" s="40" t="s">
        <v>846</v>
      </c>
      <c r="AV194" s="39">
        <f>AW194+AX194</f>
        <v>0</v>
      </c>
      <c r="AW194" s="39">
        <f>H194*AO194</f>
        <v>0</v>
      </c>
      <c r="AX194" s="39">
        <f>H194*AP194</f>
        <v>0</v>
      </c>
      <c r="AY194" s="40" t="s">
        <v>538</v>
      </c>
      <c r="AZ194" s="40" t="s">
        <v>52</v>
      </c>
      <c r="BA194" s="68" t="s">
        <v>648</v>
      </c>
      <c r="BC194" s="39">
        <f>AW194+AX194</f>
        <v>0</v>
      </c>
      <c r="BD194" s="39">
        <f>I194/(100-BE194)*100</f>
        <v>0</v>
      </c>
      <c r="BE194" s="39">
        <v>0</v>
      </c>
      <c r="BF194" s="39">
        <f>202</f>
        <v>202</v>
      </c>
      <c r="BH194" s="39">
        <f>H194*AO194</f>
        <v>0</v>
      </c>
      <c r="BI194" s="39">
        <f>H194*AP194</f>
        <v>0</v>
      </c>
      <c r="BJ194" s="39">
        <f>H194*I194</f>
        <v>0</v>
      </c>
      <c r="BK194" s="39"/>
      <c r="BL194" s="39">
        <v>722</v>
      </c>
    </row>
    <row r="195" spans="1:64" ht="13.5" customHeight="1">
      <c r="A195" s="81"/>
      <c r="B195" s="82" t="s">
        <v>440</v>
      </c>
      <c r="C195" s="223" t="s">
        <v>297</v>
      </c>
      <c r="D195" s="224"/>
      <c r="E195" s="224"/>
      <c r="F195" s="224"/>
      <c r="G195" s="224"/>
      <c r="H195" s="224"/>
      <c r="I195" s="224"/>
      <c r="J195" s="224"/>
      <c r="K195" s="224"/>
      <c r="L195" s="224"/>
      <c r="M195" s="225"/>
    </row>
    <row r="196" spans="1:64" ht="15" customHeight="1">
      <c r="A196" s="37" t="s">
        <v>230</v>
      </c>
      <c r="B196" s="38" t="s">
        <v>179</v>
      </c>
      <c r="C196" s="195" t="s">
        <v>876</v>
      </c>
      <c r="D196" s="195"/>
      <c r="E196" s="195"/>
      <c r="F196" s="195"/>
      <c r="G196" s="38" t="s">
        <v>701</v>
      </c>
      <c r="H196" s="39">
        <v>65</v>
      </c>
      <c r="I196" s="39">
        <v>0</v>
      </c>
      <c r="J196" s="39">
        <f t="shared" ref="J196:J229" si="156">H196*AO196</f>
        <v>0</v>
      </c>
      <c r="K196" s="39">
        <f t="shared" ref="K196:K229" si="157">H196*AP196</f>
        <v>0</v>
      </c>
      <c r="L196" s="39">
        <f t="shared" ref="L196:L229" si="158">H196*I196</f>
        <v>0</v>
      </c>
      <c r="M196" s="80" t="s">
        <v>576</v>
      </c>
      <c r="Z196" s="39">
        <f t="shared" ref="Z196:Z229" si="159">IF(AQ196="5",BJ196,0)</f>
        <v>0</v>
      </c>
      <c r="AB196" s="39">
        <f t="shared" ref="AB196:AB229" si="160">IF(AQ196="1",BH196,0)</f>
        <v>0</v>
      </c>
      <c r="AC196" s="39">
        <f t="shared" ref="AC196:AC229" si="161">IF(AQ196="1",BI196,0)</f>
        <v>0</v>
      </c>
      <c r="AD196" s="39">
        <f t="shared" ref="AD196:AD229" si="162">IF(AQ196="7",BH196,0)</f>
        <v>0</v>
      </c>
      <c r="AE196" s="39">
        <f t="shared" ref="AE196:AE229" si="163">IF(AQ196="7",BI196,0)</f>
        <v>0</v>
      </c>
      <c r="AF196" s="39">
        <f t="shared" ref="AF196:AF229" si="164">IF(AQ196="2",BH196,0)</f>
        <v>0</v>
      </c>
      <c r="AG196" s="39">
        <f t="shared" ref="AG196:AG229" si="165">IF(AQ196="2",BI196,0)</f>
        <v>0</v>
      </c>
      <c r="AH196" s="39">
        <f t="shared" ref="AH196:AH229" si="166">IF(AQ196="0",BJ196,0)</f>
        <v>0</v>
      </c>
      <c r="AI196" s="68" t="s">
        <v>587</v>
      </c>
      <c r="AJ196" s="39">
        <f t="shared" ref="AJ196:AJ229" si="167">IF(AN196=0,L196,0)</f>
        <v>0</v>
      </c>
      <c r="AK196" s="39">
        <f t="shared" ref="AK196:AK229" si="168">IF(AN196=15,L196,0)</f>
        <v>0</v>
      </c>
      <c r="AL196" s="39">
        <f t="shared" ref="AL196:AL229" si="169">IF(AN196=21,L196,0)</f>
        <v>0</v>
      </c>
      <c r="AN196" s="39">
        <v>21</v>
      </c>
      <c r="AO196" s="39">
        <f>I196*0.0904921700223714</f>
        <v>0</v>
      </c>
      <c r="AP196" s="39">
        <f>I196*(1-0.0904921700223714)</f>
        <v>0</v>
      </c>
      <c r="AQ196" s="40" t="s">
        <v>846</v>
      </c>
      <c r="AV196" s="39">
        <f t="shared" ref="AV196:AV229" si="170">AW196+AX196</f>
        <v>0</v>
      </c>
      <c r="AW196" s="39">
        <f t="shared" ref="AW196:AW229" si="171">H196*AO196</f>
        <v>0</v>
      </c>
      <c r="AX196" s="39">
        <f t="shared" ref="AX196:AX229" si="172">H196*AP196</f>
        <v>0</v>
      </c>
      <c r="AY196" s="40" t="s">
        <v>538</v>
      </c>
      <c r="AZ196" s="40" t="s">
        <v>52</v>
      </c>
      <c r="BA196" s="68" t="s">
        <v>648</v>
      </c>
      <c r="BC196" s="39">
        <f t="shared" ref="BC196:BC229" si="173">AW196+AX196</f>
        <v>0</v>
      </c>
      <c r="BD196" s="39">
        <f t="shared" ref="BD196:BD229" si="174">I196/(100-BE196)*100</f>
        <v>0</v>
      </c>
      <c r="BE196" s="39">
        <v>0</v>
      </c>
      <c r="BF196" s="39">
        <f>204</f>
        <v>204</v>
      </c>
      <c r="BH196" s="39">
        <f t="shared" ref="BH196:BH229" si="175">H196*AO196</f>
        <v>0</v>
      </c>
      <c r="BI196" s="39">
        <f t="shared" ref="BI196:BI229" si="176">H196*AP196</f>
        <v>0</v>
      </c>
      <c r="BJ196" s="39">
        <f t="shared" ref="BJ196:BJ229" si="177">H196*I196</f>
        <v>0</v>
      </c>
      <c r="BK196" s="39"/>
      <c r="BL196" s="39">
        <v>722</v>
      </c>
    </row>
    <row r="197" spans="1:64" ht="15" customHeight="1">
      <c r="A197" s="37" t="s">
        <v>862</v>
      </c>
      <c r="B197" s="38" t="s">
        <v>944</v>
      </c>
      <c r="C197" s="195" t="s">
        <v>780</v>
      </c>
      <c r="D197" s="195"/>
      <c r="E197" s="195"/>
      <c r="F197" s="195"/>
      <c r="G197" s="38" t="s">
        <v>701</v>
      </c>
      <c r="H197" s="39">
        <v>66.95</v>
      </c>
      <c r="I197" s="39">
        <v>0</v>
      </c>
      <c r="J197" s="39">
        <f t="shared" si="156"/>
        <v>0</v>
      </c>
      <c r="K197" s="39">
        <f t="shared" si="157"/>
        <v>0</v>
      </c>
      <c r="L197" s="39">
        <f t="shared" si="158"/>
        <v>0</v>
      </c>
      <c r="M197" s="80" t="s">
        <v>576</v>
      </c>
      <c r="Z197" s="39">
        <f t="shared" si="159"/>
        <v>0</v>
      </c>
      <c r="AB197" s="39">
        <f t="shared" si="160"/>
        <v>0</v>
      </c>
      <c r="AC197" s="39">
        <f t="shared" si="161"/>
        <v>0</v>
      </c>
      <c r="AD197" s="39">
        <f t="shared" si="162"/>
        <v>0</v>
      </c>
      <c r="AE197" s="39">
        <f t="shared" si="163"/>
        <v>0</v>
      </c>
      <c r="AF197" s="39">
        <f t="shared" si="164"/>
        <v>0</v>
      </c>
      <c r="AG197" s="39">
        <f t="shared" si="165"/>
        <v>0</v>
      </c>
      <c r="AH197" s="39">
        <f t="shared" si="166"/>
        <v>0</v>
      </c>
      <c r="AI197" s="68" t="s">
        <v>587</v>
      </c>
      <c r="AJ197" s="39">
        <f t="shared" si="167"/>
        <v>0</v>
      </c>
      <c r="AK197" s="39">
        <f t="shared" si="168"/>
        <v>0</v>
      </c>
      <c r="AL197" s="39">
        <f t="shared" si="169"/>
        <v>0</v>
      </c>
      <c r="AN197" s="39">
        <v>21</v>
      </c>
      <c r="AO197" s="39">
        <f>I197*1</f>
        <v>0</v>
      </c>
      <c r="AP197" s="39">
        <f>I197*(1-1)</f>
        <v>0</v>
      </c>
      <c r="AQ197" s="40" t="s">
        <v>846</v>
      </c>
      <c r="AV197" s="39">
        <f t="shared" si="170"/>
        <v>0</v>
      </c>
      <c r="AW197" s="39">
        <f t="shared" si="171"/>
        <v>0</v>
      </c>
      <c r="AX197" s="39">
        <f t="shared" si="172"/>
        <v>0</v>
      </c>
      <c r="AY197" s="40" t="s">
        <v>538</v>
      </c>
      <c r="AZ197" s="40" t="s">
        <v>52</v>
      </c>
      <c r="BA197" s="68" t="s">
        <v>648</v>
      </c>
      <c r="BC197" s="39">
        <f t="shared" si="173"/>
        <v>0</v>
      </c>
      <c r="BD197" s="39">
        <f t="shared" si="174"/>
        <v>0</v>
      </c>
      <c r="BE197" s="39">
        <v>0</v>
      </c>
      <c r="BF197" s="39">
        <f>205</f>
        <v>205</v>
      </c>
      <c r="BH197" s="39">
        <f t="shared" si="175"/>
        <v>0</v>
      </c>
      <c r="BI197" s="39">
        <f t="shared" si="176"/>
        <v>0</v>
      </c>
      <c r="BJ197" s="39">
        <f t="shared" si="177"/>
        <v>0</v>
      </c>
      <c r="BK197" s="39"/>
      <c r="BL197" s="39">
        <v>722</v>
      </c>
    </row>
    <row r="198" spans="1:64" ht="15" customHeight="1">
      <c r="A198" s="37" t="s">
        <v>323</v>
      </c>
      <c r="B198" s="38" t="s">
        <v>634</v>
      </c>
      <c r="C198" s="195" t="s">
        <v>552</v>
      </c>
      <c r="D198" s="195"/>
      <c r="E198" s="195"/>
      <c r="F198" s="195"/>
      <c r="G198" s="38" t="s">
        <v>701</v>
      </c>
      <c r="H198" s="39">
        <v>125</v>
      </c>
      <c r="I198" s="39">
        <v>0</v>
      </c>
      <c r="J198" s="39">
        <f t="shared" si="156"/>
        <v>0</v>
      </c>
      <c r="K198" s="39">
        <f t="shared" si="157"/>
        <v>0</v>
      </c>
      <c r="L198" s="39">
        <f t="shared" si="158"/>
        <v>0</v>
      </c>
      <c r="M198" s="80" t="s">
        <v>576</v>
      </c>
      <c r="Z198" s="39">
        <f t="shared" si="159"/>
        <v>0</v>
      </c>
      <c r="AB198" s="39">
        <f t="shared" si="160"/>
        <v>0</v>
      </c>
      <c r="AC198" s="39">
        <f t="shared" si="161"/>
        <v>0</v>
      </c>
      <c r="AD198" s="39">
        <f t="shared" si="162"/>
        <v>0</v>
      </c>
      <c r="AE198" s="39">
        <f t="shared" si="163"/>
        <v>0</v>
      </c>
      <c r="AF198" s="39">
        <f t="shared" si="164"/>
        <v>0</v>
      </c>
      <c r="AG198" s="39">
        <f t="shared" si="165"/>
        <v>0</v>
      </c>
      <c r="AH198" s="39">
        <f t="shared" si="166"/>
        <v>0</v>
      </c>
      <c r="AI198" s="68" t="s">
        <v>587</v>
      </c>
      <c r="AJ198" s="39">
        <f t="shared" si="167"/>
        <v>0</v>
      </c>
      <c r="AK198" s="39">
        <f t="shared" si="168"/>
        <v>0</v>
      </c>
      <c r="AL198" s="39">
        <f t="shared" si="169"/>
        <v>0</v>
      </c>
      <c r="AN198" s="39">
        <v>21</v>
      </c>
      <c r="AO198" s="39">
        <f>I198*0.0843587069864442</f>
        <v>0</v>
      </c>
      <c r="AP198" s="39">
        <f>I198*(1-0.0843587069864442)</f>
        <v>0</v>
      </c>
      <c r="AQ198" s="40" t="s">
        <v>846</v>
      </c>
      <c r="AV198" s="39">
        <f t="shared" si="170"/>
        <v>0</v>
      </c>
      <c r="AW198" s="39">
        <f t="shared" si="171"/>
        <v>0</v>
      </c>
      <c r="AX198" s="39">
        <f t="shared" si="172"/>
        <v>0</v>
      </c>
      <c r="AY198" s="40" t="s">
        <v>538</v>
      </c>
      <c r="AZ198" s="40" t="s">
        <v>52</v>
      </c>
      <c r="BA198" s="68" t="s">
        <v>648</v>
      </c>
      <c r="BC198" s="39">
        <f t="shared" si="173"/>
        <v>0</v>
      </c>
      <c r="BD198" s="39">
        <f t="shared" si="174"/>
        <v>0</v>
      </c>
      <c r="BE198" s="39">
        <v>0</v>
      </c>
      <c r="BF198" s="39">
        <f>206</f>
        <v>206</v>
      </c>
      <c r="BH198" s="39">
        <f t="shared" si="175"/>
        <v>0</v>
      </c>
      <c r="BI198" s="39">
        <f t="shared" si="176"/>
        <v>0</v>
      </c>
      <c r="BJ198" s="39">
        <f t="shared" si="177"/>
        <v>0</v>
      </c>
      <c r="BK198" s="39"/>
      <c r="BL198" s="39">
        <v>722</v>
      </c>
    </row>
    <row r="199" spans="1:64" ht="15" customHeight="1">
      <c r="A199" s="37" t="s">
        <v>235</v>
      </c>
      <c r="B199" s="38" t="s">
        <v>200</v>
      </c>
      <c r="C199" s="195" t="s">
        <v>377</v>
      </c>
      <c r="D199" s="195"/>
      <c r="E199" s="195"/>
      <c r="F199" s="195"/>
      <c r="G199" s="38" t="s">
        <v>701</v>
      </c>
      <c r="H199" s="39">
        <v>128.75</v>
      </c>
      <c r="I199" s="39">
        <v>0</v>
      </c>
      <c r="J199" s="39">
        <f t="shared" si="156"/>
        <v>0</v>
      </c>
      <c r="K199" s="39">
        <f t="shared" si="157"/>
        <v>0</v>
      </c>
      <c r="L199" s="39">
        <f t="shared" si="158"/>
        <v>0</v>
      </c>
      <c r="M199" s="80" t="s">
        <v>576</v>
      </c>
      <c r="Z199" s="39">
        <f t="shared" si="159"/>
        <v>0</v>
      </c>
      <c r="AB199" s="39">
        <f t="shared" si="160"/>
        <v>0</v>
      </c>
      <c r="AC199" s="39">
        <f t="shared" si="161"/>
        <v>0</v>
      </c>
      <c r="AD199" s="39">
        <f t="shared" si="162"/>
        <v>0</v>
      </c>
      <c r="AE199" s="39">
        <f t="shared" si="163"/>
        <v>0</v>
      </c>
      <c r="AF199" s="39">
        <f t="shared" si="164"/>
        <v>0</v>
      </c>
      <c r="AG199" s="39">
        <f t="shared" si="165"/>
        <v>0</v>
      </c>
      <c r="AH199" s="39">
        <f t="shared" si="166"/>
        <v>0</v>
      </c>
      <c r="AI199" s="68" t="s">
        <v>587</v>
      </c>
      <c r="AJ199" s="39">
        <f t="shared" si="167"/>
        <v>0</v>
      </c>
      <c r="AK199" s="39">
        <f t="shared" si="168"/>
        <v>0</v>
      </c>
      <c r="AL199" s="39">
        <f t="shared" si="169"/>
        <v>0</v>
      </c>
      <c r="AN199" s="39">
        <v>21</v>
      </c>
      <c r="AO199" s="39">
        <f>I199*1</f>
        <v>0</v>
      </c>
      <c r="AP199" s="39">
        <f>I199*(1-1)</f>
        <v>0</v>
      </c>
      <c r="AQ199" s="40" t="s">
        <v>846</v>
      </c>
      <c r="AV199" s="39">
        <f t="shared" si="170"/>
        <v>0</v>
      </c>
      <c r="AW199" s="39">
        <f t="shared" si="171"/>
        <v>0</v>
      </c>
      <c r="AX199" s="39">
        <f t="shared" si="172"/>
        <v>0</v>
      </c>
      <c r="AY199" s="40" t="s">
        <v>538</v>
      </c>
      <c r="AZ199" s="40" t="s">
        <v>52</v>
      </c>
      <c r="BA199" s="68" t="s">
        <v>648</v>
      </c>
      <c r="BC199" s="39">
        <f t="shared" si="173"/>
        <v>0</v>
      </c>
      <c r="BD199" s="39">
        <f t="shared" si="174"/>
        <v>0</v>
      </c>
      <c r="BE199" s="39">
        <v>0</v>
      </c>
      <c r="BF199" s="39">
        <f>207</f>
        <v>207</v>
      </c>
      <c r="BH199" s="39">
        <f t="shared" si="175"/>
        <v>0</v>
      </c>
      <c r="BI199" s="39">
        <f t="shared" si="176"/>
        <v>0</v>
      </c>
      <c r="BJ199" s="39">
        <f t="shared" si="177"/>
        <v>0</v>
      </c>
      <c r="BK199" s="39"/>
      <c r="BL199" s="39">
        <v>722</v>
      </c>
    </row>
    <row r="200" spans="1:64" ht="15" customHeight="1">
      <c r="A200" s="37" t="s">
        <v>637</v>
      </c>
      <c r="B200" s="38" t="s">
        <v>261</v>
      </c>
      <c r="C200" s="195" t="s">
        <v>122</v>
      </c>
      <c r="D200" s="195"/>
      <c r="E200" s="195"/>
      <c r="F200" s="195"/>
      <c r="G200" s="38" t="s">
        <v>701</v>
      </c>
      <c r="H200" s="39">
        <v>45</v>
      </c>
      <c r="I200" s="39">
        <v>0</v>
      </c>
      <c r="J200" s="39">
        <f t="shared" si="156"/>
        <v>0</v>
      </c>
      <c r="K200" s="39">
        <f t="shared" si="157"/>
        <v>0</v>
      </c>
      <c r="L200" s="39">
        <f t="shared" si="158"/>
        <v>0</v>
      </c>
      <c r="M200" s="80" t="s">
        <v>576</v>
      </c>
      <c r="Z200" s="39">
        <f t="shared" si="159"/>
        <v>0</v>
      </c>
      <c r="AB200" s="39">
        <f t="shared" si="160"/>
        <v>0</v>
      </c>
      <c r="AC200" s="39">
        <f t="shared" si="161"/>
        <v>0</v>
      </c>
      <c r="AD200" s="39">
        <f t="shared" si="162"/>
        <v>0</v>
      </c>
      <c r="AE200" s="39">
        <f t="shared" si="163"/>
        <v>0</v>
      </c>
      <c r="AF200" s="39">
        <f t="shared" si="164"/>
        <v>0</v>
      </c>
      <c r="AG200" s="39">
        <f t="shared" si="165"/>
        <v>0</v>
      </c>
      <c r="AH200" s="39">
        <f t="shared" si="166"/>
        <v>0</v>
      </c>
      <c r="AI200" s="68" t="s">
        <v>587</v>
      </c>
      <c r="AJ200" s="39">
        <f t="shared" si="167"/>
        <v>0</v>
      </c>
      <c r="AK200" s="39">
        <f t="shared" si="168"/>
        <v>0</v>
      </c>
      <c r="AL200" s="39">
        <f t="shared" si="169"/>
        <v>0</v>
      </c>
      <c r="AN200" s="39">
        <v>21</v>
      </c>
      <c r="AO200" s="39">
        <f>I200*0.0652316654320156</f>
        <v>0</v>
      </c>
      <c r="AP200" s="39">
        <f>I200*(1-0.0652316654320156)</f>
        <v>0</v>
      </c>
      <c r="AQ200" s="40" t="s">
        <v>846</v>
      </c>
      <c r="AV200" s="39">
        <f t="shared" si="170"/>
        <v>0</v>
      </c>
      <c r="AW200" s="39">
        <f t="shared" si="171"/>
        <v>0</v>
      </c>
      <c r="AX200" s="39">
        <f t="shared" si="172"/>
        <v>0</v>
      </c>
      <c r="AY200" s="40" t="s">
        <v>538</v>
      </c>
      <c r="AZ200" s="40" t="s">
        <v>52</v>
      </c>
      <c r="BA200" s="68" t="s">
        <v>648</v>
      </c>
      <c r="BC200" s="39">
        <f t="shared" si="173"/>
        <v>0</v>
      </c>
      <c r="BD200" s="39">
        <f t="shared" si="174"/>
        <v>0</v>
      </c>
      <c r="BE200" s="39">
        <v>0</v>
      </c>
      <c r="BF200" s="39">
        <f>208</f>
        <v>208</v>
      </c>
      <c r="BH200" s="39">
        <f t="shared" si="175"/>
        <v>0</v>
      </c>
      <c r="BI200" s="39">
        <f t="shared" si="176"/>
        <v>0</v>
      </c>
      <c r="BJ200" s="39">
        <f t="shared" si="177"/>
        <v>0</v>
      </c>
      <c r="BK200" s="39"/>
      <c r="BL200" s="39">
        <v>722</v>
      </c>
    </row>
    <row r="201" spans="1:64" ht="15" customHeight="1">
      <c r="A201" s="37" t="s">
        <v>111</v>
      </c>
      <c r="B201" s="38" t="s">
        <v>710</v>
      </c>
      <c r="C201" s="195" t="s">
        <v>110</v>
      </c>
      <c r="D201" s="195"/>
      <c r="E201" s="195"/>
      <c r="F201" s="195"/>
      <c r="G201" s="38" t="s">
        <v>701</v>
      </c>
      <c r="H201" s="39">
        <v>46.35</v>
      </c>
      <c r="I201" s="39">
        <v>0</v>
      </c>
      <c r="J201" s="39">
        <f t="shared" si="156"/>
        <v>0</v>
      </c>
      <c r="K201" s="39">
        <f t="shared" si="157"/>
        <v>0</v>
      </c>
      <c r="L201" s="39">
        <f t="shared" si="158"/>
        <v>0</v>
      </c>
      <c r="M201" s="80" t="s">
        <v>576</v>
      </c>
      <c r="Z201" s="39">
        <f t="shared" si="159"/>
        <v>0</v>
      </c>
      <c r="AB201" s="39">
        <f t="shared" si="160"/>
        <v>0</v>
      </c>
      <c r="AC201" s="39">
        <f t="shared" si="161"/>
        <v>0</v>
      </c>
      <c r="AD201" s="39">
        <f t="shared" si="162"/>
        <v>0</v>
      </c>
      <c r="AE201" s="39">
        <f t="shared" si="163"/>
        <v>0</v>
      </c>
      <c r="AF201" s="39">
        <f t="shared" si="164"/>
        <v>0</v>
      </c>
      <c r="AG201" s="39">
        <f t="shared" si="165"/>
        <v>0</v>
      </c>
      <c r="AH201" s="39">
        <f t="shared" si="166"/>
        <v>0</v>
      </c>
      <c r="AI201" s="68" t="s">
        <v>587</v>
      </c>
      <c r="AJ201" s="39">
        <f t="shared" si="167"/>
        <v>0</v>
      </c>
      <c r="AK201" s="39">
        <f t="shared" si="168"/>
        <v>0</v>
      </c>
      <c r="AL201" s="39">
        <f t="shared" si="169"/>
        <v>0</v>
      </c>
      <c r="AN201" s="39">
        <v>21</v>
      </c>
      <c r="AO201" s="39">
        <f>I201*1</f>
        <v>0</v>
      </c>
      <c r="AP201" s="39">
        <f>I201*(1-1)</f>
        <v>0</v>
      </c>
      <c r="AQ201" s="40" t="s">
        <v>846</v>
      </c>
      <c r="AV201" s="39">
        <f t="shared" si="170"/>
        <v>0</v>
      </c>
      <c r="AW201" s="39">
        <f t="shared" si="171"/>
        <v>0</v>
      </c>
      <c r="AX201" s="39">
        <f t="shared" si="172"/>
        <v>0</v>
      </c>
      <c r="AY201" s="40" t="s">
        <v>538</v>
      </c>
      <c r="AZ201" s="40" t="s">
        <v>52</v>
      </c>
      <c r="BA201" s="68" t="s">
        <v>648</v>
      </c>
      <c r="BC201" s="39">
        <f t="shared" si="173"/>
        <v>0</v>
      </c>
      <c r="BD201" s="39">
        <f t="shared" si="174"/>
        <v>0</v>
      </c>
      <c r="BE201" s="39">
        <v>0</v>
      </c>
      <c r="BF201" s="39">
        <f>209</f>
        <v>209</v>
      </c>
      <c r="BH201" s="39">
        <f t="shared" si="175"/>
        <v>0</v>
      </c>
      <c r="BI201" s="39">
        <f t="shared" si="176"/>
        <v>0</v>
      </c>
      <c r="BJ201" s="39">
        <f t="shared" si="177"/>
        <v>0</v>
      </c>
      <c r="BK201" s="39"/>
      <c r="BL201" s="39">
        <v>722</v>
      </c>
    </row>
    <row r="202" spans="1:64" ht="15" customHeight="1">
      <c r="A202" s="37" t="s">
        <v>786</v>
      </c>
      <c r="B202" s="38" t="s">
        <v>27</v>
      </c>
      <c r="C202" s="195" t="s">
        <v>852</v>
      </c>
      <c r="D202" s="195"/>
      <c r="E202" s="195"/>
      <c r="F202" s="195"/>
      <c r="G202" s="38" t="s">
        <v>216</v>
      </c>
      <c r="H202" s="39">
        <v>8</v>
      </c>
      <c r="I202" s="39">
        <v>0</v>
      </c>
      <c r="J202" s="39">
        <f t="shared" si="156"/>
        <v>0</v>
      </c>
      <c r="K202" s="39">
        <f t="shared" si="157"/>
        <v>0</v>
      </c>
      <c r="L202" s="39">
        <f t="shared" si="158"/>
        <v>0</v>
      </c>
      <c r="M202" s="80" t="s">
        <v>576</v>
      </c>
      <c r="Z202" s="39">
        <f t="shared" si="159"/>
        <v>0</v>
      </c>
      <c r="AB202" s="39">
        <f t="shared" si="160"/>
        <v>0</v>
      </c>
      <c r="AC202" s="39">
        <f t="shared" si="161"/>
        <v>0</v>
      </c>
      <c r="AD202" s="39">
        <f t="shared" si="162"/>
        <v>0</v>
      </c>
      <c r="AE202" s="39">
        <f t="shared" si="163"/>
        <v>0</v>
      </c>
      <c r="AF202" s="39">
        <f t="shared" si="164"/>
        <v>0</v>
      </c>
      <c r="AG202" s="39">
        <f t="shared" si="165"/>
        <v>0</v>
      </c>
      <c r="AH202" s="39">
        <f t="shared" si="166"/>
        <v>0</v>
      </c>
      <c r="AI202" s="68" t="s">
        <v>587</v>
      </c>
      <c r="AJ202" s="39">
        <f t="shared" si="167"/>
        <v>0</v>
      </c>
      <c r="AK202" s="39">
        <f t="shared" si="168"/>
        <v>0</v>
      </c>
      <c r="AL202" s="39">
        <f t="shared" si="169"/>
        <v>0</v>
      </c>
      <c r="AN202" s="39">
        <v>21</v>
      </c>
      <c r="AO202" s="39">
        <f>I202*0.388702012921138</f>
        <v>0</v>
      </c>
      <c r="AP202" s="39">
        <f>I202*(1-0.388702012921138)</f>
        <v>0</v>
      </c>
      <c r="AQ202" s="40" t="s">
        <v>846</v>
      </c>
      <c r="AV202" s="39">
        <f t="shared" si="170"/>
        <v>0</v>
      </c>
      <c r="AW202" s="39">
        <f t="shared" si="171"/>
        <v>0</v>
      </c>
      <c r="AX202" s="39">
        <f t="shared" si="172"/>
        <v>0</v>
      </c>
      <c r="AY202" s="40" t="s">
        <v>538</v>
      </c>
      <c r="AZ202" s="40" t="s">
        <v>52</v>
      </c>
      <c r="BA202" s="68" t="s">
        <v>648</v>
      </c>
      <c r="BC202" s="39">
        <f t="shared" si="173"/>
        <v>0</v>
      </c>
      <c r="BD202" s="39">
        <f t="shared" si="174"/>
        <v>0</v>
      </c>
      <c r="BE202" s="39">
        <v>0</v>
      </c>
      <c r="BF202" s="39">
        <f>210</f>
        <v>210</v>
      </c>
      <c r="BH202" s="39">
        <f t="shared" si="175"/>
        <v>0</v>
      </c>
      <c r="BI202" s="39">
        <f t="shared" si="176"/>
        <v>0</v>
      </c>
      <c r="BJ202" s="39">
        <f t="shared" si="177"/>
        <v>0</v>
      </c>
      <c r="BK202" s="39"/>
      <c r="BL202" s="39">
        <v>722</v>
      </c>
    </row>
    <row r="203" spans="1:64" ht="15" customHeight="1">
      <c r="A203" s="37" t="s">
        <v>209</v>
      </c>
      <c r="B203" s="38" t="s">
        <v>82</v>
      </c>
      <c r="C203" s="195" t="s">
        <v>258</v>
      </c>
      <c r="D203" s="195"/>
      <c r="E203" s="195"/>
      <c r="F203" s="195"/>
      <c r="G203" s="38" t="s">
        <v>216</v>
      </c>
      <c r="H203" s="39">
        <v>12</v>
      </c>
      <c r="I203" s="39">
        <v>0</v>
      </c>
      <c r="J203" s="39">
        <f t="shared" si="156"/>
        <v>0</v>
      </c>
      <c r="K203" s="39">
        <f t="shared" si="157"/>
        <v>0</v>
      </c>
      <c r="L203" s="39">
        <f t="shared" si="158"/>
        <v>0</v>
      </c>
      <c r="M203" s="80" t="s">
        <v>576</v>
      </c>
      <c r="Z203" s="39">
        <f t="shared" si="159"/>
        <v>0</v>
      </c>
      <c r="AB203" s="39">
        <f t="shared" si="160"/>
        <v>0</v>
      </c>
      <c r="AC203" s="39">
        <f t="shared" si="161"/>
        <v>0</v>
      </c>
      <c r="AD203" s="39">
        <f t="shared" si="162"/>
        <v>0</v>
      </c>
      <c r="AE203" s="39">
        <f t="shared" si="163"/>
        <v>0</v>
      </c>
      <c r="AF203" s="39">
        <f t="shared" si="164"/>
        <v>0</v>
      </c>
      <c r="AG203" s="39">
        <f t="shared" si="165"/>
        <v>0</v>
      </c>
      <c r="AH203" s="39">
        <f t="shared" si="166"/>
        <v>0</v>
      </c>
      <c r="AI203" s="68" t="s">
        <v>587</v>
      </c>
      <c r="AJ203" s="39">
        <f t="shared" si="167"/>
        <v>0</v>
      </c>
      <c r="AK203" s="39">
        <f t="shared" si="168"/>
        <v>0</v>
      </c>
      <c r="AL203" s="39">
        <f t="shared" si="169"/>
        <v>0</v>
      </c>
      <c r="AN203" s="39">
        <v>21</v>
      </c>
      <c r="AO203" s="39">
        <f>I203*0.367553012453719</f>
        <v>0</v>
      </c>
      <c r="AP203" s="39">
        <f>I203*(1-0.367553012453719)</f>
        <v>0</v>
      </c>
      <c r="AQ203" s="40" t="s">
        <v>846</v>
      </c>
      <c r="AV203" s="39">
        <f t="shared" si="170"/>
        <v>0</v>
      </c>
      <c r="AW203" s="39">
        <f t="shared" si="171"/>
        <v>0</v>
      </c>
      <c r="AX203" s="39">
        <f t="shared" si="172"/>
        <v>0</v>
      </c>
      <c r="AY203" s="40" t="s">
        <v>538</v>
      </c>
      <c r="AZ203" s="40" t="s">
        <v>52</v>
      </c>
      <c r="BA203" s="68" t="s">
        <v>648</v>
      </c>
      <c r="BC203" s="39">
        <f t="shared" si="173"/>
        <v>0</v>
      </c>
      <c r="BD203" s="39">
        <f t="shared" si="174"/>
        <v>0</v>
      </c>
      <c r="BE203" s="39">
        <v>0</v>
      </c>
      <c r="BF203" s="39">
        <f>211</f>
        <v>211</v>
      </c>
      <c r="BH203" s="39">
        <f t="shared" si="175"/>
        <v>0</v>
      </c>
      <c r="BI203" s="39">
        <f t="shared" si="176"/>
        <v>0</v>
      </c>
      <c r="BJ203" s="39">
        <f t="shared" si="177"/>
        <v>0</v>
      </c>
      <c r="BK203" s="39"/>
      <c r="BL203" s="39">
        <v>722</v>
      </c>
    </row>
    <row r="204" spans="1:64" ht="15" customHeight="1">
      <c r="A204" s="37" t="s">
        <v>124</v>
      </c>
      <c r="B204" s="38" t="s">
        <v>817</v>
      </c>
      <c r="C204" s="195" t="s">
        <v>211</v>
      </c>
      <c r="D204" s="195"/>
      <c r="E204" s="195"/>
      <c r="F204" s="195"/>
      <c r="G204" s="38" t="s">
        <v>216</v>
      </c>
      <c r="H204" s="39">
        <v>34</v>
      </c>
      <c r="I204" s="39">
        <v>0</v>
      </c>
      <c r="J204" s="39">
        <f t="shared" si="156"/>
        <v>0</v>
      </c>
      <c r="K204" s="39">
        <f t="shared" si="157"/>
        <v>0</v>
      </c>
      <c r="L204" s="39">
        <f t="shared" si="158"/>
        <v>0</v>
      </c>
      <c r="M204" s="80" t="s">
        <v>576</v>
      </c>
      <c r="Z204" s="39">
        <f t="shared" si="159"/>
        <v>0</v>
      </c>
      <c r="AB204" s="39">
        <f t="shared" si="160"/>
        <v>0</v>
      </c>
      <c r="AC204" s="39">
        <f t="shared" si="161"/>
        <v>0</v>
      </c>
      <c r="AD204" s="39">
        <f t="shared" si="162"/>
        <v>0</v>
      </c>
      <c r="AE204" s="39">
        <f t="shared" si="163"/>
        <v>0</v>
      </c>
      <c r="AF204" s="39">
        <f t="shared" si="164"/>
        <v>0</v>
      </c>
      <c r="AG204" s="39">
        <f t="shared" si="165"/>
        <v>0</v>
      </c>
      <c r="AH204" s="39">
        <f t="shared" si="166"/>
        <v>0</v>
      </c>
      <c r="AI204" s="68" t="s">
        <v>587</v>
      </c>
      <c r="AJ204" s="39">
        <f t="shared" si="167"/>
        <v>0</v>
      </c>
      <c r="AK204" s="39">
        <f t="shared" si="168"/>
        <v>0</v>
      </c>
      <c r="AL204" s="39">
        <f t="shared" si="169"/>
        <v>0</v>
      </c>
      <c r="AN204" s="39">
        <v>21</v>
      </c>
      <c r="AO204" s="39">
        <f>I204*0.0385245901639344</f>
        <v>0</v>
      </c>
      <c r="AP204" s="39">
        <f>I204*(1-0.0385245901639344)</f>
        <v>0</v>
      </c>
      <c r="AQ204" s="40" t="s">
        <v>846</v>
      </c>
      <c r="AV204" s="39">
        <f t="shared" si="170"/>
        <v>0</v>
      </c>
      <c r="AW204" s="39">
        <f t="shared" si="171"/>
        <v>0</v>
      </c>
      <c r="AX204" s="39">
        <f t="shared" si="172"/>
        <v>0</v>
      </c>
      <c r="AY204" s="40" t="s">
        <v>538</v>
      </c>
      <c r="AZ204" s="40" t="s">
        <v>52</v>
      </c>
      <c r="BA204" s="68" t="s">
        <v>648</v>
      </c>
      <c r="BC204" s="39">
        <f t="shared" si="173"/>
        <v>0</v>
      </c>
      <c r="BD204" s="39">
        <f t="shared" si="174"/>
        <v>0</v>
      </c>
      <c r="BE204" s="39">
        <v>0</v>
      </c>
      <c r="BF204" s="39">
        <f>212</f>
        <v>212</v>
      </c>
      <c r="BH204" s="39">
        <f t="shared" si="175"/>
        <v>0</v>
      </c>
      <c r="BI204" s="39">
        <f t="shared" si="176"/>
        <v>0</v>
      </c>
      <c r="BJ204" s="39">
        <f t="shared" si="177"/>
        <v>0</v>
      </c>
      <c r="BK204" s="39"/>
      <c r="BL204" s="39">
        <v>722</v>
      </c>
    </row>
    <row r="205" spans="1:64" ht="15" customHeight="1">
      <c r="A205" s="37" t="s">
        <v>246</v>
      </c>
      <c r="B205" s="38" t="s">
        <v>510</v>
      </c>
      <c r="C205" s="195" t="s">
        <v>306</v>
      </c>
      <c r="D205" s="195"/>
      <c r="E205" s="195"/>
      <c r="F205" s="195"/>
      <c r="G205" s="38" t="s">
        <v>216</v>
      </c>
      <c r="H205" s="39">
        <v>34</v>
      </c>
      <c r="I205" s="39">
        <v>0</v>
      </c>
      <c r="J205" s="39">
        <f t="shared" si="156"/>
        <v>0</v>
      </c>
      <c r="K205" s="39">
        <f t="shared" si="157"/>
        <v>0</v>
      </c>
      <c r="L205" s="39">
        <f t="shared" si="158"/>
        <v>0</v>
      </c>
      <c r="M205" s="80" t="s">
        <v>576</v>
      </c>
      <c r="Z205" s="39">
        <f t="shared" si="159"/>
        <v>0</v>
      </c>
      <c r="AB205" s="39">
        <f t="shared" si="160"/>
        <v>0</v>
      </c>
      <c r="AC205" s="39">
        <f t="shared" si="161"/>
        <v>0</v>
      </c>
      <c r="AD205" s="39">
        <f t="shared" si="162"/>
        <v>0</v>
      </c>
      <c r="AE205" s="39">
        <f t="shared" si="163"/>
        <v>0</v>
      </c>
      <c r="AF205" s="39">
        <f t="shared" si="164"/>
        <v>0</v>
      </c>
      <c r="AG205" s="39">
        <f t="shared" si="165"/>
        <v>0</v>
      </c>
      <c r="AH205" s="39">
        <f t="shared" si="166"/>
        <v>0</v>
      </c>
      <c r="AI205" s="68" t="s">
        <v>587</v>
      </c>
      <c r="AJ205" s="39">
        <f t="shared" si="167"/>
        <v>0</v>
      </c>
      <c r="AK205" s="39">
        <f t="shared" si="168"/>
        <v>0</v>
      </c>
      <c r="AL205" s="39">
        <f t="shared" si="169"/>
        <v>0</v>
      </c>
      <c r="AN205" s="39">
        <v>21</v>
      </c>
      <c r="AO205" s="39">
        <f>I205*1</f>
        <v>0</v>
      </c>
      <c r="AP205" s="39">
        <f>I205*(1-1)</f>
        <v>0</v>
      </c>
      <c r="AQ205" s="40" t="s">
        <v>846</v>
      </c>
      <c r="AV205" s="39">
        <f t="shared" si="170"/>
        <v>0</v>
      </c>
      <c r="AW205" s="39">
        <f t="shared" si="171"/>
        <v>0</v>
      </c>
      <c r="AX205" s="39">
        <f t="shared" si="172"/>
        <v>0</v>
      </c>
      <c r="AY205" s="40" t="s">
        <v>538</v>
      </c>
      <c r="AZ205" s="40" t="s">
        <v>52</v>
      </c>
      <c r="BA205" s="68" t="s">
        <v>648</v>
      </c>
      <c r="BC205" s="39">
        <f t="shared" si="173"/>
        <v>0</v>
      </c>
      <c r="BD205" s="39">
        <f t="shared" si="174"/>
        <v>0</v>
      </c>
      <c r="BE205" s="39">
        <v>0</v>
      </c>
      <c r="BF205" s="39">
        <f>213</f>
        <v>213</v>
      </c>
      <c r="BH205" s="39">
        <f t="shared" si="175"/>
        <v>0</v>
      </c>
      <c r="BI205" s="39">
        <f t="shared" si="176"/>
        <v>0</v>
      </c>
      <c r="BJ205" s="39">
        <f t="shared" si="177"/>
        <v>0</v>
      </c>
      <c r="BK205" s="39"/>
      <c r="BL205" s="39">
        <v>722</v>
      </c>
    </row>
    <row r="206" spans="1:64" ht="15" customHeight="1">
      <c r="A206" s="37" t="s">
        <v>269</v>
      </c>
      <c r="B206" s="38" t="s">
        <v>191</v>
      </c>
      <c r="C206" s="195" t="s">
        <v>769</v>
      </c>
      <c r="D206" s="195"/>
      <c r="E206" s="195"/>
      <c r="F206" s="195"/>
      <c r="G206" s="38" t="s">
        <v>216</v>
      </c>
      <c r="H206" s="39">
        <v>41</v>
      </c>
      <c r="I206" s="39">
        <v>0</v>
      </c>
      <c r="J206" s="39">
        <f t="shared" si="156"/>
        <v>0</v>
      </c>
      <c r="K206" s="39">
        <f t="shared" si="157"/>
        <v>0</v>
      </c>
      <c r="L206" s="39">
        <f t="shared" si="158"/>
        <v>0</v>
      </c>
      <c r="M206" s="80" t="s">
        <v>576</v>
      </c>
      <c r="Z206" s="39">
        <f t="shared" si="159"/>
        <v>0</v>
      </c>
      <c r="AB206" s="39">
        <f t="shared" si="160"/>
        <v>0</v>
      </c>
      <c r="AC206" s="39">
        <f t="shared" si="161"/>
        <v>0</v>
      </c>
      <c r="AD206" s="39">
        <f t="shared" si="162"/>
        <v>0</v>
      </c>
      <c r="AE206" s="39">
        <f t="shared" si="163"/>
        <v>0</v>
      </c>
      <c r="AF206" s="39">
        <f t="shared" si="164"/>
        <v>0</v>
      </c>
      <c r="AG206" s="39">
        <f t="shared" si="165"/>
        <v>0</v>
      </c>
      <c r="AH206" s="39">
        <f t="shared" si="166"/>
        <v>0</v>
      </c>
      <c r="AI206" s="68" t="s">
        <v>587</v>
      </c>
      <c r="AJ206" s="39">
        <f t="shared" si="167"/>
        <v>0</v>
      </c>
      <c r="AK206" s="39">
        <f t="shared" si="168"/>
        <v>0</v>
      </c>
      <c r="AL206" s="39">
        <f t="shared" si="169"/>
        <v>0</v>
      </c>
      <c r="AN206" s="39">
        <v>21</v>
      </c>
      <c r="AO206" s="39">
        <f>I206*0.0379644588045234</f>
        <v>0</v>
      </c>
      <c r="AP206" s="39">
        <f>I206*(1-0.0379644588045234)</f>
        <v>0</v>
      </c>
      <c r="AQ206" s="40" t="s">
        <v>846</v>
      </c>
      <c r="AV206" s="39">
        <f t="shared" si="170"/>
        <v>0</v>
      </c>
      <c r="AW206" s="39">
        <f t="shared" si="171"/>
        <v>0</v>
      </c>
      <c r="AX206" s="39">
        <f t="shared" si="172"/>
        <v>0</v>
      </c>
      <c r="AY206" s="40" t="s">
        <v>538</v>
      </c>
      <c r="AZ206" s="40" t="s">
        <v>52</v>
      </c>
      <c r="BA206" s="68" t="s">
        <v>648</v>
      </c>
      <c r="BC206" s="39">
        <f t="shared" si="173"/>
        <v>0</v>
      </c>
      <c r="BD206" s="39">
        <f t="shared" si="174"/>
        <v>0</v>
      </c>
      <c r="BE206" s="39">
        <v>0</v>
      </c>
      <c r="BF206" s="39">
        <f>214</f>
        <v>214</v>
      </c>
      <c r="BH206" s="39">
        <f t="shared" si="175"/>
        <v>0</v>
      </c>
      <c r="BI206" s="39">
        <f t="shared" si="176"/>
        <v>0</v>
      </c>
      <c r="BJ206" s="39">
        <f t="shared" si="177"/>
        <v>0</v>
      </c>
      <c r="BK206" s="39"/>
      <c r="BL206" s="39">
        <v>722</v>
      </c>
    </row>
    <row r="207" spans="1:64" ht="15" customHeight="1">
      <c r="A207" s="37" t="s">
        <v>180</v>
      </c>
      <c r="B207" s="38" t="s">
        <v>308</v>
      </c>
      <c r="C207" s="195" t="s">
        <v>585</v>
      </c>
      <c r="D207" s="195"/>
      <c r="E207" s="195"/>
      <c r="F207" s="195"/>
      <c r="G207" s="38" t="s">
        <v>216</v>
      </c>
      <c r="H207" s="39">
        <v>41</v>
      </c>
      <c r="I207" s="39">
        <v>0</v>
      </c>
      <c r="J207" s="39">
        <f t="shared" si="156"/>
        <v>0</v>
      </c>
      <c r="K207" s="39">
        <f t="shared" si="157"/>
        <v>0</v>
      </c>
      <c r="L207" s="39">
        <f t="shared" si="158"/>
        <v>0</v>
      </c>
      <c r="M207" s="80" t="s">
        <v>576</v>
      </c>
      <c r="Z207" s="39">
        <f t="shared" si="159"/>
        <v>0</v>
      </c>
      <c r="AB207" s="39">
        <f t="shared" si="160"/>
        <v>0</v>
      </c>
      <c r="AC207" s="39">
        <f t="shared" si="161"/>
        <v>0</v>
      </c>
      <c r="AD207" s="39">
        <f t="shared" si="162"/>
        <v>0</v>
      </c>
      <c r="AE207" s="39">
        <f t="shared" si="163"/>
        <v>0</v>
      </c>
      <c r="AF207" s="39">
        <f t="shared" si="164"/>
        <v>0</v>
      </c>
      <c r="AG207" s="39">
        <f t="shared" si="165"/>
        <v>0</v>
      </c>
      <c r="AH207" s="39">
        <f t="shared" si="166"/>
        <v>0</v>
      </c>
      <c r="AI207" s="68" t="s">
        <v>587</v>
      </c>
      <c r="AJ207" s="39">
        <f t="shared" si="167"/>
        <v>0</v>
      </c>
      <c r="AK207" s="39">
        <f t="shared" si="168"/>
        <v>0</v>
      </c>
      <c r="AL207" s="39">
        <f t="shared" si="169"/>
        <v>0</v>
      </c>
      <c r="AN207" s="39">
        <v>21</v>
      </c>
      <c r="AO207" s="39">
        <f>I207*1</f>
        <v>0</v>
      </c>
      <c r="AP207" s="39">
        <f>I207*(1-1)</f>
        <v>0</v>
      </c>
      <c r="AQ207" s="40" t="s">
        <v>846</v>
      </c>
      <c r="AV207" s="39">
        <f t="shared" si="170"/>
        <v>0</v>
      </c>
      <c r="AW207" s="39">
        <f t="shared" si="171"/>
        <v>0</v>
      </c>
      <c r="AX207" s="39">
        <f t="shared" si="172"/>
        <v>0</v>
      </c>
      <c r="AY207" s="40" t="s">
        <v>538</v>
      </c>
      <c r="AZ207" s="40" t="s">
        <v>52</v>
      </c>
      <c r="BA207" s="68" t="s">
        <v>648</v>
      </c>
      <c r="BC207" s="39">
        <f t="shared" si="173"/>
        <v>0</v>
      </c>
      <c r="BD207" s="39">
        <f t="shared" si="174"/>
        <v>0</v>
      </c>
      <c r="BE207" s="39">
        <v>0</v>
      </c>
      <c r="BF207" s="39">
        <f>215</f>
        <v>215</v>
      </c>
      <c r="BH207" s="39">
        <f t="shared" si="175"/>
        <v>0</v>
      </c>
      <c r="BI207" s="39">
        <f t="shared" si="176"/>
        <v>0</v>
      </c>
      <c r="BJ207" s="39">
        <f t="shared" si="177"/>
        <v>0</v>
      </c>
      <c r="BK207" s="39"/>
      <c r="BL207" s="39">
        <v>722</v>
      </c>
    </row>
    <row r="208" spans="1:64" ht="15" customHeight="1">
      <c r="A208" s="37" t="s">
        <v>351</v>
      </c>
      <c r="B208" s="38" t="s">
        <v>267</v>
      </c>
      <c r="C208" s="195" t="s">
        <v>596</v>
      </c>
      <c r="D208" s="195"/>
      <c r="E208" s="195"/>
      <c r="F208" s="195"/>
      <c r="G208" s="38" t="s">
        <v>216</v>
      </c>
      <c r="H208" s="39">
        <v>26</v>
      </c>
      <c r="I208" s="39">
        <v>0</v>
      </c>
      <c r="J208" s="39">
        <f t="shared" si="156"/>
        <v>0</v>
      </c>
      <c r="K208" s="39">
        <f t="shared" si="157"/>
        <v>0</v>
      </c>
      <c r="L208" s="39">
        <f t="shared" si="158"/>
        <v>0</v>
      </c>
      <c r="M208" s="80" t="s">
        <v>576</v>
      </c>
      <c r="Z208" s="39">
        <f t="shared" si="159"/>
        <v>0</v>
      </c>
      <c r="AB208" s="39">
        <f t="shared" si="160"/>
        <v>0</v>
      </c>
      <c r="AC208" s="39">
        <f t="shared" si="161"/>
        <v>0</v>
      </c>
      <c r="AD208" s="39">
        <f t="shared" si="162"/>
        <v>0</v>
      </c>
      <c r="AE208" s="39">
        <f t="shared" si="163"/>
        <v>0</v>
      </c>
      <c r="AF208" s="39">
        <f t="shared" si="164"/>
        <v>0</v>
      </c>
      <c r="AG208" s="39">
        <f t="shared" si="165"/>
        <v>0</v>
      </c>
      <c r="AH208" s="39">
        <f t="shared" si="166"/>
        <v>0</v>
      </c>
      <c r="AI208" s="68" t="s">
        <v>587</v>
      </c>
      <c r="AJ208" s="39">
        <f t="shared" si="167"/>
        <v>0</v>
      </c>
      <c r="AK208" s="39">
        <f t="shared" si="168"/>
        <v>0</v>
      </c>
      <c r="AL208" s="39">
        <f t="shared" si="169"/>
        <v>0</v>
      </c>
      <c r="AN208" s="39">
        <v>21</v>
      </c>
      <c r="AO208" s="39">
        <f>I208*0.0202586206896552</f>
        <v>0</v>
      </c>
      <c r="AP208" s="39">
        <f>I208*(1-0.0202586206896552)</f>
        <v>0</v>
      </c>
      <c r="AQ208" s="40" t="s">
        <v>846</v>
      </c>
      <c r="AV208" s="39">
        <f t="shared" si="170"/>
        <v>0</v>
      </c>
      <c r="AW208" s="39">
        <f t="shared" si="171"/>
        <v>0</v>
      </c>
      <c r="AX208" s="39">
        <f t="shared" si="172"/>
        <v>0</v>
      </c>
      <c r="AY208" s="40" t="s">
        <v>538</v>
      </c>
      <c r="AZ208" s="40" t="s">
        <v>52</v>
      </c>
      <c r="BA208" s="68" t="s">
        <v>648</v>
      </c>
      <c r="BC208" s="39">
        <f t="shared" si="173"/>
        <v>0</v>
      </c>
      <c r="BD208" s="39">
        <f t="shared" si="174"/>
        <v>0</v>
      </c>
      <c r="BE208" s="39">
        <v>0</v>
      </c>
      <c r="BF208" s="39">
        <f>216</f>
        <v>216</v>
      </c>
      <c r="BH208" s="39">
        <f t="shared" si="175"/>
        <v>0</v>
      </c>
      <c r="BI208" s="39">
        <f t="shared" si="176"/>
        <v>0</v>
      </c>
      <c r="BJ208" s="39">
        <f t="shared" si="177"/>
        <v>0</v>
      </c>
      <c r="BK208" s="39"/>
      <c r="BL208" s="39">
        <v>722</v>
      </c>
    </row>
    <row r="209" spans="1:64" ht="15" customHeight="1">
      <c r="A209" s="37" t="s">
        <v>337</v>
      </c>
      <c r="B209" s="38" t="s">
        <v>30</v>
      </c>
      <c r="C209" s="195" t="s">
        <v>192</v>
      </c>
      <c r="D209" s="195"/>
      <c r="E209" s="195"/>
      <c r="F209" s="195"/>
      <c r="G209" s="38" t="s">
        <v>216</v>
      </c>
      <c r="H209" s="39">
        <v>26</v>
      </c>
      <c r="I209" s="39">
        <v>0</v>
      </c>
      <c r="J209" s="39">
        <f t="shared" si="156"/>
        <v>0</v>
      </c>
      <c r="K209" s="39">
        <f t="shared" si="157"/>
        <v>0</v>
      </c>
      <c r="L209" s="39">
        <f t="shared" si="158"/>
        <v>0</v>
      </c>
      <c r="M209" s="80" t="s">
        <v>576</v>
      </c>
      <c r="Z209" s="39">
        <f t="shared" si="159"/>
        <v>0</v>
      </c>
      <c r="AB209" s="39">
        <f t="shared" si="160"/>
        <v>0</v>
      </c>
      <c r="AC209" s="39">
        <f t="shared" si="161"/>
        <v>0</v>
      </c>
      <c r="AD209" s="39">
        <f t="shared" si="162"/>
        <v>0</v>
      </c>
      <c r="AE209" s="39">
        <f t="shared" si="163"/>
        <v>0</v>
      </c>
      <c r="AF209" s="39">
        <f t="shared" si="164"/>
        <v>0</v>
      </c>
      <c r="AG209" s="39">
        <f t="shared" si="165"/>
        <v>0</v>
      </c>
      <c r="AH209" s="39">
        <f t="shared" si="166"/>
        <v>0</v>
      </c>
      <c r="AI209" s="68" t="s">
        <v>587</v>
      </c>
      <c r="AJ209" s="39">
        <f t="shared" si="167"/>
        <v>0</v>
      </c>
      <c r="AK209" s="39">
        <f t="shared" si="168"/>
        <v>0</v>
      </c>
      <c r="AL209" s="39">
        <f t="shared" si="169"/>
        <v>0</v>
      </c>
      <c r="AN209" s="39">
        <v>21</v>
      </c>
      <c r="AO209" s="39">
        <f>I209*1</f>
        <v>0</v>
      </c>
      <c r="AP209" s="39">
        <f>I209*(1-1)</f>
        <v>0</v>
      </c>
      <c r="AQ209" s="40" t="s">
        <v>846</v>
      </c>
      <c r="AV209" s="39">
        <f t="shared" si="170"/>
        <v>0</v>
      </c>
      <c r="AW209" s="39">
        <f t="shared" si="171"/>
        <v>0</v>
      </c>
      <c r="AX209" s="39">
        <f t="shared" si="172"/>
        <v>0</v>
      </c>
      <c r="AY209" s="40" t="s">
        <v>538</v>
      </c>
      <c r="AZ209" s="40" t="s">
        <v>52</v>
      </c>
      <c r="BA209" s="68" t="s">
        <v>648</v>
      </c>
      <c r="BC209" s="39">
        <f t="shared" si="173"/>
        <v>0</v>
      </c>
      <c r="BD209" s="39">
        <f t="shared" si="174"/>
        <v>0</v>
      </c>
      <c r="BE209" s="39">
        <v>0</v>
      </c>
      <c r="BF209" s="39">
        <f>217</f>
        <v>217</v>
      </c>
      <c r="BH209" s="39">
        <f t="shared" si="175"/>
        <v>0</v>
      </c>
      <c r="BI209" s="39">
        <f t="shared" si="176"/>
        <v>0</v>
      </c>
      <c r="BJ209" s="39">
        <f t="shared" si="177"/>
        <v>0</v>
      </c>
      <c r="BK209" s="39"/>
      <c r="BL209" s="39">
        <v>722</v>
      </c>
    </row>
    <row r="210" spans="1:64" ht="15" customHeight="1">
      <c r="A210" s="37" t="s">
        <v>467</v>
      </c>
      <c r="B210" s="38" t="s">
        <v>132</v>
      </c>
      <c r="C210" s="195" t="s">
        <v>681</v>
      </c>
      <c r="D210" s="195"/>
      <c r="E210" s="195"/>
      <c r="F210" s="195"/>
      <c r="G210" s="38" t="s">
        <v>216</v>
      </c>
      <c r="H210" s="39">
        <v>10</v>
      </c>
      <c r="I210" s="39">
        <v>0</v>
      </c>
      <c r="J210" s="39">
        <f t="shared" si="156"/>
        <v>0</v>
      </c>
      <c r="K210" s="39">
        <f t="shared" si="157"/>
        <v>0</v>
      </c>
      <c r="L210" s="39">
        <f t="shared" si="158"/>
        <v>0</v>
      </c>
      <c r="M210" s="80" t="s">
        <v>576</v>
      </c>
      <c r="Z210" s="39">
        <f t="shared" si="159"/>
        <v>0</v>
      </c>
      <c r="AB210" s="39">
        <f t="shared" si="160"/>
        <v>0</v>
      </c>
      <c r="AC210" s="39">
        <f t="shared" si="161"/>
        <v>0</v>
      </c>
      <c r="AD210" s="39">
        <f t="shared" si="162"/>
        <v>0</v>
      </c>
      <c r="AE210" s="39">
        <f t="shared" si="163"/>
        <v>0</v>
      </c>
      <c r="AF210" s="39">
        <f t="shared" si="164"/>
        <v>0</v>
      </c>
      <c r="AG210" s="39">
        <f t="shared" si="165"/>
        <v>0</v>
      </c>
      <c r="AH210" s="39">
        <f t="shared" si="166"/>
        <v>0</v>
      </c>
      <c r="AI210" s="68" t="s">
        <v>587</v>
      </c>
      <c r="AJ210" s="39">
        <f t="shared" si="167"/>
        <v>0</v>
      </c>
      <c r="AK210" s="39">
        <f t="shared" si="168"/>
        <v>0</v>
      </c>
      <c r="AL210" s="39">
        <f t="shared" si="169"/>
        <v>0</v>
      </c>
      <c r="AN210" s="39">
        <v>21</v>
      </c>
      <c r="AO210" s="39">
        <f>I210*0.581486665211418</f>
        <v>0</v>
      </c>
      <c r="AP210" s="39">
        <f>I210*(1-0.581486665211418)</f>
        <v>0</v>
      </c>
      <c r="AQ210" s="40" t="s">
        <v>846</v>
      </c>
      <c r="AV210" s="39">
        <f t="shared" si="170"/>
        <v>0</v>
      </c>
      <c r="AW210" s="39">
        <f t="shared" si="171"/>
        <v>0</v>
      </c>
      <c r="AX210" s="39">
        <f t="shared" si="172"/>
        <v>0</v>
      </c>
      <c r="AY210" s="40" t="s">
        <v>538</v>
      </c>
      <c r="AZ210" s="40" t="s">
        <v>52</v>
      </c>
      <c r="BA210" s="68" t="s">
        <v>648</v>
      </c>
      <c r="BC210" s="39">
        <f t="shared" si="173"/>
        <v>0</v>
      </c>
      <c r="BD210" s="39">
        <f t="shared" si="174"/>
        <v>0</v>
      </c>
      <c r="BE210" s="39">
        <v>0</v>
      </c>
      <c r="BF210" s="39">
        <f>218</f>
        <v>218</v>
      </c>
      <c r="BH210" s="39">
        <f t="shared" si="175"/>
        <v>0</v>
      </c>
      <c r="BI210" s="39">
        <f t="shared" si="176"/>
        <v>0</v>
      </c>
      <c r="BJ210" s="39">
        <f t="shared" si="177"/>
        <v>0</v>
      </c>
      <c r="BK210" s="39"/>
      <c r="BL210" s="39">
        <v>722</v>
      </c>
    </row>
    <row r="211" spans="1:64" ht="15" customHeight="1">
      <c r="A211" s="37" t="s">
        <v>98</v>
      </c>
      <c r="B211" s="38" t="s">
        <v>763</v>
      </c>
      <c r="C211" s="195" t="s">
        <v>296</v>
      </c>
      <c r="D211" s="195"/>
      <c r="E211" s="195"/>
      <c r="F211" s="195"/>
      <c r="G211" s="38" t="s">
        <v>216</v>
      </c>
      <c r="H211" s="39">
        <v>13</v>
      </c>
      <c r="I211" s="39">
        <v>0</v>
      </c>
      <c r="J211" s="39">
        <f t="shared" si="156"/>
        <v>0</v>
      </c>
      <c r="K211" s="39">
        <f t="shared" si="157"/>
        <v>0</v>
      </c>
      <c r="L211" s="39">
        <f t="shared" si="158"/>
        <v>0</v>
      </c>
      <c r="M211" s="80" t="s">
        <v>576</v>
      </c>
      <c r="Z211" s="39">
        <f t="shared" si="159"/>
        <v>0</v>
      </c>
      <c r="AB211" s="39">
        <f t="shared" si="160"/>
        <v>0</v>
      </c>
      <c r="AC211" s="39">
        <f t="shared" si="161"/>
        <v>0</v>
      </c>
      <c r="AD211" s="39">
        <f t="shared" si="162"/>
        <v>0</v>
      </c>
      <c r="AE211" s="39">
        <f t="shared" si="163"/>
        <v>0</v>
      </c>
      <c r="AF211" s="39">
        <f t="shared" si="164"/>
        <v>0</v>
      </c>
      <c r="AG211" s="39">
        <f t="shared" si="165"/>
        <v>0</v>
      </c>
      <c r="AH211" s="39">
        <f t="shared" si="166"/>
        <v>0</v>
      </c>
      <c r="AI211" s="68" t="s">
        <v>587</v>
      </c>
      <c r="AJ211" s="39">
        <f t="shared" si="167"/>
        <v>0</v>
      </c>
      <c r="AK211" s="39">
        <f t="shared" si="168"/>
        <v>0</v>
      </c>
      <c r="AL211" s="39">
        <f t="shared" si="169"/>
        <v>0</v>
      </c>
      <c r="AN211" s="39">
        <v>21</v>
      </c>
      <c r="AO211" s="39">
        <f>I211*0.755614513122042</f>
        <v>0</v>
      </c>
      <c r="AP211" s="39">
        <f>I211*(1-0.755614513122042)</f>
        <v>0</v>
      </c>
      <c r="AQ211" s="40" t="s">
        <v>846</v>
      </c>
      <c r="AV211" s="39">
        <f t="shared" si="170"/>
        <v>0</v>
      </c>
      <c r="AW211" s="39">
        <f t="shared" si="171"/>
        <v>0</v>
      </c>
      <c r="AX211" s="39">
        <f t="shared" si="172"/>
        <v>0</v>
      </c>
      <c r="AY211" s="40" t="s">
        <v>538</v>
      </c>
      <c r="AZ211" s="40" t="s">
        <v>52</v>
      </c>
      <c r="BA211" s="68" t="s">
        <v>648</v>
      </c>
      <c r="BC211" s="39">
        <f t="shared" si="173"/>
        <v>0</v>
      </c>
      <c r="BD211" s="39">
        <f t="shared" si="174"/>
        <v>0</v>
      </c>
      <c r="BE211" s="39">
        <v>0</v>
      </c>
      <c r="BF211" s="39">
        <f>219</f>
        <v>219</v>
      </c>
      <c r="BH211" s="39">
        <f t="shared" si="175"/>
        <v>0</v>
      </c>
      <c r="BI211" s="39">
        <f t="shared" si="176"/>
        <v>0</v>
      </c>
      <c r="BJ211" s="39">
        <f t="shared" si="177"/>
        <v>0</v>
      </c>
      <c r="BK211" s="39"/>
      <c r="BL211" s="39">
        <v>722</v>
      </c>
    </row>
    <row r="212" spans="1:64" ht="15" customHeight="1">
      <c r="A212" s="37" t="s">
        <v>448</v>
      </c>
      <c r="B212" s="38" t="s">
        <v>885</v>
      </c>
      <c r="C212" s="195" t="s">
        <v>850</v>
      </c>
      <c r="D212" s="195"/>
      <c r="E212" s="195"/>
      <c r="F212" s="195"/>
      <c r="G212" s="38" t="s">
        <v>216</v>
      </c>
      <c r="H212" s="39">
        <v>7</v>
      </c>
      <c r="I212" s="39">
        <v>0</v>
      </c>
      <c r="J212" s="39">
        <f t="shared" si="156"/>
        <v>0</v>
      </c>
      <c r="K212" s="39">
        <f t="shared" si="157"/>
        <v>0</v>
      </c>
      <c r="L212" s="39">
        <f t="shared" si="158"/>
        <v>0</v>
      </c>
      <c r="M212" s="80" t="s">
        <v>576</v>
      </c>
      <c r="Z212" s="39">
        <f t="shared" si="159"/>
        <v>0</v>
      </c>
      <c r="AB212" s="39">
        <f t="shared" si="160"/>
        <v>0</v>
      </c>
      <c r="AC212" s="39">
        <f t="shared" si="161"/>
        <v>0</v>
      </c>
      <c r="AD212" s="39">
        <f t="shared" si="162"/>
        <v>0</v>
      </c>
      <c r="AE212" s="39">
        <f t="shared" si="163"/>
        <v>0</v>
      </c>
      <c r="AF212" s="39">
        <f t="shared" si="164"/>
        <v>0</v>
      </c>
      <c r="AG212" s="39">
        <f t="shared" si="165"/>
        <v>0</v>
      </c>
      <c r="AH212" s="39">
        <f t="shared" si="166"/>
        <v>0</v>
      </c>
      <c r="AI212" s="68" t="s">
        <v>587</v>
      </c>
      <c r="AJ212" s="39">
        <f t="shared" si="167"/>
        <v>0</v>
      </c>
      <c r="AK212" s="39">
        <f t="shared" si="168"/>
        <v>0</v>
      </c>
      <c r="AL212" s="39">
        <f t="shared" si="169"/>
        <v>0</v>
      </c>
      <c r="AN212" s="39">
        <v>21</v>
      </c>
      <c r="AO212" s="39">
        <f>I212*0.0548251748251748</f>
        <v>0</v>
      </c>
      <c r="AP212" s="39">
        <f>I212*(1-0.0548251748251748)</f>
        <v>0</v>
      </c>
      <c r="AQ212" s="40" t="s">
        <v>846</v>
      </c>
      <c r="AV212" s="39">
        <f t="shared" si="170"/>
        <v>0</v>
      </c>
      <c r="AW212" s="39">
        <f t="shared" si="171"/>
        <v>0</v>
      </c>
      <c r="AX212" s="39">
        <f t="shared" si="172"/>
        <v>0</v>
      </c>
      <c r="AY212" s="40" t="s">
        <v>538</v>
      </c>
      <c r="AZ212" s="40" t="s">
        <v>52</v>
      </c>
      <c r="BA212" s="68" t="s">
        <v>648</v>
      </c>
      <c r="BC212" s="39">
        <f t="shared" si="173"/>
        <v>0</v>
      </c>
      <c r="BD212" s="39">
        <f t="shared" si="174"/>
        <v>0</v>
      </c>
      <c r="BE212" s="39">
        <v>0</v>
      </c>
      <c r="BF212" s="39">
        <f>220</f>
        <v>220</v>
      </c>
      <c r="BH212" s="39">
        <f t="shared" si="175"/>
        <v>0</v>
      </c>
      <c r="BI212" s="39">
        <f t="shared" si="176"/>
        <v>0</v>
      </c>
      <c r="BJ212" s="39">
        <f t="shared" si="177"/>
        <v>0</v>
      </c>
      <c r="BK212" s="39"/>
      <c r="BL212" s="39">
        <v>722</v>
      </c>
    </row>
    <row r="213" spans="1:64" ht="15" customHeight="1">
      <c r="A213" s="37" t="s">
        <v>54</v>
      </c>
      <c r="B213" s="38" t="s">
        <v>809</v>
      </c>
      <c r="C213" s="195" t="s">
        <v>329</v>
      </c>
      <c r="D213" s="195"/>
      <c r="E213" s="195"/>
      <c r="F213" s="195"/>
      <c r="G213" s="38" t="s">
        <v>216</v>
      </c>
      <c r="H213" s="39">
        <v>7</v>
      </c>
      <c r="I213" s="39">
        <v>0</v>
      </c>
      <c r="J213" s="39">
        <f t="shared" si="156"/>
        <v>0</v>
      </c>
      <c r="K213" s="39">
        <f t="shared" si="157"/>
        <v>0</v>
      </c>
      <c r="L213" s="39">
        <f t="shared" si="158"/>
        <v>0</v>
      </c>
      <c r="M213" s="80" t="s">
        <v>576</v>
      </c>
      <c r="Z213" s="39">
        <f t="shared" si="159"/>
        <v>0</v>
      </c>
      <c r="AB213" s="39">
        <f t="shared" si="160"/>
        <v>0</v>
      </c>
      <c r="AC213" s="39">
        <f t="shared" si="161"/>
        <v>0</v>
      </c>
      <c r="AD213" s="39">
        <f t="shared" si="162"/>
        <v>0</v>
      </c>
      <c r="AE213" s="39">
        <f t="shared" si="163"/>
        <v>0</v>
      </c>
      <c r="AF213" s="39">
        <f t="shared" si="164"/>
        <v>0</v>
      </c>
      <c r="AG213" s="39">
        <f t="shared" si="165"/>
        <v>0</v>
      </c>
      <c r="AH213" s="39">
        <f t="shared" si="166"/>
        <v>0</v>
      </c>
      <c r="AI213" s="68" t="s">
        <v>587</v>
      </c>
      <c r="AJ213" s="39">
        <f t="shared" si="167"/>
        <v>0</v>
      </c>
      <c r="AK213" s="39">
        <f t="shared" si="168"/>
        <v>0</v>
      </c>
      <c r="AL213" s="39">
        <f t="shared" si="169"/>
        <v>0</v>
      </c>
      <c r="AN213" s="39">
        <v>21</v>
      </c>
      <c r="AO213" s="39">
        <f>I213*1</f>
        <v>0</v>
      </c>
      <c r="AP213" s="39">
        <f>I213*(1-1)</f>
        <v>0</v>
      </c>
      <c r="AQ213" s="40" t="s">
        <v>846</v>
      </c>
      <c r="AV213" s="39">
        <f t="shared" si="170"/>
        <v>0</v>
      </c>
      <c r="AW213" s="39">
        <f t="shared" si="171"/>
        <v>0</v>
      </c>
      <c r="AX213" s="39">
        <f t="shared" si="172"/>
        <v>0</v>
      </c>
      <c r="AY213" s="40" t="s">
        <v>538</v>
      </c>
      <c r="AZ213" s="40" t="s">
        <v>52</v>
      </c>
      <c r="BA213" s="68" t="s">
        <v>648</v>
      </c>
      <c r="BC213" s="39">
        <f t="shared" si="173"/>
        <v>0</v>
      </c>
      <c r="BD213" s="39">
        <f t="shared" si="174"/>
        <v>0</v>
      </c>
      <c r="BE213" s="39">
        <v>0</v>
      </c>
      <c r="BF213" s="39">
        <f>221</f>
        <v>221</v>
      </c>
      <c r="BH213" s="39">
        <f t="shared" si="175"/>
        <v>0</v>
      </c>
      <c r="BI213" s="39">
        <f t="shared" si="176"/>
        <v>0</v>
      </c>
      <c r="BJ213" s="39">
        <f t="shared" si="177"/>
        <v>0</v>
      </c>
      <c r="BK213" s="39"/>
      <c r="BL213" s="39">
        <v>722</v>
      </c>
    </row>
    <row r="214" spans="1:64" ht="15" customHeight="1">
      <c r="A214" s="37" t="s">
        <v>907</v>
      </c>
      <c r="B214" s="38" t="s">
        <v>851</v>
      </c>
      <c r="C214" s="195" t="s">
        <v>689</v>
      </c>
      <c r="D214" s="195"/>
      <c r="E214" s="195"/>
      <c r="F214" s="195"/>
      <c r="G214" s="38" t="s">
        <v>216</v>
      </c>
      <c r="H214" s="39">
        <v>12</v>
      </c>
      <c r="I214" s="39">
        <v>0</v>
      </c>
      <c r="J214" s="39">
        <f t="shared" si="156"/>
        <v>0</v>
      </c>
      <c r="K214" s="39">
        <f t="shared" si="157"/>
        <v>0</v>
      </c>
      <c r="L214" s="39">
        <f t="shared" si="158"/>
        <v>0</v>
      </c>
      <c r="M214" s="80" t="s">
        <v>576</v>
      </c>
      <c r="Z214" s="39">
        <f t="shared" si="159"/>
        <v>0</v>
      </c>
      <c r="AB214" s="39">
        <f t="shared" si="160"/>
        <v>0</v>
      </c>
      <c r="AC214" s="39">
        <f t="shared" si="161"/>
        <v>0</v>
      </c>
      <c r="AD214" s="39">
        <f t="shared" si="162"/>
        <v>0</v>
      </c>
      <c r="AE214" s="39">
        <f t="shared" si="163"/>
        <v>0</v>
      </c>
      <c r="AF214" s="39">
        <f t="shared" si="164"/>
        <v>0</v>
      </c>
      <c r="AG214" s="39">
        <f t="shared" si="165"/>
        <v>0</v>
      </c>
      <c r="AH214" s="39">
        <f t="shared" si="166"/>
        <v>0</v>
      </c>
      <c r="AI214" s="68" t="s">
        <v>587</v>
      </c>
      <c r="AJ214" s="39">
        <f t="shared" si="167"/>
        <v>0</v>
      </c>
      <c r="AK214" s="39">
        <f t="shared" si="168"/>
        <v>0</v>
      </c>
      <c r="AL214" s="39">
        <f t="shared" si="169"/>
        <v>0</v>
      </c>
      <c r="AN214" s="39">
        <v>21</v>
      </c>
      <c r="AO214" s="39">
        <f>I214*0.127984849789102</f>
        <v>0</v>
      </c>
      <c r="AP214" s="39">
        <f>I214*(1-0.127984849789102)</f>
        <v>0</v>
      </c>
      <c r="AQ214" s="40" t="s">
        <v>846</v>
      </c>
      <c r="AV214" s="39">
        <f t="shared" si="170"/>
        <v>0</v>
      </c>
      <c r="AW214" s="39">
        <f t="shared" si="171"/>
        <v>0</v>
      </c>
      <c r="AX214" s="39">
        <f t="shared" si="172"/>
        <v>0</v>
      </c>
      <c r="AY214" s="40" t="s">
        <v>538</v>
      </c>
      <c r="AZ214" s="40" t="s">
        <v>52</v>
      </c>
      <c r="BA214" s="68" t="s">
        <v>648</v>
      </c>
      <c r="BC214" s="39">
        <f t="shared" si="173"/>
        <v>0</v>
      </c>
      <c r="BD214" s="39">
        <f t="shared" si="174"/>
        <v>0</v>
      </c>
      <c r="BE214" s="39">
        <v>0</v>
      </c>
      <c r="BF214" s="39">
        <f>222</f>
        <v>222</v>
      </c>
      <c r="BH214" s="39">
        <f t="shared" si="175"/>
        <v>0</v>
      </c>
      <c r="BI214" s="39">
        <f t="shared" si="176"/>
        <v>0</v>
      </c>
      <c r="BJ214" s="39">
        <f t="shared" si="177"/>
        <v>0</v>
      </c>
      <c r="BK214" s="39"/>
      <c r="BL214" s="39">
        <v>722</v>
      </c>
    </row>
    <row r="215" spans="1:64" ht="15" customHeight="1">
      <c r="A215" s="37" t="s">
        <v>501</v>
      </c>
      <c r="B215" s="38" t="s">
        <v>6</v>
      </c>
      <c r="C215" s="195" t="s">
        <v>603</v>
      </c>
      <c r="D215" s="195"/>
      <c r="E215" s="195"/>
      <c r="F215" s="195"/>
      <c r="G215" s="38" t="s">
        <v>216</v>
      </c>
      <c r="H215" s="39">
        <v>12</v>
      </c>
      <c r="I215" s="39">
        <v>0</v>
      </c>
      <c r="J215" s="39">
        <f t="shared" si="156"/>
        <v>0</v>
      </c>
      <c r="K215" s="39">
        <f t="shared" si="157"/>
        <v>0</v>
      </c>
      <c r="L215" s="39">
        <f t="shared" si="158"/>
        <v>0</v>
      </c>
      <c r="M215" s="80" t="s">
        <v>576</v>
      </c>
      <c r="Z215" s="39">
        <f t="shared" si="159"/>
        <v>0</v>
      </c>
      <c r="AB215" s="39">
        <f t="shared" si="160"/>
        <v>0</v>
      </c>
      <c r="AC215" s="39">
        <f t="shared" si="161"/>
        <v>0</v>
      </c>
      <c r="AD215" s="39">
        <f t="shared" si="162"/>
        <v>0</v>
      </c>
      <c r="AE215" s="39">
        <f t="shared" si="163"/>
        <v>0</v>
      </c>
      <c r="AF215" s="39">
        <f t="shared" si="164"/>
        <v>0</v>
      </c>
      <c r="AG215" s="39">
        <f t="shared" si="165"/>
        <v>0</v>
      </c>
      <c r="AH215" s="39">
        <f t="shared" si="166"/>
        <v>0</v>
      </c>
      <c r="AI215" s="68" t="s">
        <v>587</v>
      </c>
      <c r="AJ215" s="39">
        <f t="shared" si="167"/>
        <v>0</v>
      </c>
      <c r="AK215" s="39">
        <f t="shared" si="168"/>
        <v>0</v>
      </c>
      <c r="AL215" s="39">
        <f t="shared" si="169"/>
        <v>0</v>
      </c>
      <c r="AN215" s="39">
        <v>21</v>
      </c>
      <c r="AO215" s="39">
        <f>I215*1</f>
        <v>0</v>
      </c>
      <c r="AP215" s="39">
        <f>I215*(1-1)</f>
        <v>0</v>
      </c>
      <c r="AQ215" s="40" t="s">
        <v>846</v>
      </c>
      <c r="AV215" s="39">
        <f t="shared" si="170"/>
        <v>0</v>
      </c>
      <c r="AW215" s="39">
        <f t="shared" si="171"/>
        <v>0</v>
      </c>
      <c r="AX215" s="39">
        <f t="shared" si="172"/>
        <v>0</v>
      </c>
      <c r="AY215" s="40" t="s">
        <v>538</v>
      </c>
      <c r="AZ215" s="40" t="s">
        <v>52</v>
      </c>
      <c r="BA215" s="68" t="s">
        <v>648</v>
      </c>
      <c r="BC215" s="39">
        <f t="shared" si="173"/>
        <v>0</v>
      </c>
      <c r="BD215" s="39">
        <f t="shared" si="174"/>
        <v>0</v>
      </c>
      <c r="BE215" s="39">
        <v>0</v>
      </c>
      <c r="BF215" s="39">
        <f>223</f>
        <v>223</v>
      </c>
      <c r="BH215" s="39">
        <f t="shared" si="175"/>
        <v>0</v>
      </c>
      <c r="BI215" s="39">
        <f t="shared" si="176"/>
        <v>0</v>
      </c>
      <c r="BJ215" s="39">
        <f t="shared" si="177"/>
        <v>0</v>
      </c>
      <c r="BK215" s="39"/>
      <c r="BL215" s="39">
        <v>722</v>
      </c>
    </row>
    <row r="216" spans="1:64" ht="15" customHeight="1">
      <c r="A216" s="37" t="s">
        <v>354</v>
      </c>
      <c r="B216" s="38" t="s">
        <v>336</v>
      </c>
      <c r="C216" s="195" t="s">
        <v>765</v>
      </c>
      <c r="D216" s="195"/>
      <c r="E216" s="195"/>
      <c r="F216" s="195"/>
      <c r="G216" s="38" t="s">
        <v>216</v>
      </c>
      <c r="H216" s="39">
        <v>35</v>
      </c>
      <c r="I216" s="39">
        <v>0</v>
      </c>
      <c r="J216" s="39">
        <f t="shared" si="156"/>
        <v>0</v>
      </c>
      <c r="K216" s="39">
        <f t="shared" si="157"/>
        <v>0</v>
      </c>
      <c r="L216" s="39">
        <f t="shared" si="158"/>
        <v>0</v>
      </c>
      <c r="M216" s="80" t="s">
        <v>576</v>
      </c>
      <c r="Z216" s="39">
        <f t="shared" si="159"/>
        <v>0</v>
      </c>
      <c r="AB216" s="39">
        <f t="shared" si="160"/>
        <v>0</v>
      </c>
      <c r="AC216" s="39">
        <f t="shared" si="161"/>
        <v>0</v>
      </c>
      <c r="AD216" s="39">
        <f t="shared" si="162"/>
        <v>0</v>
      </c>
      <c r="AE216" s="39">
        <f t="shared" si="163"/>
        <v>0</v>
      </c>
      <c r="AF216" s="39">
        <f t="shared" si="164"/>
        <v>0</v>
      </c>
      <c r="AG216" s="39">
        <f t="shared" si="165"/>
        <v>0</v>
      </c>
      <c r="AH216" s="39">
        <f t="shared" si="166"/>
        <v>0</v>
      </c>
      <c r="AI216" s="68" t="s">
        <v>587</v>
      </c>
      <c r="AJ216" s="39">
        <f t="shared" si="167"/>
        <v>0</v>
      </c>
      <c r="AK216" s="39">
        <f t="shared" si="168"/>
        <v>0</v>
      </c>
      <c r="AL216" s="39">
        <f t="shared" si="169"/>
        <v>0</v>
      </c>
      <c r="AN216" s="39">
        <v>21</v>
      </c>
      <c r="AO216" s="39">
        <f>I216*0.57807486631016</f>
        <v>0</v>
      </c>
      <c r="AP216" s="39">
        <f>I216*(1-0.57807486631016)</f>
        <v>0</v>
      </c>
      <c r="AQ216" s="40" t="s">
        <v>846</v>
      </c>
      <c r="AV216" s="39">
        <f t="shared" si="170"/>
        <v>0</v>
      </c>
      <c r="AW216" s="39">
        <f t="shared" si="171"/>
        <v>0</v>
      </c>
      <c r="AX216" s="39">
        <f t="shared" si="172"/>
        <v>0</v>
      </c>
      <c r="AY216" s="40" t="s">
        <v>538</v>
      </c>
      <c r="AZ216" s="40" t="s">
        <v>52</v>
      </c>
      <c r="BA216" s="68" t="s">
        <v>648</v>
      </c>
      <c r="BC216" s="39">
        <f t="shared" si="173"/>
        <v>0</v>
      </c>
      <c r="BD216" s="39">
        <f t="shared" si="174"/>
        <v>0</v>
      </c>
      <c r="BE216" s="39">
        <v>0</v>
      </c>
      <c r="BF216" s="39">
        <f>224</f>
        <v>224</v>
      </c>
      <c r="BH216" s="39">
        <f t="shared" si="175"/>
        <v>0</v>
      </c>
      <c r="BI216" s="39">
        <f t="shared" si="176"/>
        <v>0</v>
      </c>
      <c r="BJ216" s="39">
        <f t="shared" si="177"/>
        <v>0</v>
      </c>
      <c r="BK216" s="39"/>
      <c r="BL216" s="39">
        <v>722</v>
      </c>
    </row>
    <row r="217" spans="1:64" ht="15" customHeight="1">
      <c r="A217" s="37" t="s">
        <v>250</v>
      </c>
      <c r="B217" s="38" t="s">
        <v>520</v>
      </c>
      <c r="C217" s="195" t="s">
        <v>617</v>
      </c>
      <c r="D217" s="195"/>
      <c r="E217" s="195"/>
      <c r="F217" s="195"/>
      <c r="G217" s="38" t="s">
        <v>216</v>
      </c>
      <c r="H217" s="39">
        <v>35</v>
      </c>
      <c r="I217" s="39">
        <v>0</v>
      </c>
      <c r="J217" s="39">
        <f t="shared" si="156"/>
        <v>0</v>
      </c>
      <c r="K217" s="39">
        <f t="shared" si="157"/>
        <v>0</v>
      </c>
      <c r="L217" s="39">
        <f t="shared" si="158"/>
        <v>0</v>
      </c>
      <c r="M217" s="80" t="s">
        <v>576</v>
      </c>
      <c r="Z217" s="39">
        <f t="shared" si="159"/>
        <v>0</v>
      </c>
      <c r="AB217" s="39">
        <f t="shared" si="160"/>
        <v>0</v>
      </c>
      <c r="AC217" s="39">
        <f t="shared" si="161"/>
        <v>0</v>
      </c>
      <c r="AD217" s="39">
        <f t="shared" si="162"/>
        <v>0</v>
      </c>
      <c r="AE217" s="39">
        <f t="shared" si="163"/>
        <v>0</v>
      </c>
      <c r="AF217" s="39">
        <f t="shared" si="164"/>
        <v>0</v>
      </c>
      <c r="AG217" s="39">
        <f t="shared" si="165"/>
        <v>0</v>
      </c>
      <c r="AH217" s="39">
        <f t="shared" si="166"/>
        <v>0</v>
      </c>
      <c r="AI217" s="68" t="s">
        <v>587</v>
      </c>
      <c r="AJ217" s="39">
        <f t="shared" si="167"/>
        <v>0</v>
      </c>
      <c r="AK217" s="39">
        <f t="shared" si="168"/>
        <v>0</v>
      </c>
      <c r="AL217" s="39">
        <f t="shared" si="169"/>
        <v>0</v>
      </c>
      <c r="AN217" s="39">
        <v>21</v>
      </c>
      <c r="AO217" s="39">
        <f>I217*1</f>
        <v>0</v>
      </c>
      <c r="AP217" s="39">
        <f>I217*(1-1)</f>
        <v>0</v>
      </c>
      <c r="AQ217" s="40" t="s">
        <v>846</v>
      </c>
      <c r="AV217" s="39">
        <f t="shared" si="170"/>
        <v>0</v>
      </c>
      <c r="AW217" s="39">
        <f t="shared" si="171"/>
        <v>0</v>
      </c>
      <c r="AX217" s="39">
        <f t="shared" si="172"/>
        <v>0</v>
      </c>
      <c r="AY217" s="40" t="s">
        <v>538</v>
      </c>
      <c r="AZ217" s="40" t="s">
        <v>52</v>
      </c>
      <c r="BA217" s="68" t="s">
        <v>648</v>
      </c>
      <c r="BC217" s="39">
        <f t="shared" si="173"/>
        <v>0</v>
      </c>
      <c r="BD217" s="39">
        <f t="shared" si="174"/>
        <v>0</v>
      </c>
      <c r="BE217" s="39">
        <v>0</v>
      </c>
      <c r="BF217" s="39">
        <f>225</f>
        <v>225</v>
      </c>
      <c r="BH217" s="39">
        <f t="shared" si="175"/>
        <v>0</v>
      </c>
      <c r="BI217" s="39">
        <f t="shared" si="176"/>
        <v>0</v>
      </c>
      <c r="BJ217" s="39">
        <f t="shared" si="177"/>
        <v>0</v>
      </c>
      <c r="BK217" s="39"/>
      <c r="BL217" s="39">
        <v>722</v>
      </c>
    </row>
    <row r="218" spans="1:64" ht="15" customHeight="1">
      <c r="A218" s="37" t="s">
        <v>588</v>
      </c>
      <c r="B218" s="38" t="s">
        <v>678</v>
      </c>
      <c r="C218" s="195" t="s">
        <v>174</v>
      </c>
      <c r="D218" s="195"/>
      <c r="E218" s="195"/>
      <c r="F218" s="195"/>
      <c r="G218" s="38" t="s">
        <v>216</v>
      </c>
      <c r="H218" s="39">
        <v>6</v>
      </c>
      <c r="I218" s="39">
        <v>0</v>
      </c>
      <c r="J218" s="39">
        <f t="shared" si="156"/>
        <v>0</v>
      </c>
      <c r="K218" s="39">
        <f t="shared" si="157"/>
        <v>0</v>
      </c>
      <c r="L218" s="39">
        <f t="shared" si="158"/>
        <v>0</v>
      </c>
      <c r="M218" s="80" t="s">
        <v>576</v>
      </c>
      <c r="Z218" s="39">
        <f t="shared" si="159"/>
        <v>0</v>
      </c>
      <c r="AB218" s="39">
        <f t="shared" si="160"/>
        <v>0</v>
      </c>
      <c r="AC218" s="39">
        <f t="shared" si="161"/>
        <v>0</v>
      </c>
      <c r="AD218" s="39">
        <f t="shared" si="162"/>
        <v>0</v>
      </c>
      <c r="AE218" s="39">
        <f t="shared" si="163"/>
        <v>0</v>
      </c>
      <c r="AF218" s="39">
        <f t="shared" si="164"/>
        <v>0</v>
      </c>
      <c r="AG218" s="39">
        <f t="shared" si="165"/>
        <v>0</v>
      </c>
      <c r="AH218" s="39">
        <f t="shared" si="166"/>
        <v>0</v>
      </c>
      <c r="AI218" s="68" t="s">
        <v>587</v>
      </c>
      <c r="AJ218" s="39">
        <f t="shared" si="167"/>
        <v>0</v>
      </c>
      <c r="AK218" s="39">
        <f t="shared" si="168"/>
        <v>0</v>
      </c>
      <c r="AL218" s="39">
        <f t="shared" si="169"/>
        <v>0</v>
      </c>
      <c r="AN218" s="39">
        <v>21</v>
      </c>
      <c r="AO218" s="39">
        <f>I218*0.0202586206896552</f>
        <v>0</v>
      </c>
      <c r="AP218" s="39">
        <f>I218*(1-0.0202586206896552)</f>
        <v>0</v>
      </c>
      <c r="AQ218" s="40" t="s">
        <v>846</v>
      </c>
      <c r="AV218" s="39">
        <f t="shared" si="170"/>
        <v>0</v>
      </c>
      <c r="AW218" s="39">
        <f t="shared" si="171"/>
        <v>0</v>
      </c>
      <c r="AX218" s="39">
        <f t="shared" si="172"/>
        <v>0</v>
      </c>
      <c r="AY218" s="40" t="s">
        <v>538</v>
      </c>
      <c r="AZ218" s="40" t="s">
        <v>52</v>
      </c>
      <c r="BA218" s="68" t="s">
        <v>648</v>
      </c>
      <c r="BC218" s="39">
        <f t="shared" si="173"/>
        <v>0</v>
      </c>
      <c r="BD218" s="39">
        <f t="shared" si="174"/>
        <v>0</v>
      </c>
      <c r="BE218" s="39">
        <v>0</v>
      </c>
      <c r="BF218" s="39">
        <f>226</f>
        <v>226</v>
      </c>
      <c r="BH218" s="39">
        <f t="shared" si="175"/>
        <v>0</v>
      </c>
      <c r="BI218" s="39">
        <f t="shared" si="176"/>
        <v>0</v>
      </c>
      <c r="BJ218" s="39">
        <f t="shared" si="177"/>
        <v>0</v>
      </c>
      <c r="BK218" s="39"/>
      <c r="BL218" s="39">
        <v>722</v>
      </c>
    </row>
    <row r="219" spans="1:64" ht="15" customHeight="1">
      <c r="A219" s="37" t="s">
        <v>787</v>
      </c>
      <c r="B219" s="38" t="s">
        <v>527</v>
      </c>
      <c r="C219" s="195" t="s">
        <v>416</v>
      </c>
      <c r="D219" s="195"/>
      <c r="E219" s="195"/>
      <c r="F219" s="195"/>
      <c r="G219" s="38" t="s">
        <v>216</v>
      </c>
      <c r="H219" s="39">
        <v>6</v>
      </c>
      <c r="I219" s="39">
        <v>0</v>
      </c>
      <c r="J219" s="39">
        <f t="shared" si="156"/>
        <v>0</v>
      </c>
      <c r="K219" s="39">
        <f t="shared" si="157"/>
        <v>0</v>
      </c>
      <c r="L219" s="39">
        <f t="shared" si="158"/>
        <v>0</v>
      </c>
      <c r="M219" s="80" t="s">
        <v>576</v>
      </c>
      <c r="Z219" s="39">
        <f t="shared" si="159"/>
        <v>0</v>
      </c>
      <c r="AB219" s="39">
        <f t="shared" si="160"/>
        <v>0</v>
      </c>
      <c r="AC219" s="39">
        <f t="shared" si="161"/>
        <v>0</v>
      </c>
      <c r="AD219" s="39">
        <f t="shared" si="162"/>
        <v>0</v>
      </c>
      <c r="AE219" s="39">
        <f t="shared" si="163"/>
        <v>0</v>
      </c>
      <c r="AF219" s="39">
        <f t="shared" si="164"/>
        <v>0</v>
      </c>
      <c r="AG219" s="39">
        <f t="shared" si="165"/>
        <v>0</v>
      </c>
      <c r="AH219" s="39">
        <f t="shared" si="166"/>
        <v>0</v>
      </c>
      <c r="AI219" s="68" t="s">
        <v>587</v>
      </c>
      <c r="AJ219" s="39">
        <f t="shared" si="167"/>
        <v>0</v>
      </c>
      <c r="AK219" s="39">
        <f t="shared" si="168"/>
        <v>0</v>
      </c>
      <c r="AL219" s="39">
        <f t="shared" si="169"/>
        <v>0</v>
      </c>
      <c r="AN219" s="39">
        <v>21</v>
      </c>
      <c r="AO219" s="39">
        <f>I219*1</f>
        <v>0</v>
      </c>
      <c r="AP219" s="39">
        <f>I219*(1-1)</f>
        <v>0</v>
      </c>
      <c r="AQ219" s="40" t="s">
        <v>846</v>
      </c>
      <c r="AV219" s="39">
        <f t="shared" si="170"/>
        <v>0</v>
      </c>
      <c r="AW219" s="39">
        <f t="shared" si="171"/>
        <v>0</v>
      </c>
      <c r="AX219" s="39">
        <f t="shared" si="172"/>
        <v>0</v>
      </c>
      <c r="AY219" s="40" t="s">
        <v>538</v>
      </c>
      <c r="AZ219" s="40" t="s">
        <v>52</v>
      </c>
      <c r="BA219" s="68" t="s">
        <v>648</v>
      </c>
      <c r="BC219" s="39">
        <f t="shared" si="173"/>
        <v>0</v>
      </c>
      <c r="BD219" s="39">
        <f t="shared" si="174"/>
        <v>0</v>
      </c>
      <c r="BE219" s="39">
        <v>0</v>
      </c>
      <c r="BF219" s="39">
        <f>227</f>
        <v>227</v>
      </c>
      <c r="BH219" s="39">
        <f t="shared" si="175"/>
        <v>0</v>
      </c>
      <c r="BI219" s="39">
        <f t="shared" si="176"/>
        <v>0</v>
      </c>
      <c r="BJ219" s="39">
        <f t="shared" si="177"/>
        <v>0</v>
      </c>
      <c r="BK219" s="39"/>
      <c r="BL219" s="39">
        <v>722</v>
      </c>
    </row>
    <row r="220" spans="1:64" ht="15" customHeight="1">
      <c r="A220" s="37" t="s">
        <v>204</v>
      </c>
      <c r="B220" s="38" t="s">
        <v>103</v>
      </c>
      <c r="C220" s="195" t="s">
        <v>466</v>
      </c>
      <c r="D220" s="195"/>
      <c r="E220" s="195"/>
      <c r="F220" s="195"/>
      <c r="G220" s="38" t="s">
        <v>216</v>
      </c>
      <c r="H220" s="39">
        <v>12</v>
      </c>
      <c r="I220" s="39">
        <v>0</v>
      </c>
      <c r="J220" s="39">
        <f t="shared" si="156"/>
        <v>0</v>
      </c>
      <c r="K220" s="39">
        <f t="shared" si="157"/>
        <v>0</v>
      </c>
      <c r="L220" s="39">
        <f t="shared" si="158"/>
        <v>0</v>
      </c>
      <c r="M220" s="80" t="s">
        <v>576</v>
      </c>
      <c r="Z220" s="39">
        <f t="shared" si="159"/>
        <v>0</v>
      </c>
      <c r="AB220" s="39">
        <f t="shared" si="160"/>
        <v>0</v>
      </c>
      <c r="AC220" s="39">
        <f t="shared" si="161"/>
        <v>0</v>
      </c>
      <c r="AD220" s="39">
        <f t="shared" si="162"/>
        <v>0</v>
      </c>
      <c r="AE220" s="39">
        <f t="shared" si="163"/>
        <v>0</v>
      </c>
      <c r="AF220" s="39">
        <f t="shared" si="164"/>
        <v>0</v>
      </c>
      <c r="AG220" s="39">
        <f t="shared" si="165"/>
        <v>0</v>
      </c>
      <c r="AH220" s="39">
        <f t="shared" si="166"/>
        <v>0</v>
      </c>
      <c r="AI220" s="68" t="s">
        <v>587</v>
      </c>
      <c r="AJ220" s="39">
        <f t="shared" si="167"/>
        <v>0</v>
      </c>
      <c r="AK220" s="39">
        <f t="shared" si="168"/>
        <v>0</v>
      </c>
      <c r="AL220" s="39">
        <f t="shared" si="169"/>
        <v>0</v>
      </c>
      <c r="AN220" s="39">
        <v>21</v>
      </c>
      <c r="AO220" s="39">
        <f>I220*0.0114634146341463</f>
        <v>0</v>
      </c>
      <c r="AP220" s="39">
        <f>I220*(1-0.0114634146341463)</f>
        <v>0</v>
      </c>
      <c r="AQ220" s="40" t="s">
        <v>846</v>
      </c>
      <c r="AV220" s="39">
        <f t="shared" si="170"/>
        <v>0</v>
      </c>
      <c r="AW220" s="39">
        <f t="shared" si="171"/>
        <v>0</v>
      </c>
      <c r="AX220" s="39">
        <f t="shared" si="172"/>
        <v>0</v>
      </c>
      <c r="AY220" s="40" t="s">
        <v>538</v>
      </c>
      <c r="AZ220" s="40" t="s">
        <v>52</v>
      </c>
      <c r="BA220" s="68" t="s">
        <v>648</v>
      </c>
      <c r="BC220" s="39">
        <f t="shared" si="173"/>
        <v>0</v>
      </c>
      <c r="BD220" s="39">
        <f t="shared" si="174"/>
        <v>0</v>
      </c>
      <c r="BE220" s="39">
        <v>0</v>
      </c>
      <c r="BF220" s="39">
        <f>228</f>
        <v>228</v>
      </c>
      <c r="BH220" s="39">
        <f t="shared" si="175"/>
        <v>0</v>
      </c>
      <c r="BI220" s="39">
        <f t="shared" si="176"/>
        <v>0</v>
      </c>
      <c r="BJ220" s="39">
        <f t="shared" si="177"/>
        <v>0</v>
      </c>
      <c r="BK220" s="39"/>
      <c r="BL220" s="39">
        <v>722</v>
      </c>
    </row>
    <row r="221" spans="1:64" ht="15" customHeight="1">
      <c r="A221" s="37" t="s">
        <v>894</v>
      </c>
      <c r="B221" s="38" t="s">
        <v>680</v>
      </c>
      <c r="C221" s="195" t="s">
        <v>406</v>
      </c>
      <c r="D221" s="195"/>
      <c r="E221" s="195"/>
      <c r="F221" s="195"/>
      <c r="G221" s="38" t="s">
        <v>216</v>
      </c>
      <c r="H221" s="39">
        <v>12</v>
      </c>
      <c r="I221" s="39">
        <v>0</v>
      </c>
      <c r="J221" s="39">
        <f t="shared" si="156"/>
        <v>0</v>
      </c>
      <c r="K221" s="39">
        <f t="shared" si="157"/>
        <v>0</v>
      </c>
      <c r="L221" s="39">
        <f t="shared" si="158"/>
        <v>0</v>
      </c>
      <c r="M221" s="80" t="s">
        <v>576</v>
      </c>
      <c r="Z221" s="39">
        <f t="shared" si="159"/>
        <v>0</v>
      </c>
      <c r="AB221" s="39">
        <f t="shared" si="160"/>
        <v>0</v>
      </c>
      <c r="AC221" s="39">
        <f t="shared" si="161"/>
        <v>0</v>
      </c>
      <c r="AD221" s="39">
        <f t="shared" si="162"/>
        <v>0</v>
      </c>
      <c r="AE221" s="39">
        <f t="shared" si="163"/>
        <v>0</v>
      </c>
      <c r="AF221" s="39">
        <f t="shared" si="164"/>
        <v>0</v>
      </c>
      <c r="AG221" s="39">
        <f t="shared" si="165"/>
        <v>0</v>
      </c>
      <c r="AH221" s="39">
        <f t="shared" si="166"/>
        <v>0</v>
      </c>
      <c r="AI221" s="68" t="s">
        <v>587</v>
      </c>
      <c r="AJ221" s="39">
        <f t="shared" si="167"/>
        <v>0</v>
      </c>
      <c r="AK221" s="39">
        <f t="shared" si="168"/>
        <v>0</v>
      </c>
      <c r="AL221" s="39">
        <f t="shared" si="169"/>
        <v>0</v>
      </c>
      <c r="AN221" s="39">
        <v>21</v>
      </c>
      <c r="AO221" s="39">
        <f>I221*1</f>
        <v>0</v>
      </c>
      <c r="AP221" s="39">
        <f>I221*(1-1)</f>
        <v>0</v>
      </c>
      <c r="AQ221" s="40" t="s">
        <v>846</v>
      </c>
      <c r="AV221" s="39">
        <f t="shared" si="170"/>
        <v>0</v>
      </c>
      <c r="AW221" s="39">
        <f t="shared" si="171"/>
        <v>0</v>
      </c>
      <c r="AX221" s="39">
        <f t="shared" si="172"/>
        <v>0</v>
      </c>
      <c r="AY221" s="40" t="s">
        <v>538</v>
      </c>
      <c r="AZ221" s="40" t="s">
        <v>52</v>
      </c>
      <c r="BA221" s="68" t="s">
        <v>648</v>
      </c>
      <c r="BC221" s="39">
        <f t="shared" si="173"/>
        <v>0</v>
      </c>
      <c r="BD221" s="39">
        <f t="shared" si="174"/>
        <v>0</v>
      </c>
      <c r="BE221" s="39">
        <v>0</v>
      </c>
      <c r="BF221" s="39">
        <f>229</f>
        <v>229</v>
      </c>
      <c r="BH221" s="39">
        <f t="shared" si="175"/>
        <v>0</v>
      </c>
      <c r="BI221" s="39">
        <f t="shared" si="176"/>
        <v>0</v>
      </c>
      <c r="BJ221" s="39">
        <f t="shared" si="177"/>
        <v>0</v>
      </c>
      <c r="BK221" s="39"/>
      <c r="BL221" s="39">
        <v>722</v>
      </c>
    </row>
    <row r="222" spans="1:64" ht="15" customHeight="1">
      <c r="A222" s="37" t="s">
        <v>352</v>
      </c>
      <c r="B222" s="38" t="s">
        <v>316</v>
      </c>
      <c r="C222" s="195" t="s">
        <v>380</v>
      </c>
      <c r="D222" s="195"/>
      <c r="E222" s="195"/>
      <c r="F222" s="195"/>
      <c r="G222" s="38" t="s">
        <v>216</v>
      </c>
      <c r="H222" s="39">
        <v>7</v>
      </c>
      <c r="I222" s="39">
        <v>0</v>
      </c>
      <c r="J222" s="39">
        <f t="shared" si="156"/>
        <v>0</v>
      </c>
      <c r="K222" s="39">
        <f t="shared" si="157"/>
        <v>0</v>
      </c>
      <c r="L222" s="39">
        <f t="shared" si="158"/>
        <v>0</v>
      </c>
      <c r="M222" s="80" t="s">
        <v>576</v>
      </c>
      <c r="Z222" s="39">
        <f t="shared" si="159"/>
        <v>0</v>
      </c>
      <c r="AB222" s="39">
        <f t="shared" si="160"/>
        <v>0</v>
      </c>
      <c r="AC222" s="39">
        <f t="shared" si="161"/>
        <v>0</v>
      </c>
      <c r="AD222" s="39">
        <f t="shared" si="162"/>
        <v>0</v>
      </c>
      <c r="AE222" s="39">
        <f t="shared" si="163"/>
        <v>0</v>
      </c>
      <c r="AF222" s="39">
        <f t="shared" si="164"/>
        <v>0</v>
      </c>
      <c r="AG222" s="39">
        <f t="shared" si="165"/>
        <v>0</v>
      </c>
      <c r="AH222" s="39">
        <f t="shared" si="166"/>
        <v>0</v>
      </c>
      <c r="AI222" s="68" t="s">
        <v>587</v>
      </c>
      <c r="AJ222" s="39">
        <f t="shared" si="167"/>
        <v>0</v>
      </c>
      <c r="AK222" s="39">
        <f t="shared" si="168"/>
        <v>0</v>
      </c>
      <c r="AL222" s="39">
        <f t="shared" si="169"/>
        <v>0</v>
      </c>
      <c r="AN222" s="39">
        <v>21</v>
      </c>
      <c r="AO222" s="39">
        <f>I222*0</f>
        <v>0</v>
      </c>
      <c r="AP222" s="39">
        <f>I222*(1-0)</f>
        <v>0</v>
      </c>
      <c r="AQ222" s="40" t="s">
        <v>846</v>
      </c>
      <c r="AV222" s="39">
        <f t="shared" si="170"/>
        <v>0</v>
      </c>
      <c r="AW222" s="39">
        <f t="shared" si="171"/>
        <v>0</v>
      </c>
      <c r="AX222" s="39">
        <f t="shared" si="172"/>
        <v>0</v>
      </c>
      <c r="AY222" s="40" t="s">
        <v>538</v>
      </c>
      <c r="AZ222" s="40" t="s">
        <v>52</v>
      </c>
      <c r="BA222" s="68" t="s">
        <v>648</v>
      </c>
      <c r="BC222" s="39">
        <f t="shared" si="173"/>
        <v>0</v>
      </c>
      <c r="BD222" s="39">
        <f t="shared" si="174"/>
        <v>0</v>
      </c>
      <c r="BE222" s="39">
        <v>0</v>
      </c>
      <c r="BF222" s="39">
        <f>230</f>
        <v>230</v>
      </c>
      <c r="BH222" s="39">
        <f t="shared" si="175"/>
        <v>0</v>
      </c>
      <c r="BI222" s="39">
        <f t="shared" si="176"/>
        <v>0</v>
      </c>
      <c r="BJ222" s="39">
        <f t="shared" si="177"/>
        <v>0</v>
      </c>
      <c r="BK222" s="39"/>
      <c r="BL222" s="39">
        <v>722</v>
      </c>
    </row>
    <row r="223" spans="1:64" ht="15" customHeight="1">
      <c r="A223" s="37" t="s">
        <v>777</v>
      </c>
      <c r="B223" s="38" t="s">
        <v>839</v>
      </c>
      <c r="C223" s="195" t="s">
        <v>181</v>
      </c>
      <c r="D223" s="195"/>
      <c r="E223" s="195"/>
      <c r="F223" s="195"/>
      <c r="G223" s="38" t="s">
        <v>216</v>
      </c>
      <c r="H223" s="39">
        <v>7</v>
      </c>
      <c r="I223" s="39">
        <v>0</v>
      </c>
      <c r="J223" s="39">
        <f t="shared" si="156"/>
        <v>0</v>
      </c>
      <c r="K223" s="39">
        <f t="shared" si="157"/>
        <v>0</v>
      </c>
      <c r="L223" s="39">
        <f t="shared" si="158"/>
        <v>0</v>
      </c>
      <c r="M223" s="80" t="s">
        <v>576</v>
      </c>
      <c r="Z223" s="39">
        <f t="shared" si="159"/>
        <v>0</v>
      </c>
      <c r="AB223" s="39">
        <f t="shared" si="160"/>
        <v>0</v>
      </c>
      <c r="AC223" s="39">
        <f t="shared" si="161"/>
        <v>0</v>
      </c>
      <c r="AD223" s="39">
        <f t="shared" si="162"/>
        <v>0</v>
      </c>
      <c r="AE223" s="39">
        <f t="shared" si="163"/>
        <v>0</v>
      </c>
      <c r="AF223" s="39">
        <f t="shared" si="164"/>
        <v>0</v>
      </c>
      <c r="AG223" s="39">
        <f t="shared" si="165"/>
        <v>0</v>
      </c>
      <c r="AH223" s="39">
        <f t="shared" si="166"/>
        <v>0</v>
      </c>
      <c r="AI223" s="68" t="s">
        <v>587</v>
      </c>
      <c r="AJ223" s="39">
        <f t="shared" si="167"/>
        <v>0</v>
      </c>
      <c r="AK223" s="39">
        <f t="shared" si="168"/>
        <v>0</v>
      </c>
      <c r="AL223" s="39">
        <f t="shared" si="169"/>
        <v>0</v>
      </c>
      <c r="AN223" s="39">
        <v>21</v>
      </c>
      <c r="AO223" s="39">
        <f>I223*1</f>
        <v>0</v>
      </c>
      <c r="AP223" s="39">
        <f>I223*(1-1)</f>
        <v>0</v>
      </c>
      <c r="AQ223" s="40" t="s">
        <v>846</v>
      </c>
      <c r="AV223" s="39">
        <f t="shared" si="170"/>
        <v>0</v>
      </c>
      <c r="AW223" s="39">
        <f t="shared" si="171"/>
        <v>0</v>
      </c>
      <c r="AX223" s="39">
        <f t="shared" si="172"/>
        <v>0</v>
      </c>
      <c r="AY223" s="40" t="s">
        <v>538</v>
      </c>
      <c r="AZ223" s="40" t="s">
        <v>52</v>
      </c>
      <c r="BA223" s="68" t="s">
        <v>648</v>
      </c>
      <c r="BC223" s="39">
        <f t="shared" si="173"/>
        <v>0</v>
      </c>
      <c r="BD223" s="39">
        <f t="shared" si="174"/>
        <v>0</v>
      </c>
      <c r="BE223" s="39">
        <v>0</v>
      </c>
      <c r="BF223" s="39">
        <f>231</f>
        <v>231</v>
      </c>
      <c r="BH223" s="39">
        <f t="shared" si="175"/>
        <v>0</v>
      </c>
      <c r="BI223" s="39">
        <f t="shared" si="176"/>
        <v>0</v>
      </c>
      <c r="BJ223" s="39">
        <f t="shared" si="177"/>
        <v>0</v>
      </c>
      <c r="BK223" s="39"/>
      <c r="BL223" s="39">
        <v>722</v>
      </c>
    </row>
    <row r="224" spans="1:64" ht="15" customHeight="1">
      <c r="A224" s="37" t="s">
        <v>622</v>
      </c>
      <c r="B224" s="38" t="s">
        <v>818</v>
      </c>
      <c r="C224" s="195" t="s">
        <v>437</v>
      </c>
      <c r="D224" s="195"/>
      <c r="E224" s="195"/>
      <c r="F224" s="195"/>
      <c r="G224" s="38" t="s">
        <v>216</v>
      </c>
      <c r="H224" s="39">
        <v>13</v>
      </c>
      <c r="I224" s="39">
        <v>0</v>
      </c>
      <c r="J224" s="39">
        <f t="shared" si="156"/>
        <v>0</v>
      </c>
      <c r="K224" s="39">
        <f t="shared" si="157"/>
        <v>0</v>
      </c>
      <c r="L224" s="39">
        <f t="shared" si="158"/>
        <v>0</v>
      </c>
      <c r="M224" s="80" t="s">
        <v>576</v>
      </c>
      <c r="Z224" s="39">
        <f t="shared" si="159"/>
        <v>0</v>
      </c>
      <c r="AB224" s="39">
        <f t="shared" si="160"/>
        <v>0</v>
      </c>
      <c r="AC224" s="39">
        <f t="shared" si="161"/>
        <v>0</v>
      </c>
      <c r="AD224" s="39">
        <f t="shared" si="162"/>
        <v>0</v>
      </c>
      <c r="AE224" s="39">
        <f t="shared" si="163"/>
        <v>0</v>
      </c>
      <c r="AF224" s="39">
        <f t="shared" si="164"/>
        <v>0</v>
      </c>
      <c r="AG224" s="39">
        <f t="shared" si="165"/>
        <v>0</v>
      </c>
      <c r="AH224" s="39">
        <f t="shared" si="166"/>
        <v>0</v>
      </c>
      <c r="AI224" s="68" t="s">
        <v>587</v>
      </c>
      <c r="AJ224" s="39">
        <f t="shared" si="167"/>
        <v>0</v>
      </c>
      <c r="AK224" s="39">
        <f t="shared" si="168"/>
        <v>0</v>
      </c>
      <c r="AL224" s="39">
        <f t="shared" si="169"/>
        <v>0</v>
      </c>
      <c r="AN224" s="39">
        <v>21</v>
      </c>
      <c r="AO224" s="39">
        <f>I224*0</f>
        <v>0</v>
      </c>
      <c r="AP224" s="39">
        <f>I224*(1-0)</f>
        <v>0</v>
      </c>
      <c r="AQ224" s="40" t="s">
        <v>846</v>
      </c>
      <c r="AV224" s="39">
        <f t="shared" si="170"/>
        <v>0</v>
      </c>
      <c r="AW224" s="39">
        <f t="shared" si="171"/>
        <v>0</v>
      </c>
      <c r="AX224" s="39">
        <f t="shared" si="172"/>
        <v>0</v>
      </c>
      <c r="AY224" s="40" t="s">
        <v>538</v>
      </c>
      <c r="AZ224" s="40" t="s">
        <v>52</v>
      </c>
      <c r="BA224" s="68" t="s">
        <v>648</v>
      </c>
      <c r="BC224" s="39">
        <f t="shared" si="173"/>
        <v>0</v>
      </c>
      <c r="BD224" s="39">
        <f t="shared" si="174"/>
        <v>0</v>
      </c>
      <c r="BE224" s="39">
        <v>0</v>
      </c>
      <c r="BF224" s="39">
        <f>232</f>
        <v>232</v>
      </c>
      <c r="BH224" s="39">
        <f t="shared" si="175"/>
        <v>0</v>
      </c>
      <c r="BI224" s="39">
        <f t="shared" si="176"/>
        <v>0</v>
      </c>
      <c r="BJ224" s="39">
        <f t="shared" si="177"/>
        <v>0</v>
      </c>
      <c r="BK224" s="39"/>
      <c r="BL224" s="39">
        <v>722</v>
      </c>
    </row>
    <row r="225" spans="1:64" ht="15" customHeight="1">
      <c r="A225" s="37" t="s">
        <v>793</v>
      </c>
      <c r="B225" s="38" t="s">
        <v>112</v>
      </c>
      <c r="C225" s="195" t="s">
        <v>789</v>
      </c>
      <c r="D225" s="195"/>
      <c r="E225" s="195"/>
      <c r="F225" s="195"/>
      <c r="G225" s="38" t="s">
        <v>216</v>
      </c>
      <c r="H225" s="39">
        <v>13</v>
      </c>
      <c r="I225" s="39">
        <v>0</v>
      </c>
      <c r="J225" s="39">
        <f t="shared" si="156"/>
        <v>0</v>
      </c>
      <c r="K225" s="39">
        <f t="shared" si="157"/>
        <v>0</v>
      </c>
      <c r="L225" s="39">
        <f t="shared" si="158"/>
        <v>0</v>
      </c>
      <c r="M225" s="80" t="s">
        <v>576</v>
      </c>
      <c r="Z225" s="39">
        <f t="shared" si="159"/>
        <v>0</v>
      </c>
      <c r="AB225" s="39">
        <f t="shared" si="160"/>
        <v>0</v>
      </c>
      <c r="AC225" s="39">
        <f t="shared" si="161"/>
        <v>0</v>
      </c>
      <c r="AD225" s="39">
        <f t="shared" si="162"/>
        <v>0</v>
      </c>
      <c r="AE225" s="39">
        <f t="shared" si="163"/>
        <v>0</v>
      </c>
      <c r="AF225" s="39">
        <f t="shared" si="164"/>
        <v>0</v>
      </c>
      <c r="AG225" s="39">
        <f t="shared" si="165"/>
        <v>0</v>
      </c>
      <c r="AH225" s="39">
        <f t="shared" si="166"/>
        <v>0</v>
      </c>
      <c r="AI225" s="68" t="s">
        <v>587</v>
      </c>
      <c r="AJ225" s="39">
        <f t="shared" si="167"/>
        <v>0</v>
      </c>
      <c r="AK225" s="39">
        <f t="shared" si="168"/>
        <v>0</v>
      </c>
      <c r="AL225" s="39">
        <f t="shared" si="169"/>
        <v>0</v>
      </c>
      <c r="AN225" s="39">
        <v>21</v>
      </c>
      <c r="AO225" s="39">
        <f>I225*1</f>
        <v>0</v>
      </c>
      <c r="AP225" s="39">
        <f>I225*(1-1)</f>
        <v>0</v>
      </c>
      <c r="AQ225" s="40" t="s">
        <v>846</v>
      </c>
      <c r="AV225" s="39">
        <f t="shared" si="170"/>
        <v>0</v>
      </c>
      <c r="AW225" s="39">
        <f t="shared" si="171"/>
        <v>0</v>
      </c>
      <c r="AX225" s="39">
        <f t="shared" si="172"/>
        <v>0</v>
      </c>
      <c r="AY225" s="40" t="s">
        <v>538</v>
      </c>
      <c r="AZ225" s="40" t="s">
        <v>52</v>
      </c>
      <c r="BA225" s="68" t="s">
        <v>648</v>
      </c>
      <c r="BC225" s="39">
        <f t="shared" si="173"/>
        <v>0</v>
      </c>
      <c r="BD225" s="39">
        <f t="shared" si="174"/>
        <v>0</v>
      </c>
      <c r="BE225" s="39">
        <v>0</v>
      </c>
      <c r="BF225" s="39">
        <f>233</f>
        <v>233</v>
      </c>
      <c r="BH225" s="39">
        <f t="shared" si="175"/>
        <v>0</v>
      </c>
      <c r="BI225" s="39">
        <f t="shared" si="176"/>
        <v>0</v>
      </c>
      <c r="BJ225" s="39">
        <f t="shared" si="177"/>
        <v>0</v>
      </c>
      <c r="BK225" s="39"/>
      <c r="BL225" s="39">
        <v>722</v>
      </c>
    </row>
    <row r="226" spans="1:64" ht="15" customHeight="1">
      <c r="A226" s="37" t="s">
        <v>153</v>
      </c>
      <c r="B226" s="38" t="s">
        <v>9</v>
      </c>
      <c r="C226" s="195" t="s">
        <v>775</v>
      </c>
      <c r="D226" s="195"/>
      <c r="E226" s="195"/>
      <c r="F226" s="195"/>
      <c r="G226" s="38" t="s">
        <v>701</v>
      </c>
      <c r="H226" s="39">
        <v>190</v>
      </c>
      <c r="I226" s="39">
        <v>0</v>
      </c>
      <c r="J226" s="39">
        <f t="shared" si="156"/>
        <v>0</v>
      </c>
      <c r="K226" s="39">
        <f t="shared" si="157"/>
        <v>0</v>
      </c>
      <c r="L226" s="39">
        <f t="shared" si="158"/>
        <v>0</v>
      </c>
      <c r="M226" s="80" t="s">
        <v>576</v>
      </c>
      <c r="Z226" s="39">
        <f t="shared" si="159"/>
        <v>0</v>
      </c>
      <c r="AB226" s="39">
        <f t="shared" si="160"/>
        <v>0</v>
      </c>
      <c r="AC226" s="39">
        <f t="shared" si="161"/>
        <v>0</v>
      </c>
      <c r="AD226" s="39">
        <f t="shared" si="162"/>
        <v>0</v>
      </c>
      <c r="AE226" s="39">
        <f t="shared" si="163"/>
        <v>0</v>
      </c>
      <c r="AF226" s="39">
        <f t="shared" si="164"/>
        <v>0</v>
      </c>
      <c r="AG226" s="39">
        <f t="shared" si="165"/>
        <v>0</v>
      </c>
      <c r="AH226" s="39">
        <f t="shared" si="166"/>
        <v>0</v>
      </c>
      <c r="AI226" s="68" t="s">
        <v>587</v>
      </c>
      <c r="AJ226" s="39">
        <f t="shared" si="167"/>
        <v>0</v>
      </c>
      <c r="AK226" s="39">
        <f t="shared" si="168"/>
        <v>0</v>
      </c>
      <c r="AL226" s="39">
        <f t="shared" si="169"/>
        <v>0</v>
      </c>
      <c r="AN226" s="39">
        <v>21</v>
      </c>
      <c r="AO226" s="39">
        <f>I226*0.0142857142857143</f>
        <v>0</v>
      </c>
      <c r="AP226" s="39">
        <f>I226*(1-0.0142857142857143)</f>
        <v>0</v>
      </c>
      <c r="AQ226" s="40" t="s">
        <v>846</v>
      </c>
      <c r="AV226" s="39">
        <f t="shared" si="170"/>
        <v>0</v>
      </c>
      <c r="AW226" s="39">
        <f t="shared" si="171"/>
        <v>0</v>
      </c>
      <c r="AX226" s="39">
        <f t="shared" si="172"/>
        <v>0</v>
      </c>
      <c r="AY226" s="40" t="s">
        <v>538</v>
      </c>
      <c r="AZ226" s="40" t="s">
        <v>52</v>
      </c>
      <c r="BA226" s="68" t="s">
        <v>648</v>
      </c>
      <c r="BC226" s="39">
        <f t="shared" si="173"/>
        <v>0</v>
      </c>
      <c r="BD226" s="39">
        <f t="shared" si="174"/>
        <v>0</v>
      </c>
      <c r="BE226" s="39">
        <v>0</v>
      </c>
      <c r="BF226" s="39">
        <f>234</f>
        <v>234</v>
      </c>
      <c r="BH226" s="39">
        <f t="shared" si="175"/>
        <v>0</v>
      </c>
      <c r="BI226" s="39">
        <f t="shared" si="176"/>
        <v>0</v>
      </c>
      <c r="BJ226" s="39">
        <f t="shared" si="177"/>
        <v>0</v>
      </c>
      <c r="BK226" s="39"/>
      <c r="BL226" s="39">
        <v>722</v>
      </c>
    </row>
    <row r="227" spans="1:64" ht="15" customHeight="1">
      <c r="A227" s="37" t="s">
        <v>412</v>
      </c>
      <c r="B227" s="38" t="s">
        <v>291</v>
      </c>
      <c r="C227" s="195" t="s">
        <v>201</v>
      </c>
      <c r="D227" s="195"/>
      <c r="E227" s="195"/>
      <c r="F227" s="195"/>
      <c r="G227" s="38" t="s">
        <v>701</v>
      </c>
      <c r="H227" s="39">
        <v>45</v>
      </c>
      <c r="I227" s="39">
        <v>0</v>
      </c>
      <c r="J227" s="39">
        <f t="shared" si="156"/>
        <v>0</v>
      </c>
      <c r="K227" s="39">
        <f t="shared" si="157"/>
        <v>0</v>
      </c>
      <c r="L227" s="39">
        <f t="shared" si="158"/>
        <v>0</v>
      </c>
      <c r="M227" s="80" t="s">
        <v>576</v>
      </c>
      <c r="Z227" s="39">
        <f t="shared" si="159"/>
        <v>0</v>
      </c>
      <c r="AB227" s="39">
        <f t="shared" si="160"/>
        <v>0</v>
      </c>
      <c r="AC227" s="39">
        <f t="shared" si="161"/>
        <v>0</v>
      </c>
      <c r="AD227" s="39">
        <f t="shared" si="162"/>
        <v>0</v>
      </c>
      <c r="AE227" s="39">
        <f t="shared" si="163"/>
        <v>0</v>
      </c>
      <c r="AF227" s="39">
        <f t="shared" si="164"/>
        <v>0</v>
      </c>
      <c r="AG227" s="39">
        <f t="shared" si="165"/>
        <v>0</v>
      </c>
      <c r="AH227" s="39">
        <f t="shared" si="166"/>
        <v>0</v>
      </c>
      <c r="AI227" s="68" t="s">
        <v>587</v>
      </c>
      <c r="AJ227" s="39">
        <f t="shared" si="167"/>
        <v>0</v>
      </c>
      <c r="AK227" s="39">
        <f t="shared" si="168"/>
        <v>0</v>
      </c>
      <c r="AL227" s="39">
        <f t="shared" si="169"/>
        <v>0</v>
      </c>
      <c r="AN227" s="39">
        <v>21</v>
      </c>
      <c r="AO227" s="39">
        <f>I227*0.0188751191611058</f>
        <v>0</v>
      </c>
      <c r="AP227" s="39">
        <f>I227*(1-0.0188751191611058)</f>
        <v>0</v>
      </c>
      <c r="AQ227" s="40" t="s">
        <v>846</v>
      </c>
      <c r="AV227" s="39">
        <f t="shared" si="170"/>
        <v>0</v>
      </c>
      <c r="AW227" s="39">
        <f t="shared" si="171"/>
        <v>0</v>
      </c>
      <c r="AX227" s="39">
        <f t="shared" si="172"/>
        <v>0</v>
      </c>
      <c r="AY227" s="40" t="s">
        <v>538</v>
      </c>
      <c r="AZ227" s="40" t="s">
        <v>52</v>
      </c>
      <c r="BA227" s="68" t="s">
        <v>648</v>
      </c>
      <c r="BC227" s="39">
        <f t="shared" si="173"/>
        <v>0</v>
      </c>
      <c r="BD227" s="39">
        <f t="shared" si="174"/>
        <v>0</v>
      </c>
      <c r="BE227" s="39">
        <v>0</v>
      </c>
      <c r="BF227" s="39">
        <f>235</f>
        <v>235</v>
      </c>
      <c r="BH227" s="39">
        <f t="shared" si="175"/>
        <v>0</v>
      </c>
      <c r="BI227" s="39">
        <f t="shared" si="176"/>
        <v>0</v>
      </c>
      <c r="BJ227" s="39">
        <f t="shared" si="177"/>
        <v>0</v>
      </c>
      <c r="BK227" s="39"/>
      <c r="BL227" s="39">
        <v>722</v>
      </c>
    </row>
    <row r="228" spans="1:64" ht="15" customHeight="1">
      <c r="A228" s="37" t="s">
        <v>474</v>
      </c>
      <c r="B228" s="38" t="s">
        <v>136</v>
      </c>
      <c r="C228" s="195" t="s">
        <v>614</v>
      </c>
      <c r="D228" s="195"/>
      <c r="E228" s="195"/>
      <c r="F228" s="195"/>
      <c r="G228" s="38" t="s">
        <v>701</v>
      </c>
      <c r="H228" s="39">
        <v>170</v>
      </c>
      <c r="I228" s="39">
        <v>0</v>
      </c>
      <c r="J228" s="39">
        <f t="shared" si="156"/>
        <v>0</v>
      </c>
      <c r="K228" s="39">
        <f t="shared" si="157"/>
        <v>0</v>
      </c>
      <c r="L228" s="39">
        <f t="shared" si="158"/>
        <v>0</v>
      </c>
      <c r="M228" s="80" t="s">
        <v>576</v>
      </c>
      <c r="Z228" s="39">
        <f t="shared" si="159"/>
        <v>0</v>
      </c>
      <c r="AB228" s="39">
        <f t="shared" si="160"/>
        <v>0</v>
      </c>
      <c r="AC228" s="39">
        <f t="shared" si="161"/>
        <v>0</v>
      </c>
      <c r="AD228" s="39">
        <f t="shared" si="162"/>
        <v>0</v>
      </c>
      <c r="AE228" s="39">
        <f t="shared" si="163"/>
        <v>0</v>
      </c>
      <c r="AF228" s="39">
        <f t="shared" si="164"/>
        <v>0</v>
      </c>
      <c r="AG228" s="39">
        <f t="shared" si="165"/>
        <v>0</v>
      </c>
      <c r="AH228" s="39">
        <f t="shared" si="166"/>
        <v>0</v>
      </c>
      <c r="AI228" s="68" t="s">
        <v>587</v>
      </c>
      <c r="AJ228" s="39">
        <f t="shared" si="167"/>
        <v>0</v>
      </c>
      <c r="AK228" s="39">
        <f t="shared" si="168"/>
        <v>0</v>
      </c>
      <c r="AL228" s="39">
        <f t="shared" si="169"/>
        <v>0</v>
      </c>
      <c r="AN228" s="39">
        <v>21</v>
      </c>
      <c r="AO228" s="39">
        <f>I228*0.0523809523809524</f>
        <v>0</v>
      </c>
      <c r="AP228" s="39">
        <f>I228*(1-0.0523809523809524)</f>
        <v>0</v>
      </c>
      <c r="AQ228" s="40" t="s">
        <v>846</v>
      </c>
      <c r="AV228" s="39">
        <f t="shared" si="170"/>
        <v>0</v>
      </c>
      <c r="AW228" s="39">
        <f t="shared" si="171"/>
        <v>0</v>
      </c>
      <c r="AX228" s="39">
        <f t="shared" si="172"/>
        <v>0</v>
      </c>
      <c r="AY228" s="40" t="s">
        <v>538</v>
      </c>
      <c r="AZ228" s="40" t="s">
        <v>52</v>
      </c>
      <c r="BA228" s="68" t="s">
        <v>648</v>
      </c>
      <c r="BC228" s="39">
        <f t="shared" si="173"/>
        <v>0</v>
      </c>
      <c r="BD228" s="39">
        <f t="shared" si="174"/>
        <v>0</v>
      </c>
      <c r="BE228" s="39">
        <v>0</v>
      </c>
      <c r="BF228" s="39">
        <f>236</f>
        <v>236</v>
      </c>
      <c r="BH228" s="39">
        <f t="shared" si="175"/>
        <v>0</v>
      </c>
      <c r="BI228" s="39">
        <f t="shared" si="176"/>
        <v>0</v>
      </c>
      <c r="BJ228" s="39">
        <f t="shared" si="177"/>
        <v>0</v>
      </c>
      <c r="BK228" s="39"/>
      <c r="BL228" s="39">
        <v>722</v>
      </c>
    </row>
    <row r="229" spans="1:64" ht="15" customHeight="1">
      <c r="A229" s="37" t="s">
        <v>760</v>
      </c>
      <c r="B229" s="38" t="s">
        <v>570</v>
      </c>
      <c r="C229" s="195" t="s">
        <v>461</v>
      </c>
      <c r="D229" s="195"/>
      <c r="E229" s="195"/>
      <c r="F229" s="195"/>
      <c r="G229" s="38" t="s">
        <v>401</v>
      </c>
      <c r="H229" s="39">
        <v>0.222</v>
      </c>
      <c r="I229" s="39">
        <v>0</v>
      </c>
      <c r="J229" s="39">
        <f t="shared" si="156"/>
        <v>0</v>
      </c>
      <c r="K229" s="39">
        <f t="shared" si="157"/>
        <v>0</v>
      </c>
      <c r="L229" s="39">
        <f t="shared" si="158"/>
        <v>0</v>
      </c>
      <c r="M229" s="80" t="s">
        <v>576</v>
      </c>
      <c r="Z229" s="39">
        <f t="shared" si="159"/>
        <v>0</v>
      </c>
      <c r="AB229" s="39">
        <f t="shared" si="160"/>
        <v>0</v>
      </c>
      <c r="AC229" s="39">
        <f t="shared" si="161"/>
        <v>0</v>
      </c>
      <c r="AD229" s="39">
        <f t="shared" si="162"/>
        <v>0</v>
      </c>
      <c r="AE229" s="39">
        <f t="shared" si="163"/>
        <v>0</v>
      </c>
      <c r="AF229" s="39">
        <f t="shared" si="164"/>
        <v>0</v>
      </c>
      <c r="AG229" s="39">
        <f t="shared" si="165"/>
        <v>0</v>
      </c>
      <c r="AH229" s="39">
        <f t="shared" si="166"/>
        <v>0</v>
      </c>
      <c r="AI229" s="68" t="s">
        <v>587</v>
      </c>
      <c r="AJ229" s="39">
        <f t="shared" si="167"/>
        <v>0</v>
      </c>
      <c r="AK229" s="39">
        <f t="shared" si="168"/>
        <v>0</v>
      </c>
      <c r="AL229" s="39">
        <f t="shared" si="169"/>
        <v>0</v>
      </c>
      <c r="AN229" s="39">
        <v>21</v>
      </c>
      <c r="AO229" s="39">
        <f>I229*0</f>
        <v>0</v>
      </c>
      <c r="AP229" s="39">
        <f>I229*(1-0)</f>
        <v>0</v>
      </c>
      <c r="AQ229" s="40" t="s">
        <v>454</v>
      </c>
      <c r="AV229" s="39">
        <f t="shared" si="170"/>
        <v>0</v>
      </c>
      <c r="AW229" s="39">
        <f t="shared" si="171"/>
        <v>0</v>
      </c>
      <c r="AX229" s="39">
        <f t="shared" si="172"/>
        <v>0</v>
      </c>
      <c r="AY229" s="40" t="s">
        <v>538</v>
      </c>
      <c r="AZ229" s="40" t="s">
        <v>52</v>
      </c>
      <c r="BA229" s="68" t="s">
        <v>648</v>
      </c>
      <c r="BC229" s="39">
        <f t="shared" si="173"/>
        <v>0</v>
      </c>
      <c r="BD229" s="39">
        <f t="shared" si="174"/>
        <v>0</v>
      </c>
      <c r="BE229" s="39">
        <v>0</v>
      </c>
      <c r="BF229" s="39">
        <f>237</f>
        <v>237</v>
      </c>
      <c r="BH229" s="39">
        <f t="shared" si="175"/>
        <v>0</v>
      </c>
      <c r="BI229" s="39">
        <f t="shared" si="176"/>
        <v>0</v>
      </c>
      <c r="BJ229" s="39">
        <f t="shared" si="177"/>
        <v>0</v>
      </c>
      <c r="BK229" s="39"/>
      <c r="BL229" s="39">
        <v>722</v>
      </c>
    </row>
    <row r="230" spans="1:64" ht="15" customHeight="1">
      <c r="A230" s="76" t="s">
        <v>587</v>
      </c>
      <c r="B230" s="77" t="s">
        <v>813</v>
      </c>
      <c r="C230" s="221" t="s">
        <v>508</v>
      </c>
      <c r="D230" s="221"/>
      <c r="E230" s="221"/>
      <c r="F230" s="221"/>
      <c r="G230" s="78" t="s">
        <v>784</v>
      </c>
      <c r="H230" s="78" t="s">
        <v>784</v>
      </c>
      <c r="I230" s="78" t="s">
        <v>784</v>
      </c>
      <c r="J230" s="64">
        <f>SUM(J231:J235)</f>
        <v>0</v>
      </c>
      <c r="K230" s="64">
        <f>SUM(K231:K235)</f>
        <v>0</v>
      </c>
      <c r="L230" s="64">
        <f>SUM(L231:L235)</f>
        <v>0</v>
      </c>
      <c r="M230" s="79" t="s">
        <v>587</v>
      </c>
      <c r="AI230" s="68" t="s">
        <v>587</v>
      </c>
      <c r="AS230" s="64">
        <f>SUM(AJ231:AJ235)</f>
        <v>0</v>
      </c>
      <c r="AT230" s="64">
        <f>SUM(AK231:AK235)</f>
        <v>0</v>
      </c>
      <c r="AU230" s="64">
        <f>SUM(AL231:AL235)</f>
        <v>0</v>
      </c>
    </row>
    <row r="231" spans="1:64" ht="15" customHeight="1">
      <c r="A231" s="37" t="s">
        <v>861</v>
      </c>
      <c r="B231" s="38" t="s">
        <v>121</v>
      </c>
      <c r="C231" s="195" t="s">
        <v>746</v>
      </c>
      <c r="D231" s="195"/>
      <c r="E231" s="195"/>
      <c r="F231" s="195"/>
      <c r="G231" s="38" t="s">
        <v>216</v>
      </c>
      <c r="H231" s="39">
        <v>1</v>
      </c>
      <c r="I231" s="39">
        <v>0</v>
      </c>
      <c r="J231" s="39">
        <f>H231*AO231</f>
        <v>0</v>
      </c>
      <c r="K231" s="39">
        <f>H231*AP231</f>
        <v>0</v>
      </c>
      <c r="L231" s="39">
        <f>H231*I231</f>
        <v>0</v>
      </c>
      <c r="M231" s="80" t="s">
        <v>576</v>
      </c>
      <c r="Z231" s="39">
        <f>IF(AQ231="5",BJ231,0)</f>
        <v>0</v>
      </c>
      <c r="AB231" s="39">
        <f>IF(AQ231="1",BH231,0)</f>
        <v>0</v>
      </c>
      <c r="AC231" s="39">
        <f>IF(AQ231="1",BI231,0)</f>
        <v>0</v>
      </c>
      <c r="AD231" s="39">
        <f>IF(AQ231="7",BH231,0)</f>
        <v>0</v>
      </c>
      <c r="AE231" s="39">
        <f>IF(AQ231="7",BI231,0)</f>
        <v>0</v>
      </c>
      <c r="AF231" s="39">
        <f>IF(AQ231="2",BH231,0)</f>
        <v>0</v>
      </c>
      <c r="AG231" s="39">
        <f>IF(AQ231="2",BI231,0)</f>
        <v>0</v>
      </c>
      <c r="AH231" s="39">
        <f>IF(AQ231="0",BJ231,0)</f>
        <v>0</v>
      </c>
      <c r="AI231" s="68" t="s">
        <v>587</v>
      </c>
      <c r="AJ231" s="39">
        <f>IF(AN231=0,L231,0)</f>
        <v>0</v>
      </c>
      <c r="AK231" s="39">
        <f>IF(AN231=15,L231,0)</f>
        <v>0</v>
      </c>
      <c r="AL231" s="39">
        <f>IF(AN231=21,L231,0)</f>
        <v>0</v>
      </c>
      <c r="AN231" s="39">
        <v>21</v>
      </c>
      <c r="AO231" s="39">
        <f>I231*0.87125</f>
        <v>0</v>
      </c>
      <c r="AP231" s="39">
        <f>I231*(1-0.87125)</f>
        <v>0</v>
      </c>
      <c r="AQ231" s="40" t="s">
        <v>846</v>
      </c>
      <c r="AV231" s="39">
        <f>AW231+AX231</f>
        <v>0</v>
      </c>
      <c r="AW231" s="39">
        <f>H231*AO231</f>
        <v>0</v>
      </c>
      <c r="AX231" s="39">
        <f>H231*AP231</f>
        <v>0</v>
      </c>
      <c r="AY231" s="40" t="s">
        <v>391</v>
      </c>
      <c r="AZ231" s="40" t="s">
        <v>52</v>
      </c>
      <c r="BA231" s="68" t="s">
        <v>648</v>
      </c>
      <c r="BC231" s="39">
        <f>AW231+AX231</f>
        <v>0</v>
      </c>
      <c r="BD231" s="39">
        <f>I231/(100-BE231)*100</f>
        <v>0</v>
      </c>
      <c r="BE231" s="39">
        <v>0</v>
      </c>
      <c r="BF231" s="39">
        <f>239</f>
        <v>239</v>
      </c>
      <c r="BH231" s="39">
        <f>H231*AO231</f>
        <v>0</v>
      </c>
      <c r="BI231" s="39">
        <f>H231*AP231</f>
        <v>0</v>
      </c>
      <c r="BJ231" s="39">
        <f>H231*I231</f>
        <v>0</v>
      </c>
      <c r="BK231" s="39"/>
      <c r="BL231" s="39">
        <v>725</v>
      </c>
    </row>
    <row r="232" spans="1:64" ht="15" customHeight="1">
      <c r="A232" s="37" t="s">
        <v>2</v>
      </c>
      <c r="B232" s="38" t="s">
        <v>166</v>
      </c>
      <c r="C232" s="195" t="s">
        <v>729</v>
      </c>
      <c r="D232" s="195"/>
      <c r="E232" s="195"/>
      <c r="F232" s="195"/>
      <c r="G232" s="38" t="s">
        <v>216</v>
      </c>
      <c r="H232" s="39">
        <v>1</v>
      </c>
      <c r="I232" s="39">
        <v>0</v>
      </c>
      <c r="J232" s="39">
        <f>H232*AO232</f>
        <v>0</v>
      </c>
      <c r="K232" s="39">
        <f>H232*AP232</f>
        <v>0</v>
      </c>
      <c r="L232" s="39">
        <f>H232*I232</f>
        <v>0</v>
      </c>
      <c r="M232" s="80" t="s">
        <v>576</v>
      </c>
      <c r="Z232" s="39">
        <f>IF(AQ232="5",BJ232,0)</f>
        <v>0</v>
      </c>
      <c r="AB232" s="39">
        <f>IF(AQ232="1",BH232,0)</f>
        <v>0</v>
      </c>
      <c r="AC232" s="39">
        <f>IF(AQ232="1",BI232,0)</f>
        <v>0</v>
      </c>
      <c r="AD232" s="39">
        <f>IF(AQ232="7",BH232,0)</f>
        <v>0</v>
      </c>
      <c r="AE232" s="39">
        <f>IF(AQ232="7",BI232,0)</f>
        <v>0</v>
      </c>
      <c r="AF232" s="39">
        <f>IF(AQ232="2",BH232,0)</f>
        <v>0</v>
      </c>
      <c r="AG232" s="39">
        <f>IF(AQ232="2",BI232,0)</f>
        <v>0</v>
      </c>
      <c r="AH232" s="39">
        <f>IF(AQ232="0",BJ232,0)</f>
        <v>0</v>
      </c>
      <c r="AI232" s="68" t="s">
        <v>587</v>
      </c>
      <c r="AJ232" s="39">
        <f>IF(AN232=0,L232,0)</f>
        <v>0</v>
      </c>
      <c r="AK232" s="39">
        <f>IF(AN232=15,L232,0)</f>
        <v>0</v>
      </c>
      <c r="AL232" s="39">
        <f>IF(AN232=21,L232,0)</f>
        <v>0</v>
      </c>
      <c r="AN232" s="39">
        <v>21</v>
      </c>
      <c r="AO232" s="39">
        <f>I232*0.744919047619048</f>
        <v>0</v>
      </c>
      <c r="AP232" s="39">
        <f>I232*(1-0.744919047619048)</f>
        <v>0</v>
      </c>
      <c r="AQ232" s="40" t="s">
        <v>846</v>
      </c>
      <c r="AV232" s="39">
        <f>AW232+AX232</f>
        <v>0</v>
      </c>
      <c r="AW232" s="39">
        <f>H232*AO232</f>
        <v>0</v>
      </c>
      <c r="AX232" s="39">
        <f>H232*AP232</f>
        <v>0</v>
      </c>
      <c r="AY232" s="40" t="s">
        <v>391</v>
      </c>
      <c r="AZ232" s="40" t="s">
        <v>52</v>
      </c>
      <c r="BA232" s="68" t="s">
        <v>648</v>
      </c>
      <c r="BC232" s="39">
        <f>AW232+AX232</f>
        <v>0</v>
      </c>
      <c r="BD232" s="39">
        <f>I232/(100-BE232)*100</f>
        <v>0</v>
      </c>
      <c r="BE232" s="39">
        <v>0</v>
      </c>
      <c r="BF232" s="39">
        <f>240</f>
        <v>240</v>
      </c>
      <c r="BH232" s="39">
        <f>H232*AO232</f>
        <v>0</v>
      </c>
      <c r="BI232" s="39">
        <f>H232*AP232</f>
        <v>0</v>
      </c>
      <c r="BJ232" s="39">
        <f>H232*I232</f>
        <v>0</v>
      </c>
      <c r="BK232" s="39"/>
      <c r="BL232" s="39">
        <v>725</v>
      </c>
    </row>
    <row r="233" spans="1:64" ht="15" customHeight="1">
      <c r="A233" s="37" t="s">
        <v>24</v>
      </c>
      <c r="B233" s="38" t="s">
        <v>665</v>
      </c>
      <c r="C233" s="195" t="s">
        <v>469</v>
      </c>
      <c r="D233" s="195"/>
      <c r="E233" s="195"/>
      <c r="F233" s="195"/>
      <c r="G233" s="38" t="s">
        <v>649</v>
      </c>
      <c r="H233" s="39">
        <v>1</v>
      </c>
      <c r="I233" s="39">
        <v>0</v>
      </c>
      <c r="J233" s="39">
        <f>H233*AO233</f>
        <v>0</v>
      </c>
      <c r="K233" s="39">
        <f>H233*AP233</f>
        <v>0</v>
      </c>
      <c r="L233" s="39">
        <f>H233*I233</f>
        <v>0</v>
      </c>
      <c r="M233" s="80" t="s">
        <v>587</v>
      </c>
      <c r="Z233" s="39">
        <f>IF(AQ233="5",BJ233,0)</f>
        <v>0</v>
      </c>
      <c r="AB233" s="39">
        <f>IF(AQ233="1",BH233,0)</f>
        <v>0</v>
      </c>
      <c r="AC233" s="39">
        <f>IF(AQ233="1",BI233,0)</f>
        <v>0</v>
      </c>
      <c r="AD233" s="39">
        <f>IF(AQ233="7",BH233,0)</f>
        <v>0</v>
      </c>
      <c r="AE233" s="39">
        <f>IF(AQ233="7",BI233,0)</f>
        <v>0</v>
      </c>
      <c r="AF233" s="39">
        <f>IF(AQ233="2",BH233,0)</f>
        <v>0</v>
      </c>
      <c r="AG233" s="39">
        <f>IF(AQ233="2",BI233,0)</f>
        <v>0</v>
      </c>
      <c r="AH233" s="39">
        <f>IF(AQ233="0",BJ233,0)</f>
        <v>0</v>
      </c>
      <c r="AI233" s="68" t="s">
        <v>587</v>
      </c>
      <c r="AJ233" s="39">
        <f>IF(AN233=0,L233,0)</f>
        <v>0</v>
      </c>
      <c r="AK233" s="39">
        <f>IF(AN233=15,L233,0)</f>
        <v>0</v>
      </c>
      <c r="AL233" s="39">
        <f>IF(AN233=21,L233,0)</f>
        <v>0</v>
      </c>
      <c r="AN233" s="39">
        <v>21</v>
      </c>
      <c r="AO233" s="39">
        <f>I233*0.782608695652174</f>
        <v>0</v>
      </c>
      <c r="AP233" s="39">
        <f>I233*(1-0.782608695652174)</f>
        <v>0</v>
      </c>
      <c r="AQ233" s="40" t="s">
        <v>846</v>
      </c>
      <c r="AV233" s="39">
        <f>AW233+AX233</f>
        <v>0</v>
      </c>
      <c r="AW233" s="39">
        <f>H233*AO233</f>
        <v>0</v>
      </c>
      <c r="AX233" s="39">
        <f>H233*AP233</f>
        <v>0</v>
      </c>
      <c r="AY233" s="40" t="s">
        <v>391</v>
      </c>
      <c r="AZ233" s="40" t="s">
        <v>52</v>
      </c>
      <c r="BA233" s="68" t="s">
        <v>648</v>
      </c>
      <c r="BC233" s="39">
        <f>AW233+AX233</f>
        <v>0</v>
      </c>
      <c r="BD233" s="39">
        <f>I233/(100-BE233)*100</f>
        <v>0</v>
      </c>
      <c r="BE233" s="39">
        <v>0</v>
      </c>
      <c r="BF233" s="39">
        <f>241</f>
        <v>241</v>
      </c>
      <c r="BH233" s="39">
        <f>H233*AO233</f>
        <v>0</v>
      </c>
      <c r="BI233" s="39">
        <f>H233*AP233</f>
        <v>0</v>
      </c>
      <c r="BJ233" s="39">
        <f>H233*I233</f>
        <v>0</v>
      </c>
      <c r="BK233" s="39"/>
      <c r="BL233" s="39">
        <v>725</v>
      </c>
    </row>
    <row r="234" spans="1:64" ht="13.5" customHeight="1">
      <c r="A234" s="81"/>
      <c r="B234" s="82" t="s">
        <v>440</v>
      </c>
      <c r="C234" s="223" t="s">
        <v>464</v>
      </c>
      <c r="D234" s="224"/>
      <c r="E234" s="224"/>
      <c r="F234" s="224"/>
      <c r="G234" s="224"/>
      <c r="H234" s="224"/>
      <c r="I234" s="224"/>
      <c r="J234" s="224"/>
      <c r="K234" s="224"/>
      <c r="L234" s="224"/>
      <c r="M234" s="225"/>
    </row>
    <row r="235" spans="1:64" ht="15" customHeight="1">
      <c r="A235" s="37" t="s">
        <v>47</v>
      </c>
      <c r="B235" s="38" t="s">
        <v>709</v>
      </c>
      <c r="C235" s="195" t="s">
        <v>923</v>
      </c>
      <c r="D235" s="195"/>
      <c r="E235" s="195"/>
      <c r="F235" s="195"/>
      <c r="G235" s="38" t="s">
        <v>401</v>
      </c>
      <c r="H235" s="39">
        <v>1.9E-2</v>
      </c>
      <c r="I235" s="39">
        <v>0</v>
      </c>
      <c r="J235" s="39">
        <f>H235*AO235</f>
        <v>0</v>
      </c>
      <c r="K235" s="39">
        <f>H235*AP235</f>
        <v>0</v>
      </c>
      <c r="L235" s="39">
        <f>H235*I235</f>
        <v>0</v>
      </c>
      <c r="M235" s="80" t="s">
        <v>576</v>
      </c>
      <c r="Z235" s="39">
        <f>IF(AQ235="5",BJ235,0)</f>
        <v>0</v>
      </c>
      <c r="AB235" s="39">
        <f>IF(AQ235="1",BH235,0)</f>
        <v>0</v>
      </c>
      <c r="AC235" s="39">
        <f>IF(AQ235="1",BI235,0)</f>
        <v>0</v>
      </c>
      <c r="AD235" s="39">
        <f>IF(AQ235="7",BH235,0)</f>
        <v>0</v>
      </c>
      <c r="AE235" s="39">
        <f>IF(AQ235="7",BI235,0)</f>
        <v>0</v>
      </c>
      <c r="AF235" s="39">
        <f>IF(AQ235="2",BH235,0)</f>
        <v>0</v>
      </c>
      <c r="AG235" s="39">
        <f>IF(AQ235="2",BI235,0)</f>
        <v>0</v>
      </c>
      <c r="AH235" s="39">
        <f>IF(AQ235="0",BJ235,0)</f>
        <v>0</v>
      </c>
      <c r="AI235" s="68" t="s">
        <v>587</v>
      </c>
      <c r="AJ235" s="39">
        <f>IF(AN235=0,L235,0)</f>
        <v>0</v>
      </c>
      <c r="AK235" s="39">
        <f>IF(AN235=15,L235,0)</f>
        <v>0</v>
      </c>
      <c r="AL235" s="39">
        <f>IF(AN235=21,L235,0)</f>
        <v>0</v>
      </c>
      <c r="AN235" s="39">
        <v>21</v>
      </c>
      <c r="AO235" s="39">
        <f>I235*0</f>
        <v>0</v>
      </c>
      <c r="AP235" s="39">
        <f>I235*(1-0)</f>
        <v>0</v>
      </c>
      <c r="AQ235" s="40" t="s">
        <v>454</v>
      </c>
      <c r="AV235" s="39">
        <f>AW235+AX235</f>
        <v>0</v>
      </c>
      <c r="AW235" s="39">
        <f>H235*AO235</f>
        <v>0</v>
      </c>
      <c r="AX235" s="39">
        <f>H235*AP235</f>
        <v>0</v>
      </c>
      <c r="AY235" s="40" t="s">
        <v>391</v>
      </c>
      <c r="AZ235" s="40" t="s">
        <v>52</v>
      </c>
      <c r="BA235" s="68" t="s">
        <v>648</v>
      </c>
      <c r="BC235" s="39">
        <f>AW235+AX235</f>
        <v>0</v>
      </c>
      <c r="BD235" s="39">
        <f>I235/(100-BE235)*100</f>
        <v>0</v>
      </c>
      <c r="BE235" s="39">
        <v>0</v>
      </c>
      <c r="BF235" s="39">
        <f>243</f>
        <v>243</v>
      </c>
      <c r="BH235" s="39">
        <f>H235*AO235</f>
        <v>0</v>
      </c>
      <c r="BI235" s="39">
        <f>H235*AP235</f>
        <v>0</v>
      </c>
      <c r="BJ235" s="39">
        <f>H235*I235</f>
        <v>0</v>
      </c>
      <c r="BK235" s="39"/>
      <c r="BL235" s="39">
        <v>725</v>
      </c>
    </row>
    <row r="236" spans="1:64" ht="15" customHeight="1">
      <c r="A236" s="76" t="s">
        <v>587</v>
      </c>
      <c r="B236" s="77" t="s">
        <v>484</v>
      </c>
      <c r="C236" s="221" t="s">
        <v>887</v>
      </c>
      <c r="D236" s="221"/>
      <c r="E236" s="221"/>
      <c r="F236" s="221"/>
      <c r="G236" s="78" t="s">
        <v>784</v>
      </c>
      <c r="H236" s="78" t="s">
        <v>784</v>
      </c>
      <c r="I236" s="78" t="s">
        <v>784</v>
      </c>
      <c r="J236" s="64">
        <f>SUM(J237:J240)</f>
        <v>0</v>
      </c>
      <c r="K236" s="64">
        <f>SUM(K237:K240)</f>
        <v>0</v>
      </c>
      <c r="L236" s="64">
        <f>SUM(L237:L240)</f>
        <v>0</v>
      </c>
      <c r="M236" s="79" t="s">
        <v>587</v>
      </c>
      <c r="AI236" s="68" t="s">
        <v>587</v>
      </c>
      <c r="AS236" s="64">
        <f>SUM(AJ237:AJ240)</f>
        <v>0</v>
      </c>
      <c r="AT236" s="64">
        <f>SUM(AK237:AK240)</f>
        <v>0</v>
      </c>
      <c r="AU236" s="64">
        <f>SUM(AL237:AL240)</f>
        <v>0</v>
      </c>
    </row>
    <row r="237" spans="1:64" ht="15" customHeight="1">
      <c r="A237" s="37" t="s">
        <v>630</v>
      </c>
      <c r="B237" s="38" t="s">
        <v>32</v>
      </c>
      <c r="C237" s="195" t="s">
        <v>597</v>
      </c>
      <c r="D237" s="195"/>
      <c r="E237" s="195"/>
      <c r="F237" s="195"/>
      <c r="G237" s="38" t="s">
        <v>216</v>
      </c>
      <c r="H237" s="39">
        <v>1</v>
      </c>
      <c r="I237" s="39">
        <v>0</v>
      </c>
      <c r="J237" s="39">
        <f>H237*AO237</f>
        <v>0</v>
      </c>
      <c r="K237" s="39">
        <f>H237*AP237</f>
        <v>0</v>
      </c>
      <c r="L237" s="39">
        <f>H237*I237</f>
        <v>0</v>
      </c>
      <c r="M237" s="80" t="s">
        <v>576</v>
      </c>
      <c r="Z237" s="39">
        <f>IF(AQ237="5",BJ237,0)</f>
        <v>0</v>
      </c>
      <c r="AB237" s="39">
        <f>IF(AQ237="1",BH237,0)</f>
        <v>0</v>
      </c>
      <c r="AC237" s="39">
        <f>IF(AQ237="1",BI237,0)</f>
        <v>0</v>
      </c>
      <c r="AD237" s="39">
        <f>IF(AQ237="7",BH237,0)</f>
        <v>0</v>
      </c>
      <c r="AE237" s="39">
        <f>IF(AQ237="7",BI237,0)</f>
        <v>0</v>
      </c>
      <c r="AF237" s="39">
        <f>IF(AQ237="2",BH237,0)</f>
        <v>0</v>
      </c>
      <c r="AG237" s="39">
        <f>IF(AQ237="2",BI237,0)</f>
        <v>0</v>
      </c>
      <c r="AH237" s="39">
        <f>IF(AQ237="0",BJ237,0)</f>
        <v>0</v>
      </c>
      <c r="AI237" s="68" t="s">
        <v>587</v>
      </c>
      <c r="AJ237" s="39">
        <f>IF(AN237=0,L237,0)</f>
        <v>0</v>
      </c>
      <c r="AK237" s="39">
        <f>IF(AN237=15,L237,0)</f>
        <v>0</v>
      </c>
      <c r="AL237" s="39">
        <f>IF(AN237=21,L237,0)</f>
        <v>0</v>
      </c>
      <c r="AN237" s="39">
        <v>21</v>
      </c>
      <c r="AO237" s="39">
        <f>I237*0</f>
        <v>0</v>
      </c>
      <c r="AP237" s="39">
        <f>I237*(1-0)</f>
        <v>0</v>
      </c>
      <c r="AQ237" s="40" t="s">
        <v>846</v>
      </c>
      <c r="AV237" s="39">
        <f>AW237+AX237</f>
        <v>0</v>
      </c>
      <c r="AW237" s="39">
        <f>H237*AO237</f>
        <v>0</v>
      </c>
      <c r="AX237" s="39">
        <f>H237*AP237</f>
        <v>0</v>
      </c>
      <c r="AY237" s="40" t="s">
        <v>684</v>
      </c>
      <c r="AZ237" s="40" t="s">
        <v>52</v>
      </c>
      <c r="BA237" s="68" t="s">
        <v>648</v>
      </c>
      <c r="BC237" s="39">
        <f>AW237+AX237</f>
        <v>0</v>
      </c>
      <c r="BD237" s="39">
        <f>I237/(100-BE237)*100</f>
        <v>0</v>
      </c>
      <c r="BE237" s="39">
        <v>0</v>
      </c>
      <c r="BF237" s="39">
        <f>245</f>
        <v>245</v>
      </c>
      <c r="BH237" s="39">
        <f>H237*AO237</f>
        <v>0</v>
      </c>
      <c r="BI237" s="39">
        <f>H237*AP237</f>
        <v>0</v>
      </c>
      <c r="BJ237" s="39">
        <f>H237*I237</f>
        <v>0</v>
      </c>
      <c r="BK237" s="39"/>
      <c r="BL237" s="39">
        <v>728</v>
      </c>
    </row>
    <row r="238" spans="1:64" ht="15" customHeight="1">
      <c r="A238" s="37" t="s">
        <v>932</v>
      </c>
      <c r="B238" s="38" t="s">
        <v>558</v>
      </c>
      <c r="C238" s="195" t="s">
        <v>521</v>
      </c>
      <c r="D238" s="195"/>
      <c r="E238" s="195"/>
      <c r="F238" s="195"/>
      <c r="G238" s="38" t="s">
        <v>216</v>
      </c>
      <c r="H238" s="39">
        <v>1</v>
      </c>
      <c r="I238" s="39">
        <v>0</v>
      </c>
      <c r="J238" s="39">
        <f>H238*AO238</f>
        <v>0</v>
      </c>
      <c r="K238" s="39">
        <f>H238*AP238</f>
        <v>0</v>
      </c>
      <c r="L238" s="39">
        <f>H238*I238</f>
        <v>0</v>
      </c>
      <c r="M238" s="80" t="s">
        <v>576</v>
      </c>
      <c r="Z238" s="39">
        <f>IF(AQ238="5",BJ238,0)</f>
        <v>0</v>
      </c>
      <c r="AB238" s="39">
        <f>IF(AQ238="1",BH238,0)</f>
        <v>0</v>
      </c>
      <c r="AC238" s="39">
        <f>IF(AQ238="1",BI238,0)</f>
        <v>0</v>
      </c>
      <c r="AD238" s="39">
        <f>IF(AQ238="7",BH238,0)</f>
        <v>0</v>
      </c>
      <c r="AE238" s="39">
        <f>IF(AQ238="7",BI238,0)</f>
        <v>0</v>
      </c>
      <c r="AF238" s="39">
        <f>IF(AQ238="2",BH238,0)</f>
        <v>0</v>
      </c>
      <c r="AG238" s="39">
        <f>IF(AQ238="2",BI238,0)</f>
        <v>0</v>
      </c>
      <c r="AH238" s="39">
        <f>IF(AQ238="0",BJ238,0)</f>
        <v>0</v>
      </c>
      <c r="AI238" s="68" t="s">
        <v>587</v>
      </c>
      <c r="AJ238" s="39">
        <f>IF(AN238=0,L238,0)</f>
        <v>0</v>
      </c>
      <c r="AK238" s="39">
        <f>IF(AN238=15,L238,0)</f>
        <v>0</v>
      </c>
      <c r="AL238" s="39">
        <f>IF(AN238=21,L238,0)</f>
        <v>0</v>
      </c>
      <c r="AN238" s="39">
        <v>21</v>
      </c>
      <c r="AO238" s="39">
        <f>I238*1</f>
        <v>0</v>
      </c>
      <c r="AP238" s="39">
        <f>I238*(1-1)</f>
        <v>0</v>
      </c>
      <c r="AQ238" s="40" t="s">
        <v>846</v>
      </c>
      <c r="AV238" s="39">
        <f>AW238+AX238</f>
        <v>0</v>
      </c>
      <c r="AW238" s="39">
        <f>H238*AO238</f>
        <v>0</v>
      </c>
      <c r="AX238" s="39">
        <f>H238*AP238</f>
        <v>0</v>
      </c>
      <c r="AY238" s="40" t="s">
        <v>684</v>
      </c>
      <c r="AZ238" s="40" t="s">
        <v>52</v>
      </c>
      <c r="BA238" s="68" t="s">
        <v>648</v>
      </c>
      <c r="BC238" s="39">
        <f>AW238+AX238</f>
        <v>0</v>
      </c>
      <c r="BD238" s="39">
        <f>I238/(100-BE238)*100</f>
        <v>0</v>
      </c>
      <c r="BE238" s="39">
        <v>0</v>
      </c>
      <c r="BF238" s="39">
        <f>246</f>
        <v>246</v>
      </c>
      <c r="BH238" s="39">
        <f>H238*AO238</f>
        <v>0</v>
      </c>
      <c r="BI238" s="39">
        <f>H238*AP238</f>
        <v>0</v>
      </c>
      <c r="BJ238" s="39">
        <f>H238*I238</f>
        <v>0</v>
      </c>
      <c r="BK238" s="39"/>
      <c r="BL238" s="39">
        <v>728</v>
      </c>
    </row>
    <row r="239" spans="1:64" ht="15" customHeight="1">
      <c r="A239" s="37" t="s">
        <v>242</v>
      </c>
      <c r="B239" s="38" t="s">
        <v>360</v>
      </c>
      <c r="C239" s="195" t="s">
        <v>340</v>
      </c>
      <c r="D239" s="195"/>
      <c r="E239" s="195"/>
      <c r="F239" s="195"/>
      <c r="G239" s="38" t="s">
        <v>216</v>
      </c>
      <c r="H239" s="39">
        <v>1</v>
      </c>
      <c r="I239" s="39">
        <v>0</v>
      </c>
      <c r="J239" s="39">
        <f>H239*AO239</f>
        <v>0</v>
      </c>
      <c r="K239" s="39">
        <f>H239*AP239</f>
        <v>0</v>
      </c>
      <c r="L239" s="39">
        <f>H239*I239</f>
        <v>0</v>
      </c>
      <c r="M239" s="80" t="s">
        <v>576</v>
      </c>
      <c r="Z239" s="39">
        <f>IF(AQ239="5",BJ239,0)</f>
        <v>0</v>
      </c>
      <c r="AB239" s="39">
        <f>IF(AQ239="1",BH239,0)</f>
        <v>0</v>
      </c>
      <c r="AC239" s="39">
        <f>IF(AQ239="1",BI239,0)</f>
        <v>0</v>
      </c>
      <c r="AD239" s="39">
        <f>IF(AQ239="7",BH239,0)</f>
        <v>0</v>
      </c>
      <c r="AE239" s="39">
        <f>IF(AQ239="7",BI239,0)</f>
        <v>0</v>
      </c>
      <c r="AF239" s="39">
        <f>IF(AQ239="2",BH239,0)</f>
        <v>0</v>
      </c>
      <c r="AG239" s="39">
        <f>IF(AQ239="2",BI239,0)</f>
        <v>0</v>
      </c>
      <c r="AH239" s="39">
        <f>IF(AQ239="0",BJ239,0)</f>
        <v>0</v>
      </c>
      <c r="AI239" s="68" t="s">
        <v>587</v>
      </c>
      <c r="AJ239" s="39">
        <f>IF(AN239=0,L239,0)</f>
        <v>0</v>
      </c>
      <c r="AK239" s="39">
        <f>IF(AN239=15,L239,0)</f>
        <v>0</v>
      </c>
      <c r="AL239" s="39">
        <f>IF(AN239=21,L239,0)</f>
        <v>0</v>
      </c>
      <c r="AN239" s="39">
        <v>21</v>
      </c>
      <c r="AO239" s="39">
        <f>I239*0</f>
        <v>0</v>
      </c>
      <c r="AP239" s="39">
        <f>I239*(1-0)</f>
        <v>0</v>
      </c>
      <c r="AQ239" s="40" t="s">
        <v>846</v>
      </c>
      <c r="AV239" s="39">
        <f>AW239+AX239</f>
        <v>0</v>
      </c>
      <c r="AW239" s="39">
        <f>H239*AO239</f>
        <v>0</v>
      </c>
      <c r="AX239" s="39">
        <f>H239*AP239</f>
        <v>0</v>
      </c>
      <c r="AY239" s="40" t="s">
        <v>684</v>
      </c>
      <c r="AZ239" s="40" t="s">
        <v>52</v>
      </c>
      <c r="BA239" s="68" t="s">
        <v>648</v>
      </c>
      <c r="BC239" s="39">
        <f>AW239+AX239</f>
        <v>0</v>
      </c>
      <c r="BD239" s="39">
        <f>I239/(100-BE239)*100</f>
        <v>0</v>
      </c>
      <c r="BE239" s="39">
        <v>0</v>
      </c>
      <c r="BF239" s="39">
        <f>247</f>
        <v>247</v>
      </c>
      <c r="BH239" s="39">
        <f>H239*AO239</f>
        <v>0</v>
      </c>
      <c r="BI239" s="39">
        <f>H239*AP239</f>
        <v>0</v>
      </c>
      <c r="BJ239" s="39">
        <f>H239*I239</f>
        <v>0</v>
      </c>
      <c r="BK239" s="39"/>
      <c r="BL239" s="39">
        <v>728</v>
      </c>
    </row>
    <row r="240" spans="1:64" ht="15" customHeight="1">
      <c r="A240" s="37" t="s">
        <v>53</v>
      </c>
      <c r="B240" s="38" t="s">
        <v>350</v>
      </c>
      <c r="C240" s="195" t="s">
        <v>532</v>
      </c>
      <c r="D240" s="195"/>
      <c r="E240" s="195"/>
      <c r="F240" s="195"/>
      <c r="G240" s="38" t="s">
        <v>216</v>
      </c>
      <c r="H240" s="39">
        <v>1</v>
      </c>
      <c r="I240" s="39">
        <v>0</v>
      </c>
      <c r="J240" s="39">
        <f>H240*AO240</f>
        <v>0</v>
      </c>
      <c r="K240" s="39">
        <f>H240*AP240</f>
        <v>0</v>
      </c>
      <c r="L240" s="39">
        <f>H240*I240</f>
        <v>0</v>
      </c>
      <c r="M240" s="80" t="s">
        <v>576</v>
      </c>
      <c r="Z240" s="39">
        <f>IF(AQ240="5",BJ240,0)</f>
        <v>0</v>
      </c>
      <c r="AB240" s="39">
        <f>IF(AQ240="1",BH240,0)</f>
        <v>0</v>
      </c>
      <c r="AC240" s="39">
        <f>IF(AQ240="1",BI240,0)</f>
        <v>0</v>
      </c>
      <c r="AD240" s="39">
        <f>IF(AQ240="7",BH240,0)</f>
        <v>0</v>
      </c>
      <c r="AE240" s="39">
        <f>IF(AQ240="7",BI240,0)</f>
        <v>0</v>
      </c>
      <c r="AF240" s="39">
        <f>IF(AQ240="2",BH240,0)</f>
        <v>0</v>
      </c>
      <c r="AG240" s="39">
        <f>IF(AQ240="2",BI240,0)</f>
        <v>0</v>
      </c>
      <c r="AH240" s="39">
        <f>IF(AQ240="0",BJ240,0)</f>
        <v>0</v>
      </c>
      <c r="AI240" s="68" t="s">
        <v>587</v>
      </c>
      <c r="AJ240" s="39">
        <f>IF(AN240=0,L240,0)</f>
        <v>0</v>
      </c>
      <c r="AK240" s="39">
        <f>IF(AN240=15,L240,0)</f>
        <v>0</v>
      </c>
      <c r="AL240" s="39">
        <f>IF(AN240=21,L240,0)</f>
        <v>0</v>
      </c>
      <c r="AN240" s="39">
        <v>21</v>
      </c>
      <c r="AO240" s="39">
        <f>I240*1</f>
        <v>0</v>
      </c>
      <c r="AP240" s="39">
        <f>I240*(1-1)</f>
        <v>0</v>
      </c>
      <c r="AQ240" s="40" t="s">
        <v>846</v>
      </c>
      <c r="AV240" s="39">
        <f>AW240+AX240</f>
        <v>0</v>
      </c>
      <c r="AW240" s="39">
        <f>H240*AO240</f>
        <v>0</v>
      </c>
      <c r="AX240" s="39">
        <f>H240*AP240</f>
        <v>0</v>
      </c>
      <c r="AY240" s="40" t="s">
        <v>684</v>
      </c>
      <c r="AZ240" s="40" t="s">
        <v>52</v>
      </c>
      <c r="BA240" s="68" t="s">
        <v>648</v>
      </c>
      <c r="BC240" s="39">
        <f>AW240+AX240</f>
        <v>0</v>
      </c>
      <c r="BD240" s="39">
        <f>I240/(100-BE240)*100</f>
        <v>0</v>
      </c>
      <c r="BE240" s="39">
        <v>0</v>
      </c>
      <c r="BF240" s="39">
        <f>248</f>
        <v>248</v>
      </c>
      <c r="BH240" s="39">
        <f>H240*AO240</f>
        <v>0</v>
      </c>
      <c r="BI240" s="39">
        <f>H240*AP240</f>
        <v>0</v>
      </c>
      <c r="BJ240" s="39">
        <f>H240*I240</f>
        <v>0</v>
      </c>
      <c r="BK240" s="39"/>
      <c r="BL240" s="39">
        <v>728</v>
      </c>
    </row>
    <row r="241" spans="1:64" ht="15" customHeight="1">
      <c r="A241" s="76" t="s">
        <v>587</v>
      </c>
      <c r="B241" s="77" t="s">
        <v>872</v>
      </c>
      <c r="C241" s="221" t="s">
        <v>714</v>
      </c>
      <c r="D241" s="221"/>
      <c r="E241" s="221"/>
      <c r="F241" s="221"/>
      <c r="G241" s="78" t="s">
        <v>784</v>
      </c>
      <c r="H241" s="78" t="s">
        <v>784</v>
      </c>
      <c r="I241" s="78" t="s">
        <v>784</v>
      </c>
      <c r="J241" s="64">
        <f>SUM(J242:J248)</f>
        <v>0</v>
      </c>
      <c r="K241" s="64">
        <f>SUM(K242:K248)</f>
        <v>0</v>
      </c>
      <c r="L241" s="64">
        <f>SUM(L242:L248)</f>
        <v>0</v>
      </c>
      <c r="M241" s="79" t="s">
        <v>587</v>
      </c>
      <c r="AI241" s="68" t="s">
        <v>587</v>
      </c>
      <c r="AS241" s="64">
        <f>SUM(AJ242:AJ248)</f>
        <v>0</v>
      </c>
      <c r="AT241" s="64">
        <f>SUM(AK242:AK248)</f>
        <v>0</v>
      </c>
      <c r="AU241" s="64">
        <f>SUM(AL242:AL248)</f>
        <v>0</v>
      </c>
    </row>
    <row r="242" spans="1:64" ht="15" customHeight="1">
      <c r="A242" s="37" t="s">
        <v>131</v>
      </c>
      <c r="B242" s="38" t="s">
        <v>745</v>
      </c>
      <c r="C242" s="195" t="s">
        <v>796</v>
      </c>
      <c r="D242" s="195"/>
      <c r="E242" s="195"/>
      <c r="F242" s="195"/>
      <c r="G242" s="38" t="s">
        <v>701</v>
      </c>
      <c r="H242" s="39">
        <v>18</v>
      </c>
      <c r="I242" s="39">
        <v>0</v>
      </c>
      <c r="J242" s="39">
        <f t="shared" ref="J242:J248" si="178">H242*AO242</f>
        <v>0</v>
      </c>
      <c r="K242" s="39">
        <f t="shared" ref="K242:K248" si="179">H242*AP242</f>
        <v>0</v>
      </c>
      <c r="L242" s="39">
        <f t="shared" ref="L242:L248" si="180">H242*I242</f>
        <v>0</v>
      </c>
      <c r="M242" s="80" t="s">
        <v>576</v>
      </c>
      <c r="Z242" s="39">
        <f t="shared" ref="Z242:Z248" si="181">IF(AQ242="5",BJ242,0)</f>
        <v>0</v>
      </c>
      <c r="AB242" s="39">
        <f t="shared" ref="AB242:AB248" si="182">IF(AQ242="1",BH242,0)</f>
        <v>0</v>
      </c>
      <c r="AC242" s="39">
        <f t="shared" ref="AC242:AC248" si="183">IF(AQ242="1",BI242,0)</f>
        <v>0</v>
      </c>
      <c r="AD242" s="39">
        <f t="shared" ref="AD242:AD248" si="184">IF(AQ242="7",BH242,0)</f>
        <v>0</v>
      </c>
      <c r="AE242" s="39">
        <f t="shared" ref="AE242:AE248" si="185">IF(AQ242="7",BI242,0)</f>
        <v>0</v>
      </c>
      <c r="AF242" s="39">
        <f t="shared" ref="AF242:AF248" si="186">IF(AQ242="2",BH242,0)</f>
        <v>0</v>
      </c>
      <c r="AG242" s="39">
        <f t="shared" ref="AG242:AG248" si="187">IF(AQ242="2",BI242,0)</f>
        <v>0</v>
      </c>
      <c r="AH242" s="39">
        <f t="shared" ref="AH242:AH248" si="188">IF(AQ242="0",BJ242,0)</f>
        <v>0</v>
      </c>
      <c r="AI242" s="68" t="s">
        <v>587</v>
      </c>
      <c r="AJ242" s="39">
        <f t="shared" ref="AJ242:AJ248" si="189">IF(AN242=0,L242,0)</f>
        <v>0</v>
      </c>
      <c r="AK242" s="39">
        <f t="shared" ref="AK242:AK248" si="190">IF(AN242=15,L242,0)</f>
        <v>0</v>
      </c>
      <c r="AL242" s="39">
        <f t="shared" ref="AL242:AL248" si="191">IF(AN242=21,L242,0)</f>
        <v>0</v>
      </c>
      <c r="AN242" s="39">
        <v>21</v>
      </c>
      <c r="AO242" s="39">
        <f>I242*0.451167785234899</f>
        <v>0</v>
      </c>
      <c r="AP242" s="39">
        <f>I242*(1-0.451167785234899)</f>
        <v>0</v>
      </c>
      <c r="AQ242" s="40" t="s">
        <v>846</v>
      </c>
      <c r="AV242" s="39">
        <f t="shared" ref="AV242:AV248" si="192">AW242+AX242</f>
        <v>0</v>
      </c>
      <c r="AW242" s="39">
        <f t="shared" ref="AW242:AW248" si="193">H242*AO242</f>
        <v>0</v>
      </c>
      <c r="AX242" s="39">
        <f t="shared" ref="AX242:AX248" si="194">H242*AP242</f>
        <v>0</v>
      </c>
      <c r="AY242" s="40" t="s">
        <v>80</v>
      </c>
      <c r="AZ242" s="40" t="s">
        <v>767</v>
      </c>
      <c r="BA242" s="68" t="s">
        <v>648</v>
      </c>
      <c r="BC242" s="39">
        <f t="shared" ref="BC242:BC248" si="195">AW242+AX242</f>
        <v>0</v>
      </c>
      <c r="BD242" s="39">
        <f t="shared" ref="BD242:BD248" si="196">I242/(100-BE242)*100</f>
        <v>0</v>
      </c>
      <c r="BE242" s="39">
        <v>0</v>
      </c>
      <c r="BF242" s="39">
        <f>250</f>
        <v>250</v>
      </c>
      <c r="BH242" s="39">
        <f t="shared" ref="BH242:BH248" si="197">H242*AO242</f>
        <v>0</v>
      </c>
      <c r="BI242" s="39">
        <f t="shared" ref="BI242:BI248" si="198">H242*AP242</f>
        <v>0</v>
      </c>
      <c r="BJ242" s="39">
        <f t="shared" ref="BJ242:BJ248" si="199">H242*I242</f>
        <v>0</v>
      </c>
      <c r="BK242" s="39"/>
      <c r="BL242" s="39">
        <v>733</v>
      </c>
    </row>
    <row r="243" spans="1:64" ht="15" customHeight="1">
      <c r="A243" s="37" t="s">
        <v>774</v>
      </c>
      <c r="B243" s="38" t="s">
        <v>403</v>
      </c>
      <c r="C243" s="195" t="s">
        <v>820</v>
      </c>
      <c r="D243" s="195"/>
      <c r="E243" s="195"/>
      <c r="F243" s="195"/>
      <c r="G243" s="38" t="s">
        <v>216</v>
      </c>
      <c r="H243" s="39">
        <v>2</v>
      </c>
      <c r="I243" s="39">
        <v>0</v>
      </c>
      <c r="J243" s="39">
        <f t="shared" si="178"/>
        <v>0</v>
      </c>
      <c r="K243" s="39">
        <f t="shared" si="179"/>
        <v>0</v>
      </c>
      <c r="L243" s="39">
        <f t="shared" si="180"/>
        <v>0</v>
      </c>
      <c r="M243" s="80" t="s">
        <v>576</v>
      </c>
      <c r="Z243" s="39">
        <f t="shared" si="181"/>
        <v>0</v>
      </c>
      <c r="AB243" s="39">
        <f t="shared" si="182"/>
        <v>0</v>
      </c>
      <c r="AC243" s="39">
        <f t="shared" si="183"/>
        <v>0</v>
      </c>
      <c r="AD243" s="39">
        <f t="shared" si="184"/>
        <v>0</v>
      </c>
      <c r="AE243" s="39">
        <f t="shared" si="185"/>
        <v>0</v>
      </c>
      <c r="AF243" s="39">
        <f t="shared" si="186"/>
        <v>0</v>
      </c>
      <c r="AG243" s="39">
        <f t="shared" si="187"/>
        <v>0</v>
      </c>
      <c r="AH243" s="39">
        <f t="shared" si="188"/>
        <v>0</v>
      </c>
      <c r="AI243" s="68" t="s">
        <v>587</v>
      </c>
      <c r="AJ243" s="39">
        <f t="shared" si="189"/>
        <v>0</v>
      </c>
      <c r="AK243" s="39">
        <f t="shared" si="190"/>
        <v>0</v>
      </c>
      <c r="AL243" s="39">
        <f t="shared" si="191"/>
        <v>0</v>
      </c>
      <c r="AN243" s="39">
        <v>21</v>
      </c>
      <c r="AO243" s="39">
        <f>I243*0</f>
        <v>0</v>
      </c>
      <c r="AP243" s="39">
        <f>I243*(1-0)</f>
        <v>0</v>
      </c>
      <c r="AQ243" s="40" t="s">
        <v>846</v>
      </c>
      <c r="AV243" s="39">
        <f t="shared" si="192"/>
        <v>0</v>
      </c>
      <c r="AW243" s="39">
        <f t="shared" si="193"/>
        <v>0</v>
      </c>
      <c r="AX243" s="39">
        <f t="shared" si="194"/>
        <v>0</v>
      </c>
      <c r="AY243" s="40" t="s">
        <v>80</v>
      </c>
      <c r="AZ243" s="40" t="s">
        <v>767</v>
      </c>
      <c r="BA243" s="68" t="s">
        <v>648</v>
      </c>
      <c r="BC243" s="39">
        <f t="shared" si="195"/>
        <v>0</v>
      </c>
      <c r="BD243" s="39">
        <f t="shared" si="196"/>
        <v>0</v>
      </c>
      <c r="BE243" s="39">
        <v>0</v>
      </c>
      <c r="BF243" s="39">
        <f>251</f>
        <v>251</v>
      </c>
      <c r="BH243" s="39">
        <f t="shared" si="197"/>
        <v>0</v>
      </c>
      <c r="BI243" s="39">
        <f t="shared" si="198"/>
        <v>0</v>
      </c>
      <c r="BJ243" s="39">
        <f t="shared" si="199"/>
        <v>0</v>
      </c>
      <c r="BK243" s="39"/>
      <c r="BL243" s="39">
        <v>733</v>
      </c>
    </row>
    <row r="244" spans="1:64" ht="15" customHeight="1">
      <c r="A244" s="37" t="s">
        <v>522</v>
      </c>
      <c r="B244" s="38" t="s">
        <v>389</v>
      </c>
      <c r="C244" s="195" t="s">
        <v>472</v>
      </c>
      <c r="D244" s="195"/>
      <c r="E244" s="195"/>
      <c r="F244" s="195"/>
      <c r="G244" s="38" t="s">
        <v>701</v>
      </c>
      <c r="H244" s="39">
        <v>18</v>
      </c>
      <c r="I244" s="39">
        <v>0</v>
      </c>
      <c r="J244" s="39">
        <f t="shared" si="178"/>
        <v>0</v>
      </c>
      <c r="K244" s="39">
        <f t="shared" si="179"/>
        <v>0</v>
      </c>
      <c r="L244" s="39">
        <f t="shared" si="180"/>
        <v>0</v>
      </c>
      <c r="M244" s="80" t="s">
        <v>576</v>
      </c>
      <c r="Z244" s="39">
        <f t="shared" si="181"/>
        <v>0</v>
      </c>
      <c r="AB244" s="39">
        <f t="shared" si="182"/>
        <v>0</v>
      </c>
      <c r="AC244" s="39">
        <f t="shared" si="183"/>
        <v>0</v>
      </c>
      <c r="AD244" s="39">
        <f t="shared" si="184"/>
        <v>0</v>
      </c>
      <c r="AE244" s="39">
        <f t="shared" si="185"/>
        <v>0</v>
      </c>
      <c r="AF244" s="39">
        <f t="shared" si="186"/>
        <v>0</v>
      </c>
      <c r="AG244" s="39">
        <f t="shared" si="187"/>
        <v>0</v>
      </c>
      <c r="AH244" s="39">
        <f t="shared" si="188"/>
        <v>0</v>
      </c>
      <c r="AI244" s="68" t="s">
        <v>587</v>
      </c>
      <c r="AJ244" s="39">
        <f t="shared" si="189"/>
        <v>0</v>
      </c>
      <c r="AK244" s="39">
        <f t="shared" si="190"/>
        <v>0</v>
      </c>
      <c r="AL244" s="39">
        <f t="shared" si="191"/>
        <v>0</v>
      </c>
      <c r="AN244" s="39">
        <v>21</v>
      </c>
      <c r="AO244" s="39">
        <f>I244*0.0227973568281938</f>
        <v>0</v>
      </c>
      <c r="AP244" s="39">
        <f>I244*(1-0.0227973568281938)</f>
        <v>0</v>
      </c>
      <c r="AQ244" s="40" t="s">
        <v>846</v>
      </c>
      <c r="AV244" s="39">
        <f t="shared" si="192"/>
        <v>0</v>
      </c>
      <c r="AW244" s="39">
        <f t="shared" si="193"/>
        <v>0</v>
      </c>
      <c r="AX244" s="39">
        <f t="shared" si="194"/>
        <v>0</v>
      </c>
      <c r="AY244" s="40" t="s">
        <v>80</v>
      </c>
      <c r="AZ244" s="40" t="s">
        <v>767</v>
      </c>
      <c r="BA244" s="68" t="s">
        <v>648</v>
      </c>
      <c r="BC244" s="39">
        <f t="shared" si="195"/>
        <v>0</v>
      </c>
      <c r="BD244" s="39">
        <f t="shared" si="196"/>
        <v>0</v>
      </c>
      <c r="BE244" s="39">
        <v>0</v>
      </c>
      <c r="BF244" s="39">
        <f>252</f>
        <v>252</v>
      </c>
      <c r="BH244" s="39">
        <f t="shared" si="197"/>
        <v>0</v>
      </c>
      <c r="BI244" s="39">
        <f t="shared" si="198"/>
        <v>0</v>
      </c>
      <c r="BJ244" s="39">
        <f t="shared" si="199"/>
        <v>0</v>
      </c>
      <c r="BK244" s="39"/>
      <c r="BL244" s="39">
        <v>733</v>
      </c>
    </row>
    <row r="245" spans="1:64" ht="15" customHeight="1">
      <c r="A245" s="37" t="s">
        <v>240</v>
      </c>
      <c r="B245" s="38" t="s">
        <v>22</v>
      </c>
      <c r="C245" s="195" t="s">
        <v>394</v>
      </c>
      <c r="D245" s="195"/>
      <c r="E245" s="195"/>
      <c r="F245" s="195"/>
      <c r="G245" s="38" t="s">
        <v>701</v>
      </c>
      <c r="H245" s="39">
        <v>18</v>
      </c>
      <c r="I245" s="39">
        <v>0</v>
      </c>
      <c r="J245" s="39">
        <f t="shared" si="178"/>
        <v>0</v>
      </c>
      <c r="K245" s="39">
        <f t="shared" si="179"/>
        <v>0</v>
      </c>
      <c r="L245" s="39">
        <f t="shared" si="180"/>
        <v>0</v>
      </c>
      <c r="M245" s="80" t="s">
        <v>576</v>
      </c>
      <c r="Z245" s="39">
        <f t="shared" si="181"/>
        <v>0</v>
      </c>
      <c r="AB245" s="39">
        <f t="shared" si="182"/>
        <v>0</v>
      </c>
      <c r="AC245" s="39">
        <f t="shared" si="183"/>
        <v>0</v>
      </c>
      <c r="AD245" s="39">
        <f t="shared" si="184"/>
        <v>0</v>
      </c>
      <c r="AE245" s="39">
        <f t="shared" si="185"/>
        <v>0</v>
      </c>
      <c r="AF245" s="39">
        <f t="shared" si="186"/>
        <v>0</v>
      </c>
      <c r="AG245" s="39">
        <f t="shared" si="187"/>
        <v>0</v>
      </c>
      <c r="AH245" s="39">
        <f t="shared" si="188"/>
        <v>0</v>
      </c>
      <c r="AI245" s="68" t="s">
        <v>587</v>
      </c>
      <c r="AJ245" s="39">
        <f t="shared" si="189"/>
        <v>0</v>
      </c>
      <c r="AK245" s="39">
        <f t="shared" si="190"/>
        <v>0</v>
      </c>
      <c r="AL245" s="39">
        <f t="shared" si="191"/>
        <v>0</v>
      </c>
      <c r="AN245" s="39">
        <v>21</v>
      </c>
      <c r="AO245" s="39">
        <f>I245*0</f>
        <v>0</v>
      </c>
      <c r="AP245" s="39">
        <f>I245*(1-0)</f>
        <v>0</v>
      </c>
      <c r="AQ245" s="40" t="s">
        <v>846</v>
      </c>
      <c r="AV245" s="39">
        <f t="shared" si="192"/>
        <v>0</v>
      </c>
      <c r="AW245" s="39">
        <f t="shared" si="193"/>
        <v>0</v>
      </c>
      <c r="AX245" s="39">
        <f t="shared" si="194"/>
        <v>0</v>
      </c>
      <c r="AY245" s="40" t="s">
        <v>80</v>
      </c>
      <c r="AZ245" s="40" t="s">
        <v>767</v>
      </c>
      <c r="BA245" s="68" t="s">
        <v>648</v>
      </c>
      <c r="BC245" s="39">
        <f t="shared" si="195"/>
        <v>0</v>
      </c>
      <c r="BD245" s="39">
        <f t="shared" si="196"/>
        <v>0</v>
      </c>
      <c r="BE245" s="39">
        <v>0</v>
      </c>
      <c r="BF245" s="39">
        <f>253</f>
        <v>253</v>
      </c>
      <c r="BH245" s="39">
        <f t="shared" si="197"/>
        <v>0</v>
      </c>
      <c r="BI245" s="39">
        <f t="shared" si="198"/>
        <v>0</v>
      </c>
      <c r="BJ245" s="39">
        <f t="shared" si="199"/>
        <v>0</v>
      </c>
      <c r="BK245" s="39"/>
      <c r="BL245" s="39">
        <v>733</v>
      </c>
    </row>
    <row r="246" spans="1:64" ht="15" customHeight="1">
      <c r="A246" s="37" t="s">
        <v>691</v>
      </c>
      <c r="B246" s="38" t="s">
        <v>312</v>
      </c>
      <c r="C246" s="195" t="s">
        <v>88</v>
      </c>
      <c r="D246" s="195"/>
      <c r="E246" s="195"/>
      <c r="F246" s="195"/>
      <c r="G246" s="38" t="s">
        <v>701</v>
      </c>
      <c r="H246" s="39">
        <v>18</v>
      </c>
      <c r="I246" s="39">
        <v>0</v>
      </c>
      <c r="J246" s="39">
        <f t="shared" si="178"/>
        <v>0</v>
      </c>
      <c r="K246" s="39">
        <f t="shared" si="179"/>
        <v>0</v>
      </c>
      <c r="L246" s="39">
        <f t="shared" si="180"/>
        <v>0</v>
      </c>
      <c r="M246" s="80" t="s">
        <v>576</v>
      </c>
      <c r="Z246" s="39">
        <f t="shared" si="181"/>
        <v>0</v>
      </c>
      <c r="AB246" s="39">
        <f t="shared" si="182"/>
        <v>0</v>
      </c>
      <c r="AC246" s="39">
        <f t="shared" si="183"/>
        <v>0</v>
      </c>
      <c r="AD246" s="39">
        <f t="shared" si="184"/>
        <v>0</v>
      </c>
      <c r="AE246" s="39">
        <f t="shared" si="185"/>
        <v>0</v>
      </c>
      <c r="AF246" s="39">
        <f t="shared" si="186"/>
        <v>0</v>
      </c>
      <c r="AG246" s="39">
        <f t="shared" si="187"/>
        <v>0</v>
      </c>
      <c r="AH246" s="39">
        <f t="shared" si="188"/>
        <v>0</v>
      </c>
      <c r="AI246" s="68" t="s">
        <v>587</v>
      </c>
      <c r="AJ246" s="39">
        <f t="shared" si="189"/>
        <v>0</v>
      </c>
      <c r="AK246" s="39">
        <f t="shared" si="190"/>
        <v>0</v>
      </c>
      <c r="AL246" s="39">
        <f t="shared" si="191"/>
        <v>0</v>
      </c>
      <c r="AN246" s="39">
        <v>21</v>
      </c>
      <c r="AO246" s="39">
        <f>I246*1</f>
        <v>0</v>
      </c>
      <c r="AP246" s="39">
        <f>I246*(1-1)</f>
        <v>0</v>
      </c>
      <c r="AQ246" s="40" t="s">
        <v>846</v>
      </c>
      <c r="AV246" s="39">
        <f t="shared" si="192"/>
        <v>0</v>
      </c>
      <c r="AW246" s="39">
        <f t="shared" si="193"/>
        <v>0</v>
      </c>
      <c r="AX246" s="39">
        <f t="shared" si="194"/>
        <v>0</v>
      </c>
      <c r="AY246" s="40" t="s">
        <v>80</v>
      </c>
      <c r="AZ246" s="40" t="s">
        <v>767</v>
      </c>
      <c r="BA246" s="68" t="s">
        <v>648</v>
      </c>
      <c r="BC246" s="39">
        <f t="shared" si="195"/>
        <v>0</v>
      </c>
      <c r="BD246" s="39">
        <f t="shared" si="196"/>
        <v>0</v>
      </c>
      <c r="BE246" s="39">
        <v>0</v>
      </c>
      <c r="BF246" s="39">
        <f>254</f>
        <v>254</v>
      </c>
      <c r="BH246" s="39">
        <f t="shared" si="197"/>
        <v>0</v>
      </c>
      <c r="BI246" s="39">
        <f t="shared" si="198"/>
        <v>0</v>
      </c>
      <c r="BJ246" s="39">
        <f t="shared" si="199"/>
        <v>0</v>
      </c>
      <c r="BK246" s="39"/>
      <c r="BL246" s="39">
        <v>733</v>
      </c>
    </row>
    <row r="247" spans="1:64" ht="15" customHeight="1">
      <c r="A247" s="37" t="s">
        <v>881</v>
      </c>
      <c r="B247" s="38" t="s">
        <v>403</v>
      </c>
      <c r="C247" s="195" t="s">
        <v>820</v>
      </c>
      <c r="D247" s="195"/>
      <c r="E247" s="195"/>
      <c r="F247" s="195"/>
      <c r="G247" s="38" t="s">
        <v>216</v>
      </c>
      <c r="H247" s="39">
        <v>2</v>
      </c>
      <c r="I247" s="39">
        <v>0</v>
      </c>
      <c r="J247" s="39">
        <f t="shared" si="178"/>
        <v>0</v>
      </c>
      <c r="K247" s="39">
        <f t="shared" si="179"/>
        <v>0</v>
      </c>
      <c r="L247" s="39">
        <f t="shared" si="180"/>
        <v>0</v>
      </c>
      <c r="M247" s="80" t="s">
        <v>576</v>
      </c>
      <c r="Z247" s="39">
        <f t="shared" si="181"/>
        <v>0</v>
      </c>
      <c r="AB247" s="39">
        <f t="shared" si="182"/>
        <v>0</v>
      </c>
      <c r="AC247" s="39">
        <f t="shared" si="183"/>
        <v>0</v>
      </c>
      <c r="AD247" s="39">
        <f t="shared" si="184"/>
        <v>0</v>
      </c>
      <c r="AE247" s="39">
        <f t="shared" si="185"/>
        <v>0</v>
      </c>
      <c r="AF247" s="39">
        <f t="shared" si="186"/>
        <v>0</v>
      </c>
      <c r="AG247" s="39">
        <f t="shared" si="187"/>
        <v>0</v>
      </c>
      <c r="AH247" s="39">
        <f t="shared" si="188"/>
        <v>0</v>
      </c>
      <c r="AI247" s="68" t="s">
        <v>587</v>
      </c>
      <c r="AJ247" s="39">
        <f t="shared" si="189"/>
        <v>0</v>
      </c>
      <c r="AK247" s="39">
        <f t="shared" si="190"/>
        <v>0</v>
      </c>
      <c r="AL247" s="39">
        <f t="shared" si="191"/>
        <v>0</v>
      </c>
      <c r="AN247" s="39">
        <v>21</v>
      </c>
      <c r="AO247" s="39">
        <f>I247*0</f>
        <v>0</v>
      </c>
      <c r="AP247" s="39">
        <f>I247*(1-0)</f>
        <v>0</v>
      </c>
      <c r="AQ247" s="40" t="s">
        <v>846</v>
      </c>
      <c r="AV247" s="39">
        <f t="shared" si="192"/>
        <v>0</v>
      </c>
      <c r="AW247" s="39">
        <f t="shared" si="193"/>
        <v>0</v>
      </c>
      <c r="AX247" s="39">
        <f t="shared" si="194"/>
        <v>0</v>
      </c>
      <c r="AY247" s="40" t="s">
        <v>80</v>
      </c>
      <c r="AZ247" s="40" t="s">
        <v>767</v>
      </c>
      <c r="BA247" s="68" t="s">
        <v>648</v>
      </c>
      <c r="BC247" s="39">
        <f t="shared" si="195"/>
        <v>0</v>
      </c>
      <c r="BD247" s="39">
        <f t="shared" si="196"/>
        <v>0</v>
      </c>
      <c r="BE247" s="39">
        <v>0</v>
      </c>
      <c r="BF247" s="39">
        <f>255</f>
        <v>255</v>
      </c>
      <c r="BH247" s="39">
        <f t="shared" si="197"/>
        <v>0</v>
      </c>
      <c r="BI247" s="39">
        <f t="shared" si="198"/>
        <v>0</v>
      </c>
      <c r="BJ247" s="39">
        <f t="shared" si="199"/>
        <v>0</v>
      </c>
      <c r="BK247" s="39"/>
      <c r="BL247" s="39">
        <v>733</v>
      </c>
    </row>
    <row r="248" spans="1:64" ht="15" customHeight="1">
      <c r="A248" s="37" t="s">
        <v>212</v>
      </c>
      <c r="B248" s="38" t="s">
        <v>764</v>
      </c>
      <c r="C248" s="195" t="s">
        <v>735</v>
      </c>
      <c r="D248" s="195"/>
      <c r="E248" s="195"/>
      <c r="F248" s="195"/>
      <c r="G248" s="38" t="s">
        <v>401</v>
      </c>
      <c r="H248" s="39">
        <v>0.124</v>
      </c>
      <c r="I248" s="39">
        <v>0</v>
      </c>
      <c r="J248" s="39">
        <f t="shared" si="178"/>
        <v>0</v>
      </c>
      <c r="K248" s="39">
        <f t="shared" si="179"/>
        <v>0</v>
      </c>
      <c r="L248" s="39">
        <f t="shared" si="180"/>
        <v>0</v>
      </c>
      <c r="M248" s="80" t="s">
        <v>576</v>
      </c>
      <c r="Z248" s="39">
        <f t="shared" si="181"/>
        <v>0</v>
      </c>
      <c r="AB248" s="39">
        <f t="shared" si="182"/>
        <v>0</v>
      </c>
      <c r="AC248" s="39">
        <f t="shared" si="183"/>
        <v>0</v>
      </c>
      <c r="AD248" s="39">
        <f t="shared" si="184"/>
        <v>0</v>
      </c>
      <c r="AE248" s="39">
        <f t="shared" si="185"/>
        <v>0</v>
      </c>
      <c r="AF248" s="39">
        <f t="shared" si="186"/>
        <v>0</v>
      </c>
      <c r="AG248" s="39">
        <f t="shared" si="187"/>
        <v>0</v>
      </c>
      <c r="AH248" s="39">
        <f t="shared" si="188"/>
        <v>0</v>
      </c>
      <c r="AI248" s="68" t="s">
        <v>587</v>
      </c>
      <c r="AJ248" s="39">
        <f t="shared" si="189"/>
        <v>0</v>
      </c>
      <c r="AK248" s="39">
        <f t="shared" si="190"/>
        <v>0</v>
      </c>
      <c r="AL248" s="39">
        <f t="shared" si="191"/>
        <v>0</v>
      </c>
      <c r="AN248" s="39">
        <v>21</v>
      </c>
      <c r="AO248" s="39">
        <f>I248*0</f>
        <v>0</v>
      </c>
      <c r="AP248" s="39">
        <f>I248*(1-0)</f>
        <v>0</v>
      </c>
      <c r="AQ248" s="40" t="s">
        <v>454</v>
      </c>
      <c r="AV248" s="39">
        <f t="shared" si="192"/>
        <v>0</v>
      </c>
      <c r="AW248" s="39">
        <f t="shared" si="193"/>
        <v>0</v>
      </c>
      <c r="AX248" s="39">
        <f t="shared" si="194"/>
        <v>0</v>
      </c>
      <c r="AY248" s="40" t="s">
        <v>80</v>
      </c>
      <c r="AZ248" s="40" t="s">
        <v>767</v>
      </c>
      <c r="BA248" s="68" t="s">
        <v>648</v>
      </c>
      <c r="BC248" s="39">
        <f t="shared" si="195"/>
        <v>0</v>
      </c>
      <c r="BD248" s="39">
        <f t="shared" si="196"/>
        <v>0</v>
      </c>
      <c r="BE248" s="39">
        <v>0</v>
      </c>
      <c r="BF248" s="39">
        <f>256</f>
        <v>256</v>
      </c>
      <c r="BH248" s="39">
        <f t="shared" si="197"/>
        <v>0</v>
      </c>
      <c r="BI248" s="39">
        <f t="shared" si="198"/>
        <v>0</v>
      </c>
      <c r="BJ248" s="39">
        <f t="shared" si="199"/>
        <v>0</v>
      </c>
      <c r="BK248" s="39"/>
      <c r="BL248" s="39">
        <v>733</v>
      </c>
    </row>
    <row r="249" spans="1:64" ht="15" customHeight="1">
      <c r="A249" s="76" t="s">
        <v>587</v>
      </c>
      <c r="B249" s="77" t="s">
        <v>875</v>
      </c>
      <c r="C249" s="221" t="s">
        <v>633</v>
      </c>
      <c r="D249" s="221"/>
      <c r="E249" s="221"/>
      <c r="F249" s="221"/>
      <c r="G249" s="78" t="s">
        <v>784</v>
      </c>
      <c r="H249" s="78" t="s">
        <v>784</v>
      </c>
      <c r="I249" s="78" t="s">
        <v>784</v>
      </c>
      <c r="J249" s="64">
        <f>SUM(J250:J257)</f>
        <v>0</v>
      </c>
      <c r="K249" s="64">
        <f>SUM(K250:K257)</f>
        <v>0</v>
      </c>
      <c r="L249" s="64">
        <f>SUM(L250:L257)</f>
        <v>0</v>
      </c>
      <c r="M249" s="79" t="s">
        <v>587</v>
      </c>
      <c r="AI249" s="68" t="s">
        <v>587</v>
      </c>
      <c r="AS249" s="64">
        <f>SUM(AJ250:AJ257)</f>
        <v>0</v>
      </c>
      <c r="AT249" s="64">
        <f>SUM(AK250:AK257)</f>
        <v>0</v>
      </c>
      <c r="AU249" s="64">
        <f>SUM(AL250:AL257)</f>
        <v>0</v>
      </c>
    </row>
    <row r="250" spans="1:64" ht="15" customHeight="1">
      <c r="A250" s="37" t="s">
        <v>902</v>
      </c>
      <c r="B250" s="38" t="s">
        <v>592</v>
      </c>
      <c r="C250" s="195" t="s">
        <v>653</v>
      </c>
      <c r="D250" s="195"/>
      <c r="E250" s="195"/>
      <c r="F250" s="195"/>
      <c r="G250" s="38" t="s">
        <v>831</v>
      </c>
      <c r="H250" s="39">
        <v>6.14</v>
      </c>
      <c r="I250" s="39">
        <v>0</v>
      </c>
      <c r="J250" s="39">
        <f t="shared" ref="J250:J257" si="200">H250*AO250</f>
        <v>0</v>
      </c>
      <c r="K250" s="39">
        <f t="shared" ref="K250:K257" si="201">H250*AP250</f>
        <v>0</v>
      </c>
      <c r="L250" s="39">
        <f t="shared" ref="L250:L257" si="202">H250*I250</f>
        <v>0</v>
      </c>
      <c r="M250" s="80" t="s">
        <v>576</v>
      </c>
      <c r="Z250" s="39">
        <f t="shared" ref="Z250:Z257" si="203">IF(AQ250="5",BJ250,0)</f>
        <v>0</v>
      </c>
      <c r="AB250" s="39">
        <f t="shared" ref="AB250:AB257" si="204">IF(AQ250="1",BH250,0)</f>
        <v>0</v>
      </c>
      <c r="AC250" s="39">
        <f t="shared" ref="AC250:AC257" si="205">IF(AQ250="1",BI250,0)</f>
        <v>0</v>
      </c>
      <c r="AD250" s="39">
        <f t="shared" ref="AD250:AD257" si="206">IF(AQ250="7",BH250,0)</f>
        <v>0</v>
      </c>
      <c r="AE250" s="39">
        <f t="shared" ref="AE250:AE257" si="207">IF(AQ250="7",BI250,0)</f>
        <v>0</v>
      </c>
      <c r="AF250" s="39">
        <f t="shared" ref="AF250:AF257" si="208">IF(AQ250="2",BH250,0)</f>
        <v>0</v>
      </c>
      <c r="AG250" s="39">
        <f t="shared" ref="AG250:AG257" si="209">IF(AQ250="2",BI250,0)</f>
        <v>0</v>
      </c>
      <c r="AH250" s="39">
        <f t="shared" ref="AH250:AH257" si="210">IF(AQ250="0",BJ250,0)</f>
        <v>0</v>
      </c>
      <c r="AI250" s="68" t="s">
        <v>587</v>
      </c>
      <c r="AJ250" s="39">
        <f t="shared" ref="AJ250:AJ257" si="211">IF(AN250=0,L250,0)</f>
        <v>0</v>
      </c>
      <c r="AK250" s="39">
        <f t="shared" ref="AK250:AK257" si="212">IF(AN250=15,L250,0)</f>
        <v>0</v>
      </c>
      <c r="AL250" s="39">
        <f t="shared" ref="AL250:AL257" si="213">IF(AN250=21,L250,0)</f>
        <v>0</v>
      </c>
      <c r="AN250" s="39">
        <v>21</v>
      </c>
      <c r="AO250" s="39">
        <f>I250*0</f>
        <v>0</v>
      </c>
      <c r="AP250" s="39">
        <f>I250*(1-0)</f>
        <v>0</v>
      </c>
      <c r="AQ250" s="40" t="s">
        <v>846</v>
      </c>
      <c r="AV250" s="39">
        <f t="shared" ref="AV250:AV257" si="214">AW250+AX250</f>
        <v>0</v>
      </c>
      <c r="AW250" s="39">
        <f t="shared" ref="AW250:AW257" si="215">H250*AO250</f>
        <v>0</v>
      </c>
      <c r="AX250" s="39">
        <f t="shared" ref="AX250:AX257" si="216">H250*AP250</f>
        <v>0</v>
      </c>
      <c r="AY250" s="40" t="s">
        <v>483</v>
      </c>
      <c r="AZ250" s="40" t="s">
        <v>767</v>
      </c>
      <c r="BA250" s="68" t="s">
        <v>648</v>
      </c>
      <c r="BC250" s="39">
        <f t="shared" ref="BC250:BC257" si="217">AW250+AX250</f>
        <v>0</v>
      </c>
      <c r="BD250" s="39">
        <f t="shared" ref="BD250:BD257" si="218">I250/(100-BE250)*100</f>
        <v>0</v>
      </c>
      <c r="BE250" s="39">
        <v>0</v>
      </c>
      <c r="BF250" s="39">
        <f>258</f>
        <v>258</v>
      </c>
      <c r="BH250" s="39">
        <f t="shared" ref="BH250:BH257" si="219">H250*AO250</f>
        <v>0</v>
      </c>
      <c r="BI250" s="39">
        <f t="shared" ref="BI250:BI257" si="220">H250*AP250</f>
        <v>0</v>
      </c>
      <c r="BJ250" s="39">
        <f t="shared" ref="BJ250:BJ257" si="221">H250*I250</f>
        <v>0</v>
      </c>
      <c r="BK250" s="39"/>
      <c r="BL250" s="39">
        <v>735</v>
      </c>
    </row>
    <row r="251" spans="1:64" ht="15" customHeight="1">
      <c r="A251" s="37" t="s">
        <v>278</v>
      </c>
      <c r="B251" s="38" t="s">
        <v>608</v>
      </c>
      <c r="C251" s="195" t="s">
        <v>516</v>
      </c>
      <c r="D251" s="195"/>
      <c r="E251" s="195"/>
      <c r="F251" s="195"/>
      <c r="G251" s="38" t="s">
        <v>831</v>
      </c>
      <c r="H251" s="39">
        <v>6.14</v>
      </c>
      <c r="I251" s="39">
        <v>0</v>
      </c>
      <c r="J251" s="39">
        <f t="shared" si="200"/>
        <v>0</v>
      </c>
      <c r="K251" s="39">
        <f t="shared" si="201"/>
        <v>0</v>
      </c>
      <c r="L251" s="39">
        <f t="shared" si="202"/>
        <v>0</v>
      </c>
      <c r="M251" s="80" t="s">
        <v>576</v>
      </c>
      <c r="Z251" s="39">
        <f t="shared" si="203"/>
        <v>0</v>
      </c>
      <c r="AB251" s="39">
        <f t="shared" si="204"/>
        <v>0</v>
      </c>
      <c r="AC251" s="39">
        <f t="shared" si="205"/>
        <v>0</v>
      </c>
      <c r="AD251" s="39">
        <f t="shared" si="206"/>
        <v>0</v>
      </c>
      <c r="AE251" s="39">
        <f t="shared" si="207"/>
        <v>0</v>
      </c>
      <c r="AF251" s="39">
        <f t="shared" si="208"/>
        <v>0</v>
      </c>
      <c r="AG251" s="39">
        <f t="shared" si="209"/>
        <v>0</v>
      </c>
      <c r="AH251" s="39">
        <f t="shared" si="210"/>
        <v>0</v>
      </c>
      <c r="AI251" s="68" t="s">
        <v>587</v>
      </c>
      <c r="AJ251" s="39">
        <f t="shared" si="211"/>
        <v>0</v>
      </c>
      <c r="AK251" s="39">
        <f t="shared" si="212"/>
        <v>0</v>
      </c>
      <c r="AL251" s="39">
        <f t="shared" si="213"/>
        <v>0</v>
      </c>
      <c r="AN251" s="39">
        <v>21</v>
      </c>
      <c r="AO251" s="39">
        <f>I251*0.390342157138834</f>
        <v>0</v>
      </c>
      <c r="AP251" s="39">
        <f>I251*(1-0.390342157138834)</f>
        <v>0</v>
      </c>
      <c r="AQ251" s="40" t="s">
        <v>846</v>
      </c>
      <c r="AV251" s="39">
        <f t="shared" si="214"/>
        <v>0</v>
      </c>
      <c r="AW251" s="39">
        <f t="shared" si="215"/>
        <v>0</v>
      </c>
      <c r="AX251" s="39">
        <f t="shared" si="216"/>
        <v>0</v>
      </c>
      <c r="AY251" s="40" t="s">
        <v>483</v>
      </c>
      <c r="AZ251" s="40" t="s">
        <v>767</v>
      </c>
      <c r="BA251" s="68" t="s">
        <v>648</v>
      </c>
      <c r="BC251" s="39">
        <f t="shared" si="217"/>
        <v>0</v>
      </c>
      <c r="BD251" s="39">
        <f t="shared" si="218"/>
        <v>0</v>
      </c>
      <c r="BE251" s="39">
        <v>0</v>
      </c>
      <c r="BF251" s="39">
        <f>259</f>
        <v>259</v>
      </c>
      <c r="BH251" s="39">
        <f t="shared" si="219"/>
        <v>0</v>
      </c>
      <c r="BI251" s="39">
        <f t="shared" si="220"/>
        <v>0</v>
      </c>
      <c r="BJ251" s="39">
        <f t="shared" si="221"/>
        <v>0</v>
      </c>
      <c r="BK251" s="39"/>
      <c r="BL251" s="39">
        <v>735</v>
      </c>
    </row>
    <row r="252" spans="1:64" ht="15" customHeight="1">
      <c r="A252" s="37" t="s">
        <v>685</v>
      </c>
      <c r="B252" s="38" t="s">
        <v>321</v>
      </c>
      <c r="C252" s="195" t="s">
        <v>428</v>
      </c>
      <c r="D252" s="195"/>
      <c r="E252" s="195"/>
      <c r="F252" s="195"/>
      <c r="G252" s="38" t="s">
        <v>831</v>
      </c>
      <c r="H252" s="39">
        <v>46.87</v>
      </c>
      <c r="I252" s="39">
        <v>0</v>
      </c>
      <c r="J252" s="39">
        <f t="shared" si="200"/>
        <v>0</v>
      </c>
      <c r="K252" s="39">
        <f t="shared" si="201"/>
        <v>0</v>
      </c>
      <c r="L252" s="39">
        <f t="shared" si="202"/>
        <v>0</v>
      </c>
      <c r="M252" s="80" t="s">
        <v>576</v>
      </c>
      <c r="Z252" s="39">
        <f t="shared" si="203"/>
        <v>0</v>
      </c>
      <c r="AB252" s="39">
        <f t="shared" si="204"/>
        <v>0</v>
      </c>
      <c r="AC252" s="39">
        <f t="shared" si="205"/>
        <v>0</v>
      </c>
      <c r="AD252" s="39">
        <f t="shared" si="206"/>
        <v>0</v>
      </c>
      <c r="AE252" s="39">
        <f t="shared" si="207"/>
        <v>0</v>
      </c>
      <c r="AF252" s="39">
        <f t="shared" si="208"/>
        <v>0</v>
      </c>
      <c r="AG252" s="39">
        <f t="shared" si="209"/>
        <v>0</v>
      </c>
      <c r="AH252" s="39">
        <f t="shared" si="210"/>
        <v>0</v>
      </c>
      <c r="AI252" s="68" t="s">
        <v>587</v>
      </c>
      <c r="AJ252" s="39">
        <f t="shared" si="211"/>
        <v>0</v>
      </c>
      <c r="AK252" s="39">
        <f t="shared" si="212"/>
        <v>0</v>
      </c>
      <c r="AL252" s="39">
        <f t="shared" si="213"/>
        <v>0</v>
      </c>
      <c r="AN252" s="39">
        <v>21</v>
      </c>
      <c r="AO252" s="39">
        <f>I252*0</f>
        <v>0</v>
      </c>
      <c r="AP252" s="39">
        <f>I252*(1-0)</f>
        <v>0</v>
      </c>
      <c r="AQ252" s="40" t="s">
        <v>846</v>
      </c>
      <c r="AV252" s="39">
        <f t="shared" si="214"/>
        <v>0</v>
      </c>
      <c r="AW252" s="39">
        <f t="shared" si="215"/>
        <v>0</v>
      </c>
      <c r="AX252" s="39">
        <f t="shared" si="216"/>
        <v>0</v>
      </c>
      <c r="AY252" s="40" t="s">
        <v>483</v>
      </c>
      <c r="AZ252" s="40" t="s">
        <v>767</v>
      </c>
      <c r="BA252" s="68" t="s">
        <v>648</v>
      </c>
      <c r="BC252" s="39">
        <f t="shared" si="217"/>
        <v>0</v>
      </c>
      <c r="BD252" s="39">
        <f t="shared" si="218"/>
        <v>0</v>
      </c>
      <c r="BE252" s="39">
        <v>0</v>
      </c>
      <c r="BF252" s="39">
        <f>260</f>
        <v>260</v>
      </c>
      <c r="BH252" s="39">
        <f t="shared" si="219"/>
        <v>0</v>
      </c>
      <c r="BI252" s="39">
        <f t="shared" si="220"/>
        <v>0</v>
      </c>
      <c r="BJ252" s="39">
        <f t="shared" si="221"/>
        <v>0</v>
      </c>
      <c r="BK252" s="39"/>
      <c r="BL252" s="39">
        <v>735</v>
      </c>
    </row>
    <row r="253" spans="1:64" ht="15" customHeight="1">
      <c r="A253" s="37" t="s">
        <v>451</v>
      </c>
      <c r="B253" s="38" t="s">
        <v>219</v>
      </c>
      <c r="C253" s="195" t="s">
        <v>152</v>
      </c>
      <c r="D253" s="195"/>
      <c r="E253" s="195"/>
      <c r="F253" s="195"/>
      <c r="G253" s="38" t="s">
        <v>216</v>
      </c>
      <c r="H253" s="39">
        <v>1</v>
      </c>
      <c r="I253" s="39">
        <v>0</v>
      </c>
      <c r="J253" s="39">
        <f t="shared" si="200"/>
        <v>0</v>
      </c>
      <c r="K253" s="39">
        <f t="shared" si="201"/>
        <v>0</v>
      </c>
      <c r="L253" s="39">
        <f t="shared" si="202"/>
        <v>0</v>
      </c>
      <c r="M253" s="80" t="s">
        <v>576</v>
      </c>
      <c r="Z253" s="39">
        <f t="shared" si="203"/>
        <v>0</v>
      </c>
      <c r="AB253" s="39">
        <f t="shared" si="204"/>
        <v>0</v>
      </c>
      <c r="AC253" s="39">
        <f t="shared" si="205"/>
        <v>0</v>
      </c>
      <c r="AD253" s="39">
        <f t="shared" si="206"/>
        <v>0</v>
      </c>
      <c r="AE253" s="39">
        <f t="shared" si="207"/>
        <v>0</v>
      </c>
      <c r="AF253" s="39">
        <f t="shared" si="208"/>
        <v>0</v>
      </c>
      <c r="AG253" s="39">
        <f t="shared" si="209"/>
        <v>0</v>
      </c>
      <c r="AH253" s="39">
        <f t="shared" si="210"/>
        <v>0</v>
      </c>
      <c r="AI253" s="68" t="s">
        <v>587</v>
      </c>
      <c r="AJ253" s="39">
        <f t="shared" si="211"/>
        <v>0</v>
      </c>
      <c r="AK253" s="39">
        <f t="shared" si="212"/>
        <v>0</v>
      </c>
      <c r="AL253" s="39">
        <f t="shared" si="213"/>
        <v>0</v>
      </c>
      <c r="AN253" s="39">
        <v>21</v>
      </c>
      <c r="AO253" s="39">
        <f>I253*0.127467532467532</f>
        <v>0</v>
      </c>
      <c r="AP253" s="39">
        <f>I253*(1-0.127467532467532)</f>
        <v>0</v>
      </c>
      <c r="AQ253" s="40" t="s">
        <v>846</v>
      </c>
      <c r="AV253" s="39">
        <f t="shared" si="214"/>
        <v>0</v>
      </c>
      <c r="AW253" s="39">
        <f t="shared" si="215"/>
        <v>0</v>
      </c>
      <c r="AX253" s="39">
        <f t="shared" si="216"/>
        <v>0</v>
      </c>
      <c r="AY253" s="40" t="s">
        <v>483</v>
      </c>
      <c r="AZ253" s="40" t="s">
        <v>767</v>
      </c>
      <c r="BA253" s="68" t="s">
        <v>648</v>
      </c>
      <c r="BC253" s="39">
        <f t="shared" si="217"/>
        <v>0</v>
      </c>
      <c r="BD253" s="39">
        <f t="shared" si="218"/>
        <v>0</v>
      </c>
      <c r="BE253" s="39">
        <v>0</v>
      </c>
      <c r="BF253" s="39">
        <f>261</f>
        <v>261</v>
      </c>
      <c r="BH253" s="39">
        <f t="shared" si="219"/>
        <v>0</v>
      </c>
      <c r="BI253" s="39">
        <f t="shared" si="220"/>
        <v>0</v>
      </c>
      <c r="BJ253" s="39">
        <f t="shared" si="221"/>
        <v>0</v>
      </c>
      <c r="BK253" s="39"/>
      <c r="BL253" s="39">
        <v>735</v>
      </c>
    </row>
    <row r="254" spans="1:64" ht="15" customHeight="1">
      <c r="A254" s="37" t="s">
        <v>14</v>
      </c>
      <c r="B254" s="38" t="s">
        <v>109</v>
      </c>
      <c r="C254" s="195" t="s">
        <v>364</v>
      </c>
      <c r="D254" s="195"/>
      <c r="E254" s="195"/>
      <c r="F254" s="195"/>
      <c r="G254" s="38" t="s">
        <v>649</v>
      </c>
      <c r="H254" s="39">
        <v>1</v>
      </c>
      <c r="I254" s="39">
        <v>0</v>
      </c>
      <c r="J254" s="39">
        <f t="shared" si="200"/>
        <v>0</v>
      </c>
      <c r="K254" s="39">
        <f t="shared" si="201"/>
        <v>0</v>
      </c>
      <c r="L254" s="39">
        <f t="shared" si="202"/>
        <v>0</v>
      </c>
      <c r="M254" s="80" t="s">
        <v>587</v>
      </c>
      <c r="Z254" s="39">
        <f t="shared" si="203"/>
        <v>0</v>
      </c>
      <c r="AB254" s="39">
        <f t="shared" si="204"/>
        <v>0</v>
      </c>
      <c r="AC254" s="39">
        <f t="shared" si="205"/>
        <v>0</v>
      </c>
      <c r="AD254" s="39">
        <f t="shared" si="206"/>
        <v>0</v>
      </c>
      <c r="AE254" s="39">
        <f t="shared" si="207"/>
        <v>0</v>
      </c>
      <c r="AF254" s="39">
        <f t="shared" si="208"/>
        <v>0</v>
      </c>
      <c r="AG254" s="39">
        <f t="shared" si="209"/>
        <v>0</v>
      </c>
      <c r="AH254" s="39">
        <f t="shared" si="210"/>
        <v>0</v>
      </c>
      <c r="AI254" s="68" t="s">
        <v>587</v>
      </c>
      <c r="AJ254" s="39">
        <f t="shared" si="211"/>
        <v>0</v>
      </c>
      <c r="AK254" s="39">
        <f t="shared" si="212"/>
        <v>0</v>
      </c>
      <c r="AL254" s="39">
        <f t="shared" si="213"/>
        <v>0</v>
      </c>
      <c r="AN254" s="39">
        <v>21</v>
      </c>
      <c r="AO254" s="39">
        <f>I254*0</f>
        <v>0</v>
      </c>
      <c r="AP254" s="39">
        <f>I254*(1-0)</f>
        <v>0</v>
      </c>
      <c r="AQ254" s="40" t="s">
        <v>846</v>
      </c>
      <c r="AV254" s="39">
        <f t="shared" si="214"/>
        <v>0</v>
      </c>
      <c r="AW254" s="39">
        <f t="shared" si="215"/>
        <v>0</v>
      </c>
      <c r="AX254" s="39">
        <f t="shared" si="216"/>
        <v>0</v>
      </c>
      <c r="AY254" s="40" t="s">
        <v>483</v>
      </c>
      <c r="AZ254" s="40" t="s">
        <v>767</v>
      </c>
      <c r="BA254" s="68" t="s">
        <v>648</v>
      </c>
      <c r="BC254" s="39">
        <f t="shared" si="217"/>
        <v>0</v>
      </c>
      <c r="BD254" s="39">
        <f t="shared" si="218"/>
        <v>0</v>
      </c>
      <c r="BE254" s="39">
        <v>0</v>
      </c>
      <c r="BF254" s="39">
        <f>262</f>
        <v>262</v>
      </c>
      <c r="BH254" s="39">
        <f t="shared" si="219"/>
        <v>0</v>
      </c>
      <c r="BI254" s="39">
        <f t="shared" si="220"/>
        <v>0</v>
      </c>
      <c r="BJ254" s="39">
        <f t="shared" si="221"/>
        <v>0</v>
      </c>
      <c r="BK254" s="39"/>
      <c r="BL254" s="39">
        <v>735</v>
      </c>
    </row>
    <row r="255" spans="1:64" ht="15" customHeight="1">
      <c r="A255" s="37" t="s">
        <v>636</v>
      </c>
      <c r="B255" s="38" t="s">
        <v>482</v>
      </c>
      <c r="C255" s="195" t="s">
        <v>844</v>
      </c>
      <c r="D255" s="195"/>
      <c r="E255" s="195"/>
      <c r="F255" s="195"/>
      <c r="G255" s="38" t="s">
        <v>591</v>
      </c>
      <c r="H255" s="39">
        <v>1</v>
      </c>
      <c r="I255" s="39">
        <v>0</v>
      </c>
      <c r="J255" s="39">
        <f t="shared" si="200"/>
        <v>0</v>
      </c>
      <c r="K255" s="39">
        <f t="shared" si="201"/>
        <v>0</v>
      </c>
      <c r="L255" s="39">
        <f t="shared" si="202"/>
        <v>0</v>
      </c>
      <c r="M255" s="80" t="s">
        <v>576</v>
      </c>
      <c r="Z255" s="39">
        <f t="shared" si="203"/>
        <v>0</v>
      </c>
      <c r="AB255" s="39">
        <f t="shared" si="204"/>
        <v>0</v>
      </c>
      <c r="AC255" s="39">
        <f t="shared" si="205"/>
        <v>0</v>
      </c>
      <c r="AD255" s="39">
        <f t="shared" si="206"/>
        <v>0</v>
      </c>
      <c r="AE255" s="39">
        <f t="shared" si="207"/>
        <v>0</v>
      </c>
      <c r="AF255" s="39">
        <f t="shared" si="208"/>
        <v>0</v>
      </c>
      <c r="AG255" s="39">
        <f t="shared" si="209"/>
        <v>0</v>
      </c>
      <c r="AH255" s="39">
        <f t="shared" si="210"/>
        <v>0</v>
      </c>
      <c r="AI255" s="68" t="s">
        <v>587</v>
      </c>
      <c r="AJ255" s="39">
        <f t="shared" si="211"/>
        <v>0</v>
      </c>
      <c r="AK255" s="39">
        <f t="shared" si="212"/>
        <v>0</v>
      </c>
      <c r="AL255" s="39">
        <f t="shared" si="213"/>
        <v>0</v>
      </c>
      <c r="AN255" s="39">
        <v>21</v>
      </c>
      <c r="AO255" s="39">
        <f>I255*0.135160256410256</f>
        <v>0</v>
      </c>
      <c r="AP255" s="39">
        <f>I255*(1-0.135160256410256)</f>
        <v>0</v>
      </c>
      <c r="AQ255" s="40" t="s">
        <v>846</v>
      </c>
      <c r="AV255" s="39">
        <f t="shared" si="214"/>
        <v>0</v>
      </c>
      <c r="AW255" s="39">
        <f t="shared" si="215"/>
        <v>0</v>
      </c>
      <c r="AX255" s="39">
        <f t="shared" si="216"/>
        <v>0</v>
      </c>
      <c r="AY255" s="40" t="s">
        <v>483</v>
      </c>
      <c r="AZ255" s="40" t="s">
        <v>767</v>
      </c>
      <c r="BA255" s="68" t="s">
        <v>648</v>
      </c>
      <c r="BC255" s="39">
        <f t="shared" si="217"/>
        <v>0</v>
      </c>
      <c r="BD255" s="39">
        <f t="shared" si="218"/>
        <v>0</v>
      </c>
      <c r="BE255" s="39">
        <v>0</v>
      </c>
      <c r="BF255" s="39">
        <f>263</f>
        <v>263</v>
      </c>
      <c r="BH255" s="39">
        <f t="shared" si="219"/>
        <v>0</v>
      </c>
      <c r="BI255" s="39">
        <f t="shared" si="220"/>
        <v>0</v>
      </c>
      <c r="BJ255" s="39">
        <f t="shared" si="221"/>
        <v>0</v>
      </c>
      <c r="BK255" s="39"/>
      <c r="BL255" s="39">
        <v>735</v>
      </c>
    </row>
    <row r="256" spans="1:64" ht="15" customHeight="1">
      <c r="A256" s="37" t="s">
        <v>904</v>
      </c>
      <c r="B256" s="38" t="s">
        <v>222</v>
      </c>
      <c r="C256" s="195" t="s">
        <v>186</v>
      </c>
      <c r="D256" s="195"/>
      <c r="E256" s="195"/>
      <c r="F256" s="195"/>
      <c r="G256" s="38" t="s">
        <v>831</v>
      </c>
      <c r="H256" s="39">
        <v>46.87</v>
      </c>
      <c r="I256" s="39">
        <v>0</v>
      </c>
      <c r="J256" s="39">
        <f t="shared" si="200"/>
        <v>0</v>
      </c>
      <c r="K256" s="39">
        <f t="shared" si="201"/>
        <v>0</v>
      </c>
      <c r="L256" s="39">
        <f t="shared" si="202"/>
        <v>0</v>
      </c>
      <c r="M256" s="80" t="s">
        <v>576</v>
      </c>
      <c r="Z256" s="39">
        <f t="shared" si="203"/>
        <v>0</v>
      </c>
      <c r="AB256" s="39">
        <f t="shared" si="204"/>
        <v>0</v>
      </c>
      <c r="AC256" s="39">
        <f t="shared" si="205"/>
        <v>0</v>
      </c>
      <c r="AD256" s="39">
        <f t="shared" si="206"/>
        <v>0</v>
      </c>
      <c r="AE256" s="39">
        <f t="shared" si="207"/>
        <v>0</v>
      </c>
      <c r="AF256" s="39">
        <f t="shared" si="208"/>
        <v>0</v>
      </c>
      <c r="AG256" s="39">
        <f t="shared" si="209"/>
        <v>0</v>
      </c>
      <c r="AH256" s="39">
        <f t="shared" si="210"/>
        <v>0</v>
      </c>
      <c r="AI256" s="68" t="s">
        <v>587</v>
      </c>
      <c r="AJ256" s="39">
        <f t="shared" si="211"/>
        <v>0</v>
      </c>
      <c r="AK256" s="39">
        <f t="shared" si="212"/>
        <v>0</v>
      </c>
      <c r="AL256" s="39">
        <f t="shared" si="213"/>
        <v>0</v>
      </c>
      <c r="AN256" s="39">
        <v>21</v>
      </c>
      <c r="AO256" s="39">
        <f>I256*0.0144097753795959</f>
        <v>0</v>
      </c>
      <c r="AP256" s="39">
        <f>I256*(1-0.0144097753795959)</f>
        <v>0</v>
      </c>
      <c r="AQ256" s="40" t="s">
        <v>846</v>
      </c>
      <c r="AV256" s="39">
        <f t="shared" si="214"/>
        <v>0</v>
      </c>
      <c r="AW256" s="39">
        <f t="shared" si="215"/>
        <v>0</v>
      </c>
      <c r="AX256" s="39">
        <f t="shared" si="216"/>
        <v>0</v>
      </c>
      <c r="AY256" s="40" t="s">
        <v>483</v>
      </c>
      <c r="AZ256" s="40" t="s">
        <v>767</v>
      </c>
      <c r="BA256" s="68" t="s">
        <v>648</v>
      </c>
      <c r="BC256" s="39">
        <f t="shared" si="217"/>
        <v>0</v>
      </c>
      <c r="BD256" s="39">
        <f t="shared" si="218"/>
        <v>0</v>
      </c>
      <c r="BE256" s="39">
        <v>0</v>
      </c>
      <c r="BF256" s="39">
        <f>264</f>
        <v>264</v>
      </c>
      <c r="BH256" s="39">
        <f t="shared" si="219"/>
        <v>0</v>
      </c>
      <c r="BI256" s="39">
        <f t="shared" si="220"/>
        <v>0</v>
      </c>
      <c r="BJ256" s="39">
        <f t="shared" si="221"/>
        <v>0</v>
      </c>
      <c r="BK256" s="39"/>
      <c r="BL256" s="39">
        <v>735</v>
      </c>
    </row>
    <row r="257" spans="1:64" ht="15" customHeight="1">
      <c r="A257" s="37" t="s">
        <v>835</v>
      </c>
      <c r="B257" s="38" t="s">
        <v>625</v>
      </c>
      <c r="C257" s="195" t="s">
        <v>621</v>
      </c>
      <c r="D257" s="195"/>
      <c r="E257" s="195"/>
      <c r="F257" s="195"/>
      <c r="G257" s="38" t="s">
        <v>401</v>
      </c>
      <c r="H257" s="39">
        <v>0.27100000000000002</v>
      </c>
      <c r="I257" s="39">
        <v>0</v>
      </c>
      <c r="J257" s="39">
        <f t="shared" si="200"/>
        <v>0</v>
      </c>
      <c r="K257" s="39">
        <f t="shared" si="201"/>
        <v>0</v>
      </c>
      <c r="L257" s="39">
        <f t="shared" si="202"/>
        <v>0</v>
      </c>
      <c r="M257" s="80" t="s">
        <v>576</v>
      </c>
      <c r="Z257" s="39">
        <f t="shared" si="203"/>
        <v>0</v>
      </c>
      <c r="AB257" s="39">
        <f t="shared" si="204"/>
        <v>0</v>
      </c>
      <c r="AC257" s="39">
        <f t="shared" si="205"/>
        <v>0</v>
      </c>
      <c r="AD257" s="39">
        <f t="shared" si="206"/>
        <v>0</v>
      </c>
      <c r="AE257" s="39">
        <f t="shared" si="207"/>
        <v>0</v>
      </c>
      <c r="AF257" s="39">
        <f t="shared" si="208"/>
        <v>0</v>
      </c>
      <c r="AG257" s="39">
        <f t="shared" si="209"/>
        <v>0</v>
      </c>
      <c r="AH257" s="39">
        <f t="shared" si="210"/>
        <v>0</v>
      </c>
      <c r="AI257" s="68" t="s">
        <v>587</v>
      </c>
      <c r="AJ257" s="39">
        <f t="shared" si="211"/>
        <v>0</v>
      </c>
      <c r="AK257" s="39">
        <f t="shared" si="212"/>
        <v>0</v>
      </c>
      <c r="AL257" s="39">
        <f t="shared" si="213"/>
        <v>0</v>
      </c>
      <c r="AN257" s="39">
        <v>21</v>
      </c>
      <c r="AO257" s="39">
        <f>I257*0</f>
        <v>0</v>
      </c>
      <c r="AP257" s="39">
        <f>I257*(1-0)</f>
        <v>0</v>
      </c>
      <c r="AQ257" s="40" t="s">
        <v>454</v>
      </c>
      <c r="AV257" s="39">
        <f t="shared" si="214"/>
        <v>0</v>
      </c>
      <c r="AW257" s="39">
        <f t="shared" si="215"/>
        <v>0</v>
      </c>
      <c r="AX257" s="39">
        <f t="shared" si="216"/>
        <v>0</v>
      </c>
      <c r="AY257" s="40" t="s">
        <v>483</v>
      </c>
      <c r="AZ257" s="40" t="s">
        <v>767</v>
      </c>
      <c r="BA257" s="68" t="s">
        <v>648</v>
      </c>
      <c r="BC257" s="39">
        <f t="shared" si="217"/>
        <v>0</v>
      </c>
      <c r="BD257" s="39">
        <f t="shared" si="218"/>
        <v>0</v>
      </c>
      <c r="BE257" s="39">
        <v>0</v>
      </c>
      <c r="BF257" s="39">
        <f>265</f>
        <v>265</v>
      </c>
      <c r="BH257" s="39">
        <f t="shared" si="219"/>
        <v>0</v>
      </c>
      <c r="BI257" s="39">
        <f t="shared" si="220"/>
        <v>0</v>
      </c>
      <c r="BJ257" s="39">
        <f t="shared" si="221"/>
        <v>0</v>
      </c>
      <c r="BK257" s="39"/>
      <c r="BL257" s="39">
        <v>735</v>
      </c>
    </row>
    <row r="258" spans="1:64" ht="15" customHeight="1">
      <c r="A258" s="76" t="s">
        <v>587</v>
      </c>
      <c r="B258" s="77" t="s">
        <v>361</v>
      </c>
      <c r="C258" s="221" t="s">
        <v>409</v>
      </c>
      <c r="D258" s="221"/>
      <c r="E258" s="221"/>
      <c r="F258" s="221"/>
      <c r="G258" s="78" t="s">
        <v>784</v>
      </c>
      <c r="H258" s="78" t="s">
        <v>784</v>
      </c>
      <c r="I258" s="78" t="s">
        <v>784</v>
      </c>
      <c r="J258" s="64">
        <f>SUM(J259:J279)</f>
        <v>0</v>
      </c>
      <c r="K258" s="64">
        <f>SUM(K259:K279)</f>
        <v>0</v>
      </c>
      <c r="L258" s="64">
        <f>SUM(L259:L279)</f>
        <v>0</v>
      </c>
      <c r="M258" s="79" t="s">
        <v>587</v>
      </c>
      <c r="AI258" s="68" t="s">
        <v>587</v>
      </c>
      <c r="AS258" s="64">
        <f>SUM(AJ259:AJ279)</f>
        <v>0</v>
      </c>
      <c r="AT258" s="64">
        <f>SUM(AK259:AK279)</f>
        <v>0</v>
      </c>
      <c r="AU258" s="64">
        <f>SUM(AL259:AL279)</f>
        <v>0</v>
      </c>
    </row>
    <row r="259" spans="1:64" ht="15" customHeight="1">
      <c r="A259" s="37" t="s">
        <v>647</v>
      </c>
      <c r="B259" s="38" t="s">
        <v>145</v>
      </c>
      <c r="C259" s="195" t="s">
        <v>473</v>
      </c>
      <c r="D259" s="195"/>
      <c r="E259" s="195"/>
      <c r="F259" s="195"/>
      <c r="G259" s="38" t="s">
        <v>216</v>
      </c>
      <c r="H259" s="39">
        <v>1</v>
      </c>
      <c r="I259" s="39">
        <v>0</v>
      </c>
      <c r="J259" s="39">
        <f t="shared" ref="J259:J279" si="222">H259*AO259</f>
        <v>0</v>
      </c>
      <c r="K259" s="39">
        <f t="shared" ref="K259:K279" si="223">H259*AP259</f>
        <v>0</v>
      </c>
      <c r="L259" s="39">
        <f t="shared" ref="L259:L279" si="224">H259*I259</f>
        <v>0</v>
      </c>
      <c r="M259" s="80" t="s">
        <v>576</v>
      </c>
      <c r="Z259" s="39">
        <f t="shared" ref="Z259:Z279" si="225">IF(AQ259="5",BJ259,0)</f>
        <v>0</v>
      </c>
      <c r="AB259" s="39">
        <f t="shared" ref="AB259:AB279" si="226">IF(AQ259="1",BH259,0)</f>
        <v>0</v>
      </c>
      <c r="AC259" s="39">
        <f t="shared" ref="AC259:AC279" si="227">IF(AQ259="1",BI259,0)</f>
        <v>0</v>
      </c>
      <c r="AD259" s="39">
        <f t="shared" ref="AD259:AD279" si="228">IF(AQ259="7",BH259,0)</f>
        <v>0</v>
      </c>
      <c r="AE259" s="39">
        <f t="shared" ref="AE259:AE279" si="229">IF(AQ259="7",BI259,0)</f>
        <v>0</v>
      </c>
      <c r="AF259" s="39">
        <f t="shared" ref="AF259:AF279" si="230">IF(AQ259="2",BH259,0)</f>
        <v>0</v>
      </c>
      <c r="AG259" s="39">
        <f t="shared" ref="AG259:AG279" si="231">IF(AQ259="2",BI259,0)</f>
        <v>0</v>
      </c>
      <c r="AH259" s="39">
        <f t="shared" ref="AH259:AH279" si="232">IF(AQ259="0",BJ259,0)</f>
        <v>0</v>
      </c>
      <c r="AI259" s="68" t="s">
        <v>587</v>
      </c>
      <c r="AJ259" s="39">
        <f t="shared" ref="AJ259:AJ279" si="233">IF(AN259=0,L259,0)</f>
        <v>0</v>
      </c>
      <c r="AK259" s="39">
        <f t="shared" ref="AK259:AK279" si="234">IF(AN259=15,L259,0)</f>
        <v>0</v>
      </c>
      <c r="AL259" s="39">
        <f t="shared" ref="AL259:AL279" si="235">IF(AN259=21,L259,0)</f>
        <v>0</v>
      </c>
      <c r="AN259" s="39">
        <v>21</v>
      </c>
      <c r="AO259" s="39">
        <f>I259*0</f>
        <v>0</v>
      </c>
      <c r="AP259" s="39">
        <f>I259*(1-0)</f>
        <v>0</v>
      </c>
      <c r="AQ259" s="40" t="s">
        <v>846</v>
      </c>
      <c r="AV259" s="39">
        <f t="shared" ref="AV259:AV279" si="236">AW259+AX259</f>
        <v>0</v>
      </c>
      <c r="AW259" s="39">
        <f t="shared" ref="AW259:AW279" si="237">H259*AO259</f>
        <v>0</v>
      </c>
      <c r="AX259" s="39">
        <f t="shared" ref="AX259:AX279" si="238">H259*AP259</f>
        <v>0</v>
      </c>
      <c r="AY259" s="40" t="s">
        <v>89</v>
      </c>
      <c r="AZ259" s="40" t="s">
        <v>459</v>
      </c>
      <c r="BA259" s="68" t="s">
        <v>648</v>
      </c>
      <c r="BC259" s="39">
        <f t="shared" ref="BC259:BC279" si="239">AW259+AX259</f>
        <v>0</v>
      </c>
      <c r="BD259" s="39">
        <f t="shared" ref="BD259:BD279" si="240">I259/(100-BE259)*100</f>
        <v>0</v>
      </c>
      <c r="BE259" s="39">
        <v>0</v>
      </c>
      <c r="BF259" s="39">
        <f>267</f>
        <v>267</v>
      </c>
      <c r="BH259" s="39">
        <f t="shared" ref="BH259:BH279" si="241">H259*AO259</f>
        <v>0</v>
      </c>
      <c r="BI259" s="39">
        <f t="shared" ref="BI259:BI279" si="242">H259*AP259</f>
        <v>0</v>
      </c>
      <c r="BJ259" s="39">
        <f t="shared" ref="BJ259:BJ279" si="243">H259*I259</f>
        <v>0</v>
      </c>
      <c r="BK259" s="39"/>
      <c r="BL259" s="39">
        <v>766</v>
      </c>
    </row>
    <row r="260" spans="1:64" ht="15" customHeight="1">
      <c r="A260" s="37" t="s">
        <v>535</v>
      </c>
      <c r="B260" s="38" t="s">
        <v>604</v>
      </c>
      <c r="C260" s="195" t="s">
        <v>470</v>
      </c>
      <c r="D260" s="195"/>
      <c r="E260" s="195"/>
      <c r="F260" s="195"/>
      <c r="G260" s="38" t="s">
        <v>216</v>
      </c>
      <c r="H260" s="39">
        <v>1</v>
      </c>
      <c r="I260" s="39">
        <v>0</v>
      </c>
      <c r="J260" s="39">
        <f t="shared" si="222"/>
        <v>0</v>
      </c>
      <c r="K260" s="39">
        <f t="shared" si="223"/>
        <v>0</v>
      </c>
      <c r="L260" s="39">
        <f t="shared" si="224"/>
        <v>0</v>
      </c>
      <c r="M260" s="80" t="s">
        <v>576</v>
      </c>
      <c r="Z260" s="39">
        <f t="shared" si="225"/>
        <v>0</v>
      </c>
      <c r="AB260" s="39">
        <f t="shared" si="226"/>
        <v>0</v>
      </c>
      <c r="AC260" s="39">
        <f t="shared" si="227"/>
        <v>0</v>
      </c>
      <c r="AD260" s="39">
        <f t="shared" si="228"/>
        <v>0</v>
      </c>
      <c r="AE260" s="39">
        <f t="shared" si="229"/>
        <v>0</v>
      </c>
      <c r="AF260" s="39">
        <f t="shared" si="230"/>
        <v>0</v>
      </c>
      <c r="AG260" s="39">
        <f t="shared" si="231"/>
        <v>0</v>
      </c>
      <c r="AH260" s="39">
        <f t="shared" si="232"/>
        <v>0</v>
      </c>
      <c r="AI260" s="68" t="s">
        <v>587</v>
      </c>
      <c r="AJ260" s="39">
        <f t="shared" si="233"/>
        <v>0</v>
      </c>
      <c r="AK260" s="39">
        <f t="shared" si="234"/>
        <v>0</v>
      </c>
      <c r="AL260" s="39">
        <f t="shared" si="235"/>
        <v>0</v>
      </c>
      <c r="AN260" s="39">
        <v>21</v>
      </c>
      <c r="AO260" s="39">
        <f>I260*1</f>
        <v>0</v>
      </c>
      <c r="AP260" s="39">
        <f>I260*(1-1)</f>
        <v>0</v>
      </c>
      <c r="AQ260" s="40" t="s">
        <v>846</v>
      </c>
      <c r="AV260" s="39">
        <f t="shared" si="236"/>
        <v>0</v>
      </c>
      <c r="AW260" s="39">
        <f t="shared" si="237"/>
        <v>0</v>
      </c>
      <c r="AX260" s="39">
        <f t="shared" si="238"/>
        <v>0</v>
      </c>
      <c r="AY260" s="40" t="s">
        <v>89</v>
      </c>
      <c r="AZ260" s="40" t="s">
        <v>459</v>
      </c>
      <c r="BA260" s="68" t="s">
        <v>648</v>
      </c>
      <c r="BC260" s="39">
        <f t="shared" si="239"/>
        <v>0</v>
      </c>
      <c r="BD260" s="39">
        <f t="shared" si="240"/>
        <v>0</v>
      </c>
      <c r="BE260" s="39">
        <v>0</v>
      </c>
      <c r="BF260" s="39">
        <f>268</f>
        <v>268</v>
      </c>
      <c r="BH260" s="39">
        <f t="shared" si="241"/>
        <v>0</v>
      </c>
      <c r="BI260" s="39">
        <f t="shared" si="242"/>
        <v>0</v>
      </c>
      <c r="BJ260" s="39">
        <f t="shared" si="243"/>
        <v>0</v>
      </c>
      <c r="BK260" s="39"/>
      <c r="BL260" s="39">
        <v>766</v>
      </c>
    </row>
    <row r="261" spans="1:64" ht="15" customHeight="1">
      <c r="A261" s="37" t="s">
        <v>75</v>
      </c>
      <c r="B261" s="38" t="s">
        <v>668</v>
      </c>
      <c r="C261" s="195" t="s">
        <v>234</v>
      </c>
      <c r="D261" s="195"/>
      <c r="E261" s="195"/>
      <c r="F261" s="195"/>
      <c r="G261" s="38" t="s">
        <v>216</v>
      </c>
      <c r="H261" s="39">
        <v>1</v>
      </c>
      <c r="I261" s="39">
        <v>0</v>
      </c>
      <c r="J261" s="39">
        <f t="shared" si="222"/>
        <v>0</v>
      </c>
      <c r="K261" s="39">
        <f t="shared" si="223"/>
        <v>0</v>
      </c>
      <c r="L261" s="39">
        <f t="shared" si="224"/>
        <v>0</v>
      </c>
      <c r="M261" s="80" t="s">
        <v>576</v>
      </c>
      <c r="Z261" s="39">
        <f t="shared" si="225"/>
        <v>0</v>
      </c>
      <c r="AB261" s="39">
        <f t="shared" si="226"/>
        <v>0</v>
      </c>
      <c r="AC261" s="39">
        <f t="shared" si="227"/>
        <v>0</v>
      </c>
      <c r="AD261" s="39">
        <f t="shared" si="228"/>
        <v>0</v>
      </c>
      <c r="AE261" s="39">
        <f t="shared" si="229"/>
        <v>0</v>
      </c>
      <c r="AF261" s="39">
        <f t="shared" si="230"/>
        <v>0</v>
      </c>
      <c r="AG261" s="39">
        <f t="shared" si="231"/>
        <v>0</v>
      </c>
      <c r="AH261" s="39">
        <f t="shared" si="232"/>
        <v>0</v>
      </c>
      <c r="AI261" s="68" t="s">
        <v>587</v>
      </c>
      <c r="AJ261" s="39">
        <f t="shared" si="233"/>
        <v>0</v>
      </c>
      <c r="AK261" s="39">
        <f t="shared" si="234"/>
        <v>0</v>
      </c>
      <c r="AL261" s="39">
        <f t="shared" si="235"/>
        <v>0</v>
      </c>
      <c r="AN261" s="39">
        <v>21</v>
      </c>
      <c r="AO261" s="39">
        <f>I261*0</f>
        <v>0</v>
      </c>
      <c r="AP261" s="39">
        <f>I261*(1-0)</f>
        <v>0</v>
      </c>
      <c r="AQ261" s="40" t="s">
        <v>846</v>
      </c>
      <c r="AV261" s="39">
        <f t="shared" si="236"/>
        <v>0</v>
      </c>
      <c r="AW261" s="39">
        <f t="shared" si="237"/>
        <v>0</v>
      </c>
      <c r="AX261" s="39">
        <f t="shared" si="238"/>
        <v>0</v>
      </c>
      <c r="AY261" s="40" t="s">
        <v>89</v>
      </c>
      <c r="AZ261" s="40" t="s">
        <v>459</v>
      </c>
      <c r="BA261" s="68" t="s">
        <v>648</v>
      </c>
      <c r="BC261" s="39">
        <f t="shared" si="239"/>
        <v>0</v>
      </c>
      <c r="BD261" s="39">
        <f t="shared" si="240"/>
        <v>0</v>
      </c>
      <c r="BE261" s="39">
        <v>0</v>
      </c>
      <c r="BF261" s="39">
        <f>269</f>
        <v>269</v>
      </c>
      <c r="BH261" s="39">
        <f t="shared" si="241"/>
        <v>0</v>
      </c>
      <c r="BI261" s="39">
        <f t="shared" si="242"/>
        <v>0</v>
      </c>
      <c r="BJ261" s="39">
        <f t="shared" si="243"/>
        <v>0</v>
      </c>
      <c r="BK261" s="39"/>
      <c r="BL261" s="39">
        <v>766</v>
      </c>
    </row>
    <row r="262" spans="1:64" ht="15" customHeight="1">
      <c r="A262" s="37" t="s">
        <v>578</v>
      </c>
      <c r="B262" s="38" t="s">
        <v>418</v>
      </c>
      <c r="C262" s="195" t="s">
        <v>663</v>
      </c>
      <c r="D262" s="195"/>
      <c r="E262" s="195"/>
      <c r="F262" s="195"/>
      <c r="G262" s="38" t="s">
        <v>216</v>
      </c>
      <c r="H262" s="39">
        <v>1</v>
      </c>
      <c r="I262" s="39">
        <v>0</v>
      </c>
      <c r="J262" s="39">
        <f t="shared" si="222"/>
        <v>0</v>
      </c>
      <c r="K262" s="39">
        <f t="shared" si="223"/>
        <v>0</v>
      </c>
      <c r="L262" s="39">
        <f t="shared" si="224"/>
        <v>0</v>
      </c>
      <c r="M262" s="80" t="s">
        <v>576</v>
      </c>
      <c r="Z262" s="39">
        <f t="shared" si="225"/>
        <v>0</v>
      </c>
      <c r="AB262" s="39">
        <f t="shared" si="226"/>
        <v>0</v>
      </c>
      <c r="AC262" s="39">
        <f t="shared" si="227"/>
        <v>0</v>
      </c>
      <c r="AD262" s="39">
        <f t="shared" si="228"/>
        <v>0</v>
      </c>
      <c r="AE262" s="39">
        <f t="shared" si="229"/>
        <v>0</v>
      </c>
      <c r="AF262" s="39">
        <f t="shared" si="230"/>
        <v>0</v>
      </c>
      <c r="AG262" s="39">
        <f t="shared" si="231"/>
        <v>0</v>
      </c>
      <c r="AH262" s="39">
        <f t="shared" si="232"/>
        <v>0</v>
      </c>
      <c r="AI262" s="68" t="s">
        <v>587</v>
      </c>
      <c r="AJ262" s="39">
        <f t="shared" si="233"/>
        <v>0</v>
      </c>
      <c r="AK262" s="39">
        <f t="shared" si="234"/>
        <v>0</v>
      </c>
      <c r="AL262" s="39">
        <f t="shared" si="235"/>
        <v>0</v>
      </c>
      <c r="AN262" s="39">
        <v>21</v>
      </c>
      <c r="AO262" s="39">
        <f>I262*1</f>
        <v>0</v>
      </c>
      <c r="AP262" s="39">
        <f>I262*(1-1)</f>
        <v>0</v>
      </c>
      <c r="AQ262" s="40" t="s">
        <v>846</v>
      </c>
      <c r="AV262" s="39">
        <f t="shared" si="236"/>
        <v>0</v>
      </c>
      <c r="AW262" s="39">
        <f t="shared" si="237"/>
        <v>0</v>
      </c>
      <c r="AX262" s="39">
        <f t="shared" si="238"/>
        <v>0</v>
      </c>
      <c r="AY262" s="40" t="s">
        <v>89</v>
      </c>
      <c r="AZ262" s="40" t="s">
        <v>459</v>
      </c>
      <c r="BA262" s="68" t="s">
        <v>648</v>
      </c>
      <c r="BC262" s="39">
        <f t="shared" si="239"/>
        <v>0</v>
      </c>
      <c r="BD262" s="39">
        <f t="shared" si="240"/>
        <v>0</v>
      </c>
      <c r="BE262" s="39">
        <v>0</v>
      </c>
      <c r="BF262" s="39">
        <f>270</f>
        <v>270</v>
      </c>
      <c r="BH262" s="39">
        <f t="shared" si="241"/>
        <v>0</v>
      </c>
      <c r="BI262" s="39">
        <f t="shared" si="242"/>
        <v>0</v>
      </c>
      <c r="BJ262" s="39">
        <f t="shared" si="243"/>
        <v>0</v>
      </c>
      <c r="BK262" s="39"/>
      <c r="BL262" s="39">
        <v>766</v>
      </c>
    </row>
    <row r="263" spans="1:64" ht="15" customHeight="1">
      <c r="A263" s="37" t="s">
        <v>651</v>
      </c>
      <c r="B263" s="38" t="s">
        <v>821</v>
      </c>
      <c r="C263" s="195" t="s">
        <v>755</v>
      </c>
      <c r="D263" s="195"/>
      <c r="E263" s="195"/>
      <c r="F263" s="195"/>
      <c r="G263" s="38" t="s">
        <v>216</v>
      </c>
      <c r="H263" s="39">
        <v>1</v>
      </c>
      <c r="I263" s="39">
        <v>0</v>
      </c>
      <c r="J263" s="39">
        <f t="shared" si="222"/>
        <v>0</v>
      </c>
      <c r="K263" s="39">
        <f t="shared" si="223"/>
        <v>0</v>
      </c>
      <c r="L263" s="39">
        <f t="shared" si="224"/>
        <v>0</v>
      </c>
      <c r="M263" s="80" t="s">
        <v>576</v>
      </c>
      <c r="Z263" s="39">
        <f t="shared" si="225"/>
        <v>0</v>
      </c>
      <c r="AB263" s="39">
        <f t="shared" si="226"/>
        <v>0</v>
      </c>
      <c r="AC263" s="39">
        <f t="shared" si="227"/>
        <v>0</v>
      </c>
      <c r="AD263" s="39">
        <f t="shared" si="228"/>
        <v>0</v>
      </c>
      <c r="AE263" s="39">
        <f t="shared" si="229"/>
        <v>0</v>
      </c>
      <c r="AF263" s="39">
        <f t="shared" si="230"/>
        <v>0</v>
      </c>
      <c r="AG263" s="39">
        <f t="shared" si="231"/>
        <v>0</v>
      </c>
      <c r="AH263" s="39">
        <f t="shared" si="232"/>
        <v>0</v>
      </c>
      <c r="AI263" s="68" t="s">
        <v>587</v>
      </c>
      <c r="AJ263" s="39">
        <f t="shared" si="233"/>
        <v>0</v>
      </c>
      <c r="AK263" s="39">
        <f t="shared" si="234"/>
        <v>0</v>
      </c>
      <c r="AL263" s="39">
        <f t="shared" si="235"/>
        <v>0</v>
      </c>
      <c r="AN263" s="39">
        <v>21</v>
      </c>
      <c r="AO263" s="39">
        <f>I263*0</f>
        <v>0</v>
      </c>
      <c r="AP263" s="39">
        <f>I263*(1-0)</f>
        <v>0</v>
      </c>
      <c r="AQ263" s="40" t="s">
        <v>846</v>
      </c>
      <c r="AV263" s="39">
        <f t="shared" si="236"/>
        <v>0</v>
      </c>
      <c r="AW263" s="39">
        <f t="shared" si="237"/>
        <v>0</v>
      </c>
      <c r="AX263" s="39">
        <f t="shared" si="238"/>
        <v>0</v>
      </c>
      <c r="AY263" s="40" t="s">
        <v>89</v>
      </c>
      <c r="AZ263" s="40" t="s">
        <v>459</v>
      </c>
      <c r="BA263" s="68" t="s">
        <v>648</v>
      </c>
      <c r="BC263" s="39">
        <f t="shared" si="239"/>
        <v>0</v>
      </c>
      <c r="BD263" s="39">
        <f t="shared" si="240"/>
        <v>0</v>
      </c>
      <c r="BE263" s="39">
        <v>0</v>
      </c>
      <c r="BF263" s="39">
        <f>271</f>
        <v>271</v>
      </c>
      <c r="BH263" s="39">
        <f t="shared" si="241"/>
        <v>0</v>
      </c>
      <c r="BI263" s="39">
        <f t="shared" si="242"/>
        <v>0</v>
      </c>
      <c r="BJ263" s="39">
        <f t="shared" si="243"/>
        <v>0</v>
      </c>
      <c r="BK263" s="39"/>
      <c r="BL263" s="39">
        <v>766</v>
      </c>
    </row>
    <row r="264" spans="1:64" ht="15" customHeight="1">
      <c r="A264" s="37" t="s">
        <v>205</v>
      </c>
      <c r="B264" s="38" t="s">
        <v>208</v>
      </c>
      <c r="C264" s="195" t="s">
        <v>286</v>
      </c>
      <c r="D264" s="195"/>
      <c r="E264" s="195"/>
      <c r="F264" s="195"/>
      <c r="G264" s="38" t="s">
        <v>216</v>
      </c>
      <c r="H264" s="39">
        <v>1</v>
      </c>
      <c r="I264" s="39">
        <v>0</v>
      </c>
      <c r="J264" s="39">
        <f t="shared" si="222"/>
        <v>0</v>
      </c>
      <c r="K264" s="39">
        <f t="shared" si="223"/>
        <v>0</v>
      </c>
      <c r="L264" s="39">
        <f t="shared" si="224"/>
        <v>0</v>
      </c>
      <c r="M264" s="80" t="s">
        <v>576</v>
      </c>
      <c r="Z264" s="39">
        <f t="shared" si="225"/>
        <v>0</v>
      </c>
      <c r="AB264" s="39">
        <f t="shared" si="226"/>
        <v>0</v>
      </c>
      <c r="AC264" s="39">
        <f t="shared" si="227"/>
        <v>0</v>
      </c>
      <c r="AD264" s="39">
        <f t="shared" si="228"/>
        <v>0</v>
      </c>
      <c r="AE264" s="39">
        <f t="shared" si="229"/>
        <v>0</v>
      </c>
      <c r="AF264" s="39">
        <f t="shared" si="230"/>
        <v>0</v>
      </c>
      <c r="AG264" s="39">
        <f t="shared" si="231"/>
        <v>0</v>
      </c>
      <c r="AH264" s="39">
        <f t="shared" si="232"/>
        <v>0</v>
      </c>
      <c r="AI264" s="68" t="s">
        <v>587</v>
      </c>
      <c r="AJ264" s="39">
        <f t="shared" si="233"/>
        <v>0</v>
      </c>
      <c r="AK264" s="39">
        <f t="shared" si="234"/>
        <v>0</v>
      </c>
      <c r="AL264" s="39">
        <f t="shared" si="235"/>
        <v>0</v>
      </c>
      <c r="AN264" s="39">
        <v>21</v>
      </c>
      <c r="AO264" s="39">
        <f>I264*0.0361512027491409</f>
        <v>0</v>
      </c>
      <c r="AP264" s="39">
        <f>I264*(1-0.0361512027491409)</f>
        <v>0</v>
      </c>
      <c r="AQ264" s="40" t="s">
        <v>846</v>
      </c>
      <c r="AV264" s="39">
        <f t="shared" si="236"/>
        <v>0</v>
      </c>
      <c r="AW264" s="39">
        <f t="shared" si="237"/>
        <v>0</v>
      </c>
      <c r="AX264" s="39">
        <f t="shared" si="238"/>
        <v>0</v>
      </c>
      <c r="AY264" s="40" t="s">
        <v>89</v>
      </c>
      <c r="AZ264" s="40" t="s">
        <v>459</v>
      </c>
      <c r="BA264" s="68" t="s">
        <v>648</v>
      </c>
      <c r="BC264" s="39">
        <f t="shared" si="239"/>
        <v>0</v>
      </c>
      <c r="BD264" s="39">
        <f t="shared" si="240"/>
        <v>0</v>
      </c>
      <c r="BE264" s="39">
        <v>0</v>
      </c>
      <c r="BF264" s="39">
        <f>272</f>
        <v>272</v>
      </c>
      <c r="BH264" s="39">
        <f t="shared" si="241"/>
        <v>0</v>
      </c>
      <c r="BI264" s="39">
        <f t="shared" si="242"/>
        <v>0</v>
      </c>
      <c r="BJ264" s="39">
        <f t="shared" si="243"/>
        <v>0</v>
      </c>
      <c r="BK264" s="39"/>
      <c r="BL264" s="39">
        <v>766</v>
      </c>
    </row>
    <row r="265" spans="1:64" ht="15" customHeight="1">
      <c r="A265" s="37" t="s">
        <v>935</v>
      </c>
      <c r="B265" s="38" t="s">
        <v>599</v>
      </c>
      <c r="C265" s="195" t="s">
        <v>886</v>
      </c>
      <c r="D265" s="195"/>
      <c r="E265" s="195"/>
      <c r="F265" s="195"/>
      <c r="G265" s="38" t="s">
        <v>216</v>
      </c>
      <c r="H265" s="39">
        <v>1</v>
      </c>
      <c r="I265" s="39">
        <v>0</v>
      </c>
      <c r="J265" s="39">
        <f t="shared" si="222"/>
        <v>0</v>
      </c>
      <c r="K265" s="39">
        <f t="shared" si="223"/>
        <v>0</v>
      </c>
      <c r="L265" s="39">
        <f t="shared" si="224"/>
        <v>0</v>
      </c>
      <c r="M265" s="80" t="s">
        <v>576</v>
      </c>
      <c r="Z265" s="39">
        <f t="shared" si="225"/>
        <v>0</v>
      </c>
      <c r="AB265" s="39">
        <f t="shared" si="226"/>
        <v>0</v>
      </c>
      <c r="AC265" s="39">
        <f t="shared" si="227"/>
        <v>0</v>
      </c>
      <c r="AD265" s="39">
        <f t="shared" si="228"/>
        <v>0</v>
      </c>
      <c r="AE265" s="39">
        <f t="shared" si="229"/>
        <v>0</v>
      </c>
      <c r="AF265" s="39">
        <f t="shared" si="230"/>
        <v>0</v>
      </c>
      <c r="AG265" s="39">
        <f t="shared" si="231"/>
        <v>0</v>
      </c>
      <c r="AH265" s="39">
        <f t="shared" si="232"/>
        <v>0</v>
      </c>
      <c r="AI265" s="68" t="s">
        <v>587</v>
      </c>
      <c r="AJ265" s="39">
        <f t="shared" si="233"/>
        <v>0</v>
      </c>
      <c r="AK265" s="39">
        <f t="shared" si="234"/>
        <v>0</v>
      </c>
      <c r="AL265" s="39">
        <f t="shared" si="235"/>
        <v>0</v>
      </c>
      <c r="AN265" s="39">
        <v>21</v>
      </c>
      <c r="AO265" s="39">
        <f>I265*1</f>
        <v>0</v>
      </c>
      <c r="AP265" s="39">
        <f>I265*(1-1)</f>
        <v>0</v>
      </c>
      <c r="AQ265" s="40" t="s">
        <v>846</v>
      </c>
      <c r="AV265" s="39">
        <f t="shared" si="236"/>
        <v>0</v>
      </c>
      <c r="AW265" s="39">
        <f t="shared" si="237"/>
        <v>0</v>
      </c>
      <c r="AX265" s="39">
        <f t="shared" si="238"/>
        <v>0</v>
      </c>
      <c r="AY265" s="40" t="s">
        <v>89</v>
      </c>
      <c r="AZ265" s="40" t="s">
        <v>459</v>
      </c>
      <c r="BA265" s="68" t="s">
        <v>648</v>
      </c>
      <c r="BC265" s="39">
        <f t="shared" si="239"/>
        <v>0</v>
      </c>
      <c r="BD265" s="39">
        <f t="shared" si="240"/>
        <v>0</v>
      </c>
      <c r="BE265" s="39">
        <v>0</v>
      </c>
      <c r="BF265" s="39">
        <f>273</f>
        <v>273</v>
      </c>
      <c r="BH265" s="39">
        <f t="shared" si="241"/>
        <v>0</v>
      </c>
      <c r="BI265" s="39">
        <f t="shared" si="242"/>
        <v>0</v>
      </c>
      <c r="BJ265" s="39">
        <f t="shared" si="243"/>
        <v>0</v>
      </c>
      <c r="BK265" s="39"/>
      <c r="BL265" s="39">
        <v>766</v>
      </c>
    </row>
    <row r="266" spans="1:64" ht="15" customHeight="1">
      <c r="A266" s="37" t="s">
        <v>488</v>
      </c>
      <c r="B266" s="38" t="s">
        <v>443</v>
      </c>
      <c r="C266" s="195" t="s">
        <v>556</v>
      </c>
      <c r="D266" s="195"/>
      <c r="E266" s="195"/>
      <c r="F266" s="195"/>
      <c r="G266" s="38" t="s">
        <v>216</v>
      </c>
      <c r="H266" s="39">
        <v>3</v>
      </c>
      <c r="I266" s="39">
        <v>0</v>
      </c>
      <c r="J266" s="39">
        <f t="shared" si="222"/>
        <v>0</v>
      </c>
      <c r="K266" s="39">
        <f t="shared" si="223"/>
        <v>0</v>
      </c>
      <c r="L266" s="39">
        <f t="shared" si="224"/>
        <v>0</v>
      </c>
      <c r="M266" s="80" t="s">
        <v>576</v>
      </c>
      <c r="Z266" s="39">
        <f t="shared" si="225"/>
        <v>0</v>
      </c>
      <c r="AB266" s="39">
        <f t="shared" si="226"/>
        <v>0</v>
      </c>
      <c r="AC266" s="39">
        <f t="shared" si="227"/>
        <v>0</v>
      </c>
      <c r="AD266" s="39">
        <f t="shared" si="228"/>
        <v>0</v>
      </c>
      <c r="AE266" s="39">
        <f t="shared" si="229"/>
        <v>0</v>
      </c>
      <c r="AF266" s="39">
        <f t="shared" si="230"/>
        <v>0</v>
      </c>
      <c r="AG266" s="39">
        <f t="shared" si="231"/>
        <v>0</v>
      </c>
      <c r="AH266" s="39">
        <f t="shared" si="232"/>
        <v>0</v>
      </c>
      <c r="AI266" s="68" t="s">
        <v>587</v>
      </c>
      <c r="AJ266" s="39">
        <f t="shared" si="233"/>
        <v>0</v>
      </c>
      <c r="AK266" s="39">
        <f t="shared" si="234"/>
        <v>0</v>
      </c>
      <c r="AL266" s="39">
        <f t="shared" si="235"/>
        <v>0</v>
      </c>
      <c r="AN266" s="39">
        <v>21</v>
      </c>
      <c r="AO266" s="39">
        <f>I266*0.213476923076923</f>
        <v>0</v>
      </c>
      <c r="AP266" s="39">
        <f>I266*(1-0.213476923076923)</f>
        <v>0</v>
      </c>
      <c r="AQ266" s="40" t="s">
        <v>846</v>
      </c>
      <c r="AV266" s="39">
        <f t="shared" si="236"/>
        <v>0</v>
      </c>
      <c r="AW266" s="39">
        <f t="shared" si="237"/>
        <v>0</v>
      </c>
      <c r="AX266" s="39">
        <f t="shared" si="238"/>
        <v>0</v>
      </c>
      <c r="AY266" s="40" t="s">
        <v>89</v>
      </c>
      <c r="AZ266" s="40" t="s">
        <v>459</v>
      </c>
      <c r="BA266" s="68" t="s">
        <v>648</v>
      </c>
      <c r="BC266" s="39">
        <f t="shared" si="239"/>
        <v>0</v>
      </c>
      <c r="BD266" s="39">
        <f t="shared" si="240"/>
        <v>0</v>
      </c>
      <c r="BE266" s="39">
        <v>0</v>
      </c>
      <c r="BF266" s="39">
        <f>274</f>
        <v>274</v>
      </c>
      <c r="BH266" s="39">
        <f t="shared" si="241"/>
        <v>0</v>
      </c>
      <c r="BI266" s="39">
        <f t="shared" si="242"/>
        <v>0</v>
      </c>
      <c r="BJ266" s="39">
        <f t="shared" si="243"/>
        <v>0</v>
      </c>
      <c r="BK266" s="39"/>
      <c r="BL266" s="39">
        <v>766</v>
      </c>
    </row>
    <row r="267" spans="1:64" ht="15" customHeight="1">
      <c r="A267" s="37" t="s">
        <v>215</v>
      </c>
      <c r="B267" s="38" t="s">
        <v>491</v>
      </c>
      <c r="C267" s="195" t="s">
        <v>25</v>
      </c>
      <c r="D267" s="195"/>
      <c r="E267" s="195"/>
      <c r="F267" s="195"/>
      <c r="G267" s="38" t="s">
        <v>216</v>
      </c>
      <c r="H267" s="39">
        <v>3</v>
      </c>
      <c r="I267" s="39">
        <v>0</v>
      </c>
      <c r="J267" s="39">
        <f t="shared" si="222"/>
        <v>0</v>
      </c>
      <c r="K267" s="39">
        <f t="shared" si="223"/>
        <v>0</v>
      </c>
      <c r="L267" s="39">
        <f t="shared" si="224"/>
        <v>0</v>
      </c>
      <c r="M267" s="80" t="s">
        <v>576</v>
      </c>
      <c r="Z267" s="39">
        <f t="shared" si="225"/>
        <v>0</v>
      </c>
      <c r="AB267" s="39">
        <f t="shared" si="226"/>
        <v>0</v>
      </c>
      <c r="AC267" s="39">
        <f t="shared" si="227"/>
        <v>0</v>
      </c>
      <c r="AD267" s="39">
        <f t="shared" si="228"/>
        <v>0</v>
      </c>
      <c r="AE267" s="39">
        <f t="shared" si="229"/>
        <v>0</v>
      </c>
      <c r="AF267" s="39">
        <f t="shared" si="230"/>
        <v>0</v>
      </c>
      <c r="AG267" s="39">
        <f t="shared" si="231"/>
        <v>0</v>
      </c>
      <c r="AH267" s="39">
        <f t="shared" si="232"/>
        <v>0</v>
      </c>
      <c r="AI267" s="68" t="s">
        <v>587</v>
      </c>
      <c r="AJ267" s="39">
        <f t="shared" si="233"/>
        <v>0</v>
      </c>
      <c r="AK267" s="39">
        <f t="shared" si="234"/>
        <v>0</v>
      </c>
      <c r="AL267" s="39">
        <f t="shared" si="235"/>
        <v>0</v>
      </c>
      <c r="AN267" s="39">
        <v>21</v>
      </c>
      <c r="AO267" s="39">
        <f>I267*1</f>
        <v>0</v>
      </c>
      <c r="AP267" s="39">
        <f>I267*(1-1)</f>
        <v>0</v>
      </c>
      <c r="AQ267" s="40" t="s">
        <v>846</v>
      </c>
      <c r="AV267" s="39">
        <f t="shared" si="236"/>
        <v>0</v>
      </c>
      <c r="AW267" s="39">
        <f t="shared" si="237"/>
        <v>0</v>
      </c>
      <c r="AX267" s="39">
        <f t="shared" si="238"/>
        <v>0</v>
      </c>
      <c r="AY267" s="40" t="s">
        <v>89</v>
      </c>
      <c r="AZ267" s="40" t="s">
        <v>459</v>
      </c>
      <c r="BA267" s="68" t="s">
        <v>648</v>
      </c>
      <c r="BC267" s="39">
        <f t="shared" si="239"/>
        <v>0</v>
      </c>
      <c r="BD267" s="39">
        <f t="shared" si="240"/>
        <v>0</v>
      </c>
      <c r="BE267" s="39">
        <v>0</v>
      </c>
      <c r="BF267" s="39">
        <f>275</f>
        <v>275</v>
      </c>
      <c r="BH267" s="39">
        <f t="shared" si="241"/>
        <v>0</v>
      </c>
      <c r="BI267" s="39">
        <f t="shared" si="242"/>
        <v>0</v>
      </c>
      <c r="BJ267" s="39">
        <f t="shared" si="243"/>
        <v>0</v>
      </c>
      <c r="BK267" s="39"/>
      <c r="BL267" s="39">
        <v>766</v>
      </c>
    </row>
    <row r="268" spans="1:64" ht="15" customHeight="1">
      <c r="A268" s="37" t="s">
        <v>640</v>
      </c>
      <c r="B268" s="38" t="s">
        <v>668</v>
      </c>
      <c r="C268" s="195" t="s">
        <v>234</v>
      </c>
      <c r="D268" s="195"/>
      <c r="E268" s="195"/>
      <c r="F268" s="195"/>
      <c r="G268" s="38" t="s">
        <v>216</v>
      </c>
      <c r="H268" s="39">
        <v>3</v>
      </c>
      <c r="I268" s="39">
        <v>0</v>
      </c>
      <c r="J268" s="39">
        <f t="shared" si="222"/>
        <v>0</v>
      </c>
      <c r="K268" s="39">
        <f t="shared" si="223"/>
        <v>0</v>
      </c>
      <c r="L268" s="39">
        <f t="shared" si="224"/>
        <v>0</v>
      </c>
      <c r="M268" s="80" t="s">
        <v>576</v>
      </c>
      <c r="Z268" s="39">
        <f t="shared" si="225"/>
        <v>0</v>
      </c>
      <c r="AB268" s="39">
        <f t="shared" si="226"/>
        <v>0</v>
      </c>
      <c r="AC268" s="39">
        <f t="shared" si="227"/>
        <v>0</v>
      </c>
      <c r="AD268" s="39">
        <f t="shared" si="228"/>
        <v>0</v>
      </c>
      <c r="AE268" s="39">
        <f t="shared" si="229"/>
        <v>0</v>
      </c>
      <c r="AF268" s="39">
        <f t="shared" si="230"/>
        <v>0</v>
      </c>
      <c r="AG268" s="39">
        <f t="shared" si="231"/>
        <v>0</v>
      </c>
      <c r="AH268" s="39">
        <f t="shared" si="232"/>
        <v>0</v>
      </c>
      <c r="AI268" s="68" t="s">
        <v>587</v>
      </c>
      <c r="AJ268" s="39">
        <f t="shared" si="233"/>
        <v>0</v>
      </c>
      <c r="AK268" s="39">
        <f t="shared" si="234"/>
        <v>0</v>
      </c>
      <c r="AL268" s="39">
        <f t="shared" si="235"/>
        <v>0</v>
      </c>
      <c r="AN268" s="39">
        <v>21</v>
      </c>
      <c r="AO268" s="39">
        <f>I268*0</f>
        <v>0</v>
      </c>
      <c r="AP268" s="39">
        <f>I268*(1-0)</f>
        <v>0</v>
      </c>
      <c r="AQ268" s="40" t="s">
        <v>846</v>
      </c>
      <c r="AV268" s="39">
        <f t="shared" si="236"/>
        <v>0</v>
      </c>
      <c r="AW268" s="39">
        <f t="shared" si="237"/>
        <v>0</v>
      </c>
      <c r="AX268" s="39">
        <f t="shared" si="238"/>
        <v>0</v>
      </c>
      <c r="AY268" s="40" t="s">
        <v>89</v>
      </c>
      <c r="AZ268" s="40" t="s">
        <v>459</v>
      </c>
      <c r="BA268" s="68" t="s">
        <v>648</v>
      </c>
      <c r="BC268" s="39">
        <f t="shared" si="239"/>
        <v>0</v>
      </c>
      <c r="BD268" s="39">
        <f t="shared" si="240"/>
        <v>0</v>
      </c>
      <c r="BE268" s="39">
        <v>0</v>
      </c>
      <c r="BF268" s="39">
        <f>276</f>
        <v>276</v>
      </c>
      <c r="BH268" s="39">
        <f t="shared" si="241"/>
        <v>0</v>
      </c>
      <c r="BI268" s="39">
        <f t="shared" si="242"/>
        <v>0</v>
      </c>
      <c r="BJ268" s="39">
        <f t="shared" si="243"/>
        <v>0</v>
      </c>
      <c r="BK268" s="39"/>
      <c r="BL268" s="39">
        <v>766</v>
      </c>
    </row>
    <row r="269" spans="1:64" ht="15" customHeight="1">
      <c r="A269" s="37" t="s">
        <v>434</v>
      </c>
      <c r="B269" s="38" t="s">
        <v>97</v>
      </c>
      <c r="C269" s="195" t="s">
        <v>752</v>
      </c>
      <c r="D269" s="195"/>
      <c r="E269" s="195"/>
      <c r="F269" s="195"/>
      <c r="G269" s="38" t="s">
        <v>216</v>
      </c>
      <c r="H269" s="39">
        <v>3</v>
      </c>
      <c r="I269" s="39">
        <v>0</v>
      </c>
      <c r="J269" s="39">
        <f t="shared" si="222"/>
        <v>0</v>
      </c>
      <c r="K269" s="39">
        <f t="shared" si="223"/>
        <v>0</v>
      </c>
      <c r="L269" s="39">
        <f t="shared" si="224"/>
        <v>0</v>
      </c>
      <c r="M269" s="80" t="s">
        <v>576</v>
      </c>
      <c r="Z269" s="39">
        <f t="shared" si="225"/>
        <v>0</v>
      </c>
      <c r="AB269" s="39">
        <f t="shared" si="226"/>
        <v>0</v>
      </c>
      <c r="AC269" s="39">
        <f t="shared" si="227"/>
        <v>0</v>
      </c>
      <c r="AD269" s="39">
        <f t="shared" si="228"/>
        <v>0</v>
      </c>
      <c r="AE269" s="39">
        <f t="shared" si="229"/>
        <v>0</v>
      </c>
      <c r="AF269" s="39">
        <f t="shared" si="230"/>
        <v>0</v>
      </c>
      <c r="AG269" s="39">
        <f t="shared" si="231"/>
        <v>0</v>
      </c>
      <c r="AH269" s="39">
        <f t="shared" si="232"/>
        <v>0</v>
      </c>
      <c r="AI269" s="68" t="s">
        <v>587</v>
      </c>
      <c r="AJ269" s="39">
        <f t="shared" si="233"/>
        <v>0</v>
      </c>
      <c r="AK269" s="39">
        <f t="shared" si="234"/>
        <v>0</v>
      </c>
      <c r="AL269" s="39">
        <f t="shared" si="235"/>
        <v>0</v>
      </c>
      <c r="AN269" s="39">
        <v>21</v>
      </c>
      <c r="AO269" s="39">
        <f>I269*1</f>
        <v>0</v>
      </c>
      <c r="AP269" s="39">
        <f>I269*(1-1)</f>
        <v>0</v>
      </c>
      <c r="AQ269" s="40" t="s">
        <v>846</v>
      </c>
      <c r="AV269" s="39">
        <f t="shared" si="236"/>
        <v>0</v>
      </c>
      <c r="AW269" s="39">
        <f t="shared" si="237"/>
        <v>0</v>
      </c>
      <c r="AX269" s="39">
        <f t="shared" si="238"/>
        <v>0</v>
      </c>
      <c r="AY269" s="40" t="s">
        <v>89</v>
      </c>
      <c r="AZ269" s="40" t="s">
        <v>459</v>
      </c>
      <c r="BA269" s="68" t="s">
        <v>648</v>
      </c>
      <c r="BC269" s="39">
        <f t="shared" si="239"/>
        <v>0</v>
      </c>
      <c r="BD269" s="39">
        <f t="shared" si="240"/>
        <v>0</v>
      </c>
      <c r="BE269" s="39">
        <v>0</v>
      </c>
      <c r="BF269" s="39">
        <f>277</f>
        <v>277</v>
      </c>
      <c r="BH269" s="39">
        <f t="shared" si="241"/>
        <v>0</v>
      </c>
      <c r="BI269" s="39">
        <f t="shared" si="242"/>
        <v>0</v>
      </c>
      <c r="BJ269" s="39">
        <f t="shared" si="243"/>
        <v>0</v>
      </c>
      <c r="BK269" s="39"/>
      <c r="BL269" s="39">
        <v>766</v>
      </c>
    </row>
    <row r="270" spans="1:64" ht="15" customHeight="1">
      <c r="A270" s="37" t="s">
        <v>4</v>
      </c>
      <c r="B270" s="38" t="s">
        <v>537</v>
      </c>
      <c r="C270" s="195" t="s">
        <v>828</v>
      </c>
      <c r="D270" s="195"/>
      <c r="E270" s="195"/>
      <c r="F270" s="195"/>
      <c r="G270" s="38" t="s">
        <v>216</v>
      </c>
      <c r="H270" s="39">
        <v>3</v>
      </c>
      <c r="I270" s="39">
        <v>0</v>
      </c>
      <c r="J270" s="39">
        <f t="shared" si="222"/>
        <v>0</v>
      </c>
      <c r="K270" s="39">
        <f t="shared" si="223"/>
        <v>0</v>
      </c>
      <c r="L270" s="39">
        <f t="shared" si="224"/>
        <v>0</v>
      </c>
      <c r="M270" s="80" t="s">
        <v>576</v>
      </c>
      <c r="Z270" s="39">
        <f t="shared" si="225"/>
        <v>0</v>
      </c>
      <c r="AB270" s="39">
        <f t="shared" si="226"/>
        <v>0</v>
      </c>
      <c r="AC270" s="39">
        <f t="shared" si="227"/>
        <v>0</v>
      </c>
      <c r="AD270" s="39">
        <f t="shared" si="228"/>
        <v>0</v>
      </c>
      <c r="AE270" s="39">
        <f t="shared" si="229"/>
        <v>0</v>
      </c>
      <c r="AF270" s="39">
        <f t="shared" si="230"/>
        <v>0</v>
      </c>
      <c r="AG270" s="39">
        <f t="shared" si="231"/>
        <v>0</v>
      </c>
      <c r="AH270" s="39">
        <f t="shared" si="232"/>
        <v>0</v>
      </c>
      <c r="AI270" s="68" t="s">
        <v>587</v>
      </c>
      <c r="AJ270" s="39">
        <f t="shared" si="233"/>
        <v>0</v>
      </c>
      <c r="AK270" s="39">
        <f t="shared" si="234"/>
        <v>0</v>
      </c>
      <c r="AL270" s="39">
        <f t="shared" si="235"/>
        <v>0</v>
      </c>
      <c r="AN270" s="39">
        <v>21</v>
      </c>
      <c r="AO270" s="39">
        <f>I270*0.0388191881918819</f>
        <v>0</v>
      </c>
      <c r="AP270" s="39">
        <f>I270*(1-0.0388191881918819)</f>
        <v>0</v>
      </c>
      <c r="AQ270" s="40" t="s">
        <v>846</v>
      </c>
      <c r="AV270" s="39">
        <f t="shared" si="236"/>
        <v>0</v>
      </c>
      <c r="AW270" s="39">
        <f t="shared" si="237"/>
        <v>0</v>
      </c>
      <c r="AX270" s="39">
        <f t="shared" si="238"/>
        <v>0</v>
      </c>
      <c r="AY270" s="40" t="s">
        <v>89</v>
      </c>
      <c r="AZ270" s="40" t="s">
        <v>459</v>
      </c>
      <c r="BA270" s="68" t="s">
        <v>648</v>
      </c>
      <c r="BC270" s="39">
        <f t="shared" si="239"/>
        <v>0</v>
      </c>
      <c r="BD270" s="39">
        <f t="shared" si="240"/>
        <v>0</v>
      </c>
      <c r="BE270" s="39">
        <v>0</v>
      </c>
      <c r="BF270" s="39">
        <f>278</f>
        <v>278</v>
      </c>
      <c r="BH270" s="39">
        <f t="shared" si="241"/>
        <v>0</v>
      </c>
      <c r="BI270" s="39">
        <f t="shared" si="242"/>
        <v>0</v>
      </c>
      <c r="BJ270" s="39">
        <f t="shared" si="243"/>
        <v>0</v>
      </c>
      <c r="BK270" s="39"/>
      <c r="BL270" s="39">
        <v>766</v>
      </c>
    </row>
    <row r="271" spans="1:64" ht="15" customHeight="1">
      <c r="A271" s="37" t="s">
        <v>353</v>
      </c>
      <c r="B271" s="38" t="s">
        <v>431</v>
      </c>
      <c r="C271" s="195" t="s">
        <v>83</v>
      </c>
      <c r="D271" s="195"/>
      <c r="E271" s="195"/>
      <c r="F271" s="195"/>
      <c r="G271" s="38" t="s">
        <v>216</v>
      </c>
      <c r="H271" s="39">
        <v>2</v>
      </c>
      <c r="I271" s="39">
        <v>0</v>
      </c>
      <c r="J271" s="39">
        <f t="shared" si="222"/>
        <v>0</v>
      </c>
      <c r="K271" s="39">
        <f t="shared" si="223"/>
        <v>0</v>
      </c>
      <c r="L271" s="39">
        <f t="shared" si="224"/>
        <v>0</v>
      </c>
      <c r="M271" s="80" t="s">
        <v>576</v>
      </c>
      <c r="Z271" s="39">
        <f t="shared" si="225"/>
        <v>0</v>
      </c>
      <c r="AB271" s="39">
        <f t="shared" si="226"/>
        <v>0</v>
      </c>
      <c r="AC271" s="39">
        <f t="shared" si="227"/>
        <v>0</v>
      </c>
      <c r="AD271" s="39">
        <f t="shared" si="228"/>
        <v>0</v>
      </c>
      <c r="AE271" s="39">
        <f t="shared" si="229"/>
        <v>0</v>
      </c>
      <c r="AF271" s="39">
        <f t="shared" si="230"/>
        <v>0</v>
      </c>
      <c r="AG271" s="39">
        <f t="shared" si="231"/>
        <v>0</v>
      </c>
      <c r="AH271" s="39">
        <f t="shared" si="232"/>
        <v>0</v>
      </c>
      <c r="AI271" s="68" t="s">
        <v>587</v>
      </c>
      <c r="AJ271" s="39">
        <f t="shared" si="233"/>
        <v>0</v>
      </c>
      <c r="AK271" s="39">
        <f t="shared" si="234"/>
        <v>0</v>
      </c>
      <c r="AL271" s="39">
        <f t="shared" si="235"/>
        <v>0</v>
      </c>
      <c r="AN271" s="39">
        <v>21</v>
      </c>
      <c r="AO271" s="39">
        <f>I271*1</f>
        <v>0</v>
      </c>
      <c r="AP271" s="39">
        <f>I271*(1-1)</f>
        <v>0</v>
      </c>
      <c r="AQ271" s="40" t="s">
        <v>846</v>
      </c>
      <c r="AV271" s="39">
        <f t="shared" si="236"/>
        <v>0</v>
      </c>
      <c r="AW271" s="39">
        <f t="shared" si="237"/>
        <v>0</v>
      </c>
      <c r="AX271" s="39">
        <f t="shared" si="238"/>
        <v>0</v>
      </c>
      <c r="AY271" s="40" t="s">
        <v>89</v>
      </c>
      <c r="AZ271" s="40" t="s">
        <v>459</v>
      </c>
      <c r="BA271" s="68" t="s">
        <v>648</v>
      </c>
      <c r="BC271" s="39">
        <f t="shared" si="239"/>
        <v>0</v>
      </c>
      <c r="BD271" s="39">
        <f t="shared" si="240"/>
        <v>0</v>
      </c>
      <c r="BE271" s="39">
        <v>0</v>
      </c>
      <c r="BF271" s="39">
        <f>279</f>
        <v>279</v>
      </c>
      <c r="BH271" s="39">
        <f t="shared" si="241"/>
        <v>0</v>
      </c>
      <c r="BI271" s="39">
        <f t="shared" si="242"/>
        <v>0</v>
      </c>
      <c r="BJ271" s="39">
        <f t="shared" si="243"/>
        <v>0</v>
      </c>
      <c r="BK271" s="39"/>
      <c r="BL271" s="39">
        <v>766</v>
      </c>
    </row>
    <row r="272" spans="1:64" ht="15" customHeight="1">
      <c r="A272" s="37" t="s">
        <v>290</v>
      </c>
      <c r="B272" s="38" t="s">
        <v>272</v>
      </c>
      <c r="C272" s="195" t="s">
        <v>324</v>
      </c>
      <c r="D272" s="195"/>
      <c r="E272" s="195"/>
      <c r="F272" s="195"/>
      <c r="G272" s="38" t="s">
        <v>216</v>
      </c>
      <c r="H272" s="39">
        <v>1</v>
      </c>
      <c r="I272" s="39">
        <v>0</v>
      </c>
      <c r="J272" s="39">
        <f t="shared" si="222"/>
        <v>0</v>
      </c>
      <c r="K272" s="39">
        <f t="shared" si="223"/>
        <v>0</v>
      </c>
      <c r="L272" s="39">
        <f t="shared" si="224"/>
        <v>0</v>
      </c>
      <c r="M272" s="80" t="s">
        <v>576</v>
      </c>
      <c r="Z272" s="39">
        <f t="shared" si="225"/>
        <v>0</v>
      </c>
      <c r="AB272" s="39">
        <f t="shared" si="226"/>
        <v>0</v>
      </c>
      <c r="AC272" s="39">
        <f t="shared" si="227"/>
        <v>0</v>
      </c>
      <c r="AD272" s="39">
        <f t="shared" si="228"/>
        <v>0</v>
      </c>
      <c r="AE272" s="39">
        <f t="shared" si="229"/>
        <v>0</v>
      </c>
      <c r="AF272" s="39">
        <f t="shared" si="230"/>
        <v>0</v>
      </c>
      <c r="AG272" s="39">
        <f t="shared" si="231"/>
        <v>0</v>
      </c>
      <c r="AH272" s="39">
        <f t="shared" si="232"/>
        <v>0</v>
      </c>
      <c r="AI272" s="68" t="s">
        <v>587</v>
      </c>
      <c r="AJ272" s="39">
        <f t="shared" si="233"/>
        <v>0</v>
      </c>
      <c r="AK272" s="39">
        <f t="shared" si="234"/>
        <v>0</v>
      </c>
      <c r="AL272" s="39">
        <f t="shared" si="235"/>
        <v>0</v>
      </c>
      <c r="AN272" s="39">
        <v>21</v>
      </c>
      <c r="AO272" s="39">
        <f>I272*1</f>
        <v>0</v>
      </c>
      <c r="AP272" s="39">
        <f>I272*(1-1)</f>
        <v>0</v>
      </c>
      <c r="AQ272" s="40" t="s">
        <v>846</v>
      </c>
      <c r="AV272" s="39">
        <f t="shared" si="236"/>
        <v>0</v>
      </c>
      <c r="AW272" s="39">
        <f t="shared" si="237"/>
        <v>0</v>
      </c>
      <c r="AX272" s="39">
        <f t="shared" si="238"/>
        <v>0</v>
      </c>
      <c r="AY272" s="40" t="s">
        <v>89</v>
      </c>
      <c r="AZ272" s="40" t="s">
        <v>459</v>
      </c>
      <c r="BA272" s="68" t="s">
        <v>648</v>
      </c>
      <c r="BC272" s="39">
        <f t="shared" si="239"/>
        <v>0</v>
      </c>
      <c r="BD272" s="39">
        <f t="shared" si="240"/>
        <v>0</v>
      </c>
      <c r="BE272" s="39">
        <v>0</v>
      </c>
      <c r="BF272" s="39">
        <f>280</f>
        <v>280</v>
      </c>
      <c r="BH272" s="39">
        <f t="shared" si="241"/>
        <v>0</v>
      </c>
      <c r="BI272" s="39">
        <f t="shared" si="242"/>
        <v>0</v>
      </c>
      <c r="BJ272" s="39">
        <f t="shared" si="243"/>
        <v>0</v>
      </c>
      <c r="BK272" s="39"/>
      <c r="BL272" s="39">
        <v>766</v>
      </c>
    </row>
    <row r="273" spans="1:64" ht="15" customHeight="1">
      <c r="A273" s="37" t="s">
        <v>892</v>
      </c>
      <c r="B273" s="38" t="s">
        <v>821</v>
      </c>
      <c r="C273" s="195" t="s">
        <v>755</v>
      </c>
      <c r="D273" s="195"/>
      <c r="E273" s="195"/>
      <c r="F273" s="195"/>
      <c r="G273" s="38" t="s">
        <v>216</v>
      </c>
      <c r="H273" s="39">
        <v>3</v>
      </c>
      <c r="I273" s="39">
        <v>0</v>
      </c>
      <c r="J273" s="39">
        <f t="shared" si="222"/>
        <v>0</v>
      </c>
      <c r="K273" s="39">
        <f t="shared" si="223"/>
        <v>0</v>
      </c>
      <c r="L273" s="39">
        <f t="shared" si="224"/>
        <v>0</v>
      </c>
      <c r="M273" s="80" t="s">
        <v>576</v>
      </c>
      <c r="Z273" s="39">
        <f t="shared" si="225"/>
        <v>0</v>
      </c>
      <c r="AB273" s="39">
        <f t="shared" si="226"/>
        <v>0</v>
      </c>
      <c r="AC273" s="39">
        <f t="shared" si="227"/>
        <v>0</v>
      </c>
      <c r="AD273" s="39">
        <f t="shared" si="228"/>
        <v>0</v>
      </c>
      <c r="AE273" s="39">
        <f t="shared" si="229"/>
        <v>0</v>
      </c>
      <c r="AF273" s="39">
        <f t="shared" si="230"/>
        <v>0</v>
      </c>
      <c r="AG273" s="39">
        <f t="shared" si="231"/>
        <v>0</v>
      </c>
      <c r="AH273" s="39">
        <f t="shared" si="232"/>
        <v>0</v>
      </c>
      <c r="AI273" s="68" t="s">
        <v>587</v>
      </c>
      <c r="AJ273" s="39">
        <f t="shared" si="233"/>
        <v>0</v>
      </c>
      <c r="AK273" s="39">
        <f t="shared" si="234"/>
        <v>0</v>
      </c>
      <c r="AL273" s="39">
        <f t="shared" si="235"/>
        <v>0</v>
      </c>
      <c r="AN273" s="39">
        <v>21</v>
      </c>
      <c r="AO273" s="39">
        <f>I273*0</f>
        <v>0</v>
      </c>
      <c r="AP273" s="39">
        <f>I273*(1-0)</f>
        <v>0</v>
      </c>
      <c r="AQ273" s="40" t="s">
        <v>846</v>
      </c>
      <c r="AV273" s="39">
        <f t="shared" si="236"/>
        <v>0</v>
      </c>
      <c r="AW273" s="39">
        <f t="shared" si="237"/>
        <v>0</v>
      </c>
      <c r="AX273" s="39">
        <f t="shared" si="238"/>
        <v>0</v>
      </c>
      <c r="AY273" s="40" t="s">
        <v>89</v>
      </c>
      <c r="AZ273" s="40" t="s">
        <v>459</v>
      </c>
      <c r="BA273" s="68" t="s">
        <v>648</v>
      </c>
      <c r="BC273" s="39">
        <f t="shared" si="239"/>
        <v>0</v>
      </c>
      <c r="BD273" s="39">
        <f t="shared" si="240"/>
        <v>0</v>
      </c>
      <c r="BE273" s="39">
        <v>0</v>
      </c>
      <c r="BF273" s="39">
        <f>281</f>
        <v>281</v>
      </c>
      <c r="BH273" s="39">
        <f t="shared" si="241"/>
        <v>0</v>
      </c>
      <c r="BI273" s="39">
        <f t="shared" si="242"/>
        <v>0</v>
      </c>
      <c r="BJ273" s="39">
        <f t="shared" si="243"/>
        <v>0</v>
      </c>
      <c r="BK273" s="39"/>
      <c r="BL273" s="39">
        <v>766</v>
      </c>
    </row>
    <row r="274" spans="1:64" ht="15" customHeight="1">
      <c r="A274" s="37" t="s">
        <v>486</v>
      </c>
      <c r="B274" s="38" t="s">
        <v>737</v>
      </c>
      <c r="C274" s="195" t="s">
        <v>693</v>
      </c>
      <c r="D274" s="195"/>
      <c r="E274" s="195"/>
      <c r="F274" s="195"/>
      <c r="G274" s="38" t="s">
        <v>216</v>
      </c>
      <c r="H274" s="39">
        <v>1</v>
      </c>
      <c r="I274" s="39">
        <v>0</v>
      </c>
      <c r="J274" s="39">
        <f t="shared" si="222"/>
        <v>0</v>
      </c>
      <c r="K274" s="39">
        <f t="shared" si="223"/>
        <v>0</v>
      </c>
      <c r="L274" s="39">
        <f t="shared" si="224"/>
        <v>0</v>
      </c>
      <c r="M274" s="80" t="s">
        <v>576</v>
      </c>
      <c r="Z274" s="39">
        <f t="shared" si="225"/>
        <v>0</v>
      </c>
      <c r="AB274" s="39">
        <f t="shared" si="226"/>
        <v>0</v>
      </c>
      <c r="AC274" s="39">
        <f t="shared" si="227"/>
        <v>0</v>
      </c>
      <c r="AD274" s="39">
        <f t="shared" si="228"/>
        <v>0</v>
      </c>
      <c r="AE274" s="39">
        <f t="shared" si="229"/>
        <v>0</v>
      </c>
      <c r="AF274" s="39">
        <f t="shared" si="230"/>
        <v>0</v>
      </c>
      <c r="AG274" s="39">
        <f t="shared" si="231"/>
        <v>0</v>
      </c>
      <c r="AH274" s="39">
        <f t="shared" si="232"/>
        <v>0</v>
      </c>
      <c r="AI274" s="68" t="s">
        <v>587</v>
      </c>
      <c r="AJ274" s="39">
        <f t="shared" si="233"/>
        <v>0</v>
      </c>
      <c r="AK274" s="39">
        <f t="shared" si="234"/>
        <v>0</v>
      </c>
      <c r="AL274" s="39">
        <f t="shared" si="235"/>
        <v>0</v>
      </c>
      <c r="AN274" s="39">
        <v>21</v>
      </c>
      <c r="AO274" s="39">
        <f>I274*0.150990566037736</f>
        <v>0</v>
      </c>
      <c r="AP274" s="39">
        <f>I274*(1-0.150990566037736)</f>
        <v>0</v>
      </c>
      <c r="AQ274" s="40" t="s">
        <v>846</v>
      </c>
      <c r="AV274" s="39">
        <f t="shared" si="236"/>
        <v>0</v>
      </c>
      <c r="AW274" s="39">
        <f t="shared" si="237"/>
        <v>0</v>
      </c>
      <c r="AX274" s="39">
        <f t="shared" si="238"/>
        <v>0</v>
      </c>
      <c r="AY274" s="40" t="s">
        <v>89</v>
      </c>
      <c r="AZ274" s="40" t="s">
        <v>459</v>
      </c>
      <c r="BA274" s="68" t="s">
        <v>648</v>
      </c>
      <c r="BC274" s="39">
        <f t="shared" si="239"/>
        <v>0</v>
      </c>
      <c r="BD274" s="39">
        <f t="shared" si="240"/>
        <v>0</v>
      </c>
      <c r="BE274" s="39">
        <v>0</v>
      </c>
      <c r="BF274" s="39">
        <f>282</f>
        <v>282</v>
      </c>
      <c r="BH274" s="39">
        <f t="shared" si="241"/>
        <v>0</v>
      </c>
      <c r="BI274" s="39">
        <f t="shared" si="242"/>
        <v>0</v>
      </c>
      <c r="BJ274" s="39">
        <f t="shared" si="243"/>
        <v>0</v>
      </c>
      <c r="BK274" s="39"/>
      <c r="BL274" s="39">
        <v>766</v>
      </c>
    </row>
    <row r="275" spans="1:64" ht="15" customHeight="1">
      <c r="A275" s="37" t="s">
        <v>462</v>
      </c>
      <c r="B275" s="38" t="s">
        <v>358</v>
      </c>
      <c r="C275" s="195" t="s">
        <v>948</v>
      </c>
      <c r="D275" s="195"/>
      <c r="E275" s="195"/>
      <c r="F275" s="195"/>
      <c r="G275" s="38" t="s">
        <v>216</v>
      </c>
      <c r="H275" s="39">
        <v>1</v>
      </c>
      <c r="I275" s="39">
        <v>0</v>
      </c>
      <c r="J275" s="39">
        <f t="shared" si="222"/>
        <v>0</v>
      </c>
      <c r="K275" s="39">
        <f t="shared" si="223"/>
        <v>0</v>
      </c>
      <c r="L275" s="39">
        <f t="shared" si="224"/>
        <v>0</v>
      </c>
      <c r="M275" s="80" t="s">
        <v>576</v>
      </c>
      <c r="Z275" s="39">
        <f t="shared" si="225"/>
        <v>0</v>
      </c>
      <c r="AB275" s="39">
        <f t="shared" si="226"/>
        <v>0</v>
      </c>
      <c r="AC275" s="39">
        <f t="shared" si="227"/>
        <v>0</v>
      </c>
      <c r="AD275" s="39">
        <f t="shared" si="228"/>
        <v>0</v>
      </c>
      <c r="AE275" s="39">
        <f t="shared" si="229"/>
        <v>0</v>
      </c>
      <c r="AF275" s="39">
        <f t="shared" si="230"/>
        <v>0</v>
      </c>
      <c r="AG275" s="39">
        <f t="shared" si="231"/>
        <v>0</v>
      </c>
      <c r="AH275" s="39">
        <f t="shared" si="232"/>
        <v>0</v>
      </c>
      <c r="AI275" s="68" t="s">
        <v>587</v>
      </c>
      <c r="AJ275" s="39">
        <f t="shared" si="233"/>
        <v>0</v>
      </c>
      <c r="AK275" s="39">
        <f t="shared" si="234"/>
        <v>0</v>
      </c>
      <c r="AL275" s="39">
        <f t="shared" si="235"/>
        <v>0</v>
      </c>
      <c r="AN275" s="39">
        <v>21</v>
      </c>
      <c r="AO275" s="39">
        <f>I275*1</f>
        <v>0</v>
      </c>
      <c r="AP275" s="39">
        <f>I275*(1-1)</f>
        <v>0</v>
      </c>
      <c r="AQ275" s="40" t="s">
        <v>846</v>
      </c>
      <c r="AV275" s="39">
        <f t="shared" si="236"/>
        <v>0</v>
      </c>
      <c r="AW275" s="39">
        <f t="shared" si="237"/>
        <v>0</v>
      </c>
      <c r="AX275" s="39">
        <f t="shared" si="238"/>
        <v>0</v>
      </c>
      <c r="AY275" s="40" t="s">
        <v>89</v>
      </c>
      <c r="AZ275" s="40" t="s">
        <v>459</v>
      </c>
      <c r="BA275" s="68" t="s">
        <v>648</v>
      </c>
      <c r="BC275" s="39">
        <f t="shared" si="239"/>
        <v>0</v>
      </c>
      <c r="BD275" s="39">
        <f t="shared" si="240"/>
        <v>0</v>
      </c>
      <c r="BE275" s="39">
        <v>0</v>
      </c>
      <c r="BF275" s="39">
        <f>283</f>
        <v>283</v>
      </c>
      <c r="BH275" s="39">
        <f t="shared" si="241"/>
        <v>0</v>
      </c>
      <c r="BI275" s="39">
        <f t="shared" si="242"/>
        <v>0</v>
      </c>
      <c r="BJ275" s="39">
        <f t="shared" si="243"/>
        <v>0</v>
      </c>
      <c r="BK275" s="39"/>
      <c r="BL275" s="39">
        <v>766</v>
      </c>
    </row>
    <row r="276" spans="1:64" ht="15" customHeight="1">
      <c r="A276" s="37" t="s">
        <v>717</v>
      </c>
      <c r="B276" s="38" t="s">
        <v>737</v>
      </c>
      <c r="C276" s="195" t="s">
        <v>249</v>
      </c>
      <c r="D276" s="195"/>
      <c r="E276" s="195"/>
      <c r="F276" s="195"/>
      <c r="G276" s="38" t="s">
        <v>216</v>
      </c>
      <c r="H276" s="39">
        <v>2</v>
      </c>
      <c r="I276" s="39">
        <v>0</v>
      </c>
      <c r="J276" s="39">
        <f t="shared" si="222"/>
        <v>0</v>
      </c>
      <c r="K276" s="39">
        <f t="shared" si="223"/>
        <v>0</v>
      </c>
      <c r="L276" s="39">
        <f t="shared" si="224"/>
        <v>0</v>
      </c>
      <c r="M276" s="80" t="s">
        <v>576</v>
      </c>
      <c r="Z276" s="39">
        <f t="shared" si="225"/>
        <v>0</v>
      </c>
      <c r="AB276" s="39">
        <f t="shared" si="226"/>
        <v>0</v>
      </c>
      <c r="AC276" s="39">
        <f t="shared" si="227"/>
        <v>0</v>
      </c>
      <c r="AD276" s="39">
        <f t="shared" si="228"/>
        <v>0</v>
      </c>
      <c r="AE276" s="39">
        <f t="shared" si="229"/>
        <v>0</v>
      </c>
      <c r="AF276" s="39">
        <f t="shared" si="230"/>
        <v>0</v>
      </c>
      <c r="AG276" s="39">
        <f t="shared" si="231"/>
        <v>0</v>
      </c>
      <c r="AH276" s="39">
        <f t="shared" si="232"/>
        <v>0</v>
      </c>
      <c r="AI276" s="68" t="s">
        <v>587</v>
      </c>
      <c r="AJ276" s="39">
        <f t="shared" si="233"/>
        <v>0</v>
      </c>
      <c r="AK276" s="39">
        <f t="shared" si="234"/>
        <v>0</v>
      </c>
      <c r="AL276" s="39">
        <f t="shared" si="235"/>
        <v>0</v>
      </c>
      <c r="AN276" s="39">
        <v>21</v>
      </c>
      <c r="AO276" s="39">
        <f>I276*0.150990566037736</f>
        <v>0</v>
      </c>
      <c r="AP276" s="39">
        <f>I276*(1-0.150990566037736)</f>
        <v>0</v>
      </c>
      <c r="AQ276" s="40" t="s">
        <v>846</v>
      </c>
      <c r="AV276" s="39">
        <f t="shared" si="236"/>
        <v>0</v>
      </c>
      <c r="AW276" s="39">
        <f t="shared" si="237"/>
        <v>0</v>
      </c>
      <c r="AX276" s="39">
        <f t="shared" si="238"/>
        <v>0</v>
      </c>
      <c r="AY276" s="40" t="s">
        <v>89</v>
      </c>
      <c r="AZ276" s="40" t="s">
        <v>459</v>
      </c>
      <c r="BA276" s="68" t="s">
        <v>648</v>
      </c>
      <c r="BC276" s="39">
        <f t="shared" si="239"/>
        <v>0</v>
      </c>
      <c r="BD276" s="39">
        <f t="shared" si="240"/>
        <v>0</v>
      </c>
      <c r="BE276" s="39">
        <v>0</v>
      </c>
      <c r="BF276" s="39">
        <f>284</f>
        <v>284</v>
      </c>
      <c r="BH276" s="39">
        <f t="shared" si="241"/>
        <v>0</v>
      </c>
      <c r="BI276" s="39">
        <f t="shared" si="242"/>
        <v>0</v>
      </c>
      <c r="BJ276" s="39">
        <f t="shared" si="243"/>
        <v>0</v>
      </c>
      <c r="BK276" s="39"/>
      <c r="BL276" s="39">
        <v>766</v>
      </c>
    </row>
    <row r="277" spans="1:64" ht="15" customHeight="1">
      <c r="A277" s="37" t="s">
        <v>783</v>
      </c>
      <c r="B277" s="38" t="s">
        <v>237</v>
      </c>
      <c r="C277" s="195" t="s">
        <v>58</v>
      </c>
      <c r="D277" s="195"/>
      <c r="E277" s="195"/>
      <c r="F277" s="195"/>
      <c r="G277" s="38" t="s">
        <v>216</v>
      </c>
      <c r="H277" s="39">
        <v>1</v>
      </c>
      <c r="I277" s="39">
        <v>0</v>
      </c>
      <c r="J277" s="39">
        <f t="shared" si="222"/>
        <v>0</v>
      </c>
      <c r="K277" s="39">
        <f t="shared" si="223"/>
        <v>0</v>
      </c>
      <c r="L277" s="39">
        <f t="shared" si="224"/>
        <v>0</v>
      </c>
      <c r="M277" s="80" t="s">
        <v>576</v>
      </c>
      <c r="Z277" s="39">
        <f t="shared" si="225"/>
        <v>0</v>
      </c>
      <c r="AB277" s="39">
        <f t="shared" si="226"/>
        <v>0</v>
      </c>
      <c r="AC277" s="39">
        <f t="shared" si="227"/>
        <v>0</v>
      </c>
      <c r="AD277" s="39">
        <f t="shared" si="228"/>
        <v>0</v>
      </c>
      <c r="AE277" s="39">
        <f t="shared" si="229"/>
        <v>0</v>
      </c>
      <c r="AF277" s="39">
        <f t="shared" si="230"/>
        <v>0</v>
      </c>
      <c r="AG277" s="39">
        <f t="shared" si="231"/>
        <v>0</v>
      </c>
      <c r="AH277" s="39">
        <f t="shared" si="232"/>
        <v>0</v>
      </c>
      <c r="AI277" s="68" t="s">
        <v>587</v>
      </c>
      <c r="AJ277" s="39">
        <f t="shared" si="233"/>
        <v>0</v>
      </c>
      <c r="AK277" s="39">
        <f t="shared" si="234"/>
        <v>0</v>
      </c>
      <c r="AL277" s="39">
        <f t="shared" si="235"/>
        <v>0</v>
      </c>
      <c r="AN277" s="39">
        <v>21</v>
      </c>
      <c r="AO277" s="39">
        <f>I277*1</f>
        <v>0</v>
      </c>
      <c r="AP277" s="39">
        <f>I277*(1-1)</f>
        <v>0</v>
      </c>
      <c r="AQ277" s="40" t="s">
        <v>846</v>
      </c>
      <c r="AV277" s="39">
        <f t="shared" si="236"/>
        <v>0</v>
      </c>
      <c r="AW277" s="39">
        <f t="shared" si="237"/>
        <v>0</v>
      </c>
      <c r="AX277" s="39">
        <f t="shared" si="238"/>
        <v>0</v>
      </c>
      <c r="AY277" s="40" t="s">
        <v>89</v>
      </c>
      <c r="AZ277" s="40" t="s">
        <v>459</v>
      </c>
      <c r="BA277" s="68" t="s">
        <v>648</v>
      </c>
      <c r="BC277" s="39">
        <f t="shared" si="239"/>
        <v>0</v>
      </c>
      <c r="BD277" s="39">
        <f t="shared" si="240"/>
        <v>0</v>
      </c>
      <c r="BE277" s="39">
        <v>0</v>
      </c>
      <c r="BF277" s="39">
        <f>285</f>
        <v>285</v>
      </c>
      <c r="BH277" s="39">
        <f t="shared" si="241"/>
        <v>0</v>
      </c>
      <c r="BI277" s="39">
        <f t="shared" si="242"/>
        <v>0</v>
      </c>
      <c r="BJ277" s="39">
        <f t="shared" si="243"/>
        <v>0</v>
      </c>
      <c r="BK277" s="39"/>
      <c r="BL277" s="39">
        <v>766</v>
      </c>
    </row>
    <row r="278" spans="1:64" ht="15" customHeight="1">
      <c r="A278" s="37" t="s">
        <v>845</v>
      </c>
      <c r="B278" s="38" t="s">
        <v>237</v>
      </c>
      <c r="C278" s="195" t="s">
        <v>371</v>
      </c>
      <c r="D278" s="195"/>
      <c r="E278" s="195"/>
      <c r="F278" s="195"/>
      <c r="G278" s="38" t="s">
        <v>216</v>
      </c>
      <c r="H278" s="39">
        <v>1</v>
      </c>
      <c r="I278" s="39">
        <v>0</v>
      </c>
      <c r="J278" s="39">
        <f t="shared" si="222"/>
        <v>0</v>
      </c>
      <c r="K278" s="39">
        <f t="shared" si="223"/>
        <v>0</v>
      </c>
      <c r="L278" s="39">
        <f t="shared" si="224"/>
        <v>0</v>
      </c>
      <c r="M278" s="80" t="s">
        <v>576</v>
      </c>
      <c r="Z278" s="39">
        <f t="shared" si="225"/>
        <v>0</v>
      </c>
      <c r="AB278" s="39">
        <f t="shared" si="226"/>
        <v>0</v>
      </c>
      <c r="AC278" s="39">
        <f t="shared" si="227"/>
        <v>0</v>
      </c>
      <c r="AD278" s="39">
        <f t="shared" si="228"/>
        <v>0</v>
      </c>
      <c r="AE278" s="39">
        <f t="shared" si="229"/>
        <v>0</v>
      </c>
      <c r="AF278" s="39">
        <f t="shared" si="230"/>
        <v>0</v>
      </c>
      <c r="AG278" s="39">
        <f t="shared" si="231"/>
        <v>0</v>
      </c>
      <c r="AH278" s="39">
        <f t="shared" si="232"/>
        <v>0</v>
      </c>
      <c r="AI278" s="68" t="s">
        <v>587</v>
      </c>
      <c r="AJ278" s="39">
        <f t="shared" si="233"/>
        <v>0</v>
      </c>
      <c r="AK278" s="39">
        <f t="shared" si="234"/>
        <v>0</v>
      </c>
      <c r="AL278" s="39">
        <f t="shared" si="235"/>
        <v>0</v>
      </c>
      <c r="AN278" s="39">
        <v>21</v>
      </c>
      <c r="AO278" s="39">
        <f>I278*1</f>
        <v>0</v>
      </c>
      <c r="AP278" s="39">
        <f>I278*(1-1)</f>
        <v>0</v>
      </c>
      <c r="AQ278" s="40" t="s">
        <v>846</v>
      </c>
      <c r="AV278" s="39">
        <f t="shared" si="236"/>
        <v>0</v>
      </c>
      <c r="AW278" s="39">
        <f t="shared" si="237"/>
        <v>0</v>
      </c>
      <c r="AX278" s="39">
        <f t="shared" si="238"/>
        <v>0</v>
      </c>
      <c r="AY278" s="40" t="s">
        <v>89</v>
      </c>
      <c r="AZ278" s="40" t="s">
        <v>459</v>
      </c>
      <c r="BA278" s="68" t="s">
        <v>648</v>
      </c>
      <c r="BC278" s="39">
        <f t="shared" si="239"/>
        <v>0</v>
      </c>
      <c r="BD278" s="39">
        <f t="shared" si="240"/>
        <v>0</v>
      </c>
      <c r="BE278" s="39">
        <v>0</v>
      </c>
      <c r="BF278" s="39">
        <f>286</f>
        <v>286</v>
      </c>
      <c r="BH278" s="39">
        <f t="shared" si="241"/>
        <v>0</v>
      </c>
      <c r="BI278" s="39">
        <f t="shared" si="242"/>
        <v>0</v>
      </c>
      <c r="BJ278" s="39">
        <f t="shared" si="243"/>
        <v>0</v>
      </c>
      <c r="BK278" s="39"/>
      <c r="BL278" s="39">
        <v>766</v>
      </c>
    </row>
    <row r="279" spans="1:64" ht="15" customHeight="1">
      <c r="A279" s="37" t="s">
        <v>571</v>
      </c>
      <c r="B279" s="38" t="s">
        <v>718</v>
      </c>
      <c r="C279" s="195" t="s">
        <v>677</v>
      </c>
      <c r="D279" s="195"/>
      <c r="E279" s="195"/>
      <c r="F279" s="195"/>
      <c r="G279" s="38" t="s">
        <v>401</v>
      </c>
      <c r="H279" s="39">
        <v>0.311</v>
      </c>
      <c r="I279" s="39">
        <v>0</v>
      </c>
      <c r="J279" s="39">
        <f t="shared" si="222"/>
        <v>0</v>
      </c>
      <c r="K279" s="39">
        <f t="shared" si="223"/>
        <v>0</v>
      </c>
      <c r="L279" s="39">
        <f t="shared" si="224"/>
        <v>0</v>
      </c>
      <c r="M279" s="80" t="s">
        <v>576</v>
      </c>
      <c r="Z279" s="39">
        <f t="shared" si="225"/>
        <v>0</v>
      </c>
      <c r="AB279" s="39">
        <f t="shared" si="226"/>
        <v>0</v>
      </c>
      <c r="AC279" s="39">
        <f t="shared" si="227"/>
        <v>0</v>
      </c>
      <c r="AD279" s="39">
        <f t="shared" si="228"/>
        <v>0</v>
      </c>
      <c r="AE279" s="39">
        <f t="shared" si="229"/>
        <v>0</v>
      </c>
      <c r="AF279" s="39">
        <f t="shared" si="230"/>
        <v>0</v>
      </c>
      <c r="AG279" s="39">
        <f t="shared" si="231"/>
        <v>0</v>
      </c>
      <c r="AH279" s="39">
        <f t="shared" si="232"/>
        <v>0</v>
      </c>
      <c r="AI279" s="68" t="s">
        <v>587</v>
      </c>
      <c r="AJ279" s="39">
        <f t="shared" si="233"/>
        <v>0</v>
      </c>
      <c r="AK279" s="39">
        <f t="shared" si="234"/>
        <v>0</v>
      </c>
      <c r="AL279" s="39">
        <f t="shared" si="235"/>
        <v>0</v>
      </c>
      <c r="AN279" s="39">
        <v>21</v>
      </c>
      <c r="AO279" s="39">
        <f>I279*0</f>
        <v>0</v>
      </c>
      <c r="AP279" s="39">
        <f>I279*(1-0)</f>
        <v>0</v>
      </c>
      <c r="AQ279" s="40" t="s">
        <v>454</v>
      </c>
      <c r="AV279" s="39">
        <f t="shared" si="236"/>
        <v>0</v>
      </c>
      <c r="AW279" s="39">
        <f t="shared" si="237"/>
        <v>0</v>
      </c>
      <c r="AX279" s="39">
        <f t="shared" si="238"/>
        <v>0</v>
      </c>
      <c r="AY279" s="40" t="s">
        <v>89</v>
      </c>
      <c r="AZ279" s="40" t="s">
        <v>459</v>
      </c>
      <c r="BA279" s="68" t="s">
        <v>648</v>
      </c>
      <c r="BC279" s="39">
        <f t="shared" si="239"/>
        <v>0</v>
      </c>
      <c r="BD279" s="39">
        <f t="shared" si="240"/>
        <v>0</v>
      </c>
      <c r="BE279" s="39">
        <v>0</v>
      </c>
      <c r="BF279" s="39">
        <f>287</f>
        <v>287</v>
      </c>
      <c r="BH279" s="39">
        <f t="shared" si="241"/>
        <v>0</v>
      </c>
      <c r="BI279" s="39">
        <f t="shared" si="242"/>
        <v>0</v>
      </c>
      <c r="BJ279" s="39">
        <f t="shared" si="243"/>
        <v>0</v>
      </c>
      <c r="BK279" s="39"/>
      <c r="BL279" s="39">
        <v>766</v>
      </c>
    </row>
    <row r="280" spans="1:64" ht="15" customHeight="1">
      <c r="A280" s="76" t="s">
        <v>587</v>
      </c>
      <c r="B280" s="77" t="s">
        <v>395</v>
      </c>
      <c r="C280" s="221" t="s">
        <v>265</v>
      </c>
      <c r="D280" s="221"/>
      <c r="E280" s="221"/>
      <c r="F280" s="221"/>
      <c r="G280" s="78" t="s">
        <v>784</v>
      </c>
      <c r="H280" s="78" t="s">
        <v>784</v>
      </c>
      <c r="I280" s="78" t="s">
        <v>784</v>
      </c>
      <c r="J280" s="64">
        <f>SUM(J281:J288)</f>
        <v>0</v>
      </c>
      <c r="K280" s="64">
        <f>SUM(K281:K288)</f>
        <v>0</v>
      </c>
      <c r="L280" s="64">
        <f>SUM(L281:L288)</f>
        <v>0</v>
      </c>
      <c r="M280" s="79" t="s">
        <v>587</v>
      </c>
      <c r="AI280" s="68" t="s">
        <v>587</v>
      </c>
      <c r="AS280" s="64">
        <f>SUM(AJ281:AJ288)</f>
        <v>0</v>
      </c>
      <c r="AT280" s="64">
        <f>SUM(AK281:AK288)</f>
        <v>0</v>
      </c>
      <c r="AU280" s="64">
        <f>SUM(AL281:AL288)</f>
        <v>0</v>
      </c>
    </row>
    <row r="281" spans="1:64" ht="15" customHeight="1">
      <c r="A281" s="37" t="s">
        <v>757</v>
      </c>
      <c r="B281" s="38" t="s">
        <v>856</v>
      </c>
      <c r="C281" s="195" t="s">
        <v>217</v>
      </c>
      <c r="D281" s="195"/>
      <c r="E281" s="195"/>
      <c r="F281" s="195"/>
      <c r="G281" s="38" t="s">
        <v>701</v>
      </c>
      <c r="H281" s="39">
        <v>6.15</v>
      </c>
      <c r="I281" s="39">
        <v>0</v>
      </c>
      <c r="J281" s="39">
        <f>H281*AO281</f>
        <v>0</v>
      </c>
      <c r="K281" s="39">
        <f>H281*AP281</f>
        <v>0</v>
      </c>
      <c r="L281" s="39">
        <f>H281*I281</f>
        <v>0</v>
      </c>
      <c r="M281" s="80" t="s">
        <v>576</v>
      </c>
      <c r="Z281" s="39">
        <f>IF(AQ281="5",BJ281,0)</f>
        <v>0</v>
      </c>
      <c r="AB281" s="39">
        <f>IF(AQ281="1",BH281,0)</f>
        <v>0</v>
      </c>
      <c r="AC281" s="39">
        <f>IF(AQ281="1",BI281,0)</f>
        <v>0</v>
      </c>
      <c r="AD281" s="39">
        <f>IF(AQ281="7",BH281,0)</f>
        <v>0</v>
      </c>
      <c r="AE281" s="39">
        <f>IF(AQ281="7",BI281,0)</f>
        <v>0</v>
      </c>
      <c r="AF281" s="39">
        <f>IF(AQ281="2",BH281,0)</f>
        <v>0</v>
      </c>
      <c r="AG281" s="39">
        <f>IF(AQ281="2",BI281,0)</f>
        <v>0</v>
      </c>
      <c r="AH281" s="39">
        <f>IF(AQ281="0",BJ281,0)</f>
        <v>0</v>
      </c>
      <c r="AI281" s="68" t="s">
        <v>587</v>
      </c>
      <c r="AJ281" s="39">
        <f>IF(AN281=0,L281,0)</f>
        <v>0</v>
      </c>
      <c r="AK281" s="39">
        <f>IF(AN281=15,L281,0)</f>
        <v>0</v>
      </c>
      <c r="AL281" s="39">
        <f>IF(AN281=21,L281,0)</f>
        <v>0</v>
      </c>
      <c r="AN281" s="39">
        <v>21</v>
      </c>
      <c r="AO281" s="39">
        <f>I281*0.849036261485199</f>
        <v>0</v>
      </c>
      <c r="AP281" s="39">
        <f>I281*(1-0.849036261485199)</f>
        <v>0</v>
      </c>
      <c r="AQ281" s="40" t="s">
        <v>846</v>
      </c>
      <c r="AV281" s="39">
        <f>AW281+AX281</f>
        <v>0</v>
      </c>
      <c r="AW281" s="39">
        <f>H281*AO281</f>
        <v>0</v>
      </c>
      <c r="AX281" s="39">
        <f>H281*AP281</f>
        <v>0</v>
      </c>
      <c r="AY281" s="40" t="s">
        <v>244</v>
      </c>
      <c r="AZ281" s="40" t="s">
        <v>459</v>
      </c>
      <c r="BA281" s="68" t="s">
        <v>648</v>
      </c>
      <c r="BC281" s="39">
        <f>AW281+AX281</f>
        <v>0</v>
      </c>
      <c r="BD281" s="39">
        <f>I281/(100-BE281)*100</f>
        <v>0</v>
      </c>
      <c r="BE281" s="39">
        <v>0</v>
      </c>
      <c r="BF281" s="39">
        <f>289</f>
        <v>289</v>
      </c>
      <c r="BH281" s="39">
        <f>H281*AO281</f>
        <v>0</v>
      </c>
      <c r="BI281" s="39">
        <f>H281*AP281</f>
        <v>0</v>
      </c>
      <c r="BJ281" s="39">
        <f>H281*I281</f>
        <v>0</v>
      </c>
      <c r="BK281" s="39"/>
      <c r="BL281" s="39">
        <v>767</v>
      </c>
    </row>
    <row r="282" spans="1:64" ht="15" customHeight="1">
      <c r="A282" s="37" t="s">
        <v>11</v>
      </c>
      <c r="B282" s="38" t="s">
        <v>674</v>
      </c>
      <c r="C282" s="195" t="s">
        <v>947</v>
      </c>
      <c r="D282" s="195"/>
      <c r="E282" s="195"/>
      <c r="F282" s="195"/>
      <c r="G282" s="38" t="s">
        <v>649</v>
      </c>
      <c r="H282" s="39">
        <v>1</v>
      </c>
      <c r="I282" s="39">
        <v>0</v>
      </c>
      <c r="J282" s="39">
        <f>H282*AO282</f>
        <v>0</v>
      </c>
      <c r="K282" s="39">
        <f>H282*AP282</f>
        <v>0</v>
      </c>
      <c r="L282" s="39">
        <f>H282*I282</f>
        <v>0</v>
      </c>
      <c r="M282" s="80" t="s">
        <v>587</v>
      </c>
      <c r="Z282" s="39">
        <f>IF(AQ282="5",BJ282,0)</f>
        <v>0</v>
      </c>
      <c r="AB282" s="39">
        <f>IF(AQ282="1",BH282,0)</f>
        <v>0</v>
      </c>
      <c r="AC282" s="39">
        <f>IF(AQ282="1",BI282,0)</f>
        <v>0</v>
      </c>
      <c r="AD282" s="39">
        <f>IF(AQ282="7",BH282,0)</f>
        <v>0</v>
      </c>
      <c r="AE282" s="39">
        <f>IF(AQ282="7",BI282,0)</f>
        <v>0</v>
      </c>
      <c r="AF282" s="39">
        <f>IF(AQ282="2",BH282,0)</f>
        <v>0</v>
      </c>
      <c r="AG282" s="39">
        <f>IF(AQ282="2",BI282,0)</f>
        <v>0</v>
      </c>
      <c r="AH282" s="39">
        <f>IF(AQ282="0",BJ282,0)</f>
        <v>0</v>
      </c>
      <c r="AI282" s="68" t="s">
        <v>587</v>
      </c>
      <c r="AJ282" s="39">
        <f>IF(AN282=0,L282,0)</f>
        <v>0</v>
      </c>
      <c r="AK282" s="39">
        <f>IF(AN282=15,L282,0)</f>
        <v>0</v>
      </c>
      <c r="AL282" s="39">
        <f>IF(AN282=21,L282,0)</f>
        <v>0</v>
      </c>
      <c r="AN282" s="39">
        <v>21</v>
      </c>
      <c r="AO282" s="39">
        <f>I282*0.819148289897333</f>
        <v>0</v>
      </c>
      <c r="AP282" s="39">
        <f>I282*(1-0.819148289897333)</f>
        <v>0</v>
      </c>
      <c r="AQ282" s="40" t="s">
        <v>846</v>
      </c>
      <c r="AV282" s="39">
        <f>AW282+AX282</f>
        <v>0</v>
      </c>
      <c r="AW282" s="39">
        <f>H282*AO282</f>
        <v>0</v>
      </c>
      <c r="AX282" s="39">
        <f>H282*AP282</f>
        <v>0</v>
      </c>
      <c r="AY282" s="40" t="s">
        <v>244</v>
      </c>
      <c r="AZ282" s="40" t="s">
        <v>459</v>
      </c>
      <c r="BA282" s="68" t="s">
        <v>648</v>
      </c>
      <c r="BC282" s="39">
        <f>AW282+AX282</f>
        <v>0</v>
      </c>
      <c r="BD282" s="39">
        <f>I282/(100-BE282)*100</f>
        <v>0</v>
      </c>
      <c r="BE282" s="39">
        <v>0</v>
      </c>
      <c r="BF282" s="39">
        <f>290</f>
        <v>290</v>
      </c>
      <c r="BH282" s="39">
        <f>H282*AO282</f>
        <v>0</v>
      </c>
      <c r="BI282" s="39">
        <f>H282*AP282</f>
        <v>0</v>
      </c>
      <c r="BJ282" s="39">
        <f>H282*I282</f>
        <v>0</v>
      </c>
      <c r="BK282" s="39"/>
      <c r="BL282" s="39">
        <v>767</v>
      </c>
    </row>
    <row r="283" spans="1:64" ht="13.5" customHeight="1">
      <c r="A283" s="81"/>
      <c r="B283" s="82" t="s">
        <v>440</v>
      </c>
      <c r="C283" s="223" t="s">
        <v>315</v>
      </c>
      <c r="D283" s="224"/>
      <c r="E283" s="224"/>
      <c r="F283" s="224"/>
      <c r="G283" s="224"/>
      <c r="H283" s="224"/>
      <c r="I283" s="224"/>
      <c r="J283" s="224"/>
      <c r="K283" s="224"/>
      <c r="L283" s="224"/>
      <c r="M283" s="225"/>
    </row>
    <row r="284" spans="1:64" ht="15" customHeight="1">
      <c r="A284" s="37" t="s">
        <v>897</v>
      </c>
      <c r="B284" s="38" t="s">
        <v>135</v>
      </c>
      <c r="C284" s="195" t="s">
        <v>142</v>
      </c>
      <c r="D284" s="195"/>
      <c r="E284" s="195"/>
      <c r="F284" s="195"/>
      <c r="G284" s="38" t="s">
        <v>797</v>
      </c>
      <c r="H284" s="39">
        <v>92</v>
      </c>
      <c r="I284" s="39">
        <v>0</v>
      </c>
      <c r="J284" s="39">
        <f>H284*AO284</f>
        <v>0</v>
      </c>
      <c r="K284" s="39">
        <f>H284*AP284</f>
        <v>0</v>
      </c>
      <c r="L284" s="39">
        <f>H284*I284</f>
        <v>0</v>
      </c>
      <c r="M284" s="80" t="s">
        <v>576</v>
      </c>
      <c r="Z284" s="39">
        <f>IF(AQ284="5",BJ284,0)</f>
        <v>0</v>
      </c>
      <c r="AB284" s="39">
        <f>IF(AQ284="1",BH284,0)</f>
        <v>0</v>
      </c>
      <c r="AC284" s="39">
        <f>IF(AQ284="1",BI284,0)</f>
        <v>0</v>
      </c>
      <c r="AD284" s="39">
        <f>IF(AQ284="7",BH284,0)</f>
        <v>0</v>
      </c>
      <c r="AE284" s="39">
        <f>IF(AQ284="7",BI284,0)</f>
        <v>0</v>
      </c>
      <c r="AF284" s="39">
        <f>IF(AQ284="2",BH284,0)</f>
        <v>0</v>
      </c>
      <c r="AG284" s="39">
        <f>IF(AQ284="2",BI284,0)</f>
        <v>0</v>
      </c>
      <c r="AH284" s="39">
        <f>IF(AQ284="0",BJ284,0)</f>
        <v>0</v>
      </c>
      <c r="AI284" s="68" t="s">
        <v>587</v>
      </c>
      <c r="AJ284" s="39">
        <f>IF(AN284=0,L284,0)</f>
        <v>0</v>
      </c>
      <c r="AK284" s="39">
        <f>IF(AN284=15,L284,0)</f>
        <v>0</v>
      </c>
      <c r="AL284" s="39">
        <f>IF(AN284=21,L284,0)</f>
        <v>0</v>
      </c>
      <c r="AN284" s="39">
        <v>21</v>
      </c>
      <c r="AO284" s="39">
        <f>I284*0.572843278393121</f>
        <v>0</v>
      </c>
      <c r="AP284" s="39">
        <f>I284*(1-0.572843278393121)</f>
        <v>0</v>
      </c>
      <c r="AQ284" s="40" t="s">
        <v>846</v>
      </c>
      <c r="AV284" s="39">
        <f>AW284+AX284</f>
        <v>0</v>
      </c>
      <c r="AW284" s="39">
        <f>H284*AO284</f>
        <v>0</v>
      </c>
      <c r="AX284" s="39">
        <f>H284*AP284</f>
        <v>0</v>
      </c>
      <c r="AY284" s="40" t="s">
        <v>244</v>
      </c>
      <c r="AZ284" s="40" t="s">
        <v>459</v>
      </c>
      <c r="BA284" s="68" t="s">
        <v>648</v>
      </c>
      <c r="BC284" s="39">
        <f>AW284+AX284</f>
        <v>0</v>
      </c>
      <c r="BD284" s="39">
        <f>I284/(100-BE284)*100</f>
        <v>0</v>
      </c>
      <c r="BE284" s="39">
        <v>0</v>
      </c>
      <c r="BF284" s="39">
        <f>292</f>
        <v>292</v>
      </c>
      <c r="BH284" s="39">
        <f>H284*AO284</f>
        <v>0</v>
      </c>
      <c r="BI284" s="39">
        <f>H284*AP284</f>
        <v>0</v>
      </c>
      <c r="BJ284" s="39">
        <f>H284*I284</f>
        <v>0</v>
      </c>
      <c r="BK284" s="39"/>
      <c r="BL284" s="39">
        <v>767</v>
      </c>
    </row>
    <row r="285" spans="1:64" ht="13.5" customHeight="1">
      <c r="A285" s="81"/>
      <c r="B285" s="82" t="s">
        <v>440</v>
      </c>
      <c r="C285" s="223" t="s">
        <v>707</v>
      </c>
      <c r="D285" s="224"/>
      <c r="E285" s="224"/>
      <c r="F285" s="224"/>
      <c r="G285" s="224"/>
      <c r="H285" s="224"/>
      <c r="I285" s="224"/>
      <c r="J285" s="224"/>
      <c r="K285" s="224"/>
      <c r="L285" s="224"/>
      <c r="M285" s="225"/>
    </row>
    <row r="286" spans="1:64" ht="15" customHeight="1">
      <c r="A286" s="37" t="s">
        <v>639</v>
      </c>
      <c r="B286" s="38" t="s">
        <v>460</v>
      </c>
      <c r="C286" s="195" t="s">
        <v>938</v>
      </c>
      <c r="D286" s="195"/>
      <c r="E286" s="195"/>
      <c r="F286" s="195"/>
      <c r="G286" s="38" t="s">
        <v>591</v>
      </c>
      <c r="H286" s="39">
        <v>1</v>
      </c>
      <c r="I286" s="39">
        <v>0</v>
      </c>
      <c r="J286" s="39">
        <f>H286*AO286</f>
        <v>0</v>
      </c>
      <c r="K286" s="39">
        <f>H286*AP286</f>
        <v>0</v>
      </c>
      <c r="L286" s="39">
        <f>H286*I286</f>
        <v>0</v>
      </c>
      <c r="M286" s="80" t="s">
        <v>587</v>
      </c>
      <c r="Z286" s="39">
        <f>IF(AQ286="5",BJ286,0)</f>
        <v>0</v>
      </c>
      <c r="AB286" s="39">
        <f>IF(AQ286="1",BH286,0)</f>
        <v>0</v>
      </c>
      <c r="AC286" s="39">
        <f>IF(AQ286="1",BI286,0)</f>
        <v>0</v>
      </c>
      <c r="AD286" s="39">
        <f>IF(AQ286="7",BH286,0)</f>
        <v>0</v>
      </c>
      <c r="AE286" s="39">
        <f>IF(AQ286="7",BI286,0)</f>
        <v>0</v>
      </c>
      <c r="AF286" s="39">
        <f>IF(AQ286="2",BH286,0)</f>
        <v>0</v>
      </c>
      <c r="AG286" s="39">
        <f>IF(AQ286="2",BI286,0)</f>
        <v>0</v>
      </c>
      <c r="AH286" s="39">
        <f>IF(AQ286="0",BJ286,0)</f>
        <v>0</v>
      </c>
      <c r="AI286" s="68" t="s">
        <v>587</v>
      </c>
      <c r="AJ286" s="39">
        <f>IF(AN286=0,L286,0)</f>
        <v>0</v>
      </c>
      <c r="AK286" s="39">
        <f>IF(AN286=15,L286,0)</f>
        <v>0</v>
      </c>
      <c r="AL286" s="39">
        <f>IF(AN286=21,L286,0)</f>
        <v>0</v>
      </c>
      <c r="AN286" s="39">
        <v>21</v>
      </c>
      <c r="AO286" s="39">
        <f>I286*0.75</f>
        <v>0</v>
      </c>
      <c r="AP286" s="39">
        <f>I286*(1-0.75)</f>
        <v>0</v>
      </c>
      <c r="AQ286" s="40" t="s">
        <v>846</v>
      </c>
      <c r="AV286" s="39">
        <f>AW286+AX286</f>
        <v>0</v>
      </c>
      <c r="AW286" s="39">
        <f>H286*AO286</f>
        <v>0</v>
      </c>
      <c r="AX286" s="39">
        <f>H286*AP286</f>
        <v>0</v>
      </c>
      <c r="AY286" s="40" t="s">
        <v>244</v>
      </c>
      <c r="AZ286" s="40" t="s">
        <v>459</v>
      </c>
      <c r="BA286" s="68" t="s">
        <v>648</v>
      </c>
      <c r="BC286" s="39">
        <f>AW286+AX286</f>
        <v>0</v>
      </c>
      <c r="BD286" s="39">
        <f>I286/(100-BE286)*100</f>
        <v>0</v>
      </c>
      <c r="BE286" s="39">
        <v>0</v>
      </c>
      <c r="BF286" s="39">
        <f>294</f>
        <v>294</v>
      </c>
      <c r="BH286" s="39">
        <f>H286*AO286</f>
        <v>0</v>
      </c>
      <c r="BI286" s="39">
        <f>H286*AP286</f>
        <v>0</v>
      </c>
      <c r="BJ286" s="39">
        <f>H286*I286</f>
        <v>0</v>
      </c>
      <c r="BK286" s="39"/>
      <c r="BL286" s="39">
        <v>767</v>
      </c>
    </row>
    <row r="287" spans="1:64" ht="13.5" customHeight="1">
      <c r="A287" s="81"/>
      <c r="B287" s="82" t="s">
        <v>440</v>
      </c>
      <c r="C287" s="223" t="s">
        <v>464</v>
      </c>
      <c r="D287" s="224"/>
      <c r="E287" s="224"/>
      <c r="F287" s="224"/>
      <c r="G287" s="224"/>
      <c r="H287" s="224"/>
      <c r="I287" s="224"/>
      <c r="J287" s="224"/>
      <c r="K287" s="224"/>
      <c r="L287" s="224"/>
      <c r="M287" s="225"/>
    </row>
    <row r="288" spans="1:64" ht="15" customHeight="1">
      <c r="A288" s="37" t="s">
        <v>499</v>
      </c>
      <c r="B288" s="38" t="s">
        <v>45</v>
      </c>
      <c r="C288" s="195" t="s">
        <v>553</v>
      </c>
      <c r="D288" s="195"/>
      <c r="E288" s="195"/>
      <c r="F288" s="195"/>
      <c r="G288" s="38" t="s">
        <v>401</v>
      </c>
      <c r="H288" s="39">
        <v>0.17599999999999999</v>
      </c>
      <c r="I288" s="39">
        <v>0</v>
      </c>
      <c r="J288" s="39">
        <f>H288*AO288</f>
        <v>0</v>
      </c>
      <c r="K288" s="39">
        <f>H288*AP288</f>
        <v>0</v>
      </c>
      <c r="L288" s="39">
        <f>H288*I288</f>
        <v>0</v>
      </c>
      <c r="M288" s="80" t="s">
        <v>576</v>
      </c>
      <c r="Z288" s="39">
        <f>IF(AQ288="5",BJ288,0)</f>
        <v>0</v>
      </c>
      <c r="AB288" s="39">
        <f>IF(AQ288="1",BH288,0)</f>
        <v>0</v>
      </c>
      <c r="AC288" s="39">
        <f>IF(AQ288="1",BI288,0)</f>
        <v>0</v>
      </c>
      <c r="AD288" s="39">
        <f>IF(AQ288="7",BH288,0)</f>
        <v>0</v>
      </c>
      <c r="AE288" s="39">
        <f>IF(AQ288="7",BI288,0)</f>
        <v>0</v>
      </c>
      <c r="AF288" s="39">
        <f>IF(AQ288="2",BH288,0)</f>
        <v>0</v>
      </c>
      <c r="AG288" s="39">
        <f>IF(AQ288="2",BI288,0)</f>
        <v>0</v>
      </c>
      <c r="AH288" s="39">
        <f>IF(AQ288="0",BJ288,0)</f>
        <v>0</v>
      </c>
      <c r="AI288" s="68" t="s">
        <v>587</v>
      </c>
      <c r="AJ288" s="39">
        <f>IF(AN288=0,L288,0)</f>
        <v>0</v>
      </c>
      <c r="AK288" s="39">
        <f>IF(AN288=15,L288,0)</f>
        <v>0</v>
      </c>
      <c r="AL288" s="39">
        <f>IF(AN288=21,L288,0)</f>
        <v>0</v>
      </c>
      <c r="AN288" s="39">
        <v>21</v>
      </c>
      <c r="AO288" s="39">
        <f>I288*0</f>
        <v>0</v>
      </c>
      <c r="AP288" s="39">
        <f>I288*(1-0)</f>
        <v>0</v>
      </c>
      <c r="AQ288" s="40" t="s">
        <v>454</v>
      </c>
      <c r="AV288" s="39">
        <f>AW288+AX288</f>
        <v>0</v>
      </c>
      <c r="AW288" s="39">
        <f>H288*AO288</f>
        <v>0</v>
      </c>
      <c r="AX288" s="39">
        <f>H288*AP288</f>
        <v>0</v>
      </c>
      <c r="AY288" s="40" t="s">
        <v>244</v>
      </c>
      <c r="AZ288" s="40" t="s">
        <v>459</v>
      </c>
      <c r="BA288" s="68" t="s">
        <v>648</v>
      </c>
      <c r="BC288" s="39">
        <f>AW288+AX288</f>
        <v>0</v>
      </c>
      <c r="BD288" s="39">
        <f>I288/(100-BE288)*100</f>
        <v>0</v>
      </c>
      <c r="BE288" s="39">
        <v>0</v>
      </c>
      <c r="BF288" s="39">
        <f>296</f>
        <v>296</v>
      </c>
      <c r="BH288" s="39">
        <f>H288*AO288</f>
        <v>0</v>
      </c>
      <c r="BI288" s="39">
        <f>H288*AP288</f>
        <v>0</v>
      </c>
      <c r="BJ288" s="39">
        <f>H288*I288</f>
        <v>0</v>
      </c>
      <c r="BK288" s="39"/>
      <c r="BL288" s="39">
        <v>767</v>
      </c>
    </row>
    <row r="289" spans="1:64" ht="15" customHeight="1">
      <c r="A289" s="76" t="s">
        <v>587</v>
      </c>
      <c r="B289" s="77" t="s">
        <v>919</v>
      </c>
      <c r="C289" s="221" t="s">
        <v>742</v>
      </c>
      <c r="D289" s="221"/>
      <c r="E289" s="221"/>
      <c r="F289" s="221"/>
      <c r="G289" s="78" t="s">
        <v>784</v>
      </c>
      <c r="H289" s="78" t="s">
        <v>784</v>
      </c>
      <c r="I289" s="78" t="s">
        <v>784</v>
      </c>
      <c r="J289" s="64">
        <f>SUM(J290:J306)</f>
        <v>0</v>
      </c>
      <c r="K289" s="64">
        <f>SUM(K290:K306)</f>
        <v>0</v>
      </c>
      <c r="L289" s="64">
        <f>SUM(L290:L306)</f>
        <v>0</v>
      </c>
      <c r="M289" s="79" t="s">
        <v>587</v>
      </c>
      <c r="AI289" s="68" t="s">
        <v>587</v>
      </c>
      <c r="AS289" s="64">
        <f>SUM(AJ290:AJ306)</f>
        <v>0</v>
      </c>
      <c r="AT289" s="64">
        <f>SUM(AK290:AK306)</f>
        <v>0</v>
      </c>
      <c r="AU289" s="64">
        <f>SUM(AL290:AL306)</f>
        <v>0</v>
      </c>
    </row>
    <row r="290" spans="1:64" ht="15" customHeight="1">
      <c r="A290" s="37" t="s">
        <v>868</v>
      </c>
      <c r="B290" s="38" t="s">
        <v>420</v>
      </c>
      <c r="C290" s="195" t="s">
        <v>21</v>
      </c>
      <c r="D290" s="195"/>
      <c r="E290" s="195"/>
      <c r="F290" s="195"/>
      <c r="G290" s="38" t="s">
        <v>831</v>
      </c>
      <c r="H290" s="39">
        <v>16.3</v>
      </c>
      <c r="I290" s="39">
        <v>0</v>
      </c>
      <c r="J290" s="39">
        <f>H290*AO290</f>
        <v>0</v>
      </c>
      <c r="K290" s="39">
        <f>H290*AP290</f>
        <v>0</v>
      </c>
      <c r="L290" s="39">
        <f>H290*I290</f>
        <v>0</v>
      </c>
      <c r="M290" s="80" t="s">
        <v>576</v>
      </c>
      <c r="Z290" s="39">
        <f>IF(AQ290="5",BJ290,0)</f>
        <v>0</v>
      </c>
      <c r="AB290" s="39">
        <f>IF(AQ290="1",BH290,0)</f>
        <v>0</v>
      </c>
      <c r="AC290" s="39">
        <f>IF(AQ290="1",BI290,0)</f>
        <v>0</v>
      </c>
      <c r="AD290" s="39">
        <f>IF(AQ290="7",BH290,0)</f>
        <v>0</v>
      </c>
      <c r="AE290" s="39">
        <f>IF(AQ290="7",BI290,0)</f>
        <v>0</v>
      </c>
      <c r="AF290" s="39">
        <f>IF(AQ290="2",BH290,0)</f>
        <v>0</v>
      </c>
      <c r="AG290" s="39">
        <f>IF(AQ290="2",BI290,0)</f>
        <v>0</v>
      </c>
      <c r="AH290" s="39">
        <f>IF(AQ290="0",BJ290,0)</f>
        <v>0</v>
      </c>
      <c r="AI290" s="68" t="s">
        <v>587</v>
      </c>
      <c r="AJ290" s="39">
        <f>IF(AN290=0,L290,0)</f>
        <v>0</v>
      </c>
      <c r="AK290" s="39">
        <f>IF(AN290=15,L290,0)</f>
        <v>0</v>
      </c>
      <c r="AL290" s="39">
        <f>IF(AN290=21,L290,0)</f>
        <v>0</v>
      </c>
      <c r="AN290" s="39">
        <v>21</v>
      </c>
      <c r="AO290" s="39">
        <f>I290*0.43643123130456</f>
        <v>0</v>
      </c>
      <c r="AP290" s="39">
        <f>I290*(1-0.43643123130456)</f>
        <v>0</v>
      </c>
      <c r="AQ290" s="40" t="s">
        <v>846</v>
      </c>
      <c r="AV290" s="39">
        <f>AW290+AX290</f>
        <v>0</v>
      </c>
      <c r="AW290" s="39">
        <f>H290*AO290</f>
        <v>0</v>
      </c>
      <c r="AX290" s="39">
        <f>H290*AP290</f>
        <v>0</v>
      </c>
      <c r="AY290" s="40" t="s">
        <v>866</v>
      </c>
      <c r="AZ290" s="40" t="s">
        <v>207</v>
      </c>
      <c r="BA290" s="68" t="s">
        <v>648</v>
      </c>
      <c r="BC290" s="39">
        <f>AW290+AX290</f>
        <v>0</v>
      </c>
      <c r="BD290" s="39">
        <f>I290/(100-BE290)*100</f>
        <v>0</v>
      </c>
      <c r="BE290" s="39">
        <v>0</v>
      </c>
      <c r="BF290" s="39">
        <f>298</f>
        <v>298</v>
      </c>
      <c r="BH290" s="39">
        <f>H290*AO290</f>
        <v>0</v>
      </c>
      <c r="BI290" s="39">
        <f>H290*AP290</f>
        <v>0</v>
      </c>
      <c r="BJ290" s="39">
        <f>H290*I290</f>
        <v>0</v>
      </c>
      <c r="BK290" s="39"/>
      <c r="BL290" s="39">
        <v>771</v>
      </c>
    </row>
    <row r="291" spans="1:64" ht="13.5" customHeight="1">
      <c r="A291" s="81"/>
      <c r="B291" s="82" t="s">
        <v>440</v>
      </c>
      <c r="C291" s="223" t="s">
        <v>402</v>
      </c>
      <c r="D291" s="224"/>
      <c r="E291" s="224"/>
      <c r="F291" s="224"/>
      <c r="G291" s="224"/>
      <c r="H291" s="224"/>
      <c r="I291" s="224"/>
      <c r="J291" s="224"/>
      <c r="K291" s="224"/>
      <c r="L291" s="224"/>
      <c r="M291" s="225"/>
    </row>
    <row r="292" spans="1:64" ht="15" customHeight="1">
      <c r="A292" s="37" t="s">
        <v>686</v>
      </c>
      <c r="B292" s="38" t="s">
        <v>91</v>
      </c>
      <c r="C292" s="195" t="s">
        <v>500</v>
      </c>
      <c r="D292" s="195"/>
      <c r="E292" s="195"/>
      <c r="F292" s="195"/>
      <c r="G292" s="38" t="s">
        <v>701</v>
      </c>
      <c r="H292" s="39">
        <v>15.8</v>
      </c>
      <c r="I292" s="39">
        <v>0</v>
      </c>
      <c r="J292" s="39">
        <f>H292*AO292</f>
        <v>0</v>
      </c>
      <c r="K292" s="39">
        <f>H292*AP292</f>
        <v>0</v>
      </c>
      <c r="L292" s="39">
        <f>H292*I292</f>
        <v>0</v>
      </c>
      <c r="M292" s="80" t="s">
        <v>576</v>
      </c>
      <c r="Z292" s="39">
        <f>IF(AQ292="5",BJ292,0)</f>
        <v>0</v>
      </c>
      <c r="AB292" s="39">
        <f>IF(AQ292="1",BH292,0)</f>
        <v>0</v>
      </c>
      <c r="AC292" s="39">
        <f>IF(AQ292="1",BI292,0)</f>
        <v>0</v>
      </c>
      <c r="AD292" s="39">
        <f>IF(AQ292="7",BH292,0)</f>
        <v>0</v>
      </c>
      <c r="AE292" s="39">
        <f>IF(AQ292="7",BI292,0)</f>
        <v>0</v>
      </c>
      <c r="AF292" s="39">
        <f>IF(AQ292="2",BH292,0)</f>
        <v>0</v>
      </c>
      <c r="AG292" s="39">
        <f>IF(AQ292="2",BI292,0)</f>
        <v>0</v>
      </c>
      <c r="AH292" s="39">
        <f>IF(AQ292="0",BJ292,0)</f>
        <v>0</v>
      </c>
      <c r="AI292" s="68" t="s">
        <v>587</v>
      </c>
      <c r="AJ292" s="39">
        <f>IF(AN292=0,L292,0)</f>
        <v>0</v>
      </c>
      <c r="AK292" s="39">
        <f>IF(AN292=15,L292,0)</f>
        <v>0</v>
      </c>
      <c r="AL292" s="39">
        <f>IF(AN292=21,L292,0)</f>
        <v>0</v>
      </c>
      <c r="AN292" s="39">
        <v>21</v>
      </c>
      <c r="AO292" s="39">
        <f>I292*0.0712258064516129</f>
        <v>0</v>
      </c>
      <c r="AP292" s="39">
        <f>I292*(1-0.0712258064516129)</f>
        <v>0</v>
      </c>
      <c r="AQ292" s="40" t="s">
        <v>846</v>
      </c>
      <c r="AV292" s="39">
        <f>AW292+AX292</f>
        <v>0</v>
      </c>
      <c r="AW292" s="39">
        <f>H292*AO292</f>
        <v>0</v>
      </c>
      <c r="AX292" s="39">
        <f>H292*AP292</f>
        <v>0</v>
      </c>
      <c r="AY292" s="40" t="s">
        <v>866</v>
      </c>
      <c r="AZ292" s="40" t="s">
        <v>207</v>
      </c>
      <c r="BA292" s="68" t="s">
        <v>648</v>
      </c>
      <c r="BC292" s="39">
        <f>AW292+AX292</f>
        <v>0</v>
      </c>
      <c r="BD292" s="39">
        <f>I292/(100-BE292)*100</f>
        <v>0</v>
      </c>
      <c r="BE292" s="39">
        <v>0</v>
      </c>
      <c r="BF292" s="39">
        <f>300</f>
        <v>300</v>
      </c>
      <c r="BH292" s="39">
        <f>H292*AO292</f>
        <v>0</v>
      </c>
      <c r="BI292" s="39">
        <f>H292*AP292</f>
        <v>0</v>
      </c>
      <c r="BJ292" s="39">
        <f>H292*I292</f>
        <v>0</v>
      </c>
      <c r="BK292" s="39"/>
      <c r="BL292" s="39">
        <v>771</v>
      </c>
    </row>
    <row r="293" spans="1:64" ht="15" customHeight="1">
      <c r="A293" s="37" t="s">
        <v>825</v>
      </c>
      <c r="B293" s="38" t="s">
        <v>241</v>
      </c>
      <c r="C293" s="195" t="s">
        <v>40</v>
      </c>
      <c r="D293" s="195"/>
      <c r="E293" s="195"/>
      <c r="F293" s="195"/>
      <c r="G293" s="38" t="s">
        <v>216</v>
      </c>
      <c r="H293" s="39">
        <v>80</v>
      </c>
      <c r="I293" s="39">
        <v>0</v>
      </c>
      <c r="J293" s="39">
        <f>H293*AO293</f>
        <v>0</v>
      </c>
      <c r="K293" s="39">
        <f>H293*AP293</f>
        <v>0</v>
      </c>
      <c r="L293" s="39">
        <f>H293*I293</f>
        <v>0</v>
      </c>
      <c r="M293" s="80" t="s">
        <v>576</v>
      </c>
      <c r="Z293" s="39">
        <f>IF(AQ293="5",BJ293,0)</f>
        <v>0</v>
      </c>
      <c r="AB293" s="39">
        <f>IF(AQ293="1",BH293,0)</f>
        <v>0</v>
      </c>
      <c r="AC293" s="39">
        <f>IF(AQ293="1",BI293,0)</f>
        <v>0</v>
      </c>
      <c r="AD293" s="39">
        <f>IF(AQ293="7",BH293,0)</f>
        <v>0</v>
      </c>
      <c r="AE293" s="39">
        <f>IF(AQ293="7",BI293,0)</f>
        <v>0</v>
      </c>
      <c r="AF293" s="39">
        <f>IF(AQ293="2",BH293,0)</f>
        <v>0</v>
      </c>
      <c r="AG293" s="39">
        <f>IF(AQ293="2",BI293,0)</f>
        <v>0</v>
      </c>
      <c r="AH293" s="39">
        <f>IF(AQ293="0",BJ293,0)</f>
        <v>0</v>
      </c>
      <c r="AI293" s="68" t="s">
        <v>587</v>
      </c>
      <c r="AJ293" s="39">
        <f>IF(AN293=0,L293,0)</f>
        <v>0</v>
      </c>
      <c r="AK293" s="39">
        <f>IF(AN293=15,L293,0)</f>
        <v>0</v>
      </c>
      <c r="AL293" s="39">
        <f>IF(AN293=21,L293,0)</f>
        <v>0</v>
      </c>
      <c r="AN293" s="39">
        <v>21</v>
      </c>
      <c r="AO293" s="39">
        <f>I293*1</f>
        <v>0</v>
      </c>
      <c r="AP293" s="39">
        <f>I293*(1-1)</f>
        <v>0</v>
      </c>
      <c r="AQ293" s="40" t="s">
        <v>846</v>
      </c>
      <c r="AV293" s="39">
        <f>AW293+AX293</f>
        <v>0</v>
      </c>
      <c r="AW293" s="39">
        <f>H293*AO293</f>
        <v>0</v>
      </c>
      <c r="AX293" s="39">
        <f>H293*AP293</f>
        <v>0</v>
      </c>
      <c r="AY293" s="40" t="s">
        <v>866</v>
      </c>
      <c r="AZ293" s="40" t="s">
        <v>207</v>
      </c>
      <c r="BA293" s="68" t="s">
        <v>648</v>
      </c>
      <c r="BC293" s="39">
        <f>AW293+AX293</f>
        <v>0</v>
      </c>
      <c r="BD293" s="39">
        <f>I293/(100-BE293)*100</f>
        <v>0</v>
      </c>
      <c r="BE293" s="39">
        <v>0</v>
      </c>
      <c r="BF293" s="39">
        <f>301</f>
        <v>301</v>
      </c>
      <c r="BH293" s="39">
        <f>H293*AO293</f>
        <v>0</v>
      </c>
      <c r="BI293" s="39">
        <f>H293*AP293</f>
        <v>0</v>
      </c>
      <c r="BJ293" s="39">
        <f>H293*I293</f>
        <v>0</v>
      </c>
      <c r="BK293" s="39"/>
      <c r="BL293" s="39">
        <v>771</v>
      </c>
    </row>
    <row r="294" spans="1:64" ht="15" customHeight="1">
      <c r="A294" s="37" t="s">
        <v>147</v>
      </c>
      <c r="B294" s="38" t="s">
        <v>721</v>
      </c>
      <c r="C294" s="195" t="s">
        <v>334</v>
      </c>
      <c r="D294" s="195"/>
      <c r="E294" s="195"/>
      <c r="F294" s="195"/>
      <c r="G294" s="38" t="s">
        <v>216</v>
      </c>
      <c r="H294" s="39">
        <v>4</v>
      </c>
      <c r="I294" s="39">
        <v>0</v>
      </c>
      <c r="J294" s="39">
        <f>H294*AO294</f>
        <v>0</v>
      </c>
      <c r="K294" s="39">
        <f>H294*AP294</f>
        <v>0</v>
      </c>
      <c r="L294" s="39">
        <f>H294*I294</f>
        <v>0</v>
      </c>
      <c r="M294" s="80" t="s">
        <v>576</v>
      </c>
      <c r="Z294" s="39">
        <f>IF(AQ294="5",BJ294,0)</f>
        <v>0</v>
      </c>
      <c r="AB294" s="39">
        <f>IF(AQ294="1",BH294,0)</f>
        <v>0</v>
      </c>
      <c r="AC294" s="39">
        <f>IF(AQ294="1",BI294,0)</f>
        <v>0</v>
      </c>
      <c r="AD294" s="39">
        <f>IF(AQ294="7",BH294,0)</f>
        <v>0</v>
      </c>
      <c r="AE294" s="39">
        <f>IF(AQ294="7",BI294,0)</f>
        <v>0</v>
      </c>
      <c r="AF294" s="39">
        <f>IF(AQ294="2",BH294,0)</f>
        <v>0</v>
      </c>
      <c r="AG294" s="39">
        <f>IF(AQ294="2",BI294,0)</f>
        <v>0</v>
      </c>
      <c r="AH294" s="39">
        <f>IF(AQ294="0",BJ294,0)</f>
        <v>0</v>
      </c>
      <c r="AI294" s="68" t="s">
        <v>587</v>
      </c>
      <c r="AJ294" s="39">
        <f>IF(AN294=0,L294,0)</f>
        <v>0</v>
      </c>
      <c r="AK294" s="39">
        <f>IF(AN294=15,L294,0)</f>
        <v>0</v>
      </c>
      <c r="AL294" s="39">
        <f>IF(AN294=21,L294,0)</f>
        <v>0</v>
      </c>
      <c r="AN294" s="39">
        <v>21</v>
      </c>
      <c r="AO294" s="39">
        <f>I294*1</f>
        <v>0</v>
      </c>
      <c r="AP294" s="39">
        <f>I294*(1-1)</f>
        <v>0</v>
      </c>
      <c r="AQ294" s="40" t="s">
        <v>846</v>
      </c>
      <c r="AV294" s="39">
        <f>AW294+AX294</f>
        <v>0</v>
      </c>
      <c r="AW294" s="39">
        <f>H294*AO294</f>
        <v>0</v>
      </c>
      <c r="AX294" s="39">
        <f>H294*AP294</f>
        <v>0</v>
      </c>
      <c r="AY294" s="40" t="s">
        <v>866</v>
      </c>
      <c r="AZ294" s="40" t="s">
        <v>207</v>
      </c>
      <c r="BA294" s="68" t="s">
        <v>648</v>
      </c>
      <c r="BC294" s="39">
        <f>AW294+AX294</f>
        <v>0</v>
      </c>
      <c r="BD294" s="39">
        <f>I294/(100-BE294)*100</f>
        <v>0</v>
      </c>
      <c r="BE294" s="39">
        <v>0</v>
      </c>
      <c r="BF294" s="39">
        <f>302</f>
        <v>302</v>
      </c>
      <c r="BH294" s="39">
        <f>H294*AO294</f>
        <v>0</v>
      </c>
      <c r="BI294" s="39">
        <f>H294*AP294</f>
        <v>0</v>
      </c>
      <c r="BJ294" s="39">
        <f>H294*I294</f>
        <v>0</v>
      </c>
      <c r="BK294" s="39"/>
      <c r="BL294" s="39">
        <v>771</v>
      </c>
    </row>
    <row r="295" spans="1:64" ht="15" customHeight="1">
      <c r="A295" s="37" t="s">
        <v>704</v>
      </c>
      <c r="B295" s="38" t="s">
        <v>853</v>
      </c>
      <c r="C295" s="195" t="s">
        <v>292</v>
      </c>
      <c r="D295" s="195"/>
      <c r="E295" s="195"/>
      <c r="F295" s="195"/>
      <c r="G295" s="38" t="s">
        <v>831</v>
      </c>
      <c r="H295" s="39">
        <v>28.8</v>
      </c>
      <c r="I295" s="39">
        <v>0</v>
      </c>
      <c r="J295" s="39">
        <f>H295*AO295</f>
        <v>0</v>
      </c>
      <c r="K295" s="39">
        <f>H295*AP295</f>
        <v>0</v>
      </c>
      <c r="L295" s="39">
        <f>H295*I295</f>
        <v>0</v>
      </c>
      <c r="M295" s="80" t="s">
        <v>576</v>
      </c>
      <c r="Z295" s="39">
        <f>IF(AQ295="5",BJ295,0)</f>
        <v>0</v>
      </c>
      <c r="AB295" s="39">
        <f>IF(AQ295="1",BH295,0)</f>
        <v>0</v>
      </c>
      <c r="AC295" s="39">
        <f>IF(AQ295="1",BI295,0)</f>
        <v>0</v>
      </c>
      <c r="AD295" s="39">
        <f>IF(AQ295="7",BH295,0)</f>
        <v>0</v>
      </c>
      <c r="AE295" s="39">
        <f>IF(AQ295="7",BI295,0)</f>
        <v>0</v>
      </c>
      <c r="AF295" s="39">
        <f>IF(AQ295="2",BH295,0)</f>
        <v>0</v>
      </c>
      <c r="AG295" s="39">
        <f>IF(AQ295="2",BI295,0)</f>
        <v>0</v>
      </c>
      <c r="AH295" s="39">
        <f>IF(AQ295="0",BJ295,0)</f>
        <v>0</v>
      </c>
      <c r="AI295" s="68" t="s">
        <v>587</v>
      </c>
      <c r="AJ295" s="39">
        <f>IF(AN295=0,L295,0)</f>
        <v>0</v>
      </c>
      <c r="AK295" s="39">
        <f>IF(AN295=15,L295,0)</f>
        <v>0</v>
      </c>
      <c r="AL295" s="39">
        <f>IF(AN295=21,L295,0)</f>
        <v>0</v>
      </c>
      <c r="AN295" s="39">
        <v>21</v>
      </c>
      <c r="AO295" s="39">
        <f>I295*0.228943560057887</f>
        <v>0</v>
      </c>
      <c r="AP295" s="39">
        <f>I295*(1-0.228943560057887)</f>
        <v>0</v>
      </c>
      <c r="AQ295" s="40" t="s">
        <v>846</v>
      </c>
      <c r="AV295" s="39">
        <f>AW295+AX295</f>
        <v>0</v>
      </c>
      <c r="AW295" s="39">
        <f>H295*AO295</f>
        <v>0</v>
      </c>
      <c r="AX295" s="39">
        <f>H295*AP295</f>
        <v>0</v>
      </c>
      <c r="AY295" s="40" t="s">
        <v>866</v>
      </c>
      <c r="AZ295" s="40" t="s">
        <v>207</v>
      </c>
      <c r="BA295" s="68" t="s">
        <v>648</v>
      </c>
      <c r="BC295" s="39">
        <f>AW295+AX295</f>
        <v>0</v>
      </c>
      <c r="BD295" s="39">
        <f>I295/(100-BE295)*100</f>
        <v>0</v>
      </c>
      <c r="BE295" s="39">
        <v>0</v>
      </c>
      <c r="BF295" s="39">
        <f>303</f>
        <v>303</v>
      </c>
      <c r="BH295" s="39">
        <f>H295*AO295</f>
        <v>0</v>
      </c>
      <c r="BI295" s="39">
        <f>H295*AP295</f>
        <v>0</v>
      </c>
      <c r="BJ295" s="39">
        <f>H295*I295</f>
        <v>0</v>
      </c>
      <c r="BK295" s="39"/>
      <c r="BL295" s="39">
        <v>771</v>
      </c>
    </row>
    <row r="296" spans="1:64" ht="13.5" customHeight="1">
      <c r="A296" s="81"/>
      <c r="B296" s="82" t="s">
        <v>440</v>
      </c>
      <c r="C296" s="223" t="s">
        <v>838</v>
      </c>
      <c r="D296" s="224"/>
      <c r="E296" s="224"/>
      <c r="F296" s="224"/>
      <c r="G296" s="224"/>
      <c r="H296" s="224"/>
      <c r="I296" s="224"/>
      <c r="J296" s="224"/>
      <c r="K296" s="224"/>
      <c r="L296" s="224"/>
      <c r="M296" s="225"/>
    </row>
    <row r="297" spans="1:64" ht="15" customHeight="1">
      <c r="A297" s="37" t="s">
        <v>941</v>
      </c>
      <c r="B297" s="38" t="s">
        <v>667</v>
      </c>
      <c r="C297" s="195" t="s">
        <v>276</v>
      </c>
      <c r="D297" s="195"/>
      <c r="E297" s="195"/>
      <c r="F297" s="195"/>
      <c r="G297" s="38" t="s">
        <v>831</v>
      </c>
      <c r="H297" s="39">
        <v>31.68</v>
      </c>
      <c r="I297" s="39">
        <v>0</v>
      </c>
      <c r="J297" s="39">
        <f>H297*AO297</f>
        <v>0</v>
      </c>
      <c r="K297" s="39">
        <f>H297*AP297</f>
        <v>0</v>
      </c>
      <c r="L297" s="39">
        <f>H297*I297</f>
        <v>0</v>
      </c>
      <c r="M297" s="80" t="s">
        <v>576</v>
      </c>
      <c r="Z297" s="39">
        <f>IF(AQ297="5",BJ297,0)</f>
        <v>0</v>
      </c>
      <c r="AB297" s="39">
        <f>IF(AQ297="1",BH297,0)</f>
        <v>0</v>
      </c>
      <c r="AC297" s="39">
        <f>IF(AQ297="1",BI297,0)</f>
        <v>0</v>
      </c>
      <c r="AD297" s="39">
        <f>IF(AQ297="7",BH297,0)</f>
        <v>0</v>
      </c>
      <c r="AE297" s="39">
        <f>IF(AQ297="7",BI297,0)</f>
        <v>0</v>
      </c>
      <c r="AF297" s="39">
        <f>IF(AQ297="2",BH297,0)</f>
        <v>0</v>
      </c>
      <c r="AG297" s="39">
        <f>IF(AQ297="2",BI297,0)</f>
        <v>0</v>
      </c>
      <c r="AH297" s="39">
        <f>IF(AQ297="0",BJ297,0)</f>
        <v>0</v>
      </c>
      <c r="AI297" s="68" t="s">
        <v>587</v>
      </c>
      <c r="AJ297" s="39">
        <f>IF(AN297=0,L297,0)</f>
        <v>0</v>
      </c>
      <c r="AK297" s="39">
        <f>IF(AN297=15,L297,0)</f>
        <v>0</v>
      </c>
      <c r="AL297" s="39">
        <f>IF(AN297=21,L297,0)</f>
        <v>0</v>
      </c>
      <c r="AN297" s="39">
        <v>21</v>
      </c>
      <c r="AO297" s="39">
        <f>I297*1</f>
        <v>0</v>
      </c>
      <c r="AP297" s="39">
        <f>I297*(1-1)</f>
        <v>0</v>
      </c>
      <c r="AQ297" s="40" t="s">
        <v>846</v>
      </c>
      <c r="AV297" s="39">
        <f>AW297+AX297</f>
        <v>0</v>
      </c>
      <c r="AW297" s="39">
        <f>H297*AO297</f>
        <v>0</v>
      </c>
      <c r="AX297" s="39">
        <f>H297*AP297</f>
        <v>0</v>
      </c>
      <c r="AY297" s="40" t="s">
        <v>866</v>
      </c>
      <c r="AZ297" s="40" t="s">
        <v>207</v>
      </c>
      <c r="BA297" s="68" t="s">
        <v>648</v>
      </c>
      <c r="BC297" s="39">
        <f>AW297+AX297</f>
        <v>0</v>
      </c>
      <c r="BD297" s="39">
        <f>I297/(100-BE297)*100</f>
        <v>0</v>
      </c>
      <c r="BE297" s="39">
        <v>0</v>
      </c>
      <c r="BF297" s="39">
        <f>305</f>
        <v>305</v>
      </c>
      <c r="BH297" s="39">
        <f>H297*AO297</f>
        <v>0</v>
      </c>
      <c r="BI297" s="39">
        <f>H297*AP297</f>
        <v>0</v>
      </c>
      <c r="BJ297" s="39">
        <f>H297*I297</f>
        <v>0</v>
      </c>
      <c r="BK297" s="39"/>
      <c r="BL297" s="39">
        <v>771</v>
      </c>
    </row>
    <row r="298" spans="1:64" ht="15" customHeight="1">
      <c r="A298" s="37" t="s">
        <v>221</v>
      </c>
      <c r="B298" s="38" t="s">
        <v>195</v>
      </c>
      <c r="C298" s="195" t="s">
        <v>810</v>
      </c>
      <c r="D298" s="195"/>
      <c r="E298" s="195"/>
      <c r="F298" s="195"/>
      <c r="G298" s="38" t="s">
        <v>701</v>
      </c>
      <c r="H298" s="39">
        <v>91.38</v>
      </c>
      <c r="I298" s="39">
        <v>0</v>
      </c>
      <c r="J298" s="39">
        <f>H298*AO298</f>
        <v>0</v>
      </c>
      <c r="K298" s="39">
        <f>H298*AP298</f>
        <v>0</v>
      </c>
      <c r="L298" s="39">
        <f>H298*I298</f>
        <v>0</v>
      </c>
      <c r="M298" s="80" t="s">
        <v>576</v>
      </c>
      <c r="Z298" s="39">
        <f>IF(AQ298="5",BJ298,0)</f>
        <v>0</v>
      </c>
      <c r="AB298" s="39">
        <f>IF(AQ298="1",BH298,0)</f>
        <v>0</v>
      </c>
      <c r="AC298" s="39">
        <f>IF(AQ298="1",BI298,0)</f>
        <v>0</v>
      </c>
      <c r="AD298" s="39">
        <f>IF(AQ298="7",BH298,0)</f>
        <v>0</v>
      </c>
      <c r="AE298" s="39">
        <f>IF(AQ298="7",BI298,0)</f>
        <v>0</v>
      </c>
      <c r="AF298" s="39">
        <f>IF(AQ298="2",BH298,0)</f>
        <v>0</v>
      </c>
      <c r="AG298" s="39">
        <f>IF(AQ298="2",BI298,0)</f>
        <v>0</v>
      </c>
      <c r="AH298" s="39">
        <f>IF(AQ298="0",BJ298,0)</f>
        <v>0</v>
      </c>
      <c r="AI298" s="68" t="s">
        <v>587</v>
      </c>
      <c r="AJ298" s="39">
        <f>IF(AN298=0,L298,0)</f>
        <v>0</v>
      </c>
      <c r="AK298" s="39">
        <f>IF(AN298=15,L298,0)</f>
        <v>0</v>
      </c>
      <c r="AL298" s="39">
        <f>IF(AN298=21,L298,0)</f>
        <v>0</v>
      </c>
      <c r="AN298" s="39">
        <v>21</v>
      </c>
      <c r="AO298" s="39">
        <f>I298*0.551764705882353</f>
        <v>0</v>
      </c>
      <c r="AP298" s="39">
        <f>I298*(1-0.551764705882353)</f>
        <v>0</v>
      </c>
      <c r="AQ298" s="40" t="s">
        <v>846</v>
      </c>
      <c r="AV298" s="39">
        <f>AW298+AX298</f>
        <v>0</v>
      </c>
      <c r="AW298" s="39">
        <f>H298*AO298</f>
        <v>0</v>
      </c>
      <c r="AX298" s="39">
        <f>H298*AP298</f>
        <v>0</v>
      </c>
      <c r="AY298" s="40" t="s">
        <v>866</v>
      </c>
      <c r="AZ298" s="40" t="s">
        <v>207</v>
      </c>
      <c r="BA298" s="68" t="s">
        <v>648</v>
      </c>
      <c r="BC298" s="39">
        <f>AW298+AX298</f>
        <v>0</v>
      </c>
      <c r="BD298" s="39">
        <f>I298/(100-BE298)*100</f>
        <v>0</v>
      </c>
      <c r="BE298" s="39">
        <v>0</v>
      </c>
      <c r="BF298" s="39">
        <f>306</f>
        <v>306</v>
      </c>
      <c r="BH298" s="39">
        <f>H298*AO298</f>
        <v>0</v>
      </c>
      <c r="BI298" s="39">
        <f>H298*AP298</f>
        <v>0</v>
      </c>
      <c r="BJ298" s="39">
        <f>H298*I298</f>
        <v>0</v>
      </c>
      <c r="BK298" s="39"/>
      <c r="BL298" s="39">
        <v>771</v>
      </c>
    </row>
    <row r="299" spans="1:64" ht="15" customHeight="1">
      <c r="A299" s="37" t="s">
        <v>325</v>
      </c>
      <c r="B299" s="38" t="s">
        <v>262</v>
      </c>
      <c r="C299" s="195" t="s">
        <v>792</v>
      </c>
      <c r="D299" s="195"/>
      <c r="E299" s="195"/>
      <c r="F299" s="195"/>
      <c r="G299" s="38" t="s">
        <v>831</v>
      </c>
      <c r="H299" s="39">
        <v>28.8</v>
      </c>
      <c r="I299" s="39">
        <v>0</v>
      </c>
      <c r="J299" s="39">
        <f>H299*AO299</f>
        <v>0</v>
      </c>
      <c r="K299" s="39">
        <f>H299*AP299</f>
        <v>0</v>
      </c>
      <c r="L299" s="39">
        <f>H299*I299</f>
        <v>0</v>
      </c>
      <c r="M299" s="80" t="s">
        <v>576</v>
      </c>
      <c r="Z299" s="39">
        <f>IF(AQ299="5",BJ299,0)</f>
        <v>0</v>
      </c>
      <c r="AB299" s="39">
        <f>IF(AQ299="1",BH299,0)</f>
        <v>0</v>
      </c>
      <c r="AC299" s="39">
        <f>IF(AQ299="1",BI299,0)</f>
        <v>0</v>
      </c>
      <c r="AD299" s="39">
        <f>IF(AQ299="7",BH299,0)</f>
        <v>0</v>
      </c>
      <c r="AE299" s="39">
        <f>IF(AQ299="7",BI299,0)</f>
        <v>0</v>
      </c>
      <c r="AF299" s="39">
        <f>IF(AQ299="2",BH299,0)</f>
        <v>0</v>
      </c>
      <c r="AG299" s="39">
        <f>IF(AQ299="2",BI299,0)</f>
        <v>0</v>
      </c>
      <c r="AH299" s="39">
        <f>IF(AQ299="0",BJ299,0)</f>
        <v>0</v>
      </c>
      <c r="AI299" s="68" t="s">
        <v>587</v>
      </c>
      <c r="AJ299" s="39">
        <f>IF(AN299=0,L299,0)</f>
        <v>0</v>
      </c>
      <c r="AK299" s="39">
        <f>IF(AN299=15,L299,0)</f>
        <v>0</v>
      </c>
      <c r="AL299" s="39">
        <f>IF(AN299=21,L299,0)</f>
        <v>0</v>
      </c>
      <c r="AN299" s="39">
        <v>21</v>
      </c>
      <c r="AO299" s="39">
        <f>I299*1.00004367765888</f>
        <v>0</v>
      </c>
      <c r="AP299" s="39">
        <f>I299*(1-1.00004367765888)</f>
        <v>0</v>
      </c>
      <c r="AQ299" s="40" t="s">
        <v>846</v>
      </c>
      <c r="AV299" s="39">
        <f>AW299+AX299</f>
        <v>0</v>
      </c>
      <c r="AW299" s="39">
        <f>H299*AO299</f>
        <v>0</v>
      </c>
      <c r="AX299" s="39">
        <f>H299*AP299</f>
        <v>0</v>
      </c>
      <c r="AY299" s="40" t="s">
        <v>866</v>
      </c>
      <c r="AZ299" s="40" t="s">
        <v>207</v>
      </c>
      <c r="BA299" s="68" t="s">
        <v>648</v>
      </c>
      <c r="BC299" s="39">
        <f>AW299+AX299</f>
        <v>0</v>
      </c>
      <c r="BD299" s="39">
        <f>I299/(100-BE299)*100</f>
        <v>0</v>
      </c>
      <c r="BE299" s="39">
        <v>0</v>
      </c>
      <c r="BF299" s="39">
        <f>307</f>
        <v>307</v>
      </c>
      <c r="BH299" s="39">
        <f>H299*AO299</f>
        <v>0</v>
      </c>
      <c r="BI299" s="39">
        <f>H299*AP299</f>
        <v>0</v>
      </c>
      <c r="BJ299" s="39">
        <f>H299*I299</f>
        <v>0</v>
      </c>
      <c r="BK299" s="39"/>
      <c r="BL299" s="39">
        <v>771</v>
      </c>
    </row>
    <row r="300" spans="1:64" ht="15" customHeight="1">
      <c r="A300" s="37" t="s">
        <v>300</v>
      </c>
      <c r="B300" s="38" t="s">
        <v>393</v>
      </c>
      <c r="C300" s="195" t="s">
        <v>292</v>
      </c>
      <c r="D300" s="195"/>
      <c r="E300" s="195"/>
      <c r="F300" s="195"/>
      <c r="G300" s="38" t="s">
        <v>831</v>
      </c>
      <c r="H300" s="39">
        <v>141.96</v>
      </c>
      <c r="I300" s="39">
        <v>0</v>
      </c>
      <c r="J300" s="39">
        <f>H300*AO300</f>
        <v>0</v>
      </c>
      <c r="K300" s="39">
        <f>H300*AP300</f>
        <v>0</v>
      </c>
      <c r="L300" s="39">
        <f>H300*I300</f>
        <v>0</v>
      </c>
      <c r="M300" s="80" t="s">
        <v>576</v>
      </c>
      <c r="Z300" s="39">
        <f>IF(AQ300="5",BJ300,0)</f>
        <v>0</v>
      </c>
      <c r="AB300" s="39">
        <f>IF(AQ300="1",BH300,0)</f>
        <v>0</v>
      </c>
      <c r="AC300" s="39">
        <f>IF(AQ300="1",BI300,0)</f>
        <v>0</v>
      </c>
      <c r="AD300" s="39">
        <f>IF(AQ300="7",BH300,0)</f>
        <v>0</v>
      </c>
      <c r="AE300" s="39">
        <f>IF(AQ300="7",BI300,0)</f>
        <v>0</v>
      </c>
      <c r="AF300" s="39">
        <f>IF(AQ300="2",BH300,0)</f>
        <v>0</v>
      </c>
      <c r="AG300" s="39">
        <f>IF(AQ300="2",BI300,0)</f>
        <v>0</v>
      </c>
      <c r="AH300" s="39">
        <f>IF(AQ300="0",BJ300,0)</f>
        <v>0</v>
      </c>
      <c r="AI300" s="68" t="s">
        <v>587</v>
      </c>
      <c r="AJ300" s="39">
        <f>IF(AN300=0,L300,0)</f>
        <v>0</v>
      </c>
      <c r="AK300" s="39">
        <f>IF(AN300=15,L300,0)</f>
        <v>0</v>
      </c>
      <c r="AL300" s="39">
        <f>IF(AN300=21,L300,0)</f>
        <v>0</v>
      </c>
      <c r="AN300" s="39">
        <v>21</v>
      </c>
      <c r="AO300" s="39">
        <f>I300*0.338658385093168</f>
        <v>0</v>
      </c>
      <c r="AP300" s="39">
        <f>I300*(1-0.338658385093168)</f>
        <v>0</v>
      </c>
      <c r="AQ300" s="40" t="s">
        <v>846</v>
      </c>
      <c r="AV300" s="39">
        <f>AW300+AX300</f>
        <v>0</v>
      </c>
      <c r="AW300" s="39">
        <f>H300*AO300</f>
        <v>0</v>
      </c>
      <c r="AX300" s="39">
        <f>H300*AP300</f>
        <v>0</v>
      </c>
      <c r="AY300" s="40" t="s">
        <v>866</v>
      </c>
      <c r="AZ300" s="40" t="s">
        <v>207</v>
      </c>
      <c r="BA300" s="68" t="s">
        <v>648</v>
      </c>
      <c r="BC300" s="39">
        <f>AW300+AX300</f>
        <v>0</v>
      </c>
      <c r="BD300" s="39">
        <f>I300/(100-BE300)*100</f>
        <v>0</v>
      </c>
      <c r="BE300" s="39">
        <v>0</v>
      </c>
      <c r="BF300" s="39">
        <f>308</f>
        <v>308</v>
      </c>
      <c r="BH300" s="39">
        <f>H300*AO300</f>
        <v>0</v>
      </c>
      <c r="BI300" s="39">
        <f>H300*AP300</f>
        <v>0</v>
      </c>
      <c r="BJ300" s="39">
        <f>H300*I300</f>
        <v>0</v>
      </c>
      <c r="BK300" s="39"/>
      <c r="BL300" s="39">
        <v>771</v>
      </c>
    </row>
    <row r="301" spans="1:64" ht="13.5" customHeight="1">
      <c r="A301" s="81"/>
      <c r="B301" s="82" t="s">
        <v>440</v>
      </c>
      <c r="C301" s="223" t="s">
        <v>788</v>
      </c>
      <c r="D301" s="224"/>
      <c r="E301" s="224"/>
      <c r="F301" s="224"/>
      <c r="G301" s="224"/>
      <c r="H301" s="224"/>
      <c r="I301" s="224"/>
      <c r="J301" s="224"/>
      <c r="K301" s="224"/>
      <c r="L301" s="224"/>
      <c r="M301" s="225"/>
    </row>
    <row r="302" spans="1:64" ht="15" customHeight="1">
      <c r="A302" s="37" t="s">
        <v>555</v>
      </c>
      <c r="B302" s="38" t="s">
        <v>931</v>
      </c>
      <c r="C302" s="195" t="s">
        <v>213</v>
      </c>
      <c r="D302" s="195"/>
      <c r="E302" s="195"/>
      <c r="F302" s="195"/>
      <c r="G302" s="38" t="s">
        <v>831</v>
      </c>
      <c r="H302" s="39">
        <v>249.96</v>
      </c>
      <c r="I302" s="39">
        <v>0</v>
      </c>
      <c r="J302" s="39">
        <f>H302*AO302</f>
        <v>0</v>
      </c>
      <c r="K302" s="39">
        <f>H302*AP302</f>
        <v>0</v>
      </c>
      <c r="L302" s="39">
        <f>H302*I302</f>
        <v>0</v>
      </c>
      <c r="M302" s="80" t="s">
        <v>576</v>
      </c>
      <c r="Z302" s="39">
        <f>IF(AQ302="5",BJ302,0)</f>
        <v>0</v>
      </c>
      <c r="AB302" s="39">
        <f>IF(AQ302="1",BH302,0)</f>
        <v>0</v>
      </c>
      <c r="AC302" s="39">
        <f>IF(AQ302="1",BI302,0)</f>
        <v>0</v>
      </c>
      <c r="AD302" s="39">
        <f>IF(AQ302="7",BH302,0)</f>
        <v>0</v>
      </c>
      <c r="AE302" s="39">
        <f>IF(AQ302="7",BI302,0)</f>
        <v>0</v>
      </c>
      <c r="AF302" s="39">
        <f>IF(AQ302="2",BH302,0)</f>
        <v>0</v>
      </c>
      <c r="AG302" s="39">
        <f>IF(AQ302="2",BI302,0)</f>
        <v>0</v>
      </c>
      <c r="AH302" s="39">
        <f>IF(AQ302="0",BJ302,0)</f>
        <v>0</v>
      </c>
      <c r="AI302" s="68" t="s">
        <v>587</v>
      </c>
      <c r="AJ302" s="39">
        <f>IF(AN302=0,L302,0)</f>
        <v>0</v>
      </c>
      <c r="AK302" s="39">
        <f>IF(AN302=15,L302,0)</f>
        <v>0</v>
      </c>
      <c r="AL302" s="39">
        <f>IF(AN302=21,L302,0)</f>
        <v>0</v>
      </c>
      <c r="AN302" s="39">
        <v>21</v>
      </c>
      <c r="AO302" s="39">
        <f>I302*0</f>
        <v>0</v>
      </c>
      <c r="AP302" s="39">
        <f>I302*(1-0)</f>
        <v>0</v>
      </c>
      <c r="AQ302" s="40" t="s">
        <v>846</v>
      </c>
      <c r="AV302" s="39">
        <f>AW302+AX302</f>
        <v>0</v>
      </c>
      <c r="AW302" s="39">
        <f>H302*AO302</f>
        <v>0</v>
      </c>
      <c r="AX302" s="39">
        <f>H302*AP302</f>
        <v>0</v>
      </c>
      <c r="AY302" s="40" t="s">
        <v>866</v>
      </c>
      <c r="AZ302" s="40" t="s">
        <v>207</v>
      </c>
      <c r="BA302" s="68" t="s">
        <v>648</v>
      </c>
      <c r="BC302" s="39">
        <f>AW302+AX302</f>
        <v>0</v>
      </c>
      <c r="BD302" s="39">
        <f>I302/(100-BE302)*100</f>
        <v>0</v>
      </c>
      <c r="BE302" s="39">
        <v>0</v>
      </c>
      <c r="BF302" s="39">
        <f>310</f>
        <v>310</v>
      </c>
      <c r="BH302" s="39">
        <f>H302*AO302</f>
        <v>0</v>
      </c>
      <c r="BI302" s="39">
        <f>H302*AP302</f>
        <v>0</v>
      </c>
      <c r="BJ302" s="39">
        <f>H302*I302</f>
        <v>0</v>
      </c>
      <c r="BK302" s="39"/>
      <c r="BL302" s="39">
        <v>771</v>
      </c>
    </row>
    <row r="303" spans="1:64" ht="15" customHeight="1">
      <c r="A303" s="37" t="s">
        <v>138</v>
      </c>
      <c r="B303" s="38" t="s">
        <v>78</v>
      </c>
      <c r="C303" s="195" t="s">
        <v>384</v>
      </c>
      <c r="D303" s="195"/>
      <c r="E303" s="195"/>
      <c r="F303" s="195"/>
      <c r="G303" s="38" t="s">
        <v>831</v>
      </c>
      <c r="H303" s="39">
        <v>156.15600000000001</v>
      </c>
      <c r="I303" s="39">
        <v>0</v>
      </c>
      <c r="J303" s="39">
        <f>H303*AO303</f>
        <v>0</v>
      </c>
      <c r="K303" s="39">
        <f>H303*AP303</f>
        <v>0</v>
      </c>
      <c r="L303" s="39">
        <f>H303*I303</f>
        <v>0</v>
      </c>
      <c r="M303" s="80" t="s">
        <v>576</v>
      </c>
      <c r="Z303" s="39">
        <f>IF(AQ303="5",BJ303,0)</f>
        <v>0</v>
      </c>
      <c r="AB303" s="39">
        <f>IF(AQ303="1",BH303,0)</f>
        <v>0</v>
      </c>
      <c r="AC303" s="39">
        <f>IF(AQ303="1",BI303,0)</f>
        <v>0</v>
      </c>
      <c r="AD303" s="39">
        <f>IF(AQ303="7",BH303,0)</f>
        <v>0</v>
      </c>
      <c r="AE303" s="39">
        <f>IF(AQ303="7",BI303,0)</f>
        <v>0</v>
      </c>
      <c r="AF303" s="39">
        <f>IF(AQ303="2",BH303,0)</f>
        <v>0</v>
      </c>
      <c r="AG303" s="39">
        <f>IF(AQ303="2",BI303,0)</f>
        <v>0</v>
      </c>
      <c r="AH303" s="39">
        <f>IF(AQ303="0",BJ303,0)</f>
        <v>0</v>
      </c>
      <c r="AI303" s="68" t="s">
        <v>587</v>
      </c>
      <c r="AJ303" s="39">
        <f>IF(AN303=0,L303,0)</f>
        <v>0</v>
      </c>
      <c r="AK303" s="39">
        <f>IF(AN303=15,L303,0)</f>
        <v>0</v>
      </c>
      <c r="AL303" s="39">
        <f>IF(AN303=21,L303,0)</f>
        <v>0</v>
      </c>
      <c r="AN303" s="39">
        <v>21</v>
      </c>
      <c r="AO303" s="39">
        <f>I303*1</f>
        <v>0</v>
      </c>
      <c r="AP303" s="39">
        <f>I303*(1-1)</f>
        <v>0</v>
      </c>
      <c r="AQ303" s="40" t="s">
        <v>846</v>
      </c>
      <c r="AV303" s="39">
        <f>AW303+AX303</f>
        <v>0</v>
      </c>
      <c r="AW303" s="39">
        <f>H303*AO303</f>
        <v>0</v>
      </c>
      <c r="AX303" s="39">
        <f>H303*AP303</f>
        <v>0</v>
      </c>
      <c r="AY303" s="40" t="s">
        <v>866</v>
      </c>
      <c r="AZ303" s="40" t="s">
        <v>207</v>
      </c>
      <c r="BA303" s="68" t="s">
        <v>648</v>
      </c>
      <c r="BC303" s="39">
        <f>AW303+AX303</f>
        <v>0</v>
      </c>
      <c r="BD303" s="39">
        <f>I303/(100-BE303)*100</f>
        <v>0</v>
      </c>
      <c r="BE303" s="39">
        <v>0</v>
      </c>
      <c r="BF303" s="39">
        <f>311</f>
        <v>311</v>
      </c>
      <c r="BH303" s="39">
        <f>H303*AO303</f>
        <v>0</v>
      </c>
      <c r="BI303" s="39">
        <f>H303*AP303</f>
        <v>0</v>
      </c>
      <c r="BJ303" s="39">
        <f>H303*I303</f>
        <v>0</v>
      </c>
      <c r="BK303" s="39"/>
      <c r="BL303" s="39">
        <v>771</v>
      </c>
    </row>
    <row r="304" spans="1:64" ht="15" customHeight="1">
      <c r="A304" s="37" t="s">
        <v>320</v>
      </c>
      <c r="B304" s="38" t="s">
        <v>262</v>
      </c>
      <c r="C304" s="195" t="s">
        <v>792</v>
      </c>
      <c r="D304" s="195"/>
      <c r="E304" s="195"/>
      <c r="F304" s="195"/>
      <c r="G304" s="38" t="s">
        <v>831</v>
      </c>
      <c r="H304" s="39">
        <v>141.96</v>
      </c>
      <c r="I304" s="39">
        <v>0</v>
      </c>
      <c r="J304" s="39">
        <f>H304*AO304</f>
        <v>0</v>
      </c>
      <c r="K304" s="39">
        <f>H304*AP304</f>
        <v>0</v>
      </c>
      <c r="L304" s="39">
        <f>H304*I304</f>
        <v>0</v>
      </c>
      <c r="M304" s="80" t="s">
        <v>576</v>
      </c>
      <c r="Z304" s="39">
        <f>IF(AQ304="5",BJ304,0)</f>
        <v>0</v>
      </c>
      <c r="AB304" s="39">
        <f>IF(AQ304="1",BH304,0)</f>
        <v>0</v>
      </c>
      <c r="AC304" s="39">
        <f>IF(AQ304="1",BI304,0)</f>
        <v>0</v>
      </c>
      <c r="AD304" s="39">
        <f>IF(AQ304="7",BH304,0)</f>
        <v>0</v>
      </c>
      <c r="AE304" s="39">
        <f>IF(AQ304="7",BI304,0)</f>
        <v>0</v>
      </c>
      <c r="AF304" s="39">
        <f>IF(AQ304="2",BH304,0)</f>
        <v>0</v>
      </c>
      <c r="AG304" s="39">
        <f>IF(AQ304="2",BI304,0)</f>
        <v>0</v>
      </c>
      <c r="AH304" s="39">
        <f>IF(AQ304="0",BJ304,0)</f>
        <v>0</v>
      </c>
      <c r="AI304" s="68" t="s">
        <v>587</v>
      </c>
      <c r="AJ304" s="39">
        <f>IF(AN304=0,L304,0)</f>
        <v>0</v>
      </c>
      <c r="AK304" s="39">
        <f>IF(AN304=15,L304,0)</f>
        <v>0</v>
      </c>
      <c r="AL304" s="39">
        <f>IF(AN304=21,L304,0)</f>
        <v>0</v>
      </c>
      <c r="AN304" s="39">
        <v>21</v>
      </c>
      <c r="AO304" s="39">
        <f>I304*0.999984051036683</f>
        <v>0</v>
      </c>
      <c r="AP304" s="39">
        <f>I304*(1-0.999984051036683)</f>
        <v>0</v>
      </c>
      <c r="AQ304" s="40" t="s">
        <v>846</v>
      </c>
      <c r="AV304" s="39">
        <f>AW304+AX304</f>
        <v>0</v>
      </c>
      <c r="AW304" s="39">
        <f>H304*AO304</f>
        <v>0</v>
      </c>
      <c r="AX304" s="39">
        <f>H304*AP304</f>
        <v>0</v>
      </c>
      <c r="AY304" s="40" t="s">
        <v>866</v>
      </c>
      <c r="AZ304" s="40" t="s">
        <v>207</v>
      </c>
      <c r="BA304" s="68" t="s">
        <v>648</v>
      </c>
      <c r="BC304" s="39">
        <f>AW304+AX304</f>
        <v>0</v>
      </c>
      <c r="BD304" s="39">
        <f>I304/(100-BE304)*100</f>
        <v>0</v>
      </c>
      <c r="BE304" s="39">
        <v>0</v>
      </c>
      <c r="BF304" s="39">
        <f>312</f>
        <v>312</v>
      </c>
      <c r="BH304" s="39">
        <f>H304*AO304</f>
        <v>0</v>
      </c>
      <c r="BI304" s="39">
        <f>H304*AP304</f>
        <v>0</v>
      </c>
      <c r="BJ304" s="39">
        <f>H304*I304</f>
        <v>0</v>
      </c>
      <c r="BK304" s="39"/>
      <c r="BL304" s="39">
        <v>771</v>
      </c>
    </row>
    <row r="305" spans="1:64" ht="15" customHeight="1">
      <c r="A305" s="37" t="s">
        <v>705</v>
      </c>
      <c r="B305" s="38" t="s">
        <v>260</v>
      </c>
      <c r="C305" s="195" t="s">
        <v>566</v>
      </c>
      <c r="D305" s="195"/>
      <c r="E305" s="195"/>
      <c r="F305" s="195"/>
      <c r="G305" s="38" t="s">
        <v>831</v>
      </c>
      <c r="H305" s="39">
        <v>7.5</v>
      </c>
      <c r="I305" s="39">
        <v>0</v>
      </c>
      <c r="J305" s="39">
        <f>H305*AO305</f>
        <v>0</v>
      </c>
      <c r="K305" s="39">
        <f>H305*AP305</f>
        <v>0</v>
      </c>
      <c r="L305" s="39">
        <f>H305*I305</f>
        <v>0</v>
      </c>
      <c r="M305" s="80" t="s">
        <v>576</v>
      </c>
      <c r="Z305" s="39">
        <f>IF(AQ305="5",BJ305,0)</f>
        <v>0</v>
      </c>
      <c r="AB305" s="39">
        <f>IF(AQ305="1",BH305,0)</f>
        <v>0</v>
      </c>
      <c r="AC305" s="39">
        <f>IF(AQ305="1",BI305,0)</f>
        <v>0</v>
      </c>
      <c r="AD305" s="39">
        <f>IF(AQ305="7",BH305,0)</f>
        <v>0</v>
      </c>
      <c r="AE305" s="39">
        <f>IF(AQ305="7",BI305,0)</f>
        <v>0</v>
      </c>
      <c r="AF305" s="39">
        <f>IF(AQ305="2",BH305,0)</f>
        <v>0</v>
      </c>
      <c r="AG305" s="39">
        <f>IF(AQ305="2",BI305,0)</f>
        <v>0</v>
      </c>
      <c r="AH305" s="39">
        <f>IF(AQ305="0",BJ305,0)</f>
        <v>0</v>
      </c>
      <c r="AI305" s="68" t="s">
        <v>587</v>
      </c>
      <c r="AJ305" s="39">
        <f>IF(AN305=0,L305,0)</f>
        <v>0</v>
      </c>
      <c r="AK305" s="39">
        <f>IF(AN305=15,L305,0)</f>
        <v>0</v>
      </c>
      <c r="AL305" s="39">
        <f>IF(AN305=21,L305,0)</f>
        <v>0</v>
      </c>
      <c r="AN305" s="39">
        <v>21</v>
      </c>
      <c r="AO305" s="39">
        <f>I305*0</f>
        <v>0</v>
      </c>
      <c r="AP305" s="39">
        <f>I305*(1-0)</f>
        <v>0</v>
      </c>
      <c r="AQ305" s="40" t="s">
        <v>846</v>
      </c>
      <c r="AV305" s="39">
        <f>AW305+AX305</f>
        <v>0</v>
      </c>
      <c r="AW305" s="39">
        <f>H305*AO305</f>
        <v>0</v>
      </c>
      <c r="AX305" s="39">
        <f>H305*AP305</f>
        <v>0</v>
      </c>
      <c r="AY305" s="40" t="s">
        <v>866</v>
      </c>
      <c r="AZ305" s="40" t="s">
        <v>207</v>
      </c>
      <c r="BA305" s="68" t="s">
        <v>648</v>
      </c>
      <c r="BC305" s="39">
        <f>AW305+AX305</f>
        <v>0</v>
      </c>
      <c r="BD305" s="39">
        <f>I305/(100-BE305)*100</f>
        <v>0</v>
      </c>
      <c r="BE305" s="39">
        <v>0</v>
      </c>
      <c r="BF305" s="39">
        <f>313</f>
        <v>313</v>
      </c>
      <c r="BH305" s="39">
        <f>H305*AO305</f>
        <v>0</v>
      </c>
      <c r="BI305" s="39">
        <f>H305*AP305</f>
        <v>0</v>
      </c>
      <c r="BJ305" s="39">
        <f>H305*I305</f>
        <v>0</v>
      </c>
      <c r="BK305" s="39"/>
      <c r="BL305" s="39">
        <v>771</v>
      </c>
    </row>
    <row r="306" spans="1:64" ht="15" customHeight="1">
      <c r="A306" s="37" t="s">
        <v>12</v>
      </c>
      <c r="B306" s="38" t="s">
        <v>268</v>
      </c>
      <c r="C306" s="195" t="s">
        <v>652</v>
      </c>
      <c r="D306" s="195"/>
      <c r="E306" s="195"/>
      <c r="F306" s="195"/>
      <c r="G306" s="38" t="s">
        <v>401</v>
      </c>
      <c r="H306" s="39">
        <v>4.7750000000000004</v>
      </c>
      <c r="I306" s="39">
        <v>0</v>
      </c>
      <c r="J306" s="39">
        <f>H306*AO306</f>
        <v>0</v>
      </c>
      <c r="K306" s="39">
        <f>H306*AP306</f>
        <v>0</v>
      </c>
      <c r="L306" s="39">
        <f>H306*I306</f>
        <v>0</v>
      </c>
      <c r="M306" s="80" t="s">
        <v>576</v>
      </c>
      <c r="Z306" s="39">
        <f>IF(AQ306="5",BJ306,0)</f>
        <v>0</v>
      </c>
      <c r="AB306" s="39">
        <f>IF(AQ306="1",BH306,0)</f>
        <v>0</v>
      </c>
      <c r="AC306" s="39">
        <f>IF(AQ306="1",BI306,0)</f>
        <v>0</v>
      </c>
      <c r="AD306" s="39">
        <f>IF(AQ306="7",BH306,0)</f>
        <v>0</v>
      </c>
      <c r="AE306" s="39">
        <f>IF(AQ306="7",BI306,0)</f>
        <v>0</v>
      </c>
      <c r="AF306" s="39">
        <f>IF(AQ306="2",BH306,0)</f>
        <v>0</v>
      </c>
      <c r="AG306" s="39">
        <f>IF(AQ306="2",BI306,0)</f>
        <v>0</v>
      </c>
      <c r="AH306" s="39">
        <f>IF(AQ306="0",BJ306,0)</f>
        <v>0</v>
      </c>
      <c r="AI306" s="68" t="s">
        <v>587</v>
      </c>
      <c r="AJ306" s="39">
        <f>IF(AN306=0,L306,0)</f>
        <v>0</v>
      </c>
      <c r="AK306" s="39">
        <f>IF(AN306=15,L306,0)</f>
        <v>0</v>
      </c>
      <c r="AL306" s="39">
        <f>IF(AN306=21,L306,0)</f>
        <v>0</v>
      </c>
      <c r="AN306" s="39">
        <v>21</v>
      </c>
      <c r="AO306" s="39">
        <f>I306*0</f>
        <v>0</v>
      </c>
      <c r="AP306" s="39">
        <f>I306*(1-0)</f>
        <v>0</v>
      </c>
      <c r="AQ306" s="40" t="s">
        <v>454</v>
      </c>
      <c r="AV306" s="39">
        <f>AW306+AX306</f>
        <v>0</v>
      </c>
      <c r="AW306" s="39">
        <f>H306*AO306</f>
        <v>0</v>
      </c>
      <c r="AX306" s="39">
        <f>H306*AP306</f>
        <v>0</v>
      </c>
      <c r="AY306" s="40" t="s">
        <v>866</v>
      </c>
      <c r="AZ306" s="40" t="s">
        <v>207</v>
      </c>
      <c r="BA306" s="68" t="s">
        <v>648</v>
      </c>
      <c r="BC306" s="39">
        <f>AW306+AX306</f>
        <v>0</v>
      </c>
      <c r="BD306" s="39">
        <f>I306/(100-BE306)*100</f>
        <v>0</v>
      </c>
      <c r="BE306" s="39">
        <v>0</v>
      </c>
      <c r="BF306" s="39">
        <f>314</f>
        <v>314</v>
      </c>
      <c r="BH306" s="39">
        <f>H306*AO306</f>
        <v>0</v>
      </c>
      <c r="BI306" s="39">
        <f>H306*AP306</f>
        <v>0</v>
      </c>
      <c r="BJ306" s="39">
        <f>H306*I306</f>
        <v>0</v>
      </c>
      <c r="BK306" s="39"/>
      <c r="BL306" s="39">
        <v>771</v>
      </c>
    </row>
    <row r="307" spans="1:64" ht="15" customHeight="1">
      <c r="A307" s="76" t="s">
        <v>587</v>
      </c>
      <c r="B307" s="77" t="s">
        <v>683</v>
      </c>
      <c r="C307" s="221" t="s">
        <v>378</v>
      </c>
      <c r="D307" s="221"/>
      <c r="E307" s="221"/>
      <c r="F307" s="221"/>
      <c r="G307" s="78" t="s">
        <v>784</v>
      </c>
      <c r="H307" s="78" t="s">
        <v>784</v>
      </c>
      <c r="I307" s="78" t="s">
        <v>784</v>
      </c>
      <c r="J307" s="64">
        <f>SUM(J308:J316)</f>
        <v>0</v>
      </c>
      <c r="K307" s="64">
        <f>SUM(K308:K316)</f>
        <v>0</v>
      </c>
      <c r="L307" s="64">
        <f>SUM(L308:L316)</f>
        <v>0</v>
      </c>
      <c r="M307" s="79" t="s">
        <v>587</v>
      </c>
      <c r="AI307" s="68" t="s">
        <v>587</v>
      </c>
      <c r="AS307" s="64">
        <f>SUM(AJ308:AJ316)</f>
        <v>0</v>
      </c>
      <c r="AT307" s="64">
        <f>SUM(AK308:AK316)</f>
        <v>0</v>
      </c>
      <c r="AU307" s="64">
        <f>SUM(AL308:AL316)</f>
        <v>0</v>
      </c>
    </row>
    <row r="308" spans="1:64" ht="15" customHeight="1">
      <c r="A308" s="37" t="s">
        <v>373</v>
      </c>
      <c r="B308" s="38" t="s">
        <v>231</v>
      </c>
      <c r="C308" s="195" t="s">
        <v>471</v>
      </c>
      <c r="D308" s="195"/>
      <c r="E308" s="195"/>
      <c r="F308" s="195"/>
      <c r="G308" s="38" t="s">
        <v>831</v>
      </c>
      <c r="H308" s="39">
        <v>182.773</v>
      </c>
      <c r="I308" s="39">
        <v>0</v>
      </c>
      <c r="J308" s="39">
        <f>H308*AO308</f>
        <v>0</v>
      </c>
      <c r="K308" s="39">
        <f>H308*AP308</f>
        <v>0</v>
      </c>
      <c r="L308" s="39">
        <f>H308*I308</f>
        <v>0</v>
      </c>
      <c r="M308" s="80" t="s">
        <v>576</v>
      </c>
      <c r="Z308" s="39">
        <f>IF(AQ308="5",BJ308,0)</f>
        <v>0</v>
      </c>
      <c r="AB308" s="39">
        <f>IF(AQ308="1",BH308,0)</f>
        <v>0</v>
      </c>
      <c r="AC308" s="39">
        <f>IF(AQ308="1",BI308,0)</f>
        <v>0</v>
      </c>
      <c r="AD308" s="39">
        <f>IF(AQ308="7",BH308,0)</f>
        <v>0</v>
      </c>
      <c r="AE308" s="39">
        <f>IF(AQ308="7",BI308,0)</f>
        <v>0</v>
      </c>
      <c r="AF308" s="39">
        <f>IF(AQ308="2",BH308,0)</f>
        <v>0</v>
      </c>
      <c r="AG308" s="39">
        <f>IF(AQ308="2",BI308,0)</f>
        <v>0</v>
      </c>
      <c r="AH308" s="39">
        <f>IF(AQ308="0",BJ308,0)</f>
        <v>0</v>
      </c>
      <c r="AI308" s="68" t="s">
        <v>587</v>
      </c>
      <c r="AJ308" s="39">
        <f>IF(AN308=0,L308,0)</f>
        <v>0</v>
      </c>
      <c r="AK308" s="39">
        <f>IF(AN308=15,L308,0)</f>
        <v>0</v>
      </c>
      <c r="AL308" s="39">
        <f>IF(AN308=21,L308,0)</f>
        <v>0</v>
      </c>
      <c r="AN308" s="39">
        <v>21</v>
      </c>
      <c r="AO308" s="39">
        <f>I308*0.408351111745601</f>
        <v>0</v>
      </c>
      <c r="AP308" s="39">
        <f>I308*(1-0.408351111745601)</f>
        <v>0</v>
      </c>
      <c r="AQ308" s="40" t="s">
        <v>846</v>
      </c>
      <c r="AV308" s="39">
        <f>AW308+AX308</f>
        <v>0</v>
      </c>
      <c r="AW308" s="39">
        <f>H308*AO308</f>
        <v>0</v>
      </c>
      <c r="AX308" s="39">
        <f>H308*AP308</f>
        <v>0</v>
      </c>
      <c r="AY308" s="40" t="s">
        <v>392</v>
      </c>
      <c r="AZ308" s="40" t="s">
        <v>383</v>
      </c>
      <c r="BA308" s="68" t="s">
        <v>648</v>
      </c>
      <c r="BC308" s="39">
        <f>AW308+AX308</f>
        <v>0</v>
      </c>
      <c r="BD308" s="39">
        <f>I308/(100-BE308)*100</f>
        <v>0</v>
      </c>
      <c r="BE308" s="39">
        <v>0</v>
      </c>
      <c r="BF308" s="39">
        <f>316</f>
        <v>316</v>
      </c>
      <c r="BH308" s="39">
        <f>H308*AO308</f>
        <v>0</v>
      </c>
      <c r="BI308" s="39">
        <f>H308*AP308</f>
        <v>0</v>
      </c>
      <c r="BJ308" s="39">
        <f>H308*I308</f>
        <v>0</v>
      </c>
      <c r="BK308" s="39"/>
      <c r="BL308" s="39">
        <v>781</v>
      </c>
    </row>
    <row r="309" spans="1:64" ht="13.5" customHeight="1">
      <c r="A309" s="81"/>
      <c r="B309" s="82" t="s">
        <v>440</v>
      </c>
      <c r="C309" s="223" t="s">
        <v>367</v>
      </c>
      <c r="D309" s="224"/>
      <c r="E309" s="224"/>
      <c r="F309" s="224"/>
      <c r="G309" s="224"/>
      <c r="H309" s="224"/>
      <c r="I309" s="224"/>
      <c r="J309" s="224"/>
      <c r="K309" s="224"/>
      <c r="L309" s="224"/>
      <c r="M309" s="225"/>
    </row>
    <row r="310" spans="1:64" ht="15" customHeight="1">
      <c r="A310" s="37" t="s">
        <v>26</v>
      </c>
      <c r="B310" s="38" t="s">
        <v>826</v>
      </c>
      <c r="C310" s="195" t="s">
        <v>190</v>
      </c>
      <c r="D310" s="195"/>
      <c r="E310" s="195"/>
      <c r="F310" s="195"/>
      <c r="G310" s="38" t="s">
        <v>831</v>
      </c>
      <c r="H310" s="39">
        <v>182.773</v>
      </c>
      <c r="I310" s="39">
        <v>0</v>
      </c>
      <c r="J310" s="39">
        <f t="shared" ref="J310:J316" si="244">H310*AO310</f>
        <v>0</v>
      </c>
      <c r="K310" s="39">
        <f t="shared" ref="K310:K316" si="245">H310*AP310</f>
        <v>0</v>
      </c>
      <c r="L310" s="39">
        <f t="shared" ref="L310:L316" si="246">H310*I310</f>
        <v>0</v>
      </c>
      <c r="M310" s="80" t="s">
        <v>576</v>
      </c>
      <c r="Z310" s="39">
        <f t="shared" ref="Z310:Z316" si="247">IF(AQ310="5",BJ310,0)</f>
        <v>0</v>
      </c>
      <c r="AB310" s="39">
        <f t="shared" ref="AB310:AB316" si="248">IF(AQ310="1",BH310,0)</f>
        <v>0</v>
      </c>
      <c r="AC310" s="39">
        <f t="shared" ref="AC310:AC316" si="249">IF(AQ310="1",BI310,0)</f>
        <v>0</v>
      </c>
      <c r="AD310" s="39">
        <f t="shared" ref="AD310:AD316" si="250">IF(AQ310="7",BH310,0)</f>
        <v>0</v>
      </c>
      <c r="AE310" s="39">
        <f t="shared" ref="AE310:AE316" si="251">IF(AQ310="7",BI310,0)</f>
        <v>0</v>
      </c>
      <c r="AF310" s="39">
        <f t="shared" ref="AF310:AF316" si="252">IF(AQ310="2",BH310,0)</f>
        <v>0</v>
      </c>
      <c r="AG310" s="39">
        <f t="shared" ref="AG310:AG316" si="253">IF(AQ310="2",BI310,0)</f>
        <v>0</v>
      </c>
      <c r="AH310" s="39">
        <f t="shared" ref="AH310:AH316" si="254">IF(AQ310="0",BJ310,0)</f>
        <v>0</v>
      </c>
      <c r="AI310" s="68" t="s">
        <v>587</v>
      </c>
      <c r="AJ310" s="39">
        <f t="shared" ref="AJ310:AJ316" si="255">IF(AN310=0,L310,0)</f>
        <v>0</v>
      </c>
      <c r="AK310" s="39">
        <f t="shared" ref="AK310:AK316" si="256">IF(AN310=15,L310,0)</f>
        <v>0</v>
      </c>
      <c r="AL310" s="39">
        <f t="shared" ref="AL310:AL316" si="257">IF(AN310=21,L310,0)</f>
        <v>0</v>
      </c>
      <c r="AN310" s="39">
        <v>21</v>
      </c>
      <c r="AO310" s="39">
        <f>I310*0.158201317600552</f>
        <v>0</v>
      </c>
      <c r="AP310" s="39">
        <f>I310*(1-0.158201317600552)</f>
        <v>0</v>
      </c>
      <c r="AQ310" s="40" t="s">
        <v>846</v>
      </c>
      <c r="AV310" s="39">
        <f t="shared" ref="AV310:AV316" si="258">AW310+AX310</f>
        <v>0</v>
      </c>
      <c r="AW310" s="39">
        <f t="shared" ref="AW310:AW316" si="259">H310*AO310</f>
        <v>0</v>
      </c>
      <c r="AX310" s="39">
        <f t="shared" ref="AX310:AX316" si="260">H310*AP310</f>
        <v>0</v>
      </c>
      <c r="AY310" s="40" t="s">
        <v>392</v>
      </c>
      <c r="AZ310" s="40" t="s">
        <v>383</v>
      </c>
      <c r="BA310" s="68" t="s">
        <v>648</v>
      </c>
      <c r="BC310" s="39">
        <f t="shared" ref="BC310:BC316" si="261">AW310+AX310</f>
        <v>0</v>
      </c>
      <c r="BD310" s="39">
        <f t="shared" ref="BD310:BD316" si="262">I310/(100-BE310)*100</f>
        <v>0</v>
      </c>
      <c r="BE310" s="39">
        <v>0</v>
      </c>
      <c r="BF310" s="39">
        <f>318</f>
        <v>318</v>
      </c>
      <c r="BH310" s="39">
        <f t="shared" ref="BH310:BH316" si="263">H310*AO310</f>
        <v>0</v>
      </c>
      <c r="BI310" s="39">
        <f t="shared" ref="BI310:BI316" si="264">H310*AP310</f>
        <v>0</v>
      </c>
      <c r="BJ310" s="39">
        <f t="shared" ref="BJ310:BJ316" si="265">H310*I310</f>
        <v>0</v>
      </c>
      <c r="BK310" s="39"/>
      <c r="BL310" s="39">
        <v>781</v>
      </c>
    </row>
    <row r="311" spans="1:64" ht="15" customHeight="1">
      <c r="A311" s="37" t="s">
        <v>162</v>
      </c>
      <c r="B311" s="38" t="s">
        <v>397</v>
      </c>
      <c r="C311" s="195" t="s">
        <v>759</v>
      </c>
      <c r="D311" s="195"/>
      <c r="E311" s="195"/>
      <c r="F311" s="195"/>
      <c r="G311" s="38" t="s">
        <v>831</v>
      </c>
      <c r="H311" s="39">
        <v>201.05</v>
      </c>
      <c r="I311" s="39">
        <v>0</v>
      </c>
      <c r="J311" s="39">
        <f t="shared" si="244"/>
        <v>0</v>
      </c>
      <c r="K311" s="39">
        <f t="shared" si="245"/>
        <v>0</v>
      </c>
      <c r="L311" s="39">
        <f t="shared" si="246"/>
        <v>0</v>
      </c>
      <c r="M311" s="80" t="s">
        <v>576</v>
      </c>
      <c r="Z311" s="39">
        <f t="shared" si="247"/>
        <v>0</v>
      </c>
      <c r="AB311" s="39">
        <f t="shared" si="248"/>
        <v>0</v>
      </c>
      <c r="AC311" s="39">
        <f t="shared" si="249"/>
        <v>0</v>
      </c>
      <c r="AD311" s="39">
        <f t="shared" si="250"/>
        <v>0</v>
      </c>
      <c r="AE311" s="39">
        <f t="shared" si="251"/>
        <v>0</v>
      </c>
      <c r="AF311" s="39">
        <f t="shared" si="252"/>
        <v>0</v>
      </c>
      <c r="AG311" s="39">
        <f t="shared" si="253"/>
        <v>0</v>
      </c>
      <c r="AH311" s="39">
        <f t="shared" si="254"/>
        <v>0</v>
      </c>
      <c r="AI311" s="68" t="s">
        <v>587</v>
      </c>
      <c r="AJ311" s="39">
        <f t="shared" si="255"/>
        <v>0</v>
      </c>
      <c r="AK311" s="39">
        <f t="shared" si="256"/>
        <v>0</v>
      </c>
      <c r="AL311" s="39">
        <f t="shared" si="257"/>
        <v>0</v>
      </c>
      <c r="AN311" s="39">
        <v>21</v>
      </c>
      <c r="AO311" s="39">
        <f>I311*1</f>
        <v>0</v>
      </c>
      <c r="AP311" s="39">
        <f>I311*(1-1)</f>
        <v>0</v>
      </c>
      <c r="AQ311" s="40" t="s">
        <v>846</v>
      </c>
      <c r="AV311" s="39">
        <f t="shared" si="258"/>
        <v>0</v>
      </c>
      <c r="AW311" s="39">
        <f t="shared" si="259"/>
        <v>0</v>
      </c>
      <c r="AX311" s="39">
        <f t="shared" si="260"/>
        <v>0</v>
      </c>
      <c r="AY311" s="40" t="s">
        <v>392</v>
      </c>
      <c r="AZ311" s="40" t="s">
        <v>383</v>
      </c>
      <c r="BA311" s="68" t="s">
        <v>648</v>
      </c>
      <c r="BC311" s="39">
        <f t="shared" si="261"/>
        <v>0</v>
      </c>
      <c r="BD311" s="39">
        <f t="shared" si="262"/>
        <v>0</v>
      </c>
      <c r="BE311" s="39">
        <v>0</v>
      </c>
      <c r="BF311" s="39">
        <f>319</f>
        <v>319</v>
      </c>
      <c r="BH311" s="39">
        <f t="shared" si="263"/>
        <v>0</v>
      </c>
      <c r="BI311" s="39">
        <f t="shared" si="264"/>
        <v>0</v>
      </c>
      <c r="BJ311" s="39">
        <f t="shared" si="265"/>
        <v>0</v>
      </c>
      <c r="BK311" s="39"/>
      <c r="BL311" s="39">
        <v>781</v>
      </c>
    </row>
    <row r="312" spans="1:64" ht="15" customHeight="1">
      <c r="A312" s="37" t="s">
        <v>198</v>
      </c>
      <c r="B312" s="38" t="s">
        <v>128</v>
      </c>
      <c r="C312" s="195" t="s">
        <v>485</v>
      </c>
      <c r="D312" s="195"/>
      <c r="E312" s="195"/>
      <c r="F312" s="195"/>
      <c r="G312" s="38" t="s">
        <v>831</v>
      </c>
      <c r="H312" s="39">
        <v>182.773</v>
      </c>
      <c r="I312" s="39">
        <v>0</v>
      </c>
      <c r="J312" s="39">
        <f t="shared" si="244"/>
        <v>0</v>
      </c>
      <c r="K312" s="39">
        <f t="shared" si="245"/>
        <v>0</v>
      </c>
      <c r="L312" s="39">
        <f t="shared" si="246"/>
        <v>0</v>
      </c>
      <c r="M312" s="80" t="s">
        <v>576</v>
      </c>
      <c r="Z312" s="39">
        <f t="shared" si="247"/>
        <v>0</v>
      </c>
      <c r="AB312" s="39">
        <f t="shared" si="248"/>
        <v>0</v>
      </c>
      <c r="AC312" s="39">
        <f t="shared" si="249"/>
        <v>0</v>
      </c>
      <c r="AD312" s="39">
        <f t="shared" si="250"/>
        <v>0</v>
      </c>
      <c r="AE312" s="39">
        <f t="shared" si="251"/>
        <v>0</v>
      </c>
      <c r="AF312" s="39">
        <f t="shared" si="252"/>
        <v>0</v>
      </c>
      <c r="AG312" s="39">
        <f t="shared" si="253"/>
        <v>0</v>
      </c>
      <c r="AH312" s="39">
        <f t="shared" si="254"/>
        <v>0</v>
      </c>
      <c r="AI312" s="68" t="s">
        <v>587</v>
      </c>
      <c r="AJ312" s="39">
        <f t="shared" si="255"/>
        <v>0</v>
      </c>
      <c r="AK312" s="39">
        <f t="shared" si="256"/>
        <v>0</v>
      </c>
      <c r="AL312" s="39">
        <f t="shared" si="257"/>
        <v>0</v>
      </c>
      <c r="AN312" s="39">
        <v>21</v>
      </c>
      <c r="AO312" s="39">
        <f>I312*1.00000102904767</f>
        <v>0</v>
      </c>
      <c r="AP312" s="39">
        <f>I312*(1-1.00000102904767)</f>
        <v>0</v>
      </c>
      <c r="AQ312" s="40" t="s">
        <v>846</v>
      </c>
      <c r="AV312" s="39">
        <f t="shared" si="258"/>
        <v>0</v>
      </c>
      <c r="AW312" s="39">
        <f t="shared" si="259"/>
        <v>0</v>
      </c>
      <c r="AX312" s="39">
        <f t="shared" si="260"/>
        <v>0</v>
      </c>
      <c r="AY312" s="40" t="s">
        <v>392</v>
      </c>
      <c r="AZ312" s="40" t="s">
        <v>383</v>
      </c>
      <c r="BA312" s="68" t="s">
        <v>648</v>
      </c>
      <c r="BC312" s="39">
        <f t="shared" si="261"/>
        <v>0</v>
      </c>
      <c r="BD312" s="39">
        <f t="shared" si="262"/>
        <v>0</v>
      </c>
      <c r="BE312" s="39">
        <v>0</v>
      </c>
      <c r="BF312" s="39">
        <f>320</f>
        <v>320</v>
      </c>
      <c r="BH312" s="39">
        <f t="shared" si="263"/>
        <v>0</v>
      </c>
      <c r="BI312" s="39">
        <f t="shared" si="264"/>
        <v>0</v>
      </c>
      <c r="BJ312" s="39">
        <f t="shared" si="265"/>
        <v>0</v>
      </c>
      <c r="BK312" s="39"/>
      <c r="BL312" s="39">
        <v>781</v>
      </c>
    </row>
    <row r="313" spans="1:64" ht="15" customHeight="1">
      <c r="A313" s="37" t="s">
        <v>157</v>
      </c>
      <c r="B313" s="38" t="s">
        <v>754</v>
      </c>
      <c r="C313" s="195" t="s">
        <v>224</v>
      </c>
      <c r="D313" s="195"/>
      <c r="E313" s="195"/>
      <c r="F313" s="195"/>
      <c r="G313" s="38" t="s">
        <v>216</v>
      </c>
      <c r="H313" s="39">
        <v>2</v>
      </c>
      <c r="I313" s="39">
        <v>0</v>
      </c>
      <c r="J313" s="39">
        <f t="shared" si="244"/>
        <v>0</v>
      </c>
      <c r="K313" s="39">
        <f t="shared" si="245"/>
        <v>0</v>
      </c>
      <c r="L313" s="39">
        <f t="shared" si="246"/>
        <v>0</v>
      </c>
      <c r="M313" s="80" t="s">
        <v>576</v>
      </c>
      <c r="Z313" s="39">
        <f t="shared" si="247"/>
        <v>0</v>
      </c>
      <c r="AB313" s="39">
        <f t="shared" si="248"/>
        <v>0</v>
      </c>
      <c r="AC313" s="39">
        <f t="shared" si="249"/>
        <v>0</v>
      </c>
      <c r="AD313" s="39">
        <f t="shared" si="250"/>
        <v>0</v>
      </c>
      <c r="AE313" s="39">
        <f t="shared" si="251"/>
        <v>0</v>
      </c>
      <c r="AF313" s="39">
        <f t="shared" si="252"/>
        <v>0</v>
      </c>
      <c r="AG313" s="39">
        <f t="shared" si="253"/>
        <v>0</v>
      </c>
      <c r="AH313" s="39">
        <f t="shared" si="254"/>
        <v>0</v>
      </c>
      <c r="AI313" s="68" t="s">
        <v>587</v>
      </c>
      <c r="AJ313" s="39">
        <f t="shared" si="255"/>
        <v>0</v>
      </c>
      <c r="AK313" s="39">
        <f t="shared" si="256"/>
        <v>0</v>
      </c>
      <c r="AL313" s="39">
        <f t="shared" si="257"/>
        <v>0</v>
      </c>
      <c r="AN313" s="39">
        <v>21</v>
      </c>
      <c r="AO313" s="39">
        <f>I313*0.0599686028257457</f>
        <v>0</v>
      </c>
      <c r="AP313" s="39">
        <f>I313*(1-0.0599686028257457)</f>
        <v>0</v>
      </c>
      <c r="AQ313" s="40" t="s">
        <v>846</v>
      </c>
      <c r="AV313" s="39">
        <f t="shared" si="258"/>
        <v>0</v>
      </c>
      <c r="AW313" s="39">
        <f t="shared" si="259"/>
        <v>0</v>
      </c>
      <c r="AX313" s="39">
        <f t="shared" si="260"/>
        <v>0</v>
      </c>
      <c r="AY313" s="40" t="s">
        <v>392</v>
      </c>
      <c r="AZ313" s="40" t="s">
        <v>383</v>
      </c>
      <c r="BA313" s="68" t="s">
        <v>648</v>
      </c>
      <c r="BC313" s="39">
        <f t="shared" si="261"/>
        <v>0</v>
      </c>
      <c r="BD313" s="39">
        <f t="shared" si="262"/>
        <v>0</v>
      </c>
      <c r="BE313" s="39">
        <v>0</v>
      </c>
      <c r="BF313" s="39">
        <f>321</f>
        <v>321</v>
      </c>
      <c r="BH313" s="39">
        <f t="shared" si="263"/>
        <v>0</v>
      </c>
      <c r="BI313" s="39">
        <f t="shared" si="264"/>
        <v>0</v>
      </c>
      <c r="BJ313" s="39">
        <f t="shared" si="265"/>
        <v>0</v>
      </c>
      <c r="BK313" s="39"/>
      <c r="BL313" s="39">
        <v>781</v>
      </c>
    </row>
    <row r="314" spans="1:64" ht="15" customHeight="1">
      <c r="A314" s="37" t="s">
        <v>263</v>
      </c>
      <c r="B314" s="38" t="s">
        <v>232</v>
      </c>
      <c r="C314" s="195" t="s">
        <v>427</v>
      </c>
      <c r="D314" s="195"/>
      <c r="E314" s="195"/>
      <c r="F314" s="195"/>
      <c r="G314" s="38" t="s">
        <v>701</v>
      </c>
      <c r="H314" s="39">
        <v>91.4</v>
      </c>
      <c r="I314" s="39">
        <v>0</v>
      </c>
      <c r="J314" s="39">
        <f t="shared" si="244"/>
        <v>0</v>
      </c>
      <c r="K314" s="39">
        <f t="shared" si="245"/>
        <v>0</v>
      </c>
      <c r="L314" s="39">
        <f t="shared" si="246"/>
        <v>0</v>
      </c>
      <c r="M314" s="80" t="s">
        <v>576</v>
      </c>
      <c r="Z314" s="39">
        <f t="shared" si="247"/>
        <v>0</v>
      </c>
      <c r="AB314" s="39">
        <f t="shared" si="248"/>
        <v>0</v>
      </c>
      <c r="AC314" s="39">
        <f t="shared" si="249"/>
        <v>0</v>
      </c>
      <c r="AD314" s="39">
        <f t="shared" si="250"/>
        <v>0</v>
      </c>
      <c r="AE314" s="39">
        <f t="shared" si="251"/>
        <v>0</v>
      </c>
      <c r="AF314" s="39">
        <f t="shared" si="252"/>
        <v>0</v>
      </c>
      <c r="AG314" s="39">
        <f t="shared" si="253"/>
        <v>0</v>
      </c>
      <c r="AH314" s="39">
        <f t="shared" si="254"/>
        <v>0</v>
      </c>
      <c r="AI314" s="68" t="s">
        <v>587</v>
      </c>
      <c r="AJ314" s="39">
        <f t="shared" si="255"/>
        <v>0</v>
      </c>
      <c r="AK314" s="39">
        <f t="shared" si="256"/>
        <v>0</v>
      </c>
      <c r="AL314" s="39">
        <f t="shared" si="257"/>
        <v>0</v>
      </c>
      <c r="AN314" s="39">
        <v>21</v>
      </c>
      <c r="AO314" s="39">
        <f>I314*0.762903811252269</f>
        <v>0</v>
      </c>
      <c r="AP314" s="39">
        <f>I314*(1-0.762903811252269)</f>
        <v>0</v>
      </c>
      <c r="AQ314" s="40" t="s">
        <v>846</v>
      </c>
      <c r="AV314" s="39">
        <f t="shared" si="258"/>
        <v>0</v>
      </c>
      <c r="AW314" s="39">
        <f t="shared" si="259"/>
        <v>0</v>
      </c>
      <c r="AX314" s="39">
        <f t="shared" si="260"/>
        <v>0</v>
      </c>
      <c r="AY314" s="40" t="s">
        <v>392</v>
      </c>
      <c r="AZ314" s="40" t="s">
        <v>383</v>
      </c>
      <c r="BA314" s="68" t="s">
        <v>648</v>
      </c>
      <c r="BC314" s="39">
        <f t="shared" si="261"/>
        <v>0</v>
      </c>
      <c r="BD314" s="39">
        <f t="shared" si="262"/>
        <v>0</v>
      </c>
      <c r="BE314" s="39">
        <v>0</v>
      </c>
      <c r="BF314" s="39">
        <f>322</f>
        <v>322</v>
      </c>
      <c r="BH314" s="39">
        <f t="shared" si="263"/>
        <v>0</v>
      </c>
      <c r="BI314" s="39">
        <f t="shared" si="264"/>
        <v>0</v>
      </c>
      <c r="BJ314" s="39">
        <f t="shared" si="265"/>
        <v>0</v>
      </c>
      <c r="BK314" s="39"/>
      <c r="BL314" s="39">
        <v>781</v>
      </c>
    </row>
    <row r="315" spans="1:64" ht="15" customHeight="1">
      <c r="A315" s="37" t="s">
        <v>439</v>
      </c>
      <c r="B315" s="38" t="s">
        <v>123</v>
      </c>
      <c r="C315" s="195" t="s">
        <v>295</v>
      </c>
      <c r="D315" s="195"/>
      <c r="E315" s="195"/>
      <c r="F315" s="195"/>
      <c r="G315" s="38" t="s">
        <v>701</v>
      </c>
      <c r="H315" s="39">
        <v>9.9</v>
      </c>
      <c r="I315" s="39">
        <v>0</v>
      </c>
      <c r="J315" s="39">
        <f t="shared" si="244"/>
        <v>0</v>
      </c>
      <c r="K315" s="39">
        <f t="shared" si="245"/>
        <v>0</v>
      </c>
      <c r="L315" s="39">
        <f t="shared" si="246"/>
        <v>0</v>
      </c>
      <c r="M315" s="80" t="s">
        <v>576</v>
      </c>
      <c r="Z315" s="39">
        <f t="shared" si="247"/>
        <v>0</v>
      </c>
      <c r="AB315" s="39">
        <f t="shared" si="248"/>
        <v>0</v>
      </c>
      <c r="AC315" s="39">
        <f t="shared" si="249"/>
        <v>0</v>
      </c>
      <c r="AD315" s="39">
        <f t="shared" si="250"/>
        <v>0</v>
      </c>
      <c r="AE315" s="39">
        <f t="shared" si="251"/>
        <v>0</v>
      </c>
      <c r="AF315" s="39">
        <f t="shared" si="252"/>
        <v>0</v>
      </c>
      <c r="AG315" s="39">
        <f t="shared" si="253"/>
        <v>0</v>
      </c>
      <c r="AH315" s="39">
        <f t="shared" si="254"/>
        <v>0</v>
      </c>
      <c r="AI315" s="68" t="s">
        <v>587</v>
      </c>
      <c r="AJ315" s="39">
        <f t="shared" si="255"/>
        <v>0</v>
      </c>
      <c r="AK315" s="39">
        <f t="shared" si="256"/>
        <v>0</v>
      </c>
      <c r="AL315" s="39">
        <f t="shared" si="257"/>
        <v>0</v>
      </c>
      <c r="AN315" s="39">
        <v>21</v>
      </c>
      <c r="AO315" s="39">
        <f>I315*0.405476475967889</f>
        <v>0</v>
      </c>
      <c r="AP315" s="39">
        <f>I315*(1-0.405476475967889)</f>
        <v>0</v>
      </c>
      <c r="AQ315" s="40" t="s">
        <v>846</v>
      </c>
      <c r="AV315" s="39">
        <f t="shared" si="258"/>
        <v>0</v>
      </c>
      <c r="AW315" s="39">
        <f t="shared" si="259"/>
        <v>0</v>
      </c>
      <c r="AX315" s="39">
        <f t="shared" si="260"/>
        <v>0</v>
      </c>
      <c r="AY315" s="40" t="s">
        <v>392</v>
      </c>
      <c r="AZ315" s="40" t="s">
        <v>383</v>
      </c>
      <c r="BA315" s="68" t="s">
        <v>648</v>
      </c>
      <c r="BC315" s="39">
        <f t="shared" si="261"/>
        <v>0</v>
      </c>
      <c r="BD315" s="39">
        <f t="shared" si="262"/>
        <v>0</v>
      </c>
      <c r="BE315" s="39">
        <v>0</v>
      </c>
      <c r="BF315" s="39">
        <f>323</f>
        <v>323</v>
      </c>
      <c r="BH315" s="39">
        <f t="shared" si="263"/>
        <v>0</v>
      </c>
      <c r="BI315" s="39">
        <f t="shared" si="264"/>
        <v>0</v>
      </c>
      <c r="BJ315" s="39">
        <f t="shared" si="265"/>
        <v>0</v>
      </c>
      <c r="BK315" s="39"/>
      <c r="BL315" s="39">
        <v>781</v>
      </c>
    </row>
    <row r="316" spans="1:64" ht="15" customHeight="1">
      <c r="A316" s="37" t="s">
        <v>626</v>
      </c>
      <c r="B316" s="38" t="s">
        <v>37</v>
      </c>
      <c r="C316" s="195" t="s">
        <v>38</v>
      </c>
      <c r="D316" s="195"/>
      <c r="E316" s="195"/>
      <c r="F316" s="195"/>
      <c r="G316" s="38" t="s">
        <v>401</v>
      </c>
      <c r="H316" s="39">
        <v>3.746</v>
      </c>
      <c r="I316" s="39">
        <v>0</v>
      </c>
      <c r="J316" s="39">
        <f t="shared" si="244"/>
        <v>0</v>
      </c>
      <c r="K316" s="39">
        <f t="shared" si="245"/>
        <v>0</v>
      </c>
      <c r="L316" s="39">
        <f t="shared" si="246"/>
        <v>0</v>
      </c>
      <c r="M316" s="80" t="s">
        <v>576</v>
      </c>
      <c r="Z316" s="39">
        <f t="shared" si="247"/>
        <v>0</v>
      </c>
      <c r="AB316" s="39">
        <f t="shared" si="248"/>
        <v>0</v>
      </c>
      <c r="AC316" s="39">
        <f t="shared" si="249"/>
        <v>0</v>
      </c>
      <c r="AD316" s="39">
        <f t="shared" si="250"/>
        <v>0</v>
      </c>
      <c r="AE316" s="39">
        <f t="shared" si="251"/>
        <v>0</v>
      </c>
      <c r="AF316" s="39">
        <f t="shared" si="252"/>
        <v>0</v>
      </c>
      <c r="AG316" s="39">
        <f t="shared" si="253"/>
        <v>0</v>
      </c>
      <c r="AH316" s="39">
        <f t="shared" si="254"/>
        <v>0</v>
      </c>
      <c r="AI316" s="68" t="s">
        <v>587</v>
      </c>
      <c r="AJ316" s="39">
        <f t="shared" si="255"/>
        <v>0</v>
      </c>
      <c r="AK316" s="39">
        <f t="shared" si="256"/>
        <v>0</v>
      </c>
      <c r="AL316" s="39">
        <f t="shared" si="257"/>
        <v>0</v>
      </c>
      <c r="AN316" s="39">
        <v>21</v>
      </c>
      <c r="AO316" s="39">
        <f>I316*0</f>
        <v>0</v>
      </c>
      <c r="AP316" s="39">
        <f>I316*(1-0)</f>
        <v>0</v>
      </c>
      <c r="AQ316" s="40" t="s">
        <v>454</v>
      </c>
      <c r="AV316" s="39">
        <f t="shared" si="258"/>
        <v>0</v>
      </c>
      <c r="AW316" s="39">
        <f t="shared" si="259"/>
        <v>0</v>
      </c>
      <c r="AX316" s="39">
        <f t="shared" si="260"/>
        <v>0</v>
      </c>
      <c r="AY316" s="40" t="s">
        <v>392</v>
      </c>
      <c r="AZ316" s="40" t="s">
        <v>383</v>
      </c>
      <c r="BA316" s="68" t="s">
        <v>648</v>
      </c>
      <c r="BC316" s="39">
        <f t="shared" si="261"/>
        <v>0</v>
      </c>
      <c r="BD316" s="39">
        <f t="shared" si="262"/>
        <v>0</v>
      </c>
      <c r="BE316" s="39">
        <v>0</v>
      </c>
      <c r="BF316" s="39">
        <f>324</f>
        <v>324</v>
      </c>
      <c r="BH316" s="39">
        <f t="shared" si="263"/>
        <v>0</v>
      </c>
      <c r="BI316" s="39">
        <f t="shared" si="264"/>
        <v>0</v>
      </c>
      <c r="BJ316" s="39">
        <f t="shared" si="265"/>
        <v>0</v>
      </c>
      <c r="BK316" s="39"/>
      <c r="BL316" s="39">
        <v>781</v>
      </c>
    </row>
    <row r="317" spans="1:64" ht="15" customHeight="1">
      <c r="A317" s="76" t="s">
        <v>587</v>
      </c>
      <c r="B317" s="77" t="s">
        <v>490</v>
      </c>
      <c r="C317" s="221" t="s">
        <v>673</v>
      </c>
      <c r="D317" s="221"/>
      <c r="E317" s="221"/>
      <c r="F317" s="221"/>
      <c r="G317" s="78" t="s">
        <v>784</v>
      </c>
      <c r="H317" s="78" t="s">
        <v>784</v>
      </c>
      <c r="I317" s="78" t="s">
        <v>784</v>
      </c>
      <c r="J317" s="64">
        <f>SUM(J318:J324)</f>
        <v>0</v>
      </c>
      <c r="K317" s="64">
        <f>SUM(K318:K324)</f>
        <v>0</v>
      </c>
      <c r="L317" s="64">
        <f>SUM(L318:L324)</f>
        <v>0</v>
      </c>
      <c r="M317" s="79" t="s">
        <v>587</v>
      </c>
      <c r="AI317" s="68" t="s">
        <v>587</v>
      </c>
      <c r="AS317" s="64">
        <f>SUM(AJ318:AJ324)</f>
        <v>0</v>
      </c>
      <c r="AT317" s="64">
        <f>SUM(AK318:AK324)</f>
        <v>0</v>
      </c>
      <c r="AU317" s="64">
        <f>SUM(AL318:AL324)</f>
        <v>0</v>
      </c>
    </row>
    <row r="318" spans="1:64" ht="15" customHeight="1">
      <c r="A318" s="37" t="s">
        <v>105</v>
      </c>
      <c r="B318" s="38" t="s">
        <v>298</v>
      </c>
      <c r="C318" s="195" t="s">
        <v>458</v>
      </c>
      <c r="D318" s="195"/>
      <c r="E318" s="195"/>
      <c r="F318" s="195"/>
      <c r="G318" s="38" t="s">
        <v>701</v>
      </c>
      <c r="H318" s="39">
        <v>34</v>
      </c>
      <c r="I318" s="39">
        <v>0</v>
      </c>
      <c r="J318" s="39">
        <f>H318*AO318</f>
        <v>0</v>
      </c>
      <c r="K318" s="39">
        <f>H318*AP318</f>
        <v>0</v>
      </c>
      <c r="L318" s="39">
        <f>H318*I318</f>
        <v>0</v>
      </c>
      <c r="M318" s="80" t="s">
        <v>576</v>
      </c>
      <c r="Z318" s="39">
        <f>IF(AQ318="5",BJ318,0)</f>
        <v>0</v>
      </c>
      <c r="AB318" s="39">
        <f>IF(AQ318="1",BH318,0)</f>
        <v>0</v>
      </c>
      <c r="AC318" s="39">
        <f>IF(AQ318="1",BI318,0)</f>
        <v>0</v>
      </c>
      <c r="AD318" s="39">
        <f>IF(AQ318="7",BH318,0)</f>
        <v>0</v>
      </c>
      <c r="AE318" s="39">
        <f>IF(AQ318="7",BI318,0)</f>
        <v>0</v>
      </c>
      <c r="AF318" s="39">
        <f>IF(AQ318="2",BH318,0)</f>
        <v>0</v>
      </c>
      <c r="AG318" s="39">
        <f>IF(AQ318="2",BI318,0)</f>
        <v>0</v>
      </c>
      <c r="AH318" s="39">
        <f>IF(AQ318="0",BJ318,0)</f>
        <v>0</v>
      </c>
      <c r="AI318" s="68" t="s">
        <v>587</v>
      </c>
      <c r="AJ318" s="39">
        <f>IF(AN318=0,L318,0)</f>
        <v>0</v>
      </c>
      <c r="AK318" s="39">
        <f>IF(AN318=15,L318,0)</f>
        <v>0</v>
      </c>
      <c r="AL318" s="39">
        <f>IF(AN318=21,L318,0)</f>
        <v>0</v>
      </c>
      <c r="AN318" s="39">
        <v>21</v>
      </c>
      <c r="AO318" s="39">
        <f>I318*0.105747126436782</f>
        <v>0</v>
      </c>
      <c r="AP318" s="39">
        <f>I318*(1-0.105747126436782)</f>
        <v>0</v>
      </c>
      <c r="AQ318" s="40" t="s">
        <v>846</v>
      </c>
      <c r="AV318" s="39">
        <f>AW318+AX318</f>
        <v>0</v>
      </c>
      <c r="AW318" s="39">
        <f>H318*AO318</f>
        <v>0</v>
      </c>
      <c r="AX318" s="39">
        <f>H318*AP318</f>
        <v>0</v>
      </c>
      <c r="AY318" s="40" t="s">
        <v>202</v>
      </c>
      <c r="AZ318" s="40" t="s">
        <v>383</v>
      </c>
      <c r="BA318" s="68" t="s">
        <v>648</v>
      </c>
      <c r="BC318" s="39">
        <f>AW318+AX318</f>
        <v>0</v>
      </c>
      <c r="BD318" s="39">
        <f>I318/(100-BE318)*100</f>
        <v>0</v>
      </c>
      <c r="BE318" s="39">
        <v>0</v>
      </c>
      <c r="BF318" s="39">
        <f>326</f>
        <v>326</v>
      </c>
      <c r="BH318" s="39">
        <f>H318*AO318</f>
        <v>0</v>
      </c>
      <c r="BI318" s="39">
        <f>H318*AP318</f>
        <v>0</v>
      </c>
      <c r="BJ318" s="39">
        <f>H318*I318</f>
        <v>0</v>
      </c>
      <c r="BK318" s="39"/>
      <c r="BL318" s="39">
        <v>783</v>
      </c>
    </row>
    <row r="319" spans="1:64" ht="15" customHeight="1">
      <c r="A319" s="37" t="s">
        <v>848</v>
      </c>
      <c r="B319" s="38" t="s">
        <v>803</v>
      </c>
      <c r="C319" s="195" t="s">
        <v>883</v>
      </c>
      <c r="D319" s="195"/>
      <c r="E319" s="195"/>
      <c r="F319" s="195"/>
      <c r="G319" s="38" t="s">
        <v>701</v>
      </c>
      <c r="H319" s="39">
        <v>34</v>
      </c>
      <c r="I319" s="39">
        <v>0</v>
      </c>
      <c r="J319" s="39">
        <f>H319*AO319</f>
        <v>0</v>
      </c>
      <c r="K319" s="39">
        <f>H319*AP319</f>
        <v>0</v>
      </c>
      <c r="L319" s="39">
        <f>H319*I319</f>
        <v>0</v>
      </c>
      <c r="M319" s="80" t="s">
        <v>576</v>
      </c>
      <c r="Z319" s="39">
        <f>IF(AQ319="5",BJ319,0)</f>
        <v>0</v>
      </c>
      <c r="AB319" s="39">
        <f>IF(AQ319="1",BH319,0)</f>
        <v>0</v>
      </c>
      <c r="AC319" s="39">
        <f>IF(AQ319="1",BI319,0)</f>
        <v>0</v>
      </c>
      <c r="AD319" s="39">
        <f>IF(AQ319="7",BH319,0)</f>
        <v>0</v>
      </c>
      <c r="AE319" s="39">
        <f>IF(AQ319="7",BI319,0)</f>
        <v>0</v>
      </c>
      <c r="AF319" s="39">
        <f>IF(AQ319="2",BH319,0)</f>
        <v>0</v>
      </c>
      <c r="AG319" s="39">
        <f>IF(AQ319="2",BI319,0)</f>
        <v>0</v>
      </c>
      <c r="AH319" s="39">
        <f>IF(AQ319="0",BJ319,0)</f>
        <v>0</v>
      </c>
      <c r="AI319" s="68" t="s">
        <v>587</v>
      </c>
      <c r="AJ319" s="39">
        <f>IF(AN319=0,L319,0)</f>
        <v>0</v>
      </c>
      <c r="AK319" s="39">
        <f>IF(AN319=15,L319,0)</f>
        <v>0</v>
      </c>
      <c r="AL319" s="39">
        <f>IF(AN319=21,L319,0)</f>
        <v>0</v>
      </c>
      <c r="AN319" s="39">
        <v>21</v>
      </c>
      <c r="AO319" s="39">
        <f>I319*0.230328867235079</f>
        <v>0</v>
      </c>
      <c r="AP319" s="39">
        <f>I319*(1-0.230328867235079)</f>
        <v>0</v>
      </c>
      <c r="AQ319" s="40" t="s">
        <v>846</v>
      </c>
      <c r="AV319" s="39">
        <f>AW319+AX319</f>
        <v>0</v>
      </c>
      <c r="AW319" s="39">
        <f>H319*AO319</f>
        <v>0</v>
      </c>
      <c r="AX319" s="39">
        <f>H319*AP319</f>
        <v>0</v>
      </c>
      <c r="AY319" s="40" t="s">
        <v>202</v>
      </c>
      <c r="AZ319" s="40" t="s">
        <v>383</v>
      </c>
      <c r="BA319" s="68" t="s">
        <v>648</v>
      </c>
      <c r="BC319" s="39">
        <f>AW319+AX319</f>
        <v>0</v>
      </c>
      <c r="BD319" s="39">
        <f>I319/(100-BE319)*100</f>
        <v>0</v>
      </c>
      <c r="BE319" s="39">
        <v>0</v>
      </c>
      <c r="BF319" s="39">
        <f>327</f>
        <v>327</v>
      </c>
      <c r="BH319" s="39">
        <f>H319*AO319</f>
        <v>0</v>
      </c>
      <c r="BI319" s="39">
        <f>H319*AP319</f>
        <v>0</v>
      </c>
      <c r="BJ319" s="39">
        <f>H319*I319</f>
        <v>0</v>
      </c>
      <c r="BK319" s="39"/>
      <c r="BL319" s="39">
        <v>783</v>
      </c>
    </row>
    <row r="320" spans="1:64" ht="15" customHeight="1">
      <c r="A320" s="37" t="s">
        <v>39</v>
      </c>
      <c r="B320" s="38" t="s">
        <v>335</v>
      </c>
      <c r="C320" s="195" t="s">
        <v>559</v>
      </c>
      <c r="D320" s="195"/>
      <c r="E320" s="195"/>
      <c r="F320" s="195"/>
      <c r="G320" s="38" t="s">
        <v>831</v>
      </c>
      <c r="H320" s="39">
        <v>46.87</v>
      </c>
      <c r="I320" s="39">
        <v>0</v>
      </c>
      <c r="J320" s="39">
        <f>H320*AO320</f>
        <v>0</v>
      </c>
      <c r="K320" s="39">
        <f>H320*AP320</f>
        <v>0</v>
      </c>
      <c r="L320" s="39">
        <f>H320*I320</f>
        <v>0</v>
      </c>
      <c r="M320" s="80" t="s">
        <v>576</v>
      </c>
      <c r="Z320" s="39">
        <f>IF(AQ320="5",BJ320,0)</f>
        <v>0</v>
      </c>
      <c r="AB320" s="39">
        <f>IF(AQ320="1",BH320,0)</f>
        <v>0</v>
      </c>
      <c r="AC320" s="39">
        <f>IF(AQ320="1",BI320,0)</f>
        <v>0</v>
      </c>
      <c r="AD320" s="39">
        <f>IF(AQ320="7",BH320,0)</f>
        <v>0</v>
      </c>
      <c r="AE320" s="39">
        <f>IF(AQ320="7",BI320,0)</f>
        <v>0</v>
      </c>
      <c r="AF320" s="39">
        <f>IF(AQ320="2",BH320,0)</f>
        <v>0</v>
      </c>
      <c r="AG320" s="39">
        <f>IF(AQ320="2",BI320,0)</f>
        <v>0</v>
      </c>
      <c r="AH320" s="39">
        <f>IF(AQ320="0",BJ320,0)</f>
        <v>0</v>
      </c>
      <c r="AI320" s="68" t="s">
        <v>587</v>
      </c>
      <c r="AJ320" s="39">
        <f>IF(AN320=0,L320,0)</f>
        <v>0</v>
      </c>
      <c r="AK320" s="39">
        <f>IF(AN320=15,L320,0)</f>
        <v>0</v>
      </c>
      <c r="AL320" s="39">
        <f>IF(AN320=21,L320,0)</f>
        <v>0</v>
      </c>
      <c r="AN320" s="39">
        <v>21</v>
      </c>
      <c r="AO320" s="39">
        <f>I320*0.141500552760185</f>
        <v>0</v>
      </c>
      <c r="AP320" s="39">
        <f>I320*(1-0.141500552760185)</f>
        <v>0</v>
      </c>
      <c r="AQ320" s="40" t="s">
        <v>846</v>
      </c>
      <c r="AV320" s="39">
        <f>AW320+AX320</f>
        <v>0</v>
      </c>
      <c r="AW320" s="39">
        <f>H320*AO320</f>
        <v>0</v>
      </c>
      <c r="AX320" s="39">
        <f>H320*AP320</f>
        <v>0</v>
      </c>
      <c r="AY320" s="40" t="s">
        <v>202</v>
      </c>
      <c r="AZ320" s="40" t="s">
        <v>383</v>
      </c>
      <c r="BA320" s="68" t="s">
        <v>648</v>
      </c>
      <c r="BC320" s="39">
        <f>AW320+AX320</f>
        <v>0</v>
      </c>
      <c r="BD320" s="39">
        <f>I320/(100-BE320)*100</f>
        <v>0</v>
      </c>
      <c r="BE320" s="39">
        <v>0</v>
      </c>
      <c r="BF320" s="39">
        <f>328</f>
        <v>328</v>
      </c>
      <c r="BH320" s="39">
        <f>H320*AO320</f>
        <v>0</v>
      </c>
      <c r="BI320" s="39">
        <f>H320*AP320</f>
        <v>0</v>
      </c>
      <c r="BJ320" s="39">
        <f>H320*I320</f>
        <v>0</v>
      </c>
      <c r="BK320" s="39"/>
      <c r="BL320" s="39">
        <v>783</v>
      </c>
    </row>
    <row r="321" spans="1:64" ht="13.5" customHeight="1">
      <c r="A321" s="81"/>
      <c r="B321" s="82" t="s">
        <v>440</v>
      </c>
      <c r="C321" s="223" t="s">
        <v>638</v>
      </c>
      <c r="D321" s="224"/>
      <c r="E321" s="224"/>
      <c r="F321" s="224"/>
      <c r="G321" s="224"/>
      <c r="H321" s="224"/>
      <c r="I321" s="224"/>
      <c r="J321" s="224"/>
      <c r="K321" s="224"/>
      <c r="L321" s="224"/>
      <c r="M321" s="225"/>
    </row>
    <row r="322" spans="1:64" ht="15" customHeight="1">
      <c r="A322" s="37" t="s">
        <v>479</v>
      </c>
      <c r="B322" s="38" t="s">
        <v>753</v>
      </c>
      <c r="C322" s="195" t="s">
        <v>658</v>
      </c>
      <c r="D322" s="195"/>
      <c r="E322" s="195"/>
      <c r="F322" s="195"/>
      <c r="G322" s="38" t="s">
        <v>831</v>
      </c>
      <c r="H322" s="39">
        <v>46.87</v>
      </c>
      <c r="I322" s="39">
        <v>0</v>
      </c>
      <c r="J322" s="39">
        <f>H322*AO322</f>
        <v>0</v>
      </c>
      <c r="K322" s="39">
        <f>H322*AP322</f>
        <v>0</v>
      </c>
      <c r="L322" s="39">
        <f>H322*I322</f>
        <v>0</v>
      </c>
      <c r="M322" s="80" t="s">
        <v>576</v>
      </c>
      <c r="Z322" s="39">
        <f>IF(AQ322="5",BJ322,0)</f>
        <v>0</v>
      </c>
      <c r="AB322" s="39">
        <f>IF(AQ322="1",BH322,0)</f>
        <v>0</v>
      </c>
      <c r="AC322" s="39">
        <f>IF(AQ322="1",BI322,0)</f>
        <v>0</v>
      </c>
      <c r="AD322" s="39">
        <f>IF(AQ322="7",BH322,0)</f>
        <v>0</v>
      </c>
      <c r="AE322" s="39">
        <f>IF(AQ322="7",BI322,0)</f>
        <v>0</v>
      </c>
      <c r="AF322" s="39">
        <f>IF(AQ322="2",BH322,0)</f>
        <v>0</v>
      </c>
      <c r="AG322" s="39">
        <f>IF(AQ322="2",BI322,0)</f>
        <v>0</v>
      </c>
      <c r="AH322" s="39">
        <f>IF(AQ322="0",BJ322,0)</f>
        <v>0</v>
      </c>
      <c r="AI322" s="68" t="s">
        <v>587</v>
      </c>
      <c r="AJ322" s="39">
        <f>IF(AN322=0,L322,0)</f>
        <v>0</v>
      </c>
      <c r="AK322" s="39">
        <f>IF(AN322=15,L322,0)</f>
        <v>0</v>
      </c>
      <c r="AL322" s="39">
        <f>IF(AN322=21,L322,0)</f>
        <v>0</v>
      </c>
      <c r="AN322" s="39">
        <v>21</v>
      </c>
      <c r="AO322" s="39">
        <f>I322*0.457321575810094</f>
        <v>0</v>
      </c>
      <c r="AP322" s="39">
        <f>I322*(1-0.457321575810094)</f>
        <v>0</v>
      </c>
      <c r="AQ322" s="40" t="s">
        <v>846</v>
      </c>
      <c r="AV322" s="39">
        <f>AW322+AX322</f>
        <v>0</v>
      </c>
      <c r="AW322" s="39">
        <f>H322*AO322</f>
        <v>0</v>
      </c>
      <c r="AX322" s="39">
        <f>H322*AP322</f>
        <v>0</v>
      </c>
      <c r="AY322" s="40" t="s">
        <v>202</v>
      </c>
      <c r="AZ322" s="40" t="s">
        <v>383</v>
      </c>
      <c r="BA322" s="68" t="s">
        <v>648</v>
      </c>
      <c r="BC322" s="39">
        <f>AW322+AX322</f>
        <v>0</v>
      </c>
      <c r="BD322" s="39">
        <f>I322/(100-BE322)*100</f>
        <v>0</v>
      </c>
      <c r="BE322" s="39">
        <v>0</v>
      </c>
      <c r="BF322" s="39">
        <f>330</f>
        <v>330</v>
      </c>
      <c r="BH322" s="39">
        <f>H322*AO322</f>
        <v>0</v>
      </c>
      <c r="BI322" s="39">
        <f>H322*AP322</f>
        <v>0</v>
      </c>
      <c r="BJ322" s="39">
        <f>H322*I322</f>
        <v>0</v>
      </c>
      <c r="BK322" s="39"/>
      <c r="BL322" s="39">
        <v>783</v>
      </c>
    </row>
    <row r="323" spans="1:64" ht="15" customHeight="1">
      <c r="A323" s="37" t="s">
        <v>917</v>
      </c>
      <c r="B323" s="38" t="s">
        <v>575</v>
      </c>
      <c r="C323" s="195" t="s">
        <v>519</v>
      </c>
      <c r="D323" s="195"/>
      <c r="E323" s="195"/>
      <c r="F323" s="195"/>
      <c r="G323" s="38" t="s">
        <v>701</v>
      </c>
      <c r="H323" s="39">
        <v>20</v>
      </c>
      <c r="I323" s="39">
        <v>0</v>
      </c>
      <c r="J323" s="39">
        <f>H323*AO323</f>
        <v>0</v>
      </c>
      <c r="K323" s="39">
        <f>H323*AP323</f>
        <v>0</v>
      </c>
      <c r="L323" s="39">
        <f>H323*I323</f>
        <v>0</v>
      </c>
      <c r="M323" s="80" t="s">
        <v>576</v>
      </c>
      <c r="Z323" s="39">
        <f>IF(AQ323="5",BJ323,0)</f>
        <v>0</v>
      </c>
      <c r="AB323" s="39">
        <f>IF(AQ323="1",BH323,0)</f>
        <v>0</v>
      </c>
      <c r="AC323" s="39">
        <f>IF(AQ323="1",BI323,0)</f>
        <v>0</v>
      </c>
      <c r="AD323" s="39">
        <f>IF(AQ323="7",BH323,0)</f>
        <v>0</v>
      </c>
      <c r="AE323" s="39">
        <f>IF(AQ323="7",BI323,0)</f>
        <v>0</v>
      </c>
      <c r="AF323" s="39">
        <f>IF(AQ323="2",BH323,0)</f>
        <v>0</v>
      </c>
      <c r="AG323" s="39">
        <f>IF(AQ323="2",BI323,0)</f>
        <v>0</v>
      </c>
      <c r="AH323" s="39">
        <f>IF(AQ323="0",BJ323,0)</f>
        <v>0</v>
      </c>
      <c r="AI323" s="68" t="s">
        <v>587</v>
      </c>
      <c r="AJ323" s="39">
        <f>IF(AN323=0,L323,0)</f>
        <v>0</v>
      </c>
      <c r="AK323" s="39">
        <f>IF(AN323=15,L323,0)</f>
        <v>0</v>
      </c>
      <c r="AL323" s="39">
        <f>IF(AN323=21,L323,0)</f>
        <v>0</v>
      </c>
      <c r="AN323" s="39">
        <v>21</v>
      </c>
      <c r="AO323" s="39">
        <f>I323*0.0808435852372584</f>
        <v>0</v>
      </c>
      <c r="AP323" s="39">
        <f>I323*(1-0.0808435852372584)</f>
        <v>0</v>
      </c>
      <c r="AQ323" s="40" t="s">
        <v>846</v>
      </c>
      <c r="AV323" s="39">
        <f>AW323+AX323</f>
        <v>0</v>
      </c>
      <c r="AW323" s="39">
        <f>H323*AO323</f>
        <v>0</v>
      </c>
      <c r="AX323" s="39">
        <f>H323*AP323</f>
        <v>0</v>
      </c>
      <c r="AY323" s="40" t="s">
        <v>202</v>
      </c>
      <c r="AZ323" s="40" t="s">
        <v>383</v>
      </c>
      <c r="BA323" s="68" t="s">
        <v>648</v>
      </c>
      <c r="BC323" s="39">
        <f>AW323+AX323</f>
        <v>0</v>
      </c>
      <c r="BD323" s="39">
        <f>I323/(100-BE323)*100</f>
        <v>0</v>
      </c>
      <c r="BE323" s="39">
        <v>0</v>
      </c>
      <c r="BF323" s="39">
        <f>331</f>
        <v>331</v>
      </c>
      <c r="BH323" s="39">
        <f>H323*AO323</f>
        <v>0</v>
      </c>
      <c r="BI323" s="39">
        <f>H323*AP323</f>
        <v>0</v>
      </c>
      <c r="BJ323" s="39">
        <f>H323*I323</f>
        <v>0</v>
      </c>
      <c r="BK323" s="39"/>
      <c r="BL323" s="39">
        <v>783</v>
      </c>
    </row>
    <row r="324" spans="1:64" ht="15" customHeight="1">
      <c r="A324" s="37" t="s">
        <v>712</v>
      </c>
      <c r="B324" s="38" t="s">
        <v>341</v>
      </c>
      <c r="C324" s="195" t="s">
        <v>731</v>
      </c>
      <c r="D324" s="195"/>
      <c r="E324" s="195"/>
      <c r="F324" s="195"/>
      <c r="G324" s="38" t="s">
        <v>701</v>
      </c>
      <c r="H324" s="39">
        <v>20</v>
      </c>
      <c r="I324" s="39">
        <v>0</v>
      </c>
      <c r="J324" s="39">
        <f>H324*AO324</f>
        <v>0</v>
      </c>
      <c r="K324" s="39">
        <f>H324*AP324</f>
        <v>0</v>
      </c>
      <c r="L324" s="39">
        <f>H324*I324</f>
        <v>0</v>
      </c>
      <c r="M324" s="80" t="s">
        <v>576</v>
      </c>
      <c r="Z324" s="39">
        <f>IF(AQ324="5",BJ324,0)</f>
        <v>0</v>
      </c>
      <c r="AB324" s="39">
        <f>IF(AQ324="1",BH324,0)</f>
        <v>0</v>
      </c>
      <c r="AC324" s="39">
        <f>IF(AQ324="1",BI324,0)</f>
        <v>0</v>
      </c>
      <c r="AD324" s="39">
        <f>IF(AQ324="7",BH324,0)</f>
        <v>0</v>
      </c>
      <c r="AE324" s="39">
        <f>IF(AQ324="7",BI324,0)</f>
        <v>0</v>
      </c>
      <c r="AF324" s="39">
        <f>IF(AQ324="2",BH324,0)</f>
        <v>0</v>
      </c>
      <c r="AG324" s="39">
        <f>IF(AQ324="2",BI324,0)</f>
        <v>0</v>
      </c>
      <c r="AH324" s="39">
        <f>IF(AQ324="0",BJ324,0)</f>
        <v>0</v>
      </c>
      <c r="AI324" s="68" t="s">
        <v>587</v>
      </c>
      <c r="AJ324" s="39">
        <f>IF(AN324=0,L324,0)</f>
        <v>0</v>
      </c>
      <c r="AK324" s="39">
        <f>IF(AN324=15,L324,0)</f>
        <v>0</v>
      </c>
      <c r="AL324" s="39">
        <f>IF(AN324=21,L324,0)</f>
        <v>0</v>
      </c>
      <c r="AN324" s="39">
        <v>21</v>
      </c>
      <c r="AO324" s="39">
        <f>I324*0.245666235446313</f>
        <v>0</v>
      </c>
      <c r="AP324" s="39">
        <f>I324*(1-0.245666235446313)</f>
        <v>0</v>
      </c>
      <c r="AQ324" s="40" t="s">
        <v>846</v>
      </c>
      <c r="AV324" s="39">
        <f>AW324+AX324</f>
        <v>0</v>
      </c>
      <c r="AW324" s="39">
        <f>H324*AO324</f>
        <v>0</v>
      </c>
      <c r="AX324" s="39">
        <f>H324*AP324</f>
        <v>0</v>
      </c>
      <c r="AY324" s="40" t="s">
        <v>202</v>
      </c>
      <c r="AZ324" s="40" t="s">
        <v>383</v>
      </c>
      <c r="BA324" s="68" t="s">
        <v>648</v>
      </c>
      <c r="BC324" s="39">
        <f>AW324+AX324</f>
        <v>0</v>
      </c>
      <c r="BD324" s="39">
        <f>I324/(100-BE324)*100</f>
        <v>0</v>
      </c>
      <c r="BE324" s="39">
        <v>0</v>
      </c>
      <c r="BF324" s="39">
        <f>332</f>
        <v>332</v>
      </c>
      <c r="BH324" s="39">
        <f>H324*AO324</f>
        <v>0</v>
      </c>
      <c r="BI324" s="39">
        <f>H324*AP324</f>
        <v>0</v>
      </c>
      <c r="BJ324" s="39">
        <f>H324*I324</f>
        <v>0</v>
      </c>
      <c r="BK324" s="39"/>
      <c r="BL324" s="39">
        <v>783</v>
      </c>
    </row>
    <row r="325" spans="1:64" ht="15" customHeight="1">
      <c r="A325" s="76" t="s">
        <v>587</v>
      </c>
      <c r="B325" s="77" t="s">
        <v>476</v>
      </c>
      <c r="C325" s="221" t="s">
        <v>13</v>
      </c>
      <c r="D325" s="221"/>
      <c r="E325" s="221"/>
      <c r="F325" s="221"/>
      <c r="G325" s="78" t="s">
        <v>784</v>
      </c>
      <c r="H325" s="78" t="s">
        <v>784</v>
      </c>
      <c r="I325" s="78" t="s">
        <v>784</v>
      </c>
      <c r="J325" s="64">
        <f>SUM(J326:J328)</f>
        <v>0</v>
      </c>
      <c r="K325" s="64">
        <f>SUM(K326:K328)</f>
        <v>0</v>
      </c>
      <c r="L325" s="64">
        <f>SUM(L326:L328)</f>
        <v>0</v>
      </c>
      <c r="M325" s="79" t="s">
        <v>587</v>
      </c>
      <c r="AI325" s="68" t="s">
        <v>587</v>
      </c>
      <c r="AS325" s="64">
        <f>SUM(AJ326:AJ328)</f>
        <v>0</v>
      </c>
      <c r="AT325" s="64">
        <f>SUM(AK326:AK328)</f>
        <v>0</v>
      </c>
      <c r="AU325" s="64">
        <f>SUM(AL326:AL328)</f>
        <v>0</v>
      </c>
    </row>
    <row r="326" spans="1:64" ht="15" customHeight="1">
      <c r="A326" s="37" t="s">
        <v>547</v>
      </c>
      <c r="B326" s="38" t="s">
        <v>285</v>
      </c>
      <c r="C326" s="195" t="s">
        <v>104</v>
      </c>
      <c r="D326" s="195"/>
      <c r="E326" s="195"/>
      <c r="F326" s="195"/>
      <c r="G326" s="38" t="s">
        <v>831</v>
      </c>
      <c r="H326" s="39">
        <v>784.77</v>
      </c>
      <c r="I326" s="39">
        <v>0</v>
      </c>
      <c r="J326" s="39">
        <f>H326*AO326</f>
        <v>0</v>
      </c>
      <c r="K326" s="39">
        <f>H326*AP326</f>
        <v>0</v>
      </c>
      <c r="L326" s="39">
        <f>H326*I326</f>
        <v>0</v>
      </c>
      <c r="M326" s="80" t="s">
        <v>576</v>
      </c>
      <c r="Z326" s="39">
        <f>IF(AQ326="5",BJ326,0)</f>
        <v>0</v>
      </c>
      <c r="AB326" s="39">
        <f>IF(AQ326="1",BH326,0)</f>
        <v>0</v>
      </c>
      <c r="AC326" s="39">
        <f>IF(AQ326="1",BI326,0)</f>
        <v>0</v>
      </c>
      <c r="AD326" s="39">
        <f>IF(AQ326="7",BH326,0)</f>
        <v>0</v>
      </c>
      <c r="AE326" s="39">
        <f>IF(AQ326="7",BI326,0)</f>
        <v>0</v>
      </c>
      <c r="AF326" s="39">
        <f>IF(AQ326="2",BH326,0)</f>
        <v>0</v>
      </c>
      <c r="AG326" s="39">
        <f>IF(AQ326="2",BI326,0)</f>
        <v>0</v>
      </c>
      <c r="AH326" s="39">
        <f>IF(AQ326="0",BJ326,0)</f>
        <v>0</v>
      </c>
      <c r="AI326" s="68" t="s">
        <v>587</v>
      </c>
      <c r="AJ326" s="39">
        <f>IF(AN326=0,L326,0)</f>
        <v>0</v>
      </c>
      <c r="AK326" s="39">
        <f>IF(AN326=15,L326,0)</f>
        <v>0</v>
      </c>
      <c r="AL326" s="39">
        <f>IF(AN326=21,L326,0)</f>
        <v>0</v>
      </c>
      <c r="AN326" s="39">
        <v>21</v>
      </c>
      <c r="AO326" s="39">
        <f>I326*0.240343886552439</f>
        <v>0</v>
      </c>
      <c r="AP326" s="39">
        <f>I326*(1-0.240343886552439)</f>
        <v>0</v>
      </c>
      <c r="AQ326" s="40" t="s">
        <v>846</v>
      </c>
      <c r="AV326" s="39">
        <f>AW326+AX326</f>
        <v>0</v>
      </c>
      <c r="AW326" s="39">
        <f>H326*AO326</f>
        <v>0</v>
      </c>
      <c r="AX326" s="39">
        <f>H326*AP326</f>
        <v>0</v>
      </c>
      <c r="AY326" s="40" t="s">
        <v>747</v>
      </c>
      <c r="AZ326" s="40" t="s">
        <v>383</v>
      </c>
      <c r="BA326" s="68" t="s">
        <v>648</v>
      </c>
      <c r="BC326" s="39">
        <f>AW326+AX326</f>
        <v>0</v>
      </c>
      <c r="BD326" s="39">
        <f>I326/(100-BE326)*100</f>
        <v>0</v>
      </c>
      <c r="BE326" s="39">
        <v>0</v>
      </c>
      <c r="BF326" s="39">
        <f>334</f>
        <v>334</v>
      </c>
      <c r="BH326" s="39">
        <f>H326*AO326</f>
        <v>0</v>
      </c>
      <c r="BI326" s="39">
        <f>H326*AP326</f>
        <v>0</v>
      </c>
      <c r="BJ326" s="39">
        <f>H326*I326</f>
        <v>0</v>
      </c>
      <c r="BK326" s="39"/>
      <c r="BL326" s="39">
        <v>784</v>
      </c>
    </row>
    <row r="327" spans="1:64" ht="15" customHeight="1">
      <c r="A327" s="37" t="s">
        <v>134</v>
      </c>
      <c r="B327" s="38" t="s">
        <v>926</v>
      </c>
      <c r="C327" s="195" t="s">
        <v>720</v>
      </c>
      <c r="D327" s="195"/>
      <c r="E327" s="195"/>
      <c r="F327" s="195"/>
      <c r="G327" s="38" t="s">
        <v>831</v>
      </c>
      <c r="H327" s="39">
        <v>784.77</v>
      </c>
      <c r="I327" s="39">
        <v>0</v>
      </c>
      <c r="J327" s="39">
        <f>H327*AO327</f>
        <v>0</v>
      </c>
      <c r="K327" s="39">
        <f>H327*AP327</f>
        <v>0</v>
      </c>
      <c r="L327" s="39">
        <f>H327*I327</f>
        <v>0</v>
      </c>
      <c r="M327" s="80" t="s">
        <v>576</v>
      </c>
      <c r="Z327" s="39">
        <f>IF(AQ327="5",BJ327,0)</f>
        <v>0</v>
      </c>
      <c r="AB327" s="39">
        <f>IF(AQ327="1",BH327,0)</f>
        <v>0</v>
      </c>
      <c r="AC327" s="39">
        <f>IF(AQ327="1",BI327,0)</f>
        <v>0</v>
      </c>
      <c r="AD327" s="39">
        <f>IF(AQ327="7",BH327,0)</f>
        <v>0</v>
      </c>
      <c r="AE327" s="39">
        <f>IF(AQ327="7",BI327,0)</f>
        <v>0</v>
      </c>
      <c r="AF327" s="39">
        <f>IF(AQ327="2",BH327,0)</f>
        <v>0</v>
      </c>
      <c r="AG327" s="39">
        <f>IF(AQ327="2",BI327,0)</f>
        <v>0</v>
      </c>
      <c r="AH327" s="39">
        <f>IF(AQ327="0",BJ327,0)</f>
        <v>0</v>
      </c>
      <c r="AI327" s="68" t="s">
        <v>587</v>
      </c>
      <c r="AJ327" s="39">
        <f>IF(AN327=0,L327,0)</f>
        <v>0</v>
      </c>
      <c r="AK327" s="39">
        <f>IF(AN327=15,L327,0)</f>
        <v>0</v>
      </c>
      <c r="AL327" s="39">
        <f>IF(AN327=21,L327,0)</f>
        <v>0</v>
      </c>
      <c r="AN327" s="39">
        <v>21</v>
      </c>
      <c r="AO327" s="39">
        <f>I327*0.107877800244608</f>
        <v>0</v>
      </c>
      <c r="AP327" s="39">
        <f>I327*(1-0.107877800244608)</f>
        <v>0</v>
      </c>
      <c r="AQ327" s="40" t="s">
        <v>846</v>
      </c>
      <c r="AV327" s="39">
        <f>AW327+AX327</f>
        <v>0</v>
      </c>
      <c r="AW327" s="39">
        <f>H327*AO327</f>
        <v>0</v>
      </c>
      <c r="AX327" s="39">
        <f>H327*AP327</f>
        <v>0</v>
      </c>
      <c r="AY327" s="40" t="s">
        <v>747</v>
      </c>
      <c r="AZ327" s="40" t="s">
        <v>383</v>
      </c>
      <c r="BA327" s="68" t="s">
        <v>648</v>
      </c>
      <c r="BC327" s="39">
        <f>AW327+AX327</f>
        <v>0</v>
      </c>
      <c r="BD327" s="39">
        <f>I327/(100-BE327)*100</f>
        <v>0</v>
      </c>
      <c r="BE327" s="39">
        <v>0</v>
      </c>
      <c r="BF327" s="39">
        <f>335</f>
        <v>335</v>
      </c>
      <c r="BH327" s="39">
        <f>H327*AO327</f>
        <v>0</v>
      </c>
      <c r="BI327" s="39">
        <f>H327*AP327</f>
        <v>0</v>
      </c>
      <c r="BJ327" s="39">
        <f>H327*I327</f>
        <v>0</v>
      </c>
      <c r="BK327" s="39"/>
      <c r="BL327" s="39">
        <v>784</v>
      </c>
    </row>
    <row r="328" spans="1:64" ht="15" customHeight="1">
      <c r="A328" s="37" t="s">
        <v>414</v>
      </c>
      <c r="B328" s="38" t="s">
        <v>189</v>
      </c>
      <c r="C328" s="195" t="s">
        <v>253</v>
      </c>
      <c r="D328" s="195"/>
      <c r="E328" s="195"/>
      <c r="F328" s="195"/>
      <c r="G328" s="38" t="s">
        <v>831</v>
      </c>
      <c r="H328" s="39">
        <v>105.548</v>
      </c>
      <c r="I328" s="39">
        <v>0</v>
      </c>
      <c r="J328" s="39">
        <f>H328*AO328</f>
        <v>0</v>
      </c>
      <c r="K328" s="39">
        <f>H328*AP328</f>
        <v>0</v>
      </c>
      <c r="L328" s="39">
        <f>H328*I328</f>
        <v>0</v>
      </c>
      <c r="M328" s="80" t="s">
        <v>576</v>
      </c>
      <c r="Z328" s="39">
        <f>IF(AQ328="5",BJ328,0)</f>
        <v>0</v>
      </c>
      <c r="AB328" s="39">
        <f>IF(AQ328="1",BH328,0)</f>
        <v>0</v>
      </c>
      <c r="AC328" s="39">
        <f>IF(AQ328="1",BI328,0)</f>
        <v>0</v>
      </c>
      <c r="AD328" s="39">
        <f>IF(AQ328="7",BH328,0)</f>
        <v>0</v>
      </c>
      <c r="AE328" s="39">
        <f>IF(AQ328="7",BI328,0)</f>
        <v>0</v>
      </c>
      <c r="AF328" s="39">
        <f>IF(AQ328="2",BH328,0)</f>
        <v>0</v>
      </c>
      <c r="AG328" s="39">
        <f>IF(AQ328="2",BI328,0)</f>
        <v>0</v>
      </c>
      <c r="AH328" s="39">
        <f>IF(AQ328="0",BJ328,0)</f>
        <v>0</v>
      </c>
      <c r="AI328" s="68" t="s">
        <v>587</v>
      </c>
      <c r="AJ328" s="39">
        <f>IF(AN328=0,L328,0)</f>
        <v>0</v>
      </c>
      <c r="AK328" s="39">
        <f>IF(AN328=15,L328,0)</f>
        <v>0</v>
      </c>
      <c r="AL328" s="39">
        <f>IF(AN328=21,L328,0)</f>
        <v>0</v>
      </c>
      <c r="AN328" s="39">
        <v>21</v>
      </c>
      <c r="AO328" s="39">
        <f>I328*0.0706859109068024</f>
        <v>0</v>
      </c>
      <c r="AP328" s="39">
        <f>I328*(1-0.0706859109068024)</f>
        <v>0</v>
      </c>
      <c r="AQ328" s="40" t="s">
        <v>846</v>
      </c>
      <c r="AV328" s="39">
        <f>AW328+AX328</f>
        <v>0</v>
      </c>
      <c r="AW328" s="39">
        <f>H328*AO328</f>
        <v>0</v>
      </c>
      <c r="AX328" s="39">
        <f>H328*AP328</f>
        <v>0</v>
      </c>
      <c r="AY328" s="40" t="s">
        <v>747</v>
      </c>
      <c r="AZ328" s="40" t="s">
        <v>383</v>
      </c>
      <c r="BA328" s="68" t="s">
        <v>648</v>
      </c>
      <c r="BC328" s="39">
        <f>AW328+AX328</f>
        <v>0</v>
      </c>
      <c r="BD328" s="39">
        <f>I328/(100-BE328)*100</f>
        <v>0</v>
      </c>
      <c r="BE328" s="39">
        <v>0</v>
      </c>
      <c r="BF328" s="39">
        <f>336</f>
        <v>336</v>
      </c>
      <c r="BH328" s="39">
        <f>H328*AO328</f>
        <v>0</v>
      </c>
      <c r="BI328" s="39">
        <f>H328*AP328</f>
        <v>0</v>
      </c>
      <c r="BJ328" s="39">
        <f>H328*I328</f>
        <v>0</v>
      </c>
      <c r="BK328" s="39"/>
      <c r="BL328" s="39">
        <v>784</v>
      </c>
    </row>
    <row r="329" spans="1:64" ht="13.5" customHeight="1">
      <c r="A329" s="81"/>
      <c r="B329" s="82" t="s">
        <v>440</v>
      </c>
      <c r="C329" s="223" t="s">
        <v>772</v>
      </c>
      <c r="D329" s="224"/>
      <c r="E329" s="224"/>
      <c r="F329" s="224"/>
      <c r="G329" s="224"/>
      <c r="H329" s="224"/>
      <c r="I329" s="224"/>
      <c r="J329" s="224"/>
      <c r="K329" s="224"/>
      <c r="L329" s="224"/>
      <c r="M329" s="225"/>
    </row>
    <row r="330" spans="1:64" ht="15" customHeight="1">
      <c r="J330" s="222" t="s">
        <v>671</v>
      </c>
      <c r="K330" s="222"/>
      <c r="L330" s="41">
        <f>SUM(L4+L6+L9+L14+L24+L36+L44+L47+L50+L53+L66+L71+L81+L90++L93+L95+L97+L101+L103+L128+L144+L155+L158+L161+L169+L189+L230+L236+L241+L249+L258+L280+L289+L307+L317+L325)</f>
        <v>0</v>
      </c>
    </row>
    <row r="331" spans="1:64" ht="15" customHeight="1">
      <c r="A331" s="63" t="s">
        <v>67</v>
      </c>
    </row>
    <row r="332" spans="1:64" ht="12.75" customHeight="1">
      <c r="A332" s="194" t="s">
        <v>587</v>
      </c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</row>
  </sheetData>
  <mergeCells count="332">
    <mergeCell ref="A1:M1"/>
    <mergeCell ref="C2:F2"/>
    <mergeCell ref="C3:F3"/>
    <mergeCell ref="J2:L2"/>
    <mergeCell ref="C4:F4"/>
    <mergeCell ref="C5:F5"/>
    <mergeCell ref="C6:F6"/>
    <mergeCell ref="C7:F7"/>
    <mergeCell ref="C8:M8"/>
    <mergeCell ref="C9:F9"/>
    <mergeCell ref="C10:F10"/>
    <mergeCell ref="C11:F11"/>
    <mergeCell ref="C12:F12"/>
    <mergeCell ref="C13:M13"/>
    <mergeCell ref="C14:F14"/>
    <mergeCell ref="C15:F15"/>
    <mergeCell ref="C16:F16"/>
    <mergeCell ref="C17:F17"/>
    <mergeCell ref="C18:F18"/>
    <mergeCell ref="C19:M19"/>
    <mergeCell ref="C20:F20"/>
    <mergeCell ref="C21:F21"/>
    <mergeCell ref="C22:F22"/>
    <mergeCell ref="C23:M23"/>
    <mergeCell ref="C24:F24"/>
    <mergeCell ref="C25:F25"/>
    <mergeCell ref="C26:M26"/>
    <mergeCell ref="C27:F27"/>
    <mergeCell ref="C28:F28"/>
    <mergeCell ref="C29:M29"/>
    <mergeCell ref="C30:F30"/>
    <mergeCell ref="C31:M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M46"/>
    <mergeCell ref="C47:F47"/>
    <mergeCell ref="C48:F48"/>
    <mergeCell ref="C49:F49"/>
    <mergeCell ref="C50:F50"/>
    <mergeCell ref="C51:F51"/>
    <mergeCell ref="C52:F52"/>
    <mergeCell ref="C53:F53"/>
    <mergeCell ref="C54:F54"/>
    <mergeCell ref="C55:M55"/>
    <mergeCell ref="C56:F56"/>
    <mergeCell ref="C57:M57"/>
    <mergeCell ref="C58:F58"/>
    <mergeCell ref="C59:M59"/>
    <mergeCell ref="C60:F60"/>
    <mergeCell ref="C61:M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M73"/>
    <mergeCell ref="C74:F74"/>
    <mergeCell ref="C75:F75"/>
    <mergeCell ref="C76:M76"/>
    <mergeCell ref="C77:F77"/>
    <mergeCell ref="C78:M78"/>
    <mergeCell ref="C79:F79"/>
    <mergeCell ref="C80:M80"/>
    <mergeCell ref="C81:F81"/>
    <mergeCell ref="C82:F82"/>
    <mergeCell ref="C83:M83"/>
    <mergeCell ref="C84:F84"/>
    <mergeCell ref="C85:M85"/>
    <mergeCell ref="C86:F86"/>
    <mergeCell ref="C87:F87"/>
    <mergeCell ref="C88:F88"/>
    <mergeCell ref="C89:M89"/>
    <mergeCell ref="C90:F90"/>
    <mergeCell ref="C91:F91"/>
    <mergeCell ref="C92:M92"/>
    <mergeCell ref="C93:F93"/>
    <mergeCell ref="C94:F94"/>
    <mergeCell ref="C95:F95"/>
    <mergeCell ref="C96:F96"/>
    <mergeCell ref="C97:F97"/>
    <mergeCell ref="C98:F98"/>
    <mergeCell ref="C99:F99"/>
    <mergeCell ref="C100:M100"/>
    <mergeCell ref="C101:F101"/>
    <mergeCell ref="C102:F102"/>
    <mergeCell ref="C103:F103"/>
    <mergeCell ref="C104:F104"/>
    <mergeCell ref="C105:M105"/>
    <mergeCell ref="C106:F106"/>
    <mergeCell ref="C107:F107"/>
    <mergeCell ref="C108:F108"/>
    <mergeCell ref="C109:F109"/>
    <mergeCell ref="C110:F110"/>
    <mergeCell ref="C111:F111"/>
    <mergeCell ref="C112:M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M122"/>
    <mergeCell ref="C123:F123"/>
    <mergeCell ref="C124:F124"/>
    <mergeCell ref="C125:M125"/>
    <mergeCell ref="C126:F126"/>
    <mergeCell ref="C127:M127"/>
    <mergeCell ref="C128:F128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M143"/>
    <mergeCell ref="C144:F144"/>
    <mergeCell ref="C145:F145"/>
    <mergeCell ref="C146:F146"/>
    <mergeCell ref="C147:F147"/>
    <mergeCell ref="C148:M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M157"/>
    <mergeCell ref="C158:F158"/>
    <mergeCell ref="C159:F159"/>
    <mergeCell ref="C160:M160"/>
    <mergeCell ref="C161:F161"/>
    <mergeCell ref="C162:F162"/>
    <mergeCell ref="C163:M163"/>
    <mergeCell ref="C164:F164"/>
    <mergeCell ref="C165:M165"/>
    <mergeCell ref="C166:F166"/>
    <mergeCell ref="C167:M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M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M191"/>
    <mergeCell ref="C192:F192"/>
    <mergeCell ref="C193:M193"/>
    <mergeCell ref="C194:F194"/>
    <mergeCell ref="C195:M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M234"/>
    <mergeCell ref="C235:F235"/>
    <mergeCell ref="C236:F23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C281:F281"/>
    <mergeCell ref="C282:F282"/>
    <mergeCell ref="C283:M283"/>
    <mergeCell ref="C284:F284"/>
    <mergeCell ref="C285:M285"/>
    <mergeCell ref="C286:F286"/>
    <mergeCell ref="C287:M287"/>
    <mergeCell ref="C288:F288"/>
    <mergeCell ref="C289:F289"/>
    <mergeCell ref="C290:F290"/>
    <mergeCell ref="C291:M291"/>
    <mergeCell ref="C292:F292"/>
    <mergeCell ref="C293:F293"/>
    <mergeCell ref="C294:F294"/>
    <mergeCell ref="C295:F295"/>
    <mergeCell ref="C296:M296"/>
    <mergeCell ref="C297:F297"/>
    <mergeCell ref="C298:F298"/>
    <mergeCell ref="C299:F299"/>
    <mergeCell ref="C300:F300"/>
    <mergeCell ref="C301:M301"/>
    <mergeCell ref="C302:F302"/>
    <mergeCell ref="C303:F303"/>
    <mergeCell ref="C304:F304"/>
    <mergeCell ref="C305:F305"/>
    <mergeCell ref="C306:F306"/>
    <mergeCell ref="C307:F307"/>
    <mergeCell ref="C308:F308"/>
    <mergeCell ref="C309:M309"/>
    <mergeCell ref="C310:F310"/>
    <mergeCell ref="C311:F311"/>
    <mergeCell ref="C312:F312"/>
    <mergeCell ref="C313:F313"/>
    <mergeCell ref="C314:F314"/>
    <mergeCell ref="C315:F315"/>
    <mergeCell ref="C316:F316"/>
    <mergeCell ref="C317:F317"/>
    <mergeCell ref="C318:F318"/>
    <mergeCell ref="C319:F319"/>
    <mergeCell ref="C320:F320"/>
    <mergeCell ref="A332:M332"/>
    <mergeCell ref="J330:K330"/>
    <mergeCell ref="C321:M321"/>
    <mergeCell ref="C322:F322"/>
    <mergeCell ref="C323:F323"/>
    <mergeCell ref="C324:F324"/>
    <mergeCell ref="C325:F325"/>
    <mergeCell ref="C326:F326"/>
    <mergeCell ref="C327:F327"/>
    <mergeCell ref="C328:F328"/>
    <mergeCell ref="C329:M32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B97-8794-461C-8D51-0FFF572F0D5B}">
  <sheetPr>
    <tabColor theme="4" tint="0.39997558519241921"/>
  </sheetPr>
  <dimension ref="A1:L136"/>
  <sheetViews>
    <sheetView topLeftCell="A103" workbookViewId="0">
      <selection activeCell="D150" sqref="D150"/>
    </sheetView>
  </sheetViews>
  <sheetFormatPr defaultRowHeight="15"/>
  <cols>
    <col min="1" max="1" width="5.1640625" style="1" customWidth="1"/>
    <col min="2" max="2" width="46.33203125" style="1" customWidth="1"/>
    <col min="3" max="3" width="19.83203125" style="1" customWidth="1"/>
    <col min="4" max="4" width="11.33203125" style="1" customWidth="1"/>
    <col min="5" max="5" width="9.33203125" style="1"/>
    <col min="6" max="6" width="10.6640625" style="1" bestFit="1" customWidth="1"/>
    <col min="7" max="7" width="13.6640625" style="1" bestFit="1" customWidth="1"/>
    <col min="8" max="8" width="10.6640625" style="1" bestFit="1" customWidth="1"/>
    <col min="9" max="9" width="15.5" style="1" customWidth="1"/>
    <col min="10" max="16384" width="9.33203125" style="1"/>
  </cols>
  <sheetData>
    <row r="1" spans="1:9" ht="18.75">
      <c r="A1" s="85"/>
      <c r="B1" s="160" t="s">
        <v>1234</v>
      </c>
      <c r="C1" s="86"/>
      <c r="D1" s="85"/>
      <c r="E1" s="85"/>
    </row>
    <row r="2" spans="1:9" ht="28.5" customHeight="1">
      <c r="A2" s="87" t="s">
        <v>960</v>
      </c>
      <c r="B2" s="88" t="s">
        <v>961</v>
      </c>
      <c r="C2" s="89"/>
      <c r="D2" s="87" t="s">
        <v>515</v>
      </c>
      <c r="E2" s="87"/>
      <c r="F2" s="87" t="s">
        <v>962</v>
      </c>
      <c r="G2" s="87" t="s">
        <v>963</v>
      </c>
      <c r="H2" s="87" t="s">
        <v>964</v>
      </c>
      <c r="I2" s="87" t="s">
        <v>965</v>
      </c>
    </row>
    <row r="3" spans="1:9">
      <c r="A3" s="85"/>
      <c r="B3" s="90"/>
      <c r="C3" s="91"/>
      <c r="D3" s="92"/>
      <c r="E3" s="92"/>
    </row>
    <row r="4" spans="1:9">
      <c r="A4" s="93" t="s">
        <v>966</v>
      </c>
      <c r="B4" s="93" t="s">
        <v>967</v>
      </c>
      <c r="C4" s="94"/>
      <c r="D4" s="92"/>
      <c r="E4" s="92"/>
    </row>
    <row r="5" spans="1:9">
      <c r="A5" s="88" t="s">
        <v>968</v>
      </c>
      <c r="B5" s="95" t="s">
        <v>969</v>
      </c>
      <c r="C5" s="96"/>
      <c r="D5" s="97"/>
      <c r="E5" s="98"/>
      <c r="F5" s="99"/>
      <c r="G5" s="99"/>
      <c r="H5" s="99"/>
      <c r="I5" s="100"/>
    </row>
    <row r="6" spans="1:9" ht="15" customHeight="1">
      <c r="A6" s="101"/>
      <c r="B6" s="102" t="s">
        <v>970</v>
      </c>
      <c r="C6" s="103"/>
      <c r="D6" s="104">
        <v>1</v>
      </c>
      <c r="E6" s="105" t="s">
        <v>591</v>
      </c>
      <c r="F6" s="106">
        <v>0</v>
      </c>
      <c r="G6" s="107">
        <v>0</v>
      </c>
      <c r="H6" s="107">
        <f t="shared" ref="H6:H9" si="0">F6+G6</f>
        <v>0</v>
      </c>
      <c r="I6" s="107">
        <f t="shared" ref="I6:I8" si="1">D6*H6</f>
        <v>0</v>
      </c>
    </row>
    <row r="7" spans="1:9" ht="15" customHeight="1">
      <c r="A7" s="101"/>
      <c r="B7" s="108" t="s">
        <v>971</v>
      </c>
      <c r="C7" s="103"/>
      <c r="D7" s="104">
        <v>1</v>
      </c>
      <c r="E7" s="105" t="s">
        <v>591</v>
      </c>
      <c r="F7" s="106">
        <v>0</v>
      </c>
      <c r="G7" s="107">
        <v>0</v>
      </c>
      <c r="H7" s="107">
        <f t="shared" si="0"/>
        <v>0</v>
      </c>
      <c r="I7" s="107">
        <f t="shared" si="1"/>
        <v>0</v>
      </c>
    </row>
    <row r="8" spans="1:9" ht="15" customHeight="1">
      <c r="A8" s="27"/>
      <c r="B8" s="108" t="s">
        <v>972</v>
      </c>
      <c r="C8" s="109"/>
      <c r="D8" s="104">
        <v>1</v>
      </c>
      <c r="E8" s="105" t="s">
        <v>649</v>
      </c>
      <c r="F8" s="106">
        <v>0</v>
      </c>
      <c r="G8" s="107">
        <v>0</v>
      </c>
      <c r="H8" s="107">
        <f t="shared" si="0"/>
        <v>0</v>
      </c>
      <c r="I8" s="110">
        <f t="shared" si="1"/>
        <v>0</v>
      </c>
    </row>
    <row r="9" spans="1:9" ht="15" customHeight="1">
      <c r="A9" s="27"/>
      <c r="B9" s="29" t="s">
        <v>973</v>
      </c>
      <c r="C9" s="111"/>
      <c r="D9" s="104">
        <v>1</v>
      </c>
      <c r="E9" s="105" t="s">
        <v>649</v>
      </c>
      <c r="F9" s="112">
        <v>0</v>
      </c>
      <c r="G9" s="107">
        <v>0</v>
      </c>
      <c r="H9" s="112">
        <f t="shared" si="0"/>
        <v>0</v>
      </c>
      <c r="I9" s="110">
        <f>D9*H9</f>
        <v>0</v>
      </c>
    </row>
    <row r="10" spans="1:9" ht="15" customHeight="1" thickBot="1">
      <c r="A10" s="27"/>
      <c r="B10" s="113"/>
      <c r="C10" s="114"/>
      <c r="D10" s="104"/>
      <c r="E10" s="105"/>
      <c r="F10" s="106"/>
      <c r="G10" s="107"/>
      <c r="H10" s="107"/>
      <c r="I10" s="110"/>
    </row>
    <row r="11" spans="1:9" ht="15" customHeight="1" thickBot="1">
      <c r="A11" s="115"/>
      <c r="B11" s="116" t="s">
        <v>81</v>
      </c>
      <c r="C11" s="117"/>
      <c r="D11" s="118"/>
      <c r="E11" s="119"/>
      <c r="F11" s="120"/>
      <c r="G11" s="120"/>
      <c r="H11" s="120"/>
      <c r="I11" s="121">
        <f>CEILING(SUM(I6:I10),1)</f>
        <v>0</v>
      </c>
    </row>
    <row r="12" spans="1:9" ht="15" customHeight="1">
      <c r="A12" s="85"/>
      <c r="B12" s="122"/>
      <c r="C12" s="94"/>
      <c r="D12" s="104"/>
      <c r="E12" s="92"/>
      <c r="I12" s="123"/>
    </row>
    <row r="13" spans="1:9" ht="15" customHeight="1">
      <c r="A13" s="88" t="s">
        <v>974</v>
      </c>
      <c r="B13" s="95" t="s">
        <v>975</v>
      </c>
      <c r="C13" s="96"/>
      <c r="D13" s="97"/>
      <c r="E13" s="98"/>
      <c r="F13" s="99"/>
      <c r="G13" s="99"/>
      <c r="H13" s="99"/>
      <c r="I13" s="100"/>
    </row>
    <row r="14" spans="1:9" ht="15" customHeight="1">
      <c r="A14" s="101"/>
      <c r="B14" s="102" t="s">
        <v>976</v>
      </c>
      <c r="C14" s="103"/>
      <c r="D14" s="104">
        <v>2</v>
      </c>
      <c r="E14" s="105" t="s">
        <v>591</v>
      </c>
      <c r="F14" s="106">
        <v>0</v>
      </c>
      <c r="G14" s="107">
        <v>0</v>
      </c>
      <c r="H14" s="107">
        <f t="shared" ref="H14:H34" si="2">F14+G14</f>
        <v>0</v>
      </c>
      <c r="I14" s="107">
        <f t="shared" ref="I14:I33" si="3">D14*H14</f>
        <v>0</v>
      </c>
    </row>
    <row r="15" spans="1:9" ht="15" customHeight="1">
      <c r="A15" s="101"/>
      <c r="B15" s="234" t="s">
        <v>977</v>
      </c>
      <c r="C15" s="235"/>
      <c r="D15" s="104">
        <v>1</v>
      </c>
      <c r="E15" s="105" t="s">
        <v>591</v>
      </c>
      <c r="F15" s="106">
        <v>0</v>
      </c>
      <c r="G15" s="107">
        <v>0</v>
      </c>
      <c r="H15" s="107">
        <f t="shared" si="2"/>
        <v>0</v>
      </c>
      <c r="I15" s="107">
        <f t="shared" si="3"/>
        <v>0</v>
      </c>
    </row>
    <row r="16" spans="1:9" ht="15" customHeight="1">
      <c r="A16" s="101"/>
      <c r="B16" s="234" t="s">
        <v>978</v>
      </c>
      <c r="C16" s="235"/>
      <c r="D16" s="104">
        <v>2</v>
      </c>
      <c r="E16" s="105" t="s">
        <v>591</v>
      </c>
      <c r="F16" s="106">
        <v>0</v>
      </c>
      <c r="G16" s="107">
        <v>0</v>
      </c>
      <c r="H16" s="107">
        <f t="shared" si="2"/>
        <v>0</v>
      </c>
      <c r="I16" s="107">
        <f t="shared" si="3"/>
        <v>0</v>
      </c>
    </row>
    <row r="17" spans="1:9" ht="15" customHeight="1">
      <c r="A17" s="27"/>
      <c r="B17" s="108" t="s">
        <v>979</v>
      </c>
      <c r="C17" s="109"/>
      <c r="D17" s="104">
        <v>2</v>
      </c>
      <c r="E17" s="105" t="s">
        <v>591</v>
      </c>
      <c r="F17" s="106">
        <v>0</v>
      </c>
      <c r="G17" s="107">
        <v>0</v>
      </c>
      <c r="H17" s="107">
        <f t="shared" si="2"/>
        <v>0</v>
      </c>
      <c r="I17" s="110">
        <f t="shared" si="3"/>
        <v>0</v>
      </c>
    </row>
    <row r="18" spans="1:9" ht="15" customHeight="1">
      <c r="A18" s="27" t="s">
        <v>784</v>
      </c>
      <c r="B18" s="108" t="s">
        <v>980</v>
      </c>
      <c r="C18" s="109"/>
      <c r="D18" s="104">
        <v>15</v>
      </c>
      <c r="E18" s="105" t="s">
        <v>591</v>
      </c>
      <c r="F18" s="106">
        <v>0</v>
      </c>
      <c r="G18" s="107">
        <v>0</v>
      </c>
      <c r="H18" s="107">
        <f t="shared" si="2"/>
        <v>0</v>
      </c>
      <c r="I18" s="110">
        <f t="shared" si="3"/>
        <v>0</v>
      </c>
    </row>
    <row r="19" spans="1:9" ht="15" customHeight="1">
      <c r="A19" s="27"/>
      <c r="B19" s="108" t="s">
        <v>981</v>
      </c>
      <c r="C19" s="109"/>
      <c r="D19" s="104">
        <v>2</v>
      </c>
      <c r="E19" s="105" t="s">
        <v>591</v>
      </c>
      <c r="F19" s="106">
        <v>0</v>
      </c>
      <c r="G19" s="107">
        <v>0</v>
      </c>
      <c r="H19" s="107">
        <f t="shared" si="2"/>
        <v>0</v>
      </c>
      <c r="I19" s="110">
        <f t="shared" si="3"/>
        <v>0</v>
      </c>
    </row>
    <row r="20" spans="1:9" ht="15" customHeight="1">
      <c r="A20" s="27"/>
      <c r="B20" s="108" t="s">
        <v>982</v>
      </c>
      <c r="C20" s="109"/>
      <c r="D20" s="104">
        <v>2</v>
      </c>
      <c r="E20" s="105" t="s">
        <v>591</v>
      </c>
      <c r="F20" s="106">
        <v>0</v>
      </c>
      <c r="G20" s="107">
        <v>0</v>
      </c>
      <c r="H20" s="107">
        <f t="shared" si="2"/>
        <v>0</v>
      </c>
      <c r="I20" s="110">
        <f t="shared" si="3"/>
        <v>0</v>
      </c>
    </row>
    <row r="21" spans="1:9" ht="15" customHeight="1">
      <c r="A21" s="27"/>
      <c r="B21" s="108" t="s">
        <v>983</v>
      </c>
      <c r="C21" s="109"/>
      <c r="D21" s="104">
        <v>2</v>
      </c>
      <c r="E21" s="105" t="s">
        <v>591</v>
      </c>
      <c r="F21" s="106">
        <v>0</v>
      </c>
      <c r="G21" s="107">
        <v>0</v>
      </c>
      <c r="H21" s="107">
        <f t="shared" si="2"/>
        <v>0</v>
      </c>
      <c r="I21" s="110">
        <f t="shared" si="3"/>
        <v>0</v>
      </c>
    </row>
    <row r="22" spans="1:9" ht="15" customHeight="1">
      <c r="A22" s="27"/>
      <c r="B22" s="108" t="s">
        <v>984</v>
      </c>
      <c r="C22" s="109"/>
      <c r="D22" s="104">
        <v>2</v>
      </c>
      <c r="E22" s="105" t="s">
        <v>591</v>
      </c>
      <c r="F22" s="106">
        <v>0</v>
      </c>
      <c r="G22" s="107">
        <v>0</v>
      </c>
      <c r="H22" s="107">
        <f t="shared" si="2"/>
        <v>0</v>
      </c>
      <c r="I22" s="110">
        <f t="shared" si="3"/>
        <v>0</v>
      </c>
    </row>
    <row r="23" spans="1:9" ht="15" customHeight="1">
      <c r="A23" s="27"/>
      <c r="B23" s="108" t="s">
        <v>985</v>
      </c>
      <c r="C23" s="109"/>
      <c r="D23" s="104">
        <v>2</v>
      </c>
      <c r="E23" s="105" t="s">
        <v>591</v>
      </c>
      <c r="F23" s="106">
        <v>0</v>
      </c>
      <c r="G23" s="107">
        <v>0</v>
      </c>
      <c r="H23" s="107">
        <f t="shared" si="2"/>
        <v>0</v>
      </c>
      <c r="I23" s="110">
        <f t="shared" si="3"/>
        <v>0</v>
      </c>
    </row>
    <row r="24" spans="1:9" ht="15" customHeight="1">
      <c r="A24" s="27"/>
      <c r="B24" s="108" t="s">
        <v>986</v>
      </c>
      <c r="C24" s="109"/>
      <c r="D24" s="104">
        <v>2</v>
      </c>
      <c r="E24" s="105" t="s">
        <v>591</v>
      </c>
      <c r="F24" s="106">
        <v>0</v>
      </c>
      <c r="G24" s="107">
        <v>0</v>
      </c>
      <c r="H24" s="107">
        <f t="shared" si="2"/>
        <v>0</v>
      </c>
      <c r="I24" s="110">
        <f t="shared" si="3"/>
        <v>0</v>
      </c>
    </row>
    <row r="25" spans="1:9" ht="15" customHeight="1">
      <c r="A25" s="27"/>
      <c r="B25" s="108" t="s">
        <v>987</v>
      </c>
      <c r="C25" s="109"/>
      <c r="D25" s="104">
        <v>2</v>
      </c>
      <c r="E25" s="105" t="s">
        <v>591</v>
      </c>
      <c r="F25" s="106">
        <v>0</v>
      </c>
      <c r="G25" s="107">
        <v>0</v>
      </c>
      <c r="H25" s="107">
        <f t="shared" si="2"/>
        <v>0</v>
      </c>
      <c r="I25" s="110">
        <f t="shared" si="3"/>
        <v>0</v>
      </c>
    </row>
    <row r="26" spans="1:9" ht="15" customHeight="1">
      <c r="A26" s="27"/>
      <c r="B26" s="108" t="s">
        <v>988</v>
      </c>
      <c r="C26" s="109"/>
      <c r="D26" s="104">
        <v>2</v>
      </c>
      <c r="E26" s="105" t="s">
        <v>591</v>
      </c>
      <c r="F26" s="106">
        <v>0</v>
      </c>
      <c r="G26" s="107">
        <v>0</v>
      </c>
      <c r="H26" s="107">
        <f t="shared" si="2"/>
        <v>0</v>
      </c>
      <c r="I26" s="110">
        <f t="shared" si="3"/>
        <v>0</v>
      </c>
    </row>
    <row r="27" spans="1:9" ht="15" customHeight="1">
      <c r="A27" s="27"/>
      <c r="B27" s="108" t="s">
        <v>989</v>
      </c>
      <c r="C27" s="109"/>
      <c r="D27" s="104">
        <v>5</v>
      </c>
      <c r="E27" s="105" t="s">
        <v>591</v>
      </c>
      <c r="F27" s="106">
        <v>0</v>
      </c>
      <c r="G27" s="107">
        <v>0</v>
      </c>
      <c r="H27" s="107">
        <f t="shared" si="2"/>
        <v>0</v>
      </c>
      <c r="I27" s="110">
        <f t="shared" si="3"/>
        <v>0</v>
      </c>
    </row>
    <row r="28" spans="1:9" ht="15" customHeight="1">
      <c r="A28" s="27"/>
      <c r="B28" s="108" t="s">
        <v>990</v>
      </c>
      <c r="C28" s="109"/>
      <c r="D28" s="104">
        <v>3</v>
      </c>
      <c r="E28" s="105" t="s">
        <v>591</v>
      </c>
      <c r="F28" s="106">
        <v>0</v>
      </c>
      <c r="G28" s="107">
        <v>0</v>
      </c>
      <c r="H28" s="107">
        <f t="shared" si="2"/>
        <v>0</v>
      </c>
      <c r="I28" s="110">
        <f t="shared" si="3"/>
        <v>0</v>
      </c>
    </row>
    <row r="29" spans="1:9" ht="15" customHeight="1">
      <c r="A29" s="27"/>
      <c r="B29" s="108" t="s">
        <v>991</v>
      </c>
      <c r="C29" s="109"/>
      <c r="D29" s="104">
        <v>6</v>
      </c>
      <c r="E29" s="105" t="s">
        <v>591</v>
      </c>
      <c r="F29" s="106">
        <v>0</v>
      </c>
      <c r="G29" s="107">
        <v>0</v>
      </c>
      <c r="H29" s="107">
        <f t="shared" si="2"/>
        <v>0</v>
      </c>
      <c r="I29" s="110">
        <f t="shared" si="3"/>
        <v>0</v>
      </c>
    </row>
    <row r="30" spans="1:9" ht="15" customHeight="1">
      <c r="A30" s="27"/>
      <c r="B30" s="108" t="s">
        <v>992</v>
      </c>
      <c r="C30" s="109"/>
      <c r="D30" s="104">
        <v>2</v>
      </c>
      <c r="E30" s="105" t="s">
        <v>591</v>
      </c>
      <c r="F30" s="106">
        <v>0</v>
      </c>
      <c r="G30" s="107">
        <v>0</v>
      </c>
      <c r="H30" s="107">
        <f t="shared" si="2"/>
        <v>0</v>
      </c>
      <c r="I30" s="110">
        <f t="shared" si="3"/>
        <v>0</v>
      </c>
    </row>
    <row r="31" spans="1:9" ht="15" customHeight="1">
      <c r="A31" s="27"/>
      <c r="B31" s="108" t="s">
        <v>993</v>
      </c>
      <c r="C31" s="109"/>
      <c r="D31" s="104">
        <v>4</v>
      </c>
      <c r="E31" s="105" t="s">
        <v>591</v>
      </c>
      <c r="F31" s="106">
        <v>0</v>
      </c>
      <c r="G31" s="107">
        <v>0</v>
      </c>
      <c r="H31" s="107">
        <f t="shared" si="2"/>
        <v>0</v>
      </c>
      <c r="I31" s="110">
        <f t="shared" si="3"/>
        <v>0</v>
      </c>
    </row>
    <row r="32" spans="1:9" ht="15" customHeight="1">
      <c r="A32" s="27"/>
      <c r="B32" s="108" t="s">
        <v>994</v>
      </c>
      <c r="C32" s="109"/>
      <c r="D32" s="104">
        <v>5</v>
      </c>
      <c r="E32" s="105" t="s">
        <v>591</v>
      </c>
      <c r="F32" s="106">
        <v>0</v>
      </c>
      <c r="G32" s="107">
        <v>0</v>
      </c>
      <c r="H32" s="107">
        <f t="shared" si="2"/>
        <v>0</v>
      </c>
      <c r="I32" s="110">
        <f t="shared" si="3"/>
        <v>0</v>
      </c>
    </row>
    <row r="33" spans="1:9" ht="15" customHeight="1">
      <c r="A33" s="27"/>
      <c r="B33" s="108" t="s">
        <v>995</v>
      </c>
      <c r="C33" s="109"/>
      <c r="D33" s="104">
        <v>2</v>
      </c>
      <c r="E33" s="105" t="s">
        <v>591</v>
      </c>
      <c r="F33" s="106">
        <v>0</v>
      </c>
      <c r="G33" s="107">
        <v>0</v>
      </c>
      <c r="H33" s="107">
        <f t="shared" si="2"/>
        <v>0</v>
      </c>
      <c r="I33" s="110">
        <f t="shared" si="3"/>
        <v>0</v>
      </c>
    </row>
    <row r="34" spans="1:9" ht="15" customHeight="1">
      <c r="A34" s="27"/>
      <c r="B34" s="29" t="s">
        <v>973</v>
      </c>
      <c r="C34" s="111"/>
      <c r="D34" s="104">
        <v>1</v>
      </c>
      <c r="E34" s="105" t="s">
        <v>649</v>
      </c>
      <c r="F34" s="106">
        <v>0</v>
      </c>
      <c r="G34" s="107">
        <v>0</v>
      </c>
      <c r="H34" s="112">
        <f t="shared" si="2"/>
        <v>0</v>
      </c>
      <c r="I34" s="110">
        <f>D34*H34</f>
        <v>0</v>
      </c>
    </row>
    <row r="35" spans="1:9" ht="15" customHeight="1" thickBot="1">
      <c r="A35" s="27"/>
      <c r="B35" s="113"/>
      <c r="C35" s="114"/>
      <c r="D35" s="104"/>
      <c r="E35" s="105"/>
      <c r="F35" s="106"/>
      <c r="G35" s="107"/>
      <c r="H35" s="107"/>
      <c r="I35" s="110"/>
    </row>
    <row r="36" spans="1:9" ht="15" customHeight="1" thickBot="1">
      <c r="A36" s="115"/>
      <c r="B36" s="116" t="s">
        <v>81</v>
      </c>
      <c r="C36" s="117"/>
      <c r="D36" s="118"/>
      <c r="E36" s="119"/>
      <c r="F36" s="120"/>
      <c r="G36" s="120"/>
      <c r="H36" s="120"/>
      <c r="I36" s="121">
        <f>CEILING(SUM(I14:I35),1)</f>
        <v>0</v>
      </c>
    </row>
    <row r="37" spans="1:9" ht="15" customHeight="1">
      <c r="A37" s="85"/>
      <c r="B37" s="122"/>
      <c r="C37" s="94"/>
      <c r="D37" s="104"/>
      <c r="E37" s="92"/>
      <c r="I37" s="123"/>
    </row>
    <row r="38" spans="1:9">
      <c r="A38" s="93"/>
      <c r="B38" s="93"/>
      <c r="C38" s="94"/>
      <c r="D38" s="92"/>
      <c r="E38" s="92"/>
      <c r="I38" s="110"/>
    </row>
    <row r="39" spans="1:9">
      <c r="A39" s="88" t="s">
        <v>996</v>
      </c>
      <c r="B39" s="95" t="s">
        <v>997</v>
      </c>
      <c r="C39" s="96"/>
      <c r="D39" s="95"/>
      <c r="E39" s="98"/>
      <c r="F39" s="99"/>
      <c r="G39" s="99"/>
      <c r="H39" s="99"/>
      <c r="I39" s="99"/>
    </row>
    <row r="40" spans="1:9" ht="13.5" customHeight="1">
      <c r="A40" s="124"/>
      <c r="B40" s="28" t="s">
        <v>998</v>
      </c>
      <c r="C40" s="125"/>
      <c r="D40" s="104">
        <v>1</v>
      </c>
      <c r="E40" s="105" t="s">
        <v>649</v>
      </c>
      <c r="F40" s="112">
        <v>0</v>
      </c>
      <c r="G40" s="112">
        <v>0</v>
      </c>
      <c r="H40" s="112">
        <f t="shared" ref="H40:H48" si="4">F40+G40</f>
        <v>0</v>
      </c>
      <c r="I40" s="112">
        <f t="shared" ref="I40:I48" si="5">H40*D40</f>
        <v>0</v>
      </c>
    </row>
    <row r="41" spans="1:9">
      <c r="A41" s="124"/>
      <c r="B41" s="1" t="s">
        <v>999</v>
      </c>
      <c r="C41" s="91"/>
      <c r="D41" s="85">
        <v>1</v>
      </c>
      <c r="E41" s="105" t="s">
        <v>591</v>
      </c>
      <c r="F41" s="112">
        <v>0</v>
      </c>
      <c r="G41" s="112">
        <v>0</v>
      </c>
      <c r="H41" s="112">
        <f t="shared" si="4"/>
        <v>0</v>
      </c>
      <c r="I41" s="112">
        <f t="shared" si="5"/>
        <v>0</v>
      </c>
    </row>
    <row r="42" spans="1:9">
      <c r="A42" s="124"/>
      <c r="B42" s="1" t="s">
        <v>1000</v>
      </c>
      <c r="C42" s="91"/>
      <c r="D42" s="85">
        <v>1</v>
      </c>
      <c r="E42" s="105" t="s">
        <v>591</v>
      </c>
      <c r="F42" s="112">
        <v>0</v>
      </c>
      <c r="G42" s="112">
        <v>0</v>
      </c>
      <c r="H42" s="112">
        <f t="shared" si="4"/>
        <v>0</v>
      </c>
      <c r="I42" s="112">
        <f t="shared" si="5"/>
        <v>0</v>
      </c>
    </row>
    <row r="43" spans="1:9">
      <c r="A43" s="85"/>
      <c r="B43" s="1" t="s">
        <v>1001</v>
      </c>
      <c r="C43" s="91"/>
      <c r="D43" s="85">
        <v>1</v>
      </c>
      <c r="E43" s="85" t="s">
        <v>591</v>
      </c>
      <c r="F43" s="112">
        <v>0</v>
      </c>
      <c r="G43" s="112">
        <v>0</v>
      </c>
      <c r="H43" s="110">
        <f>F43+G43</f>
        <v>0</v>
      </c>
      <c r="I43" s="110">
        <f>H43*D43</f>
        <v>0</v>
      </c>
    </row>
    <row r="44" spans="1:9">
      <c r="A44" s="27"/>
      <c r="B44" s="108" t="s">
        <v>990</v>
      </c>
      <c r="C44" s="109"/>
      <c r="D44" s="104">
        <v>6</v>
      </c>
      <c r="E44" s="105" t="s">
        <v>591</v>
      </c>
      <c r="F44" s="112">
        <v>0</v>
      </c>
      <c r="G44" s="112">
        <v>0</v>
      </c>
      <c r="H44" s="107">
        <f t="shared" ref="H44:H46" si="6">F44+G44</f>
        <v>0</v>
      </c>
      <c r="I44" s="110">
        <f>H44*D44</f>
        <v>0</v>
      </c>
    </row>
    <row r="45" spans="1:9">
      <c r="A45" s="27"/>
      <c r="B45" s="108" t="s">
        <v>983</v>
      </c>
      <c r="C45" s="109"/>
      <c r="D45" s="104">
        <v>5</v>
      </c>
      <c r="E45" s="105" t="s">
        <v>591</v>
      </c>
      <c r="F45" s="112">
        <v>0</v>
      </c>
      <c r="G45" s="112">
        <v>0</v>
      </c>
      <c r="H45" s="107">
        <f t="shared" si="6"/>
        <v>0</v>
      </c>
      <c r="I45" s="110">
        <f>H45*D45</f>
        <v>0</v>
      </c>
    </row>
    <row r="46" spans="1:9">
      <c r="A46" s="27"/>
      <c r="B46" s="108" t="s">
        <v>980</v>
      </c>
      <c r="C46" s="109"/>
      <c r="D46" s="104">
        <v>2</v>
      </c>
      <c r="E46" s="105" t="s">
        <v>591</v>
      </c>
      <c r="F46" s="112">
        <v>0</v>
      </c>
      <c r="G46" s="112">
        <v>0</v>
      </c>
      <c r="H46" s="107">
        <f t="shared" si="6"/>
        <v>0</v>
      </c>
      <c r="I46" s="110">
        <f>H46*D46</f>
        <v>0</v>
      </c>
    </row>
    <row r="47" spans="1:9">
      <c r="A47" s="27"/>
      <c r="B47" s="29" t="s">
        <v>973</v>
      </c>
      <c r="C47" s="111"/>
      <c r="D47" s="104">
        <v>1</v>
      </c>
      <c r="E47" s="105" t="s">
        <v>649</v>
      </c>
      <c r="F47" s="112">
        <v>0</v>
      </c>
      <c r="G47" s="112">
        <v>0</v>
      </c>
      <c r="H47" s="110">
        <f t="shared" si="4"/>
        <v>0</v>
      </c>
      <c r="I47" s="110">
        <f t="shared" si="5"/>
        <v>0</v>
      </c>
    </row>
    <row r="48" spans="1:9" ht="15.75" thickBot="1">
      <c r="A48" s="27"/>
      <c r="B48" s="113" t="s">
        <v>1002</v>
      </c>
      <c r="C48" s="114"/>
      <c r="D48" s="104">
        <v>1</v>
      </c>
      <c r="E48" s="105" t="s">
        <v>649</v>
      </c>
      <c r="F48" s="112">
        <v>0</v>
      </c>
      <c r="G48" s="112">
        <v>0</v>
      </c>
      <c r="H48" s="110">
        <f t="shared" si="4"/>
        <v>0</v>
      </c>
      <c r="I48" s="110">
        <f t="shared" si="5"/>
        <v>0</v>
      </c>
    </row>
    <row r="49" spans="1:12" ht="15.75" thickBot="1">
      <c r="A49" s="115"/>
      <c r="B49" s="116" t="s">
        <v>1003</v>
      </c>
      <c r="C49" s="117"/>
      <c r="D49" s="118"/>
      <c r="E49" s="119"/>
      <c r="F49" s="120"/>
      <c r="G49" s="120"/>
      <c r="H49" s="120"/>
      <c r="I49" s="121">
        <f>CEILING(SUM(I40:I48),1)</f>
        <v>0</v>
      </c>
      <c r="L49" s="1" t="s">
        <v>784</v>
      </c>
    </row>
    <row r="50" spans="1:12">
      <c r="A50" s="85"/>
      <c r="B50" s="122"/>
      <c r="C50" s="94"/>
      <c r="D50" s="104"/>
      <c r="E50" s="92"/>
      <c r="I50" s="112"/>
    </row>
    <row r="51" spans="1:12">
      <c r="A51" s="85"/>
      <c r="B51" s="122"/>
      <c r="C51" s="94"/>
      <c r="D51" s="104"/>
      <c r="E51" s="92"/>
      <c r="I51" s="112"/>
    </row>
    <row r="52" spans="1:12">
      <c r="A52" s="126" t="s">
        <v>1004</v>
      </c>
      <c r="B52" s="95" t="s">
        <v>1005</v>
      </c>
      <c r="C52" s="127"/>
      <c r="D52" s="128"/>
      <c r="E52" s="98"/>
      <c r="F52" s="99"/>
      <c r="G52" s="99"/>
      <c r="H52" s="99"/>
      <c r="I52" s="99"/>
    </row>
    <row r="53" spans="1:12">
      <c r="A53" s="88" t="s">
        <v>1006</v>
      </c>
      <c r="B53" s="95" t="s">
        <v>1007</v>
      </c>
      <c r="C53" s="96"/>
      <c r="D53" s="95"/>
      <c r="E53" s="98"/>
      <c r="F53" s="99"/>
      <c r="G53" s="99"/>
      <c r="H53" s="99"/>
      <c r="I53" s="99"/>
    </row>
    <row r="54" spans="1:12">
      <c r="A54" s="85"/>
      <c r="B54" s="90" t="s">
        <v>1008</v>
      </c>
      <c r="C54" s="94"/>
      <c r="D54" s="27">
        <v>320</v>
      </c>
      <c r="E54" s="92" t="s">
        <v>701</v>
      </c>
      <c r="F54" s="129">
        <v>0</v>
      </c>
      <c r="G54" s="110">
        <v>0</v>
      </c>
      <c r="H54" s="110">
        <f t="shared" ref="H54:H61" si="7">F54+G54</f>
        <v>0</v>
      </c>
      <c r="I54" s="110">
        <f t="shared" ref="I54:I61" si="8">H54*D54</f>
        <v>0</v>
      </c>
    </row>
    <row r="55" spans="1:12">
      <c r="A55" s="85"/>
      <c r="B55" s="90" t="s">
        <v>1009</v>
      </c>
      <c r="C55" s="94"/>
      <c r="D55" s="27">
        <v>146</v>
      </c>
      <c r="E55" s="92" t="s">
        <v>701</v>
      </c>
      <c r="F55" s="129">
        <v>0</v>
      </c>
      <c r="G55" s="110">
        <v>0</v>
      </c>
      <c r="H55" s="110">
        <f t="shared" si="7"/>
        <v>0</v>
      </c>
      <c r="I55" s="110">
        <f t="shared" si="8"/>
        <v>0</v>
      </c>
    </row>
    <row r="56" spans="1:12">
      <c r="A56" s="85"/>
      <c r="B56" s="90" t="s">
        <v>1010</v>
      </c>
      <c r="C56" s="94"/>
      <c r="D56" s="27">
        <v>146</v>
      </c>
      <c r="E56" s="92" t="s">
        <v>701</v>
      </c>
      <c r="F56" s="129">
        <v>0</v>
      </c>
      <c r="G56" s="110">
        <v>0</v>
      </c>
      <c r="H56" s="110">
        <f t="shared" si="7"/>
        <v>0</v>
      </c>
      <c r="I56" s="110">
        <f t="shared" si="8"/>
        <v>0</v>
      </c>
    </row>
    <row r="57" spans="1:12">
      <c r="A57" s="85"/>
      <c r="B57" s="90" t="s">
        <v>1011</v>
      </c>
      <c r="C57" s="94"/>
      <c r="D57" s="27">
        <v>10</v>
      </c>
      <c r="E57" s="92" t="s">
        <v>591</v>
      </c>
      <c r="F57" s="129">
        <v>0</v>
      </c>
      <c r="G57" s="110">
        <v>0</v>
      </c>
      <c r="H57" s="110">
        <f t="shared" si="7"/>
        <v>0</v>
      </c>
      <c r="I57" s="110">
        <f t="shared" si="8"/>
        <v>0</v>
      </c>
    </row>
    <row r="58" spans="1:12">
      <c r="A58" s="85"/>
      <c r="B58" s="90" t="s">
        <v>1012</v>
      </c>
      <c r="C58" s="94"/>
      <c r="D58" s="27">
        <v>310</v>
      </c>
      <c r="E58" s="92" t="s">
        <v>591</v>
      </c>
      <c r="F58" s="129">
        <v>0</v>
      </c>
      <c r="G58" s="110">
        <v>0</v>
      </c>
      <c r="H58" s="110">
        <f t="shared" si="7"/>
        <v>0</v>
      </c>
      <c r="I58" s="110">
        <f t="shared" si="8"/>
        <v>0</v>
      </c>
    </row>
    <row r="59" spans="1:12">
      <c r="A59" s="85"/>
      <c r="B59" s="90" t="s">
        <v>1013</v>
      </c>
      <c r="C59" s="94"/>
      <c r="D59" s="27">
        <v>1</v>
      </c>
      <c r="E59" s="92" t="s">
        <v>649</v>
      </c>
      <c r="F59" s="129">
        <v>0</v>
      </c>
      <c r="G59" s="110">
        <v>0</v>
      </c>
      <c r="H59" s="110">
        <f t="shared" si="7"/>
        <v>0</v>
      </c>
      <c r="I59" s="110">
        <f t="shared" si="8"/>
        <v>0</v>
      </c>
    </row>
    <row r="60" spans="1:12">
      <c r="A60" s="85"/>
      <c r="B60" s="90" t="s">
        <v>1014</v>
      </c>
      <c r="C60" s="94"/>
      <c r="D60" s="27">
        <v>50</v>
      </c>
      <c r="E60" s="92" t="s">
        <v>701</v>
      </c>
      <c r="F60" s="129">
        <v>0</v>
      </c>
      <c r="G60" s="110">
        <v>0</v>
      </c>
      <c r="H60" s="110">
        <f t="shared" si="7"/>
        <v>0</v>
      </c>
      <c r="I60" s="110">
        <f t="shared" si="8"/>
        <v>0</v>
      </c>
    </row>
    <row r="61" spans="1:12">
      <c r="A61" s="85"/>
      <c r="B61" s="234" t="s">
        <v>1002</v>
      </c>
      <c r="C61" s="236"/>
      <c r="D61" s="130">
        <v>1</v>
      </c>
      <c r="E61" s="85" t="s">
        <v>591</v>
      </c>
      <c r="F61" s="129">
        <v>0</v>
      </c>
      <c r="G61" s="110">
        <v>0</v>
      </c>
      <c r="H61" s="110">
        <f t="shared" si="7"/>
        <v>0</v>
      </c>
      <c r="I61" s="110">
        <f t="shared" si="8"/>
        <v>0</v>
      </c>
    </row>
    <row r="62" spans="1:12" ht="15.75" thickBot="1">
      <c r="A62" s="85"/>
      <c r="B62" s="108"/>
      <c r="C62" s="131"/>
      <c r="D62" s="130"/>
      <c r="E62" s="85"/>
      <c r="F62" s="129"/>
      <c r="G62" s="110"/>
      <c r="H62" s="110"/>
      <c r="I62" s="110"/>
    </row>
    <row r="63" spans="1:12" ht="15.75" thickBot="1">
      <c r="A63" s="115"/>
      <c r="B63" s="116" t="s">
        <v>1015</v>
      </c>
      <c r="C63" s="117"/>
      <c r="D63" s="118"/>
      <c r="E63" s="119"/>
      <c r="F63" s="120"/>
      <c r="G63" s="120"/>
      <c r="H63" s="120"/>
      <c r="I63" s="121">
        <f>CEILING(SUM(I54:I62),1)</f>
        <v>0</v>
      </c>
    </row>
    <row r="64" spans="1:12">
      <c r="A64" s="85"/>
      <c r="B64" s="122"/>
      <c r="C64" s="94"/>
      <c r="D64" s="104"/>
      <c r="E64" s="92"/>
      <c r="I64" s="123"/>
    </row>
    <row r="65" spans="1:9">
      <c r="A65" s="85"/>
      <c r="B65" s="90"/>
      <c r="C65" s="94"/>
      <c r="D65" s="27"/>
      <c r="E65" s="92"/>
      <c r="G65" s="110"/>
      <c r="H65" s="110"/>
      <c r="I65" s="110"/>
    </row>
    <row r="66" spans="1:9">
      <c r="A66" s="88" t="s">
        <v>1016</v>
      </c>
      <c r="B66" s="95" t="s">
        <v>1017</v>
      </c>
      <c r="C66" s="96"/>
      <c r="D66" s="95"/>
      <c r="E66" s="98"/>
      <c r="F66" s="99"/>
      <c r="G66" s="99"/>
      <c r="H66" s="99"/>
      <c r="I66" s="99"/>
    </row>
    <row r="67" spans="1:9">
      <c r="A67" s="27"/>
      <c r="B67" s="90" t="s">
        <v>1018</v>
      </c>
      <c r="C67" s="91"/>
      <c r="D67" s="130">
        <v>5</v>
      </c>
      <c r="E67" s="92" t="s">
        <v>591</v>
      </c>
      <c r="F67" s="132">
        <v>0</v>
      </c>
      <c r="G67" s="110">
        <v>0</v>
      </c>
      <c r="H67" s="110">
        <f t="shared" ref="H67:H87" si="9">F67+G67</f>
        <v>0</v>
      </c>
      <c r="I67" s="110">
        <f t="shared" ref="I67:I102" si="10">H67*D67</f>
        <v>0</v>
      </c>
    </row>
    <row r="68" spans="1:9">
      <c r="A68" s="27"/>
      <c r="B68" s="90" t="s">
        <v>1019</v>
      </c>
      <c r="C68" s="91"/>
      <c r="D68" s="130">
        <v>5</v>
      </c>
      <c r="E68" s="92" t="s">
        <v>591</v>
      </c>
      <c r="F68" s="132">
        <v>0</v>
      </c>
      <c r="G68" s="110">
        <v>0</v>
      </c>
      <c r="H68" s="110">
        <f t="shared" si="9"/>
        <v>0</v>
      </c>
      <c r="I68" s="110">
        <f t="shared" si="10"/>
        <v>0</v>
      </c>
    </row>
    <row r="69" spans="1:9">
      <c r="A69" s="27" t="s">
        <v>784</v>
      </c>
      <c r="B69" s="90" t="s">
        <v>1020</v>
      </c>
      <c r="C69" s="91"/>
      <c r="D69" s="130">
        <v>5</v>
      </c>
      <c r="E69" s="92" t="s">
        <v>591</v>
      </c>
      <c r="F69" s="132">
        <v>0</v>
      </c>
      <c r="G69" s="110">
        <v>0</v>
      </c>
      <c r="H69" s="110">
        <f t="shared" si="9"/>
        <v>0</v>
      </c>
      <c r="I69" s="110">
        <f t="shared" si="10"/>
        <v>0</v>
      </c>
    </row>
    <row r="70" spans="1:9">
      <c r="A70" s="27"/>
      <c r="B70" s="90" t="s">
        <v>1021</v>
      </c>
      <c r="C70" s="91"/>
      <c r="D70" s="130">
        <v>5</v>
      </c>
      <c r="E70" s="92" t="s">
        <v>591</v>
      </c>
      <c r="F70" s="132">
        <v>0</v>
      </c>
      <c r="G70" s="110">
        <v>0</v>
      </c>
      <c r="H70" s="110">
        <v>0</v>
      </c>
      <c r="I70" s="176">
        <f t="shared" si="10"/>
        <v>0</v>
      </c>
    </row>
    <row r="71" spans="1:9">
      <c r="A71" s="27"/>
      <c r="B71" s="90" t="s">
        <v>1022</v>
      </c>
      <c r="D71" s="104">
        <v>4</v>
      </c>
      <c r="E71" s="105" t="s">
        <v>591</v>
      </c>
      <c r="F71" s="132">
        <v>0</v>
      </c>
      <c r="G71" s="110">
        <v>0</v>
      </c>
      <c r="H71" s="107">
        <f t="shared" ref="H71:H77" si="11">F71+G71</f>
        <v>0</v>
      </c>
      <c r="I71" s="107">
        <f t="shared" si="10"/>
        <v>0</v>
      </c>
    </row>
    <row r="72" spans="1:9">
      <c r="A72" s="27"/>
      <c r="B72" s="90" t="s">
        <v>1023</v>
      </c>
      <c r="D72" s="104">
        <v>1</v>
      </c>
      <c r="E72" s="105" t="s">
        <v>591</v>
      </c>
      <c r="F72" s="132">
        <v>0</v>
      </c>
      <c r="G72" s="110">
        <v>0</v>
      </c>
      <c r="H72" s="107">
        <f t="shared" si="11"/>
        <v>0</v>
      </c>
      <c r="I72" s="107">
        <f t="shared" si="10"/>
        <v>0</v>
      </c>
    </row>
    <row r="73" spans="1:9">
      <c r="A73" s="27"/>
      <c r="B73" s="90" t="s">
        <v>1024</v>
      </c>
      <c r="D73" s="104">
        <v>4</v>
      </c>
      <c r="E73" s="105" t="s">
        <v>591</v>
      </c>
      <c r="F73" s="132">
        <v>0</v>
      </c>
      <c r="G73" s="110">
        <v>0</v>
      </c>
      <c r="H73" s="107">
        <f t="shared" si="11"/>
        <v>0</v>
      </c>
      <c r="I73" s="107">
        <f t="shared" si="10"/>
        <v>0</v>
      </c>
    </row>
    <row r="74" spans="1:9">
      <c r="A74" s="27"/>
      <c r="B74" s="108" t="s">
        <v>1025</v>
      </c>
      <c r="D74" s="104">
        <v>8</v>
      </c>
      <c r="E74" s="105" t="s">
        <v>591</v>
      </c>
      <c r="F74" s="132">
        <v>0</v>
      </c>
      <c r="G74" s="110">
        <v>0</v>
      </c>
      <c r="H74" s="107">
        <f t="shared" si="11"/>
        <v>0</v>
      </c>
      <c r="I74" s="107">
        <f t="shared" si="10"/>
        <v>0</v>
      </c>
    </row>
    <row r="75" spans="1:9">
      <c r="A75" s="27"/>
      <c r="B75" s="108" t="s">
        <v>1026</v>
      </c>
      <c r="D75" s="104">
        <v>1</v>
      </c>
      <c r="E75" s="105" t="s">
        <v>591</v>
      </c>
      <c r="F75" s="132">
        <v>0</v>
      </c>
      <c r="G75" s="110">
        <v>0</v>
      </c>
      <c r="H75" s="107">
        <f t="shared" si="11"/>
        <v>0</v>
      </c>
      <c r="I75" s="107">
        <f t="shared" si="10"/>
        <v>0</v>
      </c>
    </row>
    <row r="76" spans="1:9">
      <c r="A76" s="27"/>
      <c r="B76" s="108" t="s">
        <v>1027</v>
      </c>
      <c r="D76" s="104">
        <v>9</v>
      </c>
      <c r="E76" s="105" t="s">
        <v>591</v>
      </c>
      <c r="F76" s="132">
        <v>0</v>
      </c>
      <c r="G76" s="110">
        <v>0</v>
      </c>
      <c r="H76" s="107">
        <f t="shared" si="11"/>
        <v>0</v>
      </c>
      <c r="I76" s="107">
        <f t="shared" si="10"/>
        <v>0</v>
      </c>
    </row>
    <row r="77" spans="1:9">
      <c r="A77" s="27"/>
      <c r="B77" s="90" t="s">
        <v>1028</v>
      </c>
      <c r="C77" s="91"/>
      <c r="D77" s="130">
        <v>4</v>
      </c>
      <c r="E77" s="92" t="s">
        <v>591</v>
      </c>
      <c r="F77" s="132">
        <v>0</v>
      </c>
      <c r="G77" s="110">
        <v>0</v>
      </c>
      <c r="H77" s="110">
        <f t="shared" si="11"/>
        <v>0</v>
      </c>
      <c r="I77" s="110">
        <f t="shared" si="10"/>
        <v>0</v>
      </c>
    </row>
    <row r="78" spans="1:9" ht="12.75" customHeight="1">
      <c r="A78" s="27"/>
      <c r="B78" s="108" t="s">
        <v>1029</v>
      </c>
      <c r="C78" s="91"/>
      <c r="D78" s="130">
        <v>30</v>
      </c>
      <c r="E78" s="92" t="s">
        <v>591</v>
      </c>
      <c r="F78" s="132">
        <v>0</v>
      </c>
      <c r="G78" s="110">
        <v>0</v>
      </c>
      <c r="H78" s="110">
        <f t="shared" si="9"/>
        <v>0</v>
      </c>
      <c r="I78" s="110">
        <f t="shared" si="10"/>
        <v>0</v>
      </c>
    </row>
    <row r="79" spans="1:9" ht="12.75" customHeight="1">
      <c r="A79" s="27"/>
      <c r="B79" s="108" t="s">
        <v>1030</v>
      </c>
      <c r="C79" s="91"/>
      <c r="D79" s="130">
        <v>45</v>
      </c>
      <c r="E79" s="92" t="s">
        <v>591</v>
      </c>
      <c r="F79" s="132">
        <v>0</v>
      </c>
      <c r="G79" s="110">
        <v>0</v>
      </c>
      <c r="H79" s="110">
        <f t="shared" si="9"/>
        <v>0</v>
      </c>
      <c r="I79" s="110">
        <f t="shared" si="10"/>
        <v>0</v>
      </c>
    </row>
    <row r="80" spans="1:9">
      <c r="A80" s="27"/>
      <c r="B80" s="133" t="s">
        <v>1031</v>
      </c>
      <c r="C80" s="134"/>
      <c r="D80" s="130">
        <v>250</v>
      </c>
      <c r="E80" s="92" t="s">
        <v>701</v>
      </c>
      <c r="F80" s="132">
        <v>0</v>
      </c>
      <c r="G80" s="110">
        <v>0</v>
      </c>
      <c r="H80" s="110">
        <f t="shared" si="9"/>
        <v>0</v>
      </c>
      <c r="I80" s="110">
        <f t="shared" si="10"/>
        <v>0</v>
      </c>
    </row>
    <row r="81" spans="1:9">
      <c r="A81" s="27"/>
      <c r="B81" s="133" t="s">
        <v>1032</v>
      </c>
      <c r="C81" s="134"/>
      <c r="D81" s="130">
        <v>750</v>
      </c>
      <c r="E81" s="92" t="s">
        <v>701</v>
      </c>
      <c r="F81" s="132">
        <v>0</v>
      </c>
      <c r="G81" s="110">
        <v>0</v>
      </c>
      <c r="H81" s="110">
        <f t="shared" si="9"/>
        <v>0</v>
      </c>
      <c r="I81" s="110">
        <f t="shared" si="10"/>
        <v>0</v>
      </c>
    </row>
    <row r="82" spans="1:9">
      <c r="A82" s="27"/>
      <c r="B82" s="133" t="s">
        <v>1033</v>
      </c>
      <c r="C82" s="134"/>
      <c r="D82" s="130">
        <v>200</v>
      </c>
      <c r="E82" s="92" t="s">
        <v>701</v>
      </c>
      <c r="F82" s="132">
        <v>0</v>
      </c>
      <c r="G82" s="110">
        <v>0</v>
      </c>
      <c r="H82" s="110">
        <f t="shared" si="9"/>
        <v>0</v>
      </c>
      <c r="I82" s="110">
        <f t="shared" si="10"/>
        <v>0</v>
      </c>
    </row>
    <row r="83" spans="1:9">
      <c r="A83" s="27"/>
      <c r="B83" s="133" t="s">
        <v>1034</v>
      </c>
      <c r="C83" s="134"/>
      <c r="D83" s="130">
        <v>20</v>
      </c>
      <c r="E83" s="92" t="s">
        <v>701</v>
      </c>
      <c r="F83" s="132">
        <v>0</v>
      </c>
      <c r="G83" s="110">
        <v>0</v>
      </c>
      <c r="H83" s="110">
        <f t="shared" si="9"/>
        <v>0</v>
      </c>
      <c r="I83" s="110">
        <f t="shared" si="10"/>
        <v>0</v>
      </c>
    </row>
    <row r="84" spans="1:9">
      <c r="A84" s="27"/>
      <c r="B84" s="133" t="s">
        <v>1035</v>
      </c>
      <c r="C84" s="134"/>
      <c r="D84" s="130">
        <v>30</v>
      </c>
      <c r="E84" s="92" t="s">
        <v>701</v>
      </c>
      <c r="F84" s="132">
        <v>0</v>
      </c>
      <c r="G84" s="110">
        <v>0</v>
      </c>
      <c r="H84" s="110">
        <f t="shared" si="9"/>
        <v>0</v>
      </c>
      <c r="I84" s="110">
        <f t="shared" si="10"/>
        <v>0</v>
      </c>
    </row>
    <row r="85" spans="1:9">
      <c r="A85" s="27"/>
      <c r="B85" s="133" t="s">
        <v>1036</v>
      </c>
      <c r="C85" s="134"/>
      <c r="D85" s="130">
        <v>70</v>
      </c>
      <c r="E85" s="92" t="s">
        <v>701</v>
      </c>
      <c r="F85" s="132">
        <v>0</v>
      </c>
      <c r="G85" s="110">
        <v>0</v>
      </c>
      <c r="H85" s="110">
        <f t="shared" si="9"/>
        <v>0</v>
      </c>
      <c r="I85" s="110">
        <f t="shared" si="10"/>
        <v>0</v>
      </c>
    </row>
    <row r="86" spans="1:9">
      <c r="A86" s="27"/>
      <c r="B86" s="133" t="s">
        <v>1037</v>
      </c>
      <c r="C86" s="134"/>
      <c r="D86" s="130">
        <v>40</v>
      </c>
      <c r="E86" s="92" t="s">
        <v>701</v>
      </c>
      <c r="F86" s="132">
        <v>0</v>
      </c>
      <c r="G86" s="110">
        <v>0</v>
      </c>
      <c r="H86" s="110">
        <f t="shared" si="9"/>
        <v>0</v>
      </c>
      <c r="I86" s="110">
        <f t="shared" si="10"/>
        <v>0</v>
      </c>
    </row>
    <row r="87" spans="1:9">
      <c r="A87" s="27"/>
      <c r="B87" s="133" t="s">
        <v>1038</v>
      </c>
      <c r="C87" s="134"/>
      <c r="D87" s="130">
        <v>150</v>
      </c>
      <c r="E87" s="92" t="s">
        <v>701</v>
      </c>
      <c r="F87" s="132">
        <v>0</v>
      </c>
      <c r="G87" s="110">
        <v>0</v>
      </c>
      <c r="H87" s="176">
        <f t="shared" si="9"/>
        <v>0</v>
      </c>
      <c r="I87" s="176">
        <f t="shared" si="10"/>
        <v>0</v>
      </c>
    </row>
    <row r="88" spans="1:9">
      <c r="A88" s="85"/>
      <c r="B88" s="90" t="s">
        <v>1009</v>
      </c>
      <c r="C88" s="94"/>
      <c r="D88" s="27">
        <v>30</v>
      </c>
      <c r="E88" s="92" t="s">
        <v>701</v>
      </c>
      <c r="F88" s="132">
        <v>0</v>
      </c>
      <c r="G88" s="110">
        <v>0</v>
      </c>
      <c r="H88" s="110">
        <f t="shared" ref="H88:H94" si="12">F88+G88</f>
        <v>0</v>
      </c>
      <c r="I88" s="110">
        <f t="shared" ref="I88:I94" si="13">H88*D88</f>
        <v>0</v>
      </c>
    </row>
    <row r="89" spans="1:9">
      <c r="A89" s="85"/>
      <c r="B89" s="90" t="s">
        <v>1010</v>
      </c>
      <c r="C89" s="94"/>
      <c r="D89" s="27">
        <v>30</v>
      </c>
      <c r="E89" s="92" t="s">
        <v>701</v>
      </c>
      <c r="F89" s="132">
        <v>0</v>
      </c>
      <c r="G89" s="110">
        <v>0</v>
      </c>
      <c r="H89" s="110">
        <f t="shared" si="12"/>
        <v>0</v>
      </c>
      <c r="I89" s="110">
        <f t="shared" si="13"/>
        <v>0</v>
      </c>
    </row>
    <row r="90" spans="1:9">
      <c r="A90" s="85"/>
      <c r="B90" s="90" t="s">
        <v>1011</v>
      </c>
      <c r="C90" s="94"/>
      <c r="D90" s="27">
        <v>6</v>
      </c>
      <c r="E90" s="92" t="s">
        <v>591</v>
      </c>
      <c r="F90" s="132">
        <v>0</v>
      </c>
      <c r="G90" s="110">
        <v>0</v>
      </c>
      <c r="H90" s="110">
        <f t="shared" si="12"/>
        <v>0</v>
      </c>
      <c r="I90" s="110">
        <f t="shared" si="13"/>
        <v>0</v>
      </c>
    </row>
    <row r="91" spans="1:9">
      <c r="A91" s="85"/>
      <c r="B91" s="90" t="s">
        <v>1012</v>
      </c>
      <c r="C91" s="94"/>
      <c r="D91" s="27">
        <v>60</v>
      </c>
      <c r="E91" s="92" t="s">
        <v>591</v>
      </c>
      <c r="F91" s="132">
        <v>0</v>
      </c>
      <c r="G91" s="110">
        <v>0</v>
      </c>
      <c r="H91" s="110">
        <f t="shared" si="12"/>
        <v>0</v>
      </c>
      <c r="I91" s="110">
        <f t="shared" si="13"/>
        <v>0</v>
      </c>
    </row>
    <row r="92" spans="1:9">
      <c r="A92" s="85"/>
      <c r="B92" s="90" t="s">
        <v>1013</v>
      </c>
      <c r="C92" s="94"/>
      <c r="D92" s="27">
        <v>1</v>
      </c>
      <c r="E92" s="92" t="s">
        <v>649</v>
      </c>
      <c r="F92" s="132">
        <v>0</v>
      </c>
      <c r="G92" s="110">
        <v>0</v>
      </c>
      <c r="H92" s="110">
        <f t="shared" si="12"/>
        <v>0</v>
      </c>
      <c r="I92" s="110">
        <f t="shared" si="13"/>
        <v>0</v>
      </c>
    </row>
    <row r="93" spans="1:9">
      <c r="A93" s="85"/>
      <c r="B93" s="90" t="s">
        <v>1014</v>
      </c>
      <c r="C93" s="94"/>
      <c r="D93" s="27">
        <v>100</v>
      </c>
      <c r="E93" s="92" t="s">
        <v>701</v>
      </c>
      <c r="F93" s="132">
        <v>0</v>
      </c>
      <c r="G93" s="110">
        <v>0</v>
      </c>
      <c r="H93" s="110">
        <f t="shared" si="12"/>
        <v>0</v>
      </c>
      <c r="I93" s="110">
        <f t="shared" si="13"/>
        <v>0</v>
      </c>
    </row>
    <row r="94" spans="1:9">
      <c r="A94" s="27"/>
      <c r="B94" s="133" t="s">
        <v>1039</v>
      </c>
      <c r="C94" s="134"/>
      <c r="D94" s="130">
        <v>90</v>
      </c>
      <c r="E94" s="92" t="s">
        <v>701</v>
      </c>
      <c r="F94" s="132">
        <v>0</v>
      </c>
      <c r="G94" s="110">
        <v>0</v>
      </c>
      <c r="H94" s="110">
        <f t="shared" si="12"/>
        <v>0</v>
      </c>
      <c r="I94" s="110">
        <f t="shared" si="13"/>
        <v>0</v>
      </c>
    </row>
    <row r="95" spans="1:9">
      <c r="A95" s="27"/>
      <c r="B95" s="133"/>
      <c r="C95" s="134"/>
      <c r="D95" s="130"/>
      <c r="E95" s="92"/>
      <c r="F95" s="132"/>
      <c r="G95" s="110"/>
      <c r="H95" s="110"/>
      <c r="I95" s="110"/>
    </row>
    <row r="96" spans="1:9">
      <c r="A96" s="27"/>
      <c r="B96" s="133" t="s">
        <v>1040</v>
      </c>
      <c r="C96" s="134"/>
      <c r="D96" s="130"/>
      <c r="E96" s="92"/>
      <c r="F96" s="132"/>
      <c r="G96" s="110"/>
      <c r="H96" s="110"/>
      <c r="I96" s="110"/>
    </row>
    <row r="97" spans="1:9">
      <c r="A97" s="27"/>
      <c r="B97" s="133" t="s">
        <v>1041</v>
      </c>
      <c r="C97" s="134"/>
      <c r="D97" s="130">
        <v>22</v>
      </c>
      <c r="E97" s="92" t="s">
        <v>591</v>
      </c>
      <c r="F97" s="132">
        <v>0</v>
      </c>
      <c r="G97" s="110">
        <v>0</v>
      </c>
      <c r="H97" s="110">
        <f t="shared" ref="H97:H102" si="14">F97+G97</f>
        <v>0</v>
      </c>
      <c r="I97" s="110">
        <f t="shared" si="10"/>
        <v>0</v>
      </c>
    </row>
    <row r="98" spans="1:9">
      <c r="A98" s="27"/>
      <c r="B98" s="133" t="s">
        <v>1042</v>
      </c>
      <c r="C98" s="134"/>
      <c r="D98" s="130">
        <v>7</v>
      </c>
      <c r="E98" s="92" t="s">
        <v>591</v>
      </c>
      <c r="F98" s="132">
        <v>0</v>
      </c>
      <c r="G98" s="110">
        <v>0</v>
      </c>
      <c r="H98" s="110">
        <f t="shared" si="14"/>
        <v>0</v>
      </c>
      <c r="I98" s="110">
        <f t="shared" si="10"/>
        <v>0</v>
      </c>
    </row>
    <row r="99" spans="1:9">
      <c r="A99" s="27"/>
      <c r="B99" s="133" t="s">
        <v>1043</v>
      </c>
      <c r="C99" s="134"/>
      <c r="D99" s="130">
        <v>2</v>
      </c>
      <c r="E99" s="92" t="s">
        <v>591</v>
      </c>
      <c r="F99" s="132">
        <v>0</v>
      </c>
      <c r="G99" s="110">
        <v>0</v>
      </c>
      <c r="H99" s="110">
        <f t="shared" si="14"/>
        <v>0</v>
      </c>
      <c r="I99" s="110">
        <f t="shared" si="10"/>
        <v>0</v>
      </c>
    </row>
    <row r="100" spans="1:9">
      <c r="A100" s="27"/>
      <c r="B100" s="133" t="s">
        <v>1044</v>
      </c>
      <c r="C100" s="134"/>
      <c r="D100" s="130">
        <v>1</v>
      </c>
      <c r="E100" s="92" t="s">
        <v>591</v>
      </c>
      <c r="F100" s="132">
        <v>0</v>
      </c>
      <c r="G100" s="110">
        <v>0</v>
      </c>
      <c r="H100" s="110">
        <f t="shared" si="14"/>
        <v>0</v>
      </c>
      <c r="I100" s="110">
        <f t="shared" si="10"/>
        <v>0</v>
      </c>
    </row>
    <row r="101" spans="1:9">
      <c r="A101" s="27"/>
      <c r="B101" s="90" t="s">
        <v>1045</v>
      </c>
      <c r="C101" s="91"/>
      <c r="D101" s="130">
        <v>1</v>
      </c>
      <c r="E101" s="92" t="s">
        <v>649</v>
      </c>
      <c r="F101" s="132">
        <v>0</v>
      </c>
      <c r="G101" s="110">
        <v>0</v>
      </c>
      <c r="H101" s="110">
        <f t="shared" si="14"/>
        <v>0</v>
      </c>
      <c r="I101" s="110">
        <f t="shared" si="10"/>
        <v>0</v>
      </c>
    </row>
    <row r="102" spans="1:9">
      <c r="A102" s="27"/>
      <c r="B102" s="90" t="s">
        <v>1046</v>
      </c>
      <c r="C102" s="91"/>
      <c r="D102" s="130">
        <v>1</v>
      </c>
      <c r="E102" s="92" t="s">
        <v>649</v>
      </c>
      <c r="F102" s="132">
        <v>0</v>
      </c>
      <c r="G102" s="110">
        <v>0</v>
      </c>
      <c r="H102" s="110">
        <f t="shared" si="14"/>
        <v>0</v>
      </c>
      <c r="I102" s="110">
        <f t="shared" si="10"/>
        <v>0</v>
      </c>
    </row>
    <row r="103" spans="1:9" ht="15.75" thickBot="1">
      <c r="A103" s="27"/>
      <c r="C103" s="135"/>
      <c r="D103" s="130"/>
      <c r="E103" s="85"/>
      <c r="F103" s="129"/>
      <c r="G103" s="110"/>
      <c r="H103" s="110"/>
      <c r="I103" s="110"/>
    </row>
    <row r="104" spans="1:9" ht="15.75" thickBot="1">
      <c r="A104" s="136"/>
      <c r="B104" s="116" t="s">
        <v>1047</v>
      </c>
      <c r="C104" s="117"/>
      <c r="D104" s="137"/>
      <c r="E104" s="119"/>
      <c r="F104" s="120"/>
      <c r="G104" s="120"/>
      <c r="H104" s="120"/>
      <c r="I104" s="121">
        <f>CEILING(SUM(I67:I103),10)</f>
        <v>0</v>
      </c>
    </row>
    <row r="105" spans="1:9">
      <c r="A105" s="27"/>
      <c r="B105" s="122"/>
      <c r="C105" s="94"/>
      <c r="D105" s="130"/>
      <c r="E105" s="92"/>
      <c r="I105" s="123"/>
    </row>
    <row r="106" spans="1:9">
      <c r="A106" s="85"/>
      <c r="B106" s="122"/>
      <c r="C106" s="94"/>
      <c r="D106" s="130"/>
      <c r="E106" s="92"/>
      <c r="I106" s="123"/>
    </row>
    <row r="107" spans="1:9">
      <c r="A107" s="126" t="s">
        <v>1048</v>
      </c>
      <c r="B107" s="138" t="s">
        <v>1049</v>
      </c>
      <c r="C107" s="127"/>
      <c r="D107" s="139"/>
      <c r="E107" s="88"/>
      <c r="F107" s="128"/>
      <c r="G107" s="140"/>
      <c r="H107" s="140"/>
      <c r="I107" s="140"/>
    </row>
    <row r="108" spans="1:9" ht="26.45" customHeight="1">
      <c r="A108" s="27"/>
      <c r="B108" s="108" t="s">
        <v>1050</v>
      </c>
      <c r="C108" s="141"/>
      <c r="D108" s="130">
        <v>1</v>
      </c>
      <c r="E108" s="85" t="s">
        <v>649</v>
      </c>
      <c r="F108" s="129">
        <v>0</v>
      </c>
      <c r="G108" s="110">
        <v>0</v>
      </c>
      <c r="H108" s="110">
        <f t="shared" ref="H108:H121" si="15">F108+G108</f>
        <v>0</v>
      </c>
      <c r="I108" s="110">
        <f t="shared" ref="I108:I115" si="16">D108*H108</f>
        <v>0</v>
      </c>
    </row>
    <row r="109" spans="1:9">
      <c r="A109" s="27"/>
      <c r="B109" s="1" t="s">
        <v>1051</v>
      </c>
      <c r="C109" s="141"/>
      <c r="D109" s="85">
        <v>1</v>
      </c>
      <c r="E109" s="85" t="s">
        <v>649</v>
      </c>
      <c r="F109" s="129">
        <v>0</v>
      </c>
      <c r="G109" s="110">
        <v>0</v>
      </c>
      <c r="H109" s="110">
        <f t="shared" si="15"/>
        <v>0</v>
      </c>
      <c r="I109" s="110">
        <f t="shared" si="16"/>
        <v>0</v>
      </c>
    </row>
    <row r="110" spans="1:9">
      <c r="A110" s="27"/>
      <c r="B110" s="1" t="s">
        <v>1052</v>
      </c>
      <c r="C110" s="141"/>
      <c r="D110" s="85">
        <v>1</v>
      </c>
      <c r="E110" s="85" t="s">
        <v>649</v>
      </c>
      <c r="F110" s="129">
        <v>0</v>
      </c>
      <c r="G110" s="110">
        <v>0</v>
      </c>
      <c r="H110" s="110">
        <f t="shared" si="15"/>
        <v>0</v>
      </c>
      <c r="I110" s="110">
        <f t="shared" si="16"/>
        <v>0</v>
      </c>
    </row>
    <row r="111" spans="1:9">
      <c r="A111" s="27"/>
      <c r="B111" s="1" t="s">
        <v>1053</v>
      </c>
      <c r="C111" s="141"/>
      <c r="D111" s="85">
        <v>1</v>
      </c>
      <c r="E111" s="85" t="s">
        <v>649</v>
      </c>
      <c r="F111" s="129">
        <v>0</v>
      </c>
      <c r="G111" s="110">
        <v>0</v>
      </c>
      <c r="H111" s="110">
        <f t="shared" si="15"/>
        <v>0</v>
      </c>
      <c r="I111" s="110">
        <f t="shared" si="16"/>
        <v>0</v>
      </c>
    </row>
    <row r="112" spans="1:9">
      <c r="A112" s="27"/>
      <c r="B112" s="1" t="s">
        <v>1054</v>
      </c>
      <c r="C112" s="141"/>
      <c r="D112" s="85">
        <v>1</v>
      </c>
      <c r="E112" s="85" t="s">
        <v>649</v>
      </c>
      <c r="F112" s="129">
        <v>0</v>
      </c>
      <c r="G112" s="110">
        <v>0</v>
      </c>
      <c r="H112" s="110">
        <f t="shared" si="15"/>
        <v>0</v>
      </c>
      <c r="I112" s="110">
        <f t="shared" si="16"/>
        <v>0</v>
      </c>
    </row>
    <row r="113" spans="1:9" ht="14.25" customHeight="1">
      <c r="A113" s="27"/>
      <c r="B113" s="108" t="s">
        <v>1055</v>
      </c>
      <c r="C113" s="141"/>
      <c r="D113" s="85">
        <v>1</v>
      </c>
      <c r="E113" s="85" t="s">
        <v>649</v>
      </c>
      <c r="F113" s="129">
        <v>0</v>
      </c>
      <c r="G113" s="110">
        <v>0</v>
      </c>
      <c r="H113" s="110">
        <f t="shared" si="15"/>
        <v>0</v>
      </c>
      <c r="I113" s="110">
        <f t="shared" si="16"/>
        <v>0</v>
      </c>
    </row>
    <row r="114" spans="1:9">
      <c r="A114" s="27"/>
      <c r="B114" s="1" t="s">
        <v>1056</v>
      </c>
      <c r="C114" s="91"/>
      <c r="D114" s="85">
        <v>1</v>
      </c>
      <c r="E114" s="85" t="s">
        <v>649</v>
      </c>
      <c r="F114" s="129">
        <v>0</v>
      </c>
      <c r="G114" s="110">
        <v>0</v>
      </c>
      <c r="H114" s="110">
        <f t="shared" si="15"/>
        <v>0</v>
      </c>
      <c r="I114" s="110">
        <f t="shared" si="16"/>
        <v>0</v>
      </c>
    </row>
    <row r="115" spans="1:9">
      <c r="A115" s="27"/>
      <c r="B115" s="1" t="s">
        <v>1057</v>
      </c>
      <c r="C115" s="141"/>
      <c r="D115" s="85">
        <v>1</v>
      </c>
      <c r="E115" s="85" t="s">
        <v>649</v>
      </c>
      <c r="F115" s="129">
        <v>0</v>
      </c>
      <c r="G115" s="110">
        <v>0</v>
      </c>
      <c r="H115" s="110">
        <f t="shared" si="15"/>
        <v>0</v>
      </c>
      <c r="I115" s="110">
        <f t="shared" si="16"/>
        <v>0</v>
      </c>
    </row>
    <row r="116" spans="1:9">
      <c r="A116" s="27"/>
      <c r="B116" s="1" t="s">
        <v>1058</v>
      </c>
      <c r="C116" s="91"/>
      <c r="D116" s="85">
        <v>24</v>
      </c>
      <c r="E116" s="85" t="s">
        <v>550</v>
      </c>
      <c r="F116" s="129">
        <v>0</v>
      </c>
      <c r="G116" s="110">
        <v>0</v>
      </c>
      <c r="H116" s="110">
        <f t="shared" si="15"/>
        <v>0</v>
      </c>
      <c r="I116" s="110">
        <f>D116*H116</f>
        <v>0</v>
      </c>
    </row>
    <row r="117" spans="1:9">
      <c r="A117" s="27"/>
      <c r="B117" s="1" t="s">
        <v>1059</v>
      </c>
      <c r="C117" s="91"/>
      <c r="D117" s="85">
        <v>36</v>
      </c>
      <c r="E117" s="85" t="s">
        <v>550</v>
      </c>
      <c r="F117" s="129">
        <v>0</v>
      </c>
      <c r="G117" s="110">
        <v>0</v>
      </c>
      <c r="H117" s="110">
        <f t="shared" si="15"/>
        <v>0</v>
      </c>
      <c r="I117" s="110">
        <f>D117*H117</f>
        <v>0</v>
      </c>
    </row>
    <row r="118" spans="1:9">
      <c r="A118" s="27"/>
      <c r="B118" s="1" t="s">
        <v>1060</v>
      </c>
      <c r="C118" s="91"/>
      <c r="D118" s="85">
        <v>1</v>
      </c>
      <c r="E118" s="85" t="s">
        <v>649</v>
      </c>
      <c r="F118" s="129">
        <v>0</v>
      </c>
      <c r="G118" s="110">
        <v>0</v>
      </c>
      <c r="H118" s="110">
        <f t="shared" si="15"/>
        <v>0</v>
      </c>
      <c r="I118" s="110">
        <f t="shared" ref="I118:I120" si="17">D118*H118</f>
        <v>0</v>
      </c>
    </row>
    <row r="119" spans="1:9">
      <c r="A119" s="27"/>
      <c r="B119" s="1" t="s">
        <v>1061</v>
      </c>
      <c r="C119" s="85"/>
      <c r="D119" s="85">
        <v>1</v>
      </c>
      <c r="E119" s="85" t="s">
        <v>649</v>
      </c>
      <c r="F119" s="129">
        <v>0</v>
      </c>
      <c r="G119" s="110">
        <v>0</v>
      </c>
      <c r="H119" s="110">
        <f t="shared" si="15"/>
        <v>0</v>
      </c>
      <c r="I119" s="110">
        <f t="shared" si="17"/>
        <v>0</v>
      </c>
    </row>
    <row r="120" spans="1:9">
      <c r="A120" s="27"/>
      <c r="B120" s="1" t="s">
        <v>1062</v>
      </c>
      <c r="C120" s="91"/>
      <c r="D120" s="85">
        <v>1</v>
      </c>
      <c r="E120" s="85" t="s">
        <v>649</v>
      </c>
      <c r="F120" s="129">
        <v>0</v>
      </c>
      <c r="G120" s="110">
        <v>0</v>
      </c>
      <c r="H120" s="110">
        <f t="shared" si="15"/>
        <v>0</v>
      </c>
      <c r="I120" s="110">
        <f t="shared" si="17"/>
        <v>0</v>
      </c>
    </row>
    <row r="121" spans="1:9" ht="15.75" thickBot="1">
      <c r="A121" s="27"/>
      <c r="B121" s="1" t="s">
        <v>1063</v>
      </c>
      <c r="C121" s="85"/>
      <c r="D121" s="85">
        <v>1</v>
      </c>
      <c r="E121" s="85" t="s">
        <v>649</v>
      </c>
      <c r="F121" s="129">
        <v>0</v>
      </c>
      <c r="G121" s="110">
        <v>0</v>
      </c>
      <c r="H121" s="110">
        <f t="shared" si="15"/>
        <v>0</v>
      </c>
      <c r="I121" s="110"/>
    </row>
    <row r="122" spans="1:9" ht="15.75" thickBot="1">
      <c r="A122" s="115"/>
      <c r="B122" s="116" t="s">
        <v>1064</v>
      </c>
      <c r="C122" s="117"/>
      <c r="D122" s="137"/>
      <c r="E122" s="119"/>
      <c r="F122" s="120"/>
      <c r="G122" s="120"/>
      <c r="H122" s="120"/>
      <c r="I122" s="121">
        <f>SUM(I108:I121)</f>
        <v>0</v>
      </c>
    </row>
    <row r="123" spans="1:9" ht="15.75" thickBot="1">
      <c r="A123" s="85"/>
      <c r="B123" s="142"/>
      <c r="C123" s="125"/>
      <c r="D123" s="85"/>
      <c r="E123" s="92"/>
      <c r="H123" s="143"/>
      <c r="I123" s="143"/>
    </row>
    <row r="124" spans="1:9">
      <c r="A124" s="144"/>
      <c r="B124" s="145" t="s">
        <v>1242</v>
      </c>
      <c r="C124" s="146"/>
      <c r="D124" s="147"/>
      <c r="E124" s="148"/>
      <c r="F124" s="149"/>
      <c r="G124" s="149"/>
      <c r="H124" s="149"/>
      <c r="I124" s="177">
        <f>I11+I36+I49+I63+I104+I122</f>
        <v>0</v>
      </c>
    </row>
    <row r="125" spans="1:9">
      <c r="A125" s="150"/>
      <c r="B125" s="122" t="s">
        <v>1065</v>
      </c>
      <c r="C125" s="94"/>
      <c r="D125" s="151">
        <v>0.21</v>
      </c>
      <c r="E125" s="92"/>
      <c r="I125" s="152">
        <f>I124*D125</f>
        <v>0</v>
      </c>
    </row>
    <row r="126" spans="1:9" ht="15.75" thickBot="1">
      <c r="A126" s="153"/>
      <c r="B126" s="154" t="s">
        <v>958</v>
      </c>
      <c r="C126" s="155"/>
      <c r="D126" s="156"/>
      <c r="E126" s="157"/>
      <c r="F126" s="158"/>
      <c r="G126" s="158"/>
      <c r="H126" s="158"/>
      <c r="I126" s="159">
        <f>SUM(I124:I125)</f>
        <v>0</v>
      </c>
    </row>
    <row r="128" spans="1:9">
      <c r="A128" s="237"/>
      <c r="B128" s="237"/>
      <c r="C128" s="237"/>
      <c r="D128" s="237"/>
      <c r="E128" s="237"/>
      <c r="F128" s="237"/>
      <c r="G128" s="237"/>
      <c r="H128" s="237"/>
      <c r="I128" s="237"/>
    </row>
    <row r="129" spans="1:9">
      <c r="A129" s="237"/>
      <c r="B129" s="237"/>
      <c r="C129" s="237"/>
      <c r="D129" s="237"/>
      <c r="E129" s="237"/>
      <c r="F129" s="237"/>
      <c r="G129" s="237"/>
      <c r="H129" s="237"/>
      <c r="I129" s="237"/>
    </row>
    <row r="130" spans="1:9">
      <c r="A130" s="237"/>
      <c r="B130" s="237"/>
      <c r="C130" s="237"/>
      <c r="D130" s="237"/>
      <c r="E130" s="237"/>
      <c r="F130" s="237"/>
      <c r="G130" s="237"/>
      <c r="H130" s="237"/>
      <c r="I130" s="237"/>
    </row>
    <row r="131" spans="1:9">
      <c r="A131" s="237"/>
      <c r="B131" s="237"/>
      <c r="C131" s="237"/>
      <c r="D131" s="237"/>
      <c r="E131" s="237"/>
      <c r="F131" s="237"/>
      <c r="G131" s="237"/>
      <c r="H131" s="237"/>
      <c r="I131" s="237"/>
    </row>
    <row r="132" spans="1:9">
      <c r="A132" s="237"/>
      <c r="B132" s="237"/>
      <c r="C132" s="237"/>
      <c r="D132" s="237"/>
      <c r="E132" s="237"/>
      <c r="F132" s="237"/>
      <c r="G132" s="237"/>
      <c r="H132" s="237"/>
      <c r="I132" s="237"/>
    </row>
    <row r="133" spans="1:9">
      <c r="A133" s="237"/>
      <c r="B133" s="237"/>
      <c r="C133" s="237"/>
      <c r="D133" s="237"/>
      <c r="E133" s="237"/>
      <c r="F133" s="237"/>
      <c r="G133" s="237"/>
      <c r="H133" s="237"/>
      <c r="I133" s="237"/>
    </row>
    <row r="134" spans="1:9">
      <c r="A134" s="237"/>
      <c r="B134" s="237"/>
      <c r="C134" s="237"/>
      <c r="D134" s="237"/>
      <c r="E134" s="237"/>
      <c r="F134" s="237"/>
      <c r="G134" s="237"/>
      <c r="H134" s="237"/>
      <c r="I134" s="237"/>
    </row>
    <row r="135" spans="1:9">
      <c r="A135" s="237"/>
      <c r="B135" s="237"/>
      <c r="C135" s="237"/>
      <c r="D135" s="237"/>
      <c r="E135" s="237"/>
      <c r="F135" s="237"/>
      <c r="G135" s="237"/>
      <c r="H135" s="237"/>
      <c r="I135" s="237"/>
    </row>
    <row r="136" spans="1:9">
      <c r="A136" s="237"/>
      <c r="B136" s="237"/>
      <c r="C136" s="237"/>
      <c r="D136" s="237"/>
      <c r="E136" s="237"/>
      <c r="F136" s="237"/>
      <c r="G136" s="237"/>
      <c r="H136" s="237"/>
      <c r="I136" s="237"/>
    </row>
  </sheetData>
  <mergeCells count="4">
    <mergeCell ref="B15:C15"/>
    <mergeCell ref="B16:C16"/>
    <mergeCell ref="B61:C61"/>
    <mergeCell ref="A128:I13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804F-66F1-4C78-9D69-98AFA2028D95}">
  <sheetPr>
    <tabColor theme="4" tint="0.39997558519241921"/>
  </sheetPr>
  <dimension ref="A1:XFD1048576"/>
  <sheetViews>
    <sheetView tabSelected="1" topLeftCell="A13" workbookViewId="0">
      <selection activeCell="J125" sqref="J125"/>
    </sheetView>
  </sheetViews>
  <sheetFormatPr defaultRowHeight="12.75"/>
  <cols>
    <col min="1" max="1" width="12.5" style="242" customWidth="1"/>
    <col min="2" max="2" width="53.6640625" style="242" customWidth="1"/>
    <col min="3" max="10" width="11.5" style="242" customWidth="1"/>
    <col min="11" max="11" width="15.33203125" style="242" customWidth="1"/>
    <col min="12" max="12" width="0.83203125" style="242" customWidth="1"/>
    <col min="13" max="251" width="11.33203125" style="242" customWidth="1"/>
    <col min="252" max="16384" width="9.33203125" style="243"/>
  </cols>
  <sheetData>
    <row r="1" spans="1:251" s="243" customFormat="1" ht="58.7" customHeight="1">
      <c r="A1" s="241" t="s">
        <v>1243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</row>
    <row r="2" spans="1:251" s="243" customFormat="1" ht="18.399999999999999" customHeight="1">
      <c r="A2" s="244" t="s">
        <v>1066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</row>
    <row r="3" spans="1:251" s="243" customFormat="1" ht="12" customHeight="1">
      <c r="A3" s="245" t="s">
        <v>1244</v>
      </c>
      <c r="B3" s="246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</row>
    <row r="4" spans="1:251" s="243" customFormat="1" ht="12" customHeight="1">
      <c r="A4" s="245" t="s">
        <v>1245</v>
      </c>
      <c r="B4" s="247" t="s">
        <v>1246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</row>
    <row r="5" spans="1:251" s="243" customFormat="1" ht="12" customHeight="1">
      <c r="A5" s="245" t="s">
        <v>1247</v>
      </c>
      <c r="B5" s="248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</row>
    <row r="6" spans="1:251" s="243" customFormat="1" ht="12" customHeight="1">
      <c r="A6" s="245" t="s">
        <v>1248</v>
      </c>
      <c r="B6" s="249" t="s">
        <v>1067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</row>
    <row r="7" spans="1:251" s="243" customFormat="1" ht="12" customHeight="1">
      <c r="A7" s="245" t="s">
        <v>1068</v>
      </c>
      <c r="B7" s="25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</row>
    <row r="8" spans="1:251" s="243" customFormat="1" ht="12" customHeight="1">
      <c r="A8" s="242"/>
      <c r="B8" s="242"/>
      <c r="C8" s="242"/>
      <c r="D8" s="242"/>
      <c r="E8" s="251" t="s">
        <v>1069</v>
      </c>
      <c r="F8" s="251"/>
      <c r="G8" s="251"/>
      <c r="H8" s="251"/>
      <c r="I8" s="252">
        <f>+K12</f>
        <v>0</v>
      </c>
      <c r="J8" s="252"/>
      <c r="K8" s="25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spans="1:251" s="243" customFormat="1" ht="12" customHeight="1">
      <c r="A9" s="242"/>
      <c r="B9" s="242"/>
      <c r="C9" s="242"/>
      <c r="D9" s="242"/>
      <c r="E9" s="253" t="s">
        <v>1070</v>
      </c>
      <c r="F9" s="253"/>
      <c r="G9" s="253"/>
      <c r="H9" s="253"/>
      <c r="I9" s="252">
        <f>+K11</f>
        <v>0</v>
      </c>
      <c r="J9" s="252"/>
      <c r="K9" s="25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  <c r="IO9" s="242"/>
      <c r="IP9" s="242"/>
      <c r="IQ9" s="242"/>
    </row>
    <row r="10" spans="1:251" s="243" customFormat="1" ht="12" customHeight="1">
      <c r="A10" s="254" t="s">
        <v>1071</v>
      </c>
      <c r="B10" s="255" t="s">
        <v>1072</v>
      </c>
      <c r="C10" s="256" t="s">
        <v>1073</v>
      </c>
      <c r="D10" s="257" t="s">
        <v>1074</v>
      </c>
      <c r="E10" s="258" t="s">
        <v>1075</v>
      </c>
      <c r="F10" s="258" t="s">
        <v>1076</v>
      </c>
      <c r="G10" s="258"/>
      <c r="H10" s="258"/>
      <c r="I10" s="258" t="s">
        <v>1077</v>
      </c>
      <c r="J10" s="258" t="s">
        <v>1078</v>
      </c>
      <c r="K10" s="259" t="s">
        <v>1079</v>
      </c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</row>
    <row r="11" spans="1:251" s="243" customFormat="1" ht="12" customHeight="1">
      <c r="A11" s="260"/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spans="1:251" s="243" customFormat="1" ht="12" customHeight="1">
      <c r="A12" s="263" t="s">
        <v>1080</v>
      </c>
      <c r="B12" s="263" t="s">
        <v>1081</v>
      </c>
      <c r="C12" s="264"/>
      <c r="D12" s="265"/>
      <c r="E12" s="266"/>
      <c r="F12" s="267"/>
      <c r="G12" s="266"/>
      <c r="H12" s="266"/>
      <c r="I12" s="268"/>
      <c r="J12" s="267"/>
      <c r="K12" s="267">
        <f>SUM(J13:J39)</f>
        <v>0</v>
      </c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spans="1:251" s="243" customFormat="1" ht="80.849999999999994" customHeight="1">
      <c r="A13" s="269" t="s">
        <v>1082</v>
      </c>
      <c r="B13" s="270" t="s">
        <v>1083</v>
      </c>
      <c r="C13" s="271" t="s">
        <v>591</v>
      </c>
      <c r="D13" s="272">
        <v>1</v>
      </c>
      <c r="E13" s="273"/>
      <c r="F13" s="274"/>
      <c r="G13" s="275"/>
      <c r="H13" s="274"/>
      <c r="I13" s="276"/>
      <c r="J13" s="276">
        <f>F13+H13</f>
        <v>0</v>
      </c>
      <c r="K13" s="277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spans="1:251" s="243" customFormat="1" ht="40.35" customHeight="1">
      <c r="A14" s="269" t="s">
        <v>1084</v>
      </c>
      <c r="B14" s="270" t="s">
        <v>1085</v>
      </c>
      <c r="C14" s="271" t="s">
        <v>591</v>
      </c>
      <c r="D14" s="272">
        <v>1</v>
      </c>
      <c r="E14" s="273"/>
      <c r="F14" s="274"/>
      <c r="G14" s="275"/>
      <c r="H14" s="274"/>
      <c r="I14" s="276"/>
      <c r="J14" s="276">
        <f t="shared" ref="J14:J43" si="0">F14+H14</f>
        <v>0</v>
      </c>
      <c r="K14" s="277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spans="1:251" s="243" customFormat="1" ht="11.65" customHeight="1">
      <c r="A15" s="269" t="s">
        <v>1086</v>
      </c>
      <c r="B15" s="270" t="s">
        <v>1087</v>
      </c>
      <c r="C15" s="271" t="s">
        <v>701</v>
      </c>
      <c r="D15" s="278">
        <v>15</v>
      </c>
      <c r="E15" s="279"/>
      <c r="F15" s="274"/>
      <c r="G15" s="275"/>
      <c r="H15" s="274"/>
      <c r="I15" s="276"/>
      <c r="J15" s="276">
        <f t="shared" si="0"/>
        <v>0</v>
      </c>
      <c r="K15" s="277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1:251" s="243" customFormat="1" ht="12.2" customHeight="1">
      <c r="A16" s="269" t="s">
        <v>1088</v>
      </c>
      <c r="B16" s="270" t="s">
        <v>1089</v>
      </c>
      <c r="C16" s="271" t="s">
        <v>591</v>
      </c>
      <c r="D16" s="278">
        <v>1</v>
      </c>
      <c r="E16" s="279"/>
      <c r="F16" s="274"/>
      <c r="G16" s="275"/>
      <c r="H16" s="274"/>
      <c r="I16" s="276"/>
      <c r="J16" s="276">
        <f t="shared" si="0"/>
        <v>0</v>
      </c>
      <c r="K16" s="277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</row>
    <row r="17" spans="1:251" s="243" customFormat="1" ht="11.65" customHeight="1">
      <c r="A17" s="269" t="s">
        <v>1090</v>
      </c>
      <c r="B17" s="270" t="s">
        <v>1091</v>
      </c>
      <c r="C17" s="271" t="s">
        <v>591</v>
      </c>
      <c r="D17" s="278">
        <v>2</v>
      </c>
      <c r="E17" s="279"/>
      <c r="F17" s="274"/>
      <c r="G17" s="275"/>
      <c r="H17" s="274"/>
      <c r="I17" s="276"/>
      <c r="J17" s="276">
        <f t="shared" si="0"/>
        <v>0</v>
      </c>
      <c r="K17" s="277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spans="1:251" s="243" customFormat="1" ht="31.15" customHeight="1">
      <c r="A18" s="280" t="s">
        <v>1092</v>
      </c>
      <c r="B18" s="270" t="s">
        <v>1093</v>
      </c>
      <c r="C18" s="271" t="s">
        <v>591</v>
      </c>
      <c r="D18" s="278">
        <v>2</v>
      </c>
      <c r="E18" s="279"/>
      <c r="F18" s="274"/>
      <c r="G18" s="275"/>
      <c r="H18" s="274"/>
      <c r="I18" s="276"/>
      <c r="J18" s="276">
        <f t="shared" si="0"/>
        <v>0</v>
      </c>
      <c r="K18" s="277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spans="1:251" s="243" customFormat="1" ht="10.9" customHeight="1">
      <c r="A19" s="280" t="s">
        <v>1094</v>
      </c>
      <c r="B19" s="270" t="s">
        <v>1249</v>
      </c>
      <c r="C19" s="271" t="s">
        <v>591</v>
      </c>
      <c r="D19" s="278">
        <v>1</v>
      </c>
      <c r="E19" s="279"/>
      <c r="F19" s="274"/>
      <c r="G19" s="275"/>
      <c r="H19" s="274"/>
      <c r="I19" s="276"/>
      <c r="J19" s="276">
        <f t="shared" si="0"/>
        <v>0</v>
      </c>
      <c r="K19" s="277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spans="1:251" s="243" customFormat="1" ht="12.2" customHeight="1">
      <c r="A20" s="280" t="s">
        <v>1095</v>
      </c>
      <c r="B20" s="270" t="s">
        <v>1250</v>
      </c>
      <c r="C20" s="271" t="s">
        <v>591</v>
      </c>
      <c r="D20" s="278">
        <v>1</v>
      </c>
      <c r="E20" s="279"/>
      <c r="F20" s="274"/>
      <c r="G20" s="275"/>
      <c r="H20" s="274"/>
      <c r="I20" s="276"/>
      <c r="J20" s="276">
        <f t="shared" si="0"/>
        <v>0</v>
      </c>
      <c r="K20" s="277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 s="243" customFormat="1" ht="21.4" customHeight="1">
      <c r="A21" s="280" t="s">
        <v>1096</v>
      </c>
      <c r="B21" s="270" t="s">
        <v>1097</v>
      </c>
      <c r="C21" s="271" t="s">
        <v>591</v>
      </c>
      <c r="D21" s="278">
        <v>1</v>
      </c>
      <c r="E21" s="279"/>
      <c r="F21" s="274"/>
      <c r="G21" s="275"/>
      <c r="H21" s="274"/>
      <c r="I21" s="276"/>
      <c r="J21" s="276">
        <f t="shared" si="0"/>
        <v>0</v>
      </c>
      <c r="K21" s="277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 s="243" customFormat="1" ht="21.4" customHeight="1">
      <c r="A22" s="280" t="s">
        <v>1098</v>
      </c>
      <c r="B22" s="270" t="s">
        <v>1099</v>
      </c>
      <c r="C22" s="271" t="s">
        <v>591</v>
      </c>
      <c r="D22" s="278">
        <v>1</v>
      </c>
      <c r="E22" s="279"/>
      <c r="F22" s="274"/>
      <c r="G22" s="275"/>
      <c r="H22" s="274"/>
      <c r="I22" s="276"/>
      <c r="J22" s="276">
        <f t="shared" si="0"/>
        <v>0</v>
      </c>
      <c r="K22" s="277"/>
      <c r="L22" s="242"/>
      <c r="M22" s="242"/>
      <c r="N22" s="242"/>
      <c r="O22" s="281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 s="243" customFormat="1" ht="23.25" customHeight="1">
      <c r="A23" s="280" t="s">
        <v>1100</v>
      </c>
      <c r="B23" s="270" t="s">
        <v>1101</v>
      </c>
      <c r="C23" s="271" t="s">
        <v>591</v>
      </c>
      <c r="D23" s="278">
        <v>2</v>
      </c>
      <c r="E23" s="279"/>
      <c r="F23" s="274"/>
      <c r="G23" s="275"/>
      <c r="H23" s="274"/>
      <c r="I23" s="276"/>
      <c r="J23" s="276">
        <f t="shared" si="0"/>
        <v>0</v>
      </c>
      <c r="K23" s="277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 s="243" customFormat="1" ht="13.15" customHeight="1">
      <c r="A24" s="280" t="s">
        <v>1102</v>
      </c>
      <c r="B24" s="270" t="s">
        <v>1103</v>
      </c>
      <c r="C24" s="271" t="s">
        <v>591</v>
      </c>
      <c r="D24" s="278">
        <v>2</v>
      </c>
      <c r="E24" s="279"/>
      <c r="F24" s="274"/>
      <c r="G24" s="275"/>
      <c r="H24" s="274"/>
      <c r="I24" s="276"/>
      <c r="J24" s="276">
        <f t="shared" si="0"/>
        <v>0</v>
      </c>
      <c r="K24" s="277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 s="243" customFormat="1" ht="13.15" customHeight="1">
      <c r="A25" s="280" t="s">
        <v>1104</v>
      </c>
      <c r="B25" s="270" t="s">
        <v>1105</v>
      </c>
      <c r="C25" s="271" t="s">
        <v>591</v>
      </c>
      <c r="D25" s="278">
        <v>1</v>
      </c>
      <c r="E25" s="279"/>
      <c r="F25" s="274"/>
      <c r="G25" s="275"/>
      <c r="H25" s="274"/>
      <c r="I25" s="276"/>
      <c r="J25" s="276">
        <f t="shared" si="0"/>
        <v>0</v>
      </c>
      <c r="K25" s="277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  <row r="26" spans="1:251" s="243" customFormat="1" ht="13.15" customHeight="1">
      <c r="A26" s="280" t="s">
        <v>1106</v>
      </c>
      <c r="B26" s="270" t="s">
        <v>1107</v>
      </c>
      <c r="C26" s="271" t="s">
        <v>701</v>
      </c>
      <c r="D26" s="278">
        <v>20</v>
      </c>
      <c r="E26" s="279"/>
      <c r="F26" s="274"/>
      <c r="G26" s="275"/>
      <c r="H26" s="274"/>
      <c r="I26" s="276"/>
      <c r="J26" s="276">
        <f t="shared" si="0"/>
        <v>0</v>
      </c>
      <c r="K26" s="277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  <c r="IO26" s="242"/>
      <c r="IP26" s="242"/>
      <c r="IQ26" s="242"/>
    </row>
    <row r="27" spans="1:251" s="243" customFormat="1" ht="13.15" customHeight="1">
      <c r="A27" s="280" t="s">
        <v>1108</v>
      </c>
      <c r="B27" s="270" t="s">
        <v>1109</v>
      </c>
      <c r="C27" s="271" t="s">
        <v>701</v>
      </c>
      <c r="D27" s="278">
        <v>3</v>
      </c>
      <c r="E27" s="279"/>
      <c r="F27" s="274"/>
      <c r="G27" s="275"/>
      <c r="H27" s="274"/>
      <c r="I27" s="276"/>
      <c r="J27" s="276">
        <f t="shared" si="0"/>
        <v>0</v>
      </c>
      <c r="K27" s="277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</row>
    <row r="28" spans="1:251" s="243" customFormat="1" ht="13.15" customHeight="1">
      <c r="A28" s="280" t="s">
        <v>1110</v>
      </c>
      <c r="B28" s="270" t="s">
        <v>1111</v>
      </c>
      <c r="C28" s="271" t="s">
        <v>831</v>
      </c>
      <c r="D28" s="278">
        <f>16*4</f>
        <v>64</v>
      </c>
      <c r="E28" s="279"/>
      <c r="F28" s="274"/>
      <c r="G28" s="275"/>
      <c r="H28" s="274"/>
      <c r="I28" s="276"/>
      <c r="J28" s="276">
        <f t="shared" si="0"/>
        <v>0</v>
      </c>
      <c r="K28" s="277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</row>
    <row r="29" spans="1:251" s="243" customFormat="1" ht="13.15" customHeight="1">
      <c r="A29" s="280" t="s">
        <v>1112</v>
      </c>
      <c r="B29" s="270" t="s">
        <v>1113</v>
      </c>
      <c r="C29" s="271" t="s">
        <v>831</v>
      </c>
      <c r="D29" s="278">
        <v>59</v>
      </c>
      <c r="E29" s="279"/>
      <c r="F29" s="274"/>
      <c r="G29" s="275"/>
      <c r="H29" s="274"/>
      <c r="I29" s="276"/>
      <c r="J29" s="276">
        <f t="shared" si="0"/>
        <v>0</v>
      </c>
      <c r="K29" s="277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</row>
    <row r="30" spans="1:251" s="243" customFormat="1" ht="13.15" customHeight="1">
      <c r="A30" s="280" t="s">
        <v>1114</v>
      </c>
      <c r="B30" s="270" t="s">
        <v>1115</v>
      </c>
      <c r="C30" s="271" t="s">
        <v>591</v>
      </c>
      <c r="D30" s="278">
        <v>6</v>
      </c>
      <c r="E30" s="279"/>
      <c r="F30" s="274"/>
      <c r="G30" s="275"/>
      <c r="H30" s="274"/>
      <c r="I30" s="276"/>
      <c r="J30" s="276">
        <f t="shared" si="0"/>
        <v>0</v>
      </c>
      <c r="K30" s="277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</row>
    <row r="31" spans="1:251" s="243" customFormat="1" ht="13.15" customHeight="1">
      <c r="A31" s="280" t="s">
        <v>1116</v>
      </c>
      <c r="B31" s="270" t="s">
        <v>1117</v>
      </c>
      <c r="C31" s="271" t="s">
        <v>591</v>
      </c>
      <c r="D31" s="278">
        <v>6</v>
      </c>
      <c r="E31" s="279"/>
      <c r="F31" s="274"/>
      <c r="G31" s="275"/>
      <c r="H31" s="274"/>
      <c r="I31" s="276"/>
      <c r="J31" s="276">
        <f t="shared" si="0"/>
        <v>0</v>
      </c>
      <c r="K31" s="277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</row>
    <row r="32" spans="1:251" s="243" customFormat="1" ht="13.15" customHeight="1">
      <c r="A32" s="280" t="s">
        <v>1118</v>
      </c>
      <c r="B32" s="270" t="s">
        <v>1119</v>
      </c>
      <c r="C32" s="271" t="s">
        <v>591</v>
      </c>
      <c r="D32" s="278">
        <v>5</v>
      </c>
      <c r="E32" s="279"/>
      <c r="F32" s="274"/>
      <c r="G32" s="275"/>
      <c r="H32" s="274"/>
      <c r="I32" s="276"/>
      <c r="J32" s="276">
        <f t="shared" si="0"/>
        <v>0</v>
      </c>
      <c r="K32" s="277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  <c r="IO32" s="242"/>
      <c r="IP32" s="242"/>
      <c r="IQ32" s="242"/>
    </row>
    <row r="33" spans="1:251" s="243" customFormat="1" ht="13.15" customHeight="1">
      <c r="A33" s="280" t="s">
        <v>1120</v>
      </c>
      <c r="B33" s="270" t="s">
        <v>1121</v>
      </c>
      <c r="C33" s="271" t="s">
        <v>831</v>
      </c>
      <c r="D33" s="278">
        <v>20</v>
      </c>
      <c r="E33" s="279"/>
      <c r="F33" s="274"/>
      <c r="G33" s="275"/>
      <c r="H33" s="274"/>
      <c r="I33" s="276"/>
      <c r="J33" s="276">
        <f t="shared" si="0"/>
        <v>0</v>
      </c>
      <c r="K33" s="277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  <c r="IO33" s="242"/>
      <c r="IP33" s="242"/>
      <c r="IQ33" s="242"/>
    </row>
    <row r="34" spans="1:251" s="243" customFormat="1" ht="13.15" customHeight="1">
      <c r="A34" s="280" t="s">
        <v>1122</v>
      </c>
      <c r="B34" s="270" t="s">
        <v>1123</v>
      </c>
      <c r="C34" s="271" t="s">
        <v>831</v>
      </c>
      <c r="D34" s="278">
        <v>47</v>
      </c>
      <c r="E34" s="279"/>
      <c r="F34" s="274"/>
      <c r="G34" s="275"/>
      <c r="H34" s="274"/>
      <c r="I34" s="276"/>
      <c r="J34" s="276">
        <f t="shared" si="0"/>
        <v>0</v>
      </c>
      <c r="K34" s="277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</row>
    <row r="35" spans="1:251" s="243" customFormat="1" ht="13.15" customHeight="1">
      <c r="A35" s="280" t="s">
        <v>1124</v>
      </c>
      <c r="B35" s="270" t="s">
        <v>1125</v>
      </c>
      <c r="C35" s="271" t="s">
        <v>831</v>
      </c>
      <c r="D35" s="278">
        <v>32</v>
      </c>
      <c r="E35" s="279"/>
      <c r="F35" s="274"/>
      <c r="G35" s="275"/>
      <c r="H35" s="274"/>
      <c r="I35" s="276"/>
      <c r="J35" s="276">
        <f t="shared" si="0"/>
        <v>0</v>
      </c>
      <c r="K35" s="277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</row>
    <row r="36" spans="1:251" s="243" customFormat="1" ht="39.4" customHeight="1">
      <c r="A36" s="280" t="s">
        <v>1126</v>
      </c>
      <c r="B36" s="282" t="s">
        <v>1127</v>
      </c>
      <c r="C36" s="271" t="s">
        <v>797</v>
      </c>
      <c r="D36" s="278">
        <v>148</v>
      </c>
      <c r="E36" s="279"/>
      <c r="F36" s="274"/>
      <c r="G36" s="275"/>
      <c r="H36" s="274"/>
      <c r="I36" s="276"/>
      <c r="J36" s="276">
        <f t="shared" si="0"/>
        <v>0</v>
      </c>
      <c r="K36" s="276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</row>
    <row r="37" spans="1:251" s="243" customFormat="1" ht="12" customHeight="1">
      <c r="A37" s="280" t="s">
        <v>1128</v>
      </c>
      <c r="B37" s="270" t="s">
        <v>1129</v>
      </c>
      <c r="C37" s="271" t="s">
        <v>1130</v>
      </c>
      <c r="D37" s="278">
        <v>1</v>
      </c>
      <c r="E37" s="279"/>
      <c r="F37" s="274"/>
      <c r="G37" s="275"/>
      <c r="H37" s="274"/>
      <c r="I37" s="276"/>
      <c r="J37" s="276">
        <f t="shared" si="0"/>
        <v>0</v>
      </c>
      <c r="K37" s="276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  <c r="IO37" s="242"/>
      <c r="IP37" s="242"/>
      <c r="IQ37" s="242"/>
    </row>
    <row r="38" spans="1:251" s="243" customFormat="1" ht="22.15" customHeight="1">
      <c r="A38" s="280" t="s">
        <v>1131</v>
      </c>
      <c r="B38" s="270" t="s">
        <v>1132</v>
      </c>
      <c r="C38" s="271" t="s">
        <v>550</v>
      </c>
      <c r="D38" s="278">
        <v>24</v>
      </c>
      <c r="E38" s="279"/>
      <c r="F38" s="274"/>
      <c r="G38" s="275"/>
      <c r="H38" s="274"/>
      <c r="I38" s="276"/>
      <c r="J38" s="276">
        <f t="shared" si="0"/>
        <v>0</v>
      </c>
      <c r="K38" s="276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</row>
    <row r="39" spans="1:251" s="243" customFormat="1" ht="12" customHeight="1">
      <c r="A39" s="280" t="s">
        <v>1133</v>
      </c>
      <c r="B39" s="270" t="s">
        <v>1134</v>
      </c>
      <c r="C39" s="271" t="s">
        <v>550</v>
      </c>
      <c r="D39" s="278">
        <v>185</v>
      </c>
      <c r="E39" s="279"/>
      <c r="F39" s="274"/>
      <c r="G39" s="275"/>
      <c r="H39" s="274"/>
      <c r="I39" s="276"/>
      <c r="J39" s="276">
        <f t="shared" si="0"/>
        <v>0</v>
      </c>
      <c r="K39" s="276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</row>
    <row r="40" spans="1:251" s="243" customFormat="1" ht="12" customHeight="1">
      <c r="A40" s="280"/>
      <c r="B40" s="270"/>
      <c r="C40" s="271"/>
      <c r="D40" s="278"/>
      <c r="E40" s="279"/>
      <c r="F40" s="274"/>
      <c r="G40" s="275"/>
      <c r="H40" s="274"/>
      <c r="I40" s="276"/>
      <c r="J40" s="276"/>
      <c r="K40" s="276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</row>
    <row r="41" spans="1:251" s="243" customFormat="1" ht="12" customHeight="1">
      <c r="A41" s="280" t="s">
        <v>1135</v>
      </c>
      <c r="B41" s="270" t="s">
        <v>1136</v>
      </c>
      <c r="C41" s="271" t="s">
        <v>1130</v>
      </c>
      <c r="D41" s="278">
        <v>2</v>
      </c>
      <c r="E41" s="279">
        <v>0</v>
      </c>
      <c r="F41" s="274">
        <f>+D41*E41</f>
        <v>0</v>
      </c>
      <c r="G41" s="275"/>
      <c r="H41" s="274"/>
      <c r="I41" s="276"/>
      <c r="J41" s="276">
        <f>F41+H41</f>
        <v>0</v>
      </c>
      <c r="K41" s="276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</row>
    <row r="42" spans="1:251" s="243" customFormat="1" ht="12" customHeight="1">
      <c r="A42" s="283"/>
      <c r="B42" s="270" t="s">
        <v>1137</v>
      </c>
      <c r="C42" s="271" t="s">
        <v>1130</v>
      </c>
      <c r="D42" s="278">
        <v>1</v>
      </c>
      <c r="E42" s="279">
        <v>0</v>
      </c>
      <c r="F42" s="274">
        <f>+E42*D42</f>
        <v>0</v>
      </c>
      <c r="G42" s="275"/>
      <c r="H42" s="274"/>
      <c r="I42" s="276"/>
      <c r="J42" s="276">
        <f>F42*D42</f>
        <v>0</v>
      </c>
      <c r="K42" s="276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</row>
    <row r="43" spans="1:251" s="243" customFormat="1" ht="12" customHeight="1">
      <c r="A43" s="269"/>
      <c r="B43" s="270" t="s">
        <v>1138</v>
      </c>
      <c r="C43" s="271" t="s">
        <v>1130</v>
      </c>
      <c r="D43" s="278">
        <v>6</v>
      </c>
      <c r="E43" s="279">
        <v>0</v>
      </c>
      <c r="F43" s="274">
        <f>+E43*D43</f>
        <v>0</v>
      </c>
      <c r="G43" s="275"/>
      <c r="H43" s="274"/>
      <c r="I43" s="276"/>
      <c r="J43" s="276">
        <f>F43*D43</f>
        <v>0</v>
      </c>
      <c r="K43" s="276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  <c r="IO43" s="242"/>
      <c r="IP43" s="242"/>
      <c r="IQ43" s="242"/>
    </row>
    <row r="44" spans="1:251" s="243" customFormat="1" ht="12" customHeight="1">
      <c r="A44" s="284"/>
      <c r="B44" s="242"/>
      <c r="C44" s="242"/>
      <c r="D44" s="242"/>
      <c r="E44" s="285"/>
      <c r="F44" s="285"/>
      <c r="G44" s="285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  <c r="IO44" s="242"/>
      <c r="IP44" s="242"/>
      <c r="IQ44" s="242"/>
    </row>
    <row r="45" spans="1:251" s="243" customFormat="1" ht="12" customHeight="1">
      <c r="A45" s="284"/>
      <c r="B45" s="242"/>
      <c r="C45" s="242"/>
      <c r="D45" s="242"/>
      <c r="E45" s="285"/>
      <c r="F45" s="285"/>
      <c r="G45" s="285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  <c r="IO45" s="242"/>
      <c r="IP45" s="242"/>
      <c r="IQ45" s="242"/>
    </row>
    <row r="46" spans="1:251" s="243" customFormat="1" ht="12" customHeight="1">
      <c r="A46" s="242"/>
      <c r="B46" s="286"/>
      <c r="C46" s="286"/>
      <c r="D46" s="286"/>
      <c r="E46" s="245"/>
      <c r="F46" s="245"/>
      <c r="G46" s="245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</row>
    <row r="47" spans="1:251" s="243" customFormat="1" ht="12" customHeight="1">
      <c r="G47" s="245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</row>
    <row r="48" spans="1:251" s="243" customFormat="1" ht="12" hidden="1" customHeight="1">
      <c r="A48" s="242"/>
      <c r="B48" s="287" t="s">
        <v>1251</v>
      </c>
      <c r="C48" s="288"/>
      <c r="D48" s="288"/>
      <c r="E48" s="245"/>
      <c r="F48" s="245"/>
      <c r="G48" s="245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  <c r="IO48" s="242"/>
      <c r="IP48" s="242"/>
      <c r="IQ48" s="242"/>
    </row>
    <row r="49" spans="2:251" s="243" customFormat="1" ht="12" hidden="1" customHeight="1">
      <c r="B49" s="289" t="s">
        <v>1252</v>
      </c>
      <c r="C49" s="288"/>
      <c r="D49" s="288"/>
      <c r="E49" s="245"/>
      <c r="F49" s="245"/>
      <c r="G49" s="245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  <c r="IO49" s="242"/>
      <c r="IP49" s="242"/>
      <c r="IQ49" s="242"/>
    </row>
    <row r="50" spans="2:251" s="243" customFormat="1" ht="12" hidden="1" customHeight="1">
      <c r="B50" s="289" t="s">
        <v>1253</v>
      </c>
      <c r="C50" s="288"/>
      <c r="D50" s="288"/>
      <c r="E50" s="245"/>
      <c r="F50" s="245"/>
      <c r="G50" s="245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</row>
    <row r="51" spans="2:251" s="243" customFormat="1" ht="12" hidden="1" customHeight="1">
      <c r="B51" s="288" t="s">
        <v>1254</v>
      </c>
      <c r="C51" s="288"/>
      <c r="D51" s="288"/>
      <c r="E51" s="245"/>
      <c r="F51" s="245"/>
      <c r="G51" s="245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  <c r="IO51" s="242"/>
      <c r="IP51" s="242"/>
      <c r="IQ51" s="242"/>
    </row>
    <row r="52" spans="2:251" s="243" customFormat="1" ht="12" hidden="1" customHeight="1">
      <c r="B52" s="288" t="s">
        <v>1255</v>
      </c>
      <c r="C52" s="288"/>
      <c r="D52" s="288"/>
      <c r="E52" s="245"/>
      <c r="F52" s="245"/>
      <c r="G52" s="245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</row>
    <row r="53" spans="2:251" s="243" customFormat="1" ht="12" hidden="1" customHeight="1">
      <c r="B53" s="290" t="s">
        <v>1256</v>
      </c>
      <c r="C53" s="288"/>
      <c r="D53" s="288"/>
      <c r="E53" s="245"/>
      <c r="F53" s="245"/>
      <c r="G53" s="245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  <c r="IO53" s="242"/>
      <c r="IP53" s="242"/>
      <c r="IQ53" s="242"/>
    </row>
    <row r="54" spans="2:251" s="243" customFormat="1" ht="12" hidden="1" customHeight="1">
      <c r="B54" s="291" t="s">
        <v>1257</v>
      </c>
      <c r="C54" s="288"/>
      <c r="D54" s="288"/>
      <c r="E54" s="245"/>
      <c r="F54" s="245"/>
      <c r="G54" s="245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  <c r="IO54" s="242"/>
      <c r="IP54" s="242"/>
      <c r="IQ54" s="242"/>
    </row>
    <row r="55" spans="2:251" s="243" customFormat="1" ht="12" hidden="1" customHeight="1">
      <c r="B55" s="291" t="s">
        <v>1258</v>
      </c>
      <c r="C55" s="288"/>
      <c r="D55" s="288"/>
      <c r="E55" s="245"/>
      <c r="F55" s="245"/>
      <c r="G55" s="245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  <c r="IO55" s="242"/>
      <c r="IP55" s="242"/>
      <c r="IQ55" s="242"/>
    </row>
    <row r="56" spans="2:251" s="243" customFormat="1" ht="12" hidden="1" customHeight="1">
      <c r="B56" s="291" t="s">
        <v>1259</v>
      </c>
      <c r="C56" s="288"/>
      <c r="D56" s="288"/>
      <c r="E56" s="245"/>
      <c r="F56" s="245"/>
      <c r="G56" s="245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  <c r="IO56" s="242"/>
      <c r="IP56" s="242"/>
      <c r="IQ56" s="242"/>
    </row>
    <row r="57" spans="2:251" s="243" customFormat="1" ht="12" hidden="1" customHeight="1">
      <c r="B57" s="291" t="s">
        <v>1260</v>
      </c>
      <c r="C57" s="288"/>
      <c r="D57" s="288"/>
      <c r="E57" s="245"/>
      <c r="F57" s="245"/>
      <c r="G57" s="245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  <c r="IO57" s="242"/>
      <c r="IP57" s="242"/>
      <c r="IQ57" s="242"/>
    </row>
    <row r="58" spans="2:251" s="243" customFormat="1" ht="12" hidden="1" customHeight="1">
      <c r="B58" s="291" t="s">
        <v>1261</v>
      </c>
      <c r="C58" s="288"/>
      <c r="D58" s="288"/>
      <c r="E58" s="245"/>
      <c r="F58" s="245"/>
      <c r="G58" s="245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  <c r="IO58" s="242"/>
      <c r="IP58" s="242"/>
      <c r="IQ58" s="242"/>
    </row>
    <row r="59" spans="2:251" s="243" customFormat="1" ht="12" hidden="1" customHeight="1">
      <c r="B59" s="291" t="s">
        <v>1262</v>
      </c>
      <c r="C59" s="288"/>
      <c r="D59" s="288"/>
      <c r="E59" s="245"/>
      <c r="F59" s="245"/>
      <c r="G59" s="245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</row>
    <row r="60" spans="2:251" s="243" customFormat="1" ht="12" hidden="1" customHeight="1">
      <c r="B60" s="291" t="s">
        <v>1263</v>
      </c>
      <c r="C60" s="288"/>
      <c r="D60" s="288"/>
      <c r="E60" s="245"/>
      <c r="F60" s="245"/>
      <c r="G60" s="245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  <c r="IO60" s="242"/>
      <c r="IP60" s="242"/>
      <c r="IQ60" s="242"/>
    </row>
    <row r="61" spans="2:251" s="243" customFormat="1" ht="12" hidden="1" customHeight="1">
      <c r="B61" s="291" t="s">
        <v>1264</v>
      </c>
      <c r="C61" s="288"/>
      <c r="D61" s="288"/>
      <c r="E61" s="245"/>
      <c r="F61" s="245"/>
      <c r="G61" s="245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  <c r="IO61" s="242"/>
      <c r="IP61" s="242"/>
      <c r="IQ61" s="242"/>
    </row>
    <row r="62" spans="2:251" s="243" customFormat="1" ht="12" hidden="1" customHeight="1">
      <c r="B62" s="291" t="s">
        <v>1265</v>
      </c>
      <c r="C62" s="288"/>
      <c r="D62" s="288"/>
      <c r="E62" s="245"/>
      <c r="F62" s="245"/>
      <c r="G62" s="245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  <c r="IO62" s="242"/>
      <c r="IP62" s="242"/>
      <c r="IQ62" s="242"/>
    </row>
    <row r="63" spans="2:251" s="243" customFormat="1" ht="12" hidden="1" customHeight="1">
      <c r="B63" s="291" t="s">
        <v>1266</v>
      </c>
      <c r="C63" s="288"/>
      <c r="D63" s="288"/>
      <c r="E63" s="245"/>
      <c r="F63" s="245"/>
      <c r="G63" s="245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</row>
    <row r="64" spans="2:251" s="243" customFormat="1" ht="12" hidden="1" customHeight="1">
      <c r="B64" s="289" t="s">
        <v>1267</v>
      </c>
      <c r="C64" s="288"/>
      <c r="D64" s="288"/>
      <c r="E64" s="245"/>
      <c r="F64" s="245"/>
      <c r="G64" s="245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</row>
    <row r="65" spans="2:251" s="243" customFormat="1" ht="12" hidden="1" customHeight="1">
      <c r="B65" s="288" t="s">
        <v>1268</v>
      </c>
      <c r="C65" s="288"/>
      <c r="D65" s="288"/>
      <c r="E65" s="245"/>
      <c r="F65" s="245"/>
      <c r="G65" s="245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</row>
    <row r="66" spans="2:251" s="243" customFormat="1" ht="12" hidden="1" customHeight="1">
      <c r="B66" s="288" t="s">
        <v>1269</v>
      </c>
      <c r="C66" s="288"/>
      <c r="D66" s="288"/>
      <c r="E66" s="245"/>
      <c r="F66" s="245"/>
      <c r="G66" s="245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</row>
    <row r="67" spans="2:251" s="243" customFormat="1" ht="12" hidden="1" customHeight="1">
      <c r="B67" s="287" t="s">
        <v>1270</v>
      </c>
      <c r="C67" s="292"/>
      <c r="D67" s="292"/>
      <c r="E67" s="245"/>
      <c r="F67" s="245"/>
      <c r="G67" s="245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  <c r="IO67" s="242"/>
      <c r="IP67" s="242"/>
      <c r="IQ67" s="242"/>
    </row>
    <row r="68" spans="2:251" s="243" customFormat="1" ht="12" hidden="1" customHeight="1">
      <c r="B68" s="291" t="s">
        <v>1271</v>
      </c>
      <c r="C68" s="292"/>
      <c r="D68" s="292"/>
      <c r="E68" s="245"/>
      <c r="F68" s="245"/>
      <c r="G68" s="245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  <c r="IO68" s="242"/>
      <c r="IP68" s="242"/>
      <c r="IQ68" s="242"/>
    </row>
    <row r="69" spans="2:251" s="243" customFormat="1" ht="12" hidden="1" customHeight="1">
      <c r="B69" s="291" t="s">
        <v>1272</v>
      </c>
      <c r="C69" s="292"/>
      <c r="D69" s="292"/>
      <c r="E69" s="245"/>
      <c r="F69" s="245"/>
      <c r="G69" s="245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  <c r="IO69" s="242"/>
      <c r="IP69" s="242"/>
      <c r="IQ69" s="242"/>
    </row>
    <row r="70" spans="2:251" s="243" customFormat="1" ht="12" hidden="1" customHeight="1">
      <c r="B70" s="291" t="s">
        <v>1273</v>
      </c>
      <c r="C70" s="292"/>
      <c r="D70" s="292"/>
      <c r="E70" s="245"/>
      <c r="F70" s="245"/>
      <c r="G70" s="245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  <c r="IO70" s="242"/>
      <c r="IP70" s="242"/>
      <c r="IQ70" s="242"/>
    </row>
    <row r="71" spans="2:251" s="243" customFormat="1" ht="12" hidden="1" customHeight="1">
      <c r="B71" s="291" t="s">
        <v>1274</v>
      </c>
      <c r="C71" s="292"/>
      <c r="D71" s="292"/>
      <c r="E71" s="245"/>
      <c r="F71" s="245"/>
      <c r="G71" s="245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</row>
    <row r="72" spans="2:251" s="243" customFormat="1" ht="12" hidden="1" customHeight="1">
      <c r="B72" s="291" t="s">
        <v>1275</v>
      </c>
      <c r="C72" s="292"/>
      <c r="D72" s="292"/>
      <c r="E72" s="245"/>
      <c r="F72" s="245"/>
      <c r="G72" s="245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</row>
    <row r="73" spans="2:251" s="243" customFormat="1" ht="12" hidden="1" customHeight="1">
      <c r="B73" s="291" t="s">
        <v>1276</v>
      </c>
      <c r="C73" s="292"/>
      <c r="D73" s="292"/>
      <c r="E73" s="245"/>
      <c r="F73" s="245"/>
      <c r="G73" s="245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</row>
    <row r="74" spans="2:251" s="243" customFormat="1" ht="12" hidden="1" customHeight="1">
      <c r="B74" s="291" t="s">
        <v>1277</v>
      </c>
      <c r="C74" s="292"/>
      <c r="D74" s="292"/>
      <c r="E74" s="245"/>
      <c r="F74" s="245"/>
      <c r="G74" s="245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  <c r="IO74" s="242"/>
      <c r="IP74" s="242"/>
      <c r="IQ74" s="242"/>
    </row>
    <row r="75" spans="2:251" s="243" customFormat="1" ht="12" hidden="1" customHeight="1">
      <c r="B75" s="291" t="s">
        <v>1278</v>
      </c>
      <c r="C75" s="292"/>
      <c r="D75" s="292"/>
      <c r="E75" s="245"/>
      <c r="F75" s="245"/>
      <c r="G75" s="245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</row>
    <row r="76" spans="2:251" s="243" customFormat="1" ht="12" hidden="1" customHeight="1">
      <c r="B76" s="291" t="s">
        <v>1279</v>
      </c>
      <c r="C76" s="292"/>
      <c r="D76" s="292"/>
      <c r="E76" s="245"/>
      <c r="F76" s="245"/>
      <c r="G76" s="245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</row>
    <row r="77" spans="2:251" s="243" customFormat="1" ht="12" hidden="1" customHeight="1">
      <c r="B77" s="291" t="s">
        <v>1280</v>
      </c>
      <c r="C77" s="292"/>
      <c r="D77" s="292"/>
      <c r="E77" s="245"/>
      <c r="F77" s="245"/>
      <c r="G77" s="245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</row>
    <row r="78" spans="2:251" s="243" customFormat="1" ht="12" hidden="1" customHeight="1">
      <c r="B78" s="291" t="s">
        <v>1281</v>
      </c>
      <c r="C78" s="292"/>
      <c r="D78" s="292"/>
      <c r="E78" s="245"/>
      <c r="F78" s="245"/>
      <c r="G78" s="245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</row>
    <row r="79" spans="2:251" s="243" customFormat="1" ht="12" hidden="1" customHeight="1">
      <c r="B79" s="291" t="s">
        <v>1282</v>
      </c>
      <c r="C79" s="292"/>
      <c r="D79" s="292"/>
      <c r="E79" s="245"/>
      <c r="F79" s="245"/>
      <c r="G79" s="245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  <c r="IO79" s="242"/>
      <c r="IP79" s="242"/>
      <c r="IQ79" s="242"/>
    </row>
    <row r="80" spans="2:251" s="243" customFormat="1" ht="12" hidden="1" customHeight="1">
      <c r="B80" s="291" t="s">
        <v>1283</v>
      </c>
      <c r="C80" s="292"/>
      <c r="D80" s="292"/>
      <c r="E80" s="245"/>
      <c r="F80" s="245"/>
      <c r="G80" s="245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</row>
    <row r="81" spans="2:251" s="243" customFormat="1" ht="12" hidden="1" customHeight="1">
      <c r="B81" s="291" t="s">
        <v>1284</v>
      </c>
      <c r="C81" s="292"/>
      <c r="D81" s="292"/>
      <c r="E81" s="245"/>
      <c r="F81" s="245"/>
      <c r="G81" s="245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</row>
    <row r="82" spans="2:251" s="243" customFormat="1" ht="12" hidden="1" customHeight="1">
      <c r="B82" s="291" t="s">
        <v>1285</v>
      </c>
      <c r="C82" s="292"/>
      <c r="D82" s="292"/>
      <c r="E82" s="245"/>
      <c r="F82" s="245"/>
      <c r="G82" s="245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</row>
    <row r="83" spans="2:251" s="243" customFormat="1" ht="12" hidden="1" customHeight="1">
      <c r="B83" s="291" t="s">
        <v>1286</v>
      </c>
      <c r="C83" s="292"/>
      <c r="D83" s="292"/>
      <c r="E83" s="245"/>
      <c r="F83" s="245"/>
      <c r="G83" s="245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</row>
    <row r="84" spans="2:251" s="243" customFormat="1" ht="12" hidden="1" customHeight="1">
      <c r="B84" s="291" t="s">
        <v>1287</v>
      </c>
      <c r="C84" s="292"/>
      <c r="D84" s="292"/>
      <c r="E84" s="245"/>
      <c r="F84" s="245"/>
      <c r="G84" s="245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</row>
    <row r="85" spans="2:251" s="243" customFormat="1" ht="12" hidden="1" customHeight="1">
      <c r="B85" s="291" t="s">
        <v>1288</v>
      </c>
      <c r="C85" s="292"/>
      <c r="D85" s="292"/>
      <c r="E85" s="245"/>
      <c r="F85" s="245"/>
      <c r="G85" s="245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</row>
    <row r="86" spans="2:251" s="243" customFormat="1" ht="12" hidden="1" customHeight="1">
      <c r="B86" s="291" t="s">
        <v>1289</v>
      </c>
      <c r="C86" s="292"/>
      <c r="D86" s="292"/>
      <c r="E86" s="245"/>
      <c r="F86" s="245"/>
      <c r="G86" s="245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2"/>
      <c r="CM86" s="242"/>
      <c r="CN86" s="242"/>
      <c r="CO86" s="242"/>
      <c r="CP86" s="242"/>
      <c r="CQ86" s="242"/>
      <c r="CR86" s="242"/>
      <c r="CS86" s="242"/>
      <c r="CT86" s="242"/>
      <c r="CU86" s="242"/>
      <c r="CV86" s="242"/>
      <c r="CW86" s="242"/>
      <c r="CX86" s="242"/>
      <c r="CY86" s="242"/>
      <c r="CZ86" s="242"/>
      <c r="DA86" s="242"/>
      <c r="DB86" s="242"/>
      <c r="DC86" s="242"/>
      <c r="DD86" s="242"/>
      <c r="DE86" s="242"/>
      <c r="DF86" s="242"/>
      <c r="DG86" s="242"/>
      <c r="DH86" s="242"/>
      <c r="DI86" s="242"/>
      <c r="DJ86" s="242"/>
      <c r="DK86" s="242"/>
      <c r="DL86" s="242"/>
      <c r="DM86" s="242"/>
      <c r="DN86" s="242"/>
      <c r="DO86" s="242"/>
      <c r="DP86" s="242"/>
      <c r="DQ86" s="242"/>
      <c r="DR86" s="242"/>
      <c r="DS86" s="242"/>
      <c r="DT86" s="242"/>
      <c r="DU86" s="242"/>
      <c r="DV86" s="242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</row>
    <row r="87" spans="2:251" s="243" customFormat="1" ht="12" hidden="1" customHeight="1">
      <c r="B87" s="291" t="s">
        <v>1290</v>
      </c>
      <c r="C87" s="292"/>
      <c r="D87" s="292"/>
      <c r="E87" s="245"/>
      <c r="F87" s="245"/>
      <c r="G87" s="245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  <c r="AR87" s="242"/>
      <c r="AS87" s="242"/>
      <c r="AT87" s="242"/>
      <c r="AU87" s="242"/>
      <c r="AV87" s="242"/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2"/>
      <c r="CC87" s="242"/>
      <c r="CD87" s="242"/>
      <c r="CE87" s="242"/>
      <c r="CF87" s="242"/>
      <c r="CG87" s="242"/>
      <c r="CH87" s="242"/>
      <c r="CI87" s="242"/>
      <c r="CJ87" s="242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  <c r="CU87" s="242"/>
      <c r="CV87" s="242"/>
      <c r="CW87" s="242"/>
      <c r="CX87" s="242"/>
      <c r="CY87" s="242"/>
      <c r="CZ87" s="242"/>
      <c r="DA87" s="242"/>
      <c r="DB87" s="242"/>
      <c r="DC87" s="242"/>
      <c r="DD87" s="242"/>
      <c r="DE87" s="242"/>
      <c r="DF87" s="242"/>
      <c r="DG87" s="242"/>
      <c r="DH87" s="242"/>
      <c r="DI87" s="242"/>
      <c r="DJ87" s="242"/>
      <c r="DK87" s="242"/>
      <c r="DL87" s="242"/>
      <c r="DM87" s="242"/>
      <c r="DN87" s="242"/>
      <c r="DO87" s="242"/>
      <c r="DP87" s="242"/>
      <c r="DQ87" s="242"/>
      <c r="DR87" s="242"/>
      <c r="DS87" s="242"/>
      <c r="DT87" s="242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  <c r="EE87" s="242"/>
      <c r="EF87" s="242"/>
      <c r="EG87" s="242"/>
      <c r="EH87" s="242"/>
      <c r="EI87" s="242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242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242"/>
      <c r="FJ87" s="242"/>
      <c r="FK87" s="242"/>
      <c r="FL87" s="242"/>
      <c r="FM87" s="242"/>
      <c r="FN87" s="242"/>
      <c r="FO87" s="242"/>
      <c r="FP87" s="242"/>
      <c r="FQ87" s="242"/>
      <c r="FR87" s="242"/>
      <c r="FS87" s="242"/>
      <c r="FT87" s="242"/>
      <c r="FU87" s="242"/>
      <c r="FV87" s="242"/>
      <c r="FW87" s="242"/>
      <c r="FX87" s="242"/>
      <c r="FY87" s="242"/>
      <c r="FZ87" s="242"/>
      <c r="GA87" s="242"/>
      <c r="GB87" s="242"/>
      <c r="GC87" s="242"/>
      <c r="GD87" s="242"/>
      <c r="GE87" s="242"/>
      <c r="GF87" s="242"/>
      <c r="GG87" s="242"/>
      <c r="GH87" s="242"/>
      <c r="GI87" s="242"/>
      <c r="GJ87" s="242"/>
      <c r="GK87" s="242"/>
      <c r="GL87" s="242"/>
      <c r="GM87" s="242"/>
      <c r="GN87" s="242"/>
      <c r="GO87" s="242"/>
      <c r="GP87" s="242"/>
      <c r="GQ87" s="242"/>
      <c r="GR87" s="242"/>
      <c r="GS87" s="242"/>
      <c r="GT87" s="242"/>
      <c r="GU87" s="242"/>
      <c r="GV87" s="242"/>
      <c r="GW87" s="242"/>
      <c r="GX87" s="242"/>
      <c r="GY87" s="242"/>
      <c r="GZ87" s="242"/>
      <c r="HA87" s="242"/>
      <c r="HB87" s="242"/>
      <c r="HC87" s="242"/>
      <c r="HD87" s="242"/>
      <c r="HE87" s="242"/>
      <c r="HF87" s="242"/>
      <c r="HG87" s="242"/>
      <c r="HH87" s="242"/>
      <c r="HI87" s="242"/>
      <c r="HJ87" s="242"/>
      <c r="HK87" s="242"/>
      <c r="HL87" s="242"/>
      <c r="HM87" s="242"/>
      <c r="HN87" s="242"/>
      <c r="HO87" s="242"/>
      <c r="HP87" s="242"/>
      <c r="HQ87" s="242"/>
      <c r="HR87" s="242"/>
      <c r="HS87" s="242"/>
      <c r="HT87" s="242"/>
      <c r="HU87" s="242"/>
      <c r="HV87" s="242"/>
      <c r="HW87" s="242"/>
      <c r="HX87" s="242"/>
      <c r="HY87" s="242"/>
      <c r="HZ87" s="242"/>
      <c r="IA87" s="242"/>
      <c r="IB87" s="242"/>
      <c r="IC87" s="242"/>
      <c r="ID87" s="242"/>
      <c r="IE87" s="242"/>
      <c r="IF87" s="242"/>
      <c r="IG87" s="242"/>
      <c r="IH87" s="242"/>
      <c r="II87" s="242"/>
      <c r="IJ87" s="242"/>
      <c r="IK87" s="242"/>
      <c r="IL87" s="242"/>
      <c r="IM87" s="242"/>
      <c r="IN87" s="242"/>
      <c r="IO87" s="242"/>
      <c r="IP87" s="242"/>
      <c r="IQ87" s="242"/>
    </row>
    <row r="88" spans="2:251" s="243" customFormat="1" ht="12" hidden="1" customHeight="1">
      <c r="B88" s="291" t="s">
        <v>1291</v>
      </c>
      <c r="C88" s="292"/>
      <c r="D88" s="292"/>
      <c r="E88" s="245"/>
      <c r="F88" s="245"/>
      <c r="G88" s="245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  <c r="CU88" s="242"/>
      <c r="CV88" s="242"/>
      <c r="CW88" s="242"/>
      <c r="CX88" s="242"/>
      <c r="CY88" s="242"/>
      <c r="CZ88" s="242"/>
      <c r="DA88" s="242"/>
      <c r="DB88" s="242"/>
      <c r="DC88" s="242"/>
      <c r="DD88" s="242"/>
      <c r="DE88" s="242"/>
      <c r="DF88" s="242"/>
      <c r="DG88" s="242"/>
      <c r="DH88" s="242"/>
      <c r="DI88" s="242"/>
      <c r="DJ88" s="242"/>
      <c r="DK88" s="242"/>
      <c r="DL88" s="242"/>
      <c r="DM88" s="242"/>
      <c r="DN88" s="242"/>
      <c r="DO88" s="242"/>
      <c r="DP88" s="242"/>
      <c r="DQ88" s="242"/>
      <c r="DR88" s="242"/>
      <c r="DS88" s="242"/>
      <c r="DT88" s="242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</row>
    <row r="89" spans="2:251" s="243" customFormat="1" ht="12" hidden="1" customHeight="1">
      <c r="B89" s="291" t="s">
        <v>1292</v>
      </c>
      <c r="C89" s="292"/>
      <c r="D89" s="292"/>
      <c r="E89" s="245"/>
      <c r="F89" s="245"/>
      <c r="G89" s="245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2"/>
      <c r="CM89" s="242"/>
      <c r="CN89" s="242"/>
      <c r="CO89" s="242"/>
      <c r="CP89" s="242"/>
      <c r="CQ89" s="242"/>
      <c r="CR89" s="242"/>
      <c r="CS89" s="242"/>
      <c r="CT89" s="242"/>
      <c r="CU89" s="242"/>
      <c r="CV89" s="242"/>
      <c r="CW89" s="242"/>
      <c r="CX89" s="242"/>
      <c r="CY89" s="242"/>
      <c r="CZ89" s="242"/>
      <c r="DA89" s="242"/>
      <c r="DB89" s="242"/>
      <c r="DC89" s="242"/>
      <c r="DD89" s="242"/>
      <c r="DE89" s="242"/>
      <c r="DF89" s="242"/>
      <c r="DG89" s="242"/>
      <c r="DH89" s="242"/>
      <c r="DI89" s="242"/>
      <c r="DJ89" s="242"/>
      <c r="DK89" s="242"/>
      <c r="DL89" s="242"/>
      <c r="DM89" s="242"/>
      <c r="DN89" s="242"/>
      <c r="DO89" s="242"/>
      <c r="DP89" s="242"/>
      <c r="DQ89" s="242"/>
      <c r="DR89" s="242"/>
      <c r="DS89" s="242"/>
      <c r="DT89" s="242"/>
      <c r="DU89" s="242"/>
      <c r="DV89" s="242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</row>
    <row r="90" spans="2:251" s="243" customFormat="1" ht="12" hidden="1" customHeight="1">
      <c r="B90" s="291"/>
      <c r="C90" s="292"/>
      <c r="D90" s="292"/>
      <c r="E90" s="245"/>
      <c r="F90" s="245"/>
      <c r="G90" s="245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  <c r="CW90" s="242"/>
      <c r="CX90" s="242"/>
      <c r="CY90" s="242"/>
      <c r="CZ90" s="242"/>
      <c r="DA90" s="242"/>
      <c r="DB90" s="242"/>
      <c r="DC90" s="242"/>
      <c r="DD90" s="242"/>
      <c r="DE90" s="242"/>
      <c r="DF90" s="242"/>
      <c r="DG90" s="242"/>
      <c r="DH90" s="242"/>
      <c r="DI90" s="242"/>
      <c r="DJ90" s="242"/>
      <c r="DK90" s="242"/>
      <c r="DL90" s="242"/>
      <c r="DM90" s="242"/>
      <c r="DN90" s="242"/>
      <c r="DO90" s="242"/>
      <c r="DP90" s="242"/>
      <c r="DQ90" s="242"/>
      <c r="DR90" s="242"/>
      <c r="DS90" s="242"/>
      <c r="DT90" s="242"/>
      <c r="DU90" s="242"/>
      <c r="DV90" s="242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</row>
    <row r="91" spans="2:251" s="243" customFormat="1" ht="12" hidden="1" customHeight="1">
      <c r="B91" s="288" t="s">
        <v>1293</v>
      </c>
      <c r="C91" s="292"/>
      <c r="D91" s="292"/>
      <c r="E91" s="245"/>
      <c r="F91" s="245"/>
      <c r="G91" s="245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2"/>
      <c r="CM91" s="242"/>
      <c r="CN91" s="242"/>
      <c r="CO91" s="242"/>
      <c r="CP91" s="242"/>
      <c r="CQ91" s="242"/>
      <c r="CR91" s="242"/>
      <c r="CS91" s="242"/>
      <c r="CT91" s="242"/>
      <c r="CU91" s="242"/>
      <c r="CV91" s="242"/>
      <c r="CW91" s="242"/>
      <c r="CX91" s="242"/>
      <c r="CY91" s="242"/>
      <c r="CZ91" s="242"/>
      <c r="DA91" s="242"/>
      <c r="DB91" s="242"/>
      <c r="DC91" s="242"/>
      <c r="DD91" s="242"/>
      <c r="DE91" s="242"/>
      <c r="DF91" s="242"/>
      <c r="DG91" s="242"/>
      <c r="DH91" s="242"/>
      <c r="DI91" s="242"/>
      <c r="DJ91" s="242"/>
      <c r="DK91" s="242"/>
      <c r="DL91" s="242"/>
      <c r="DM91" s="242"/>
      <c r="DN91" s="242"/>
      <c r="DO91" s="242"/>
      <c r="DP91" s="242"/>
      <c r="DQ91" s="242"/>
      <c r="DR91" s="242"/>
      <c r="DS91" s="242"/>
      <c r="DT91" s="242"/>
      <c r="DU91" s="242"/>
      <c r="DV91" s="242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</row>
    <row r="92" spans="2:251" s="243" customFormat="1" ht="12" hidden="1" customHeight="1">
      <c r="B92" s="291" t="s">
        <v>1280</v>
      </c>
      <c r="C92" s="292"/>
      <c r="D92" s="292"/>
      <c r="E92" s="245"/>
      <c r="F92" s="245"/>
      <c r="G92" s="245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2"/>
      <c r="CO92" s="242"/>
      <c r="CP92" s="242"/>
      <c r="CQ92" s="242"/>
      <c r="CR92" s="242"/>
      <c r="CS92" s="242"/>
      <c r="CT92" s="242"/>
      <c r="CU92" s="242"/>
      <c r="CV92" s="242"/>
      <c r="CW92" s="242"/>
      <c r="CX92" s="242"/>
      <c r="CY92" s="242"/>
      <c r="CZ92" s="242"/>
      <c r="DA92" s="242"/>
      <c r="DB92" s="242"/>
      <c r="DC92" s="242"/>
      <c r="DD92" s="242"/>
      <c r="DE92" s="242"/>
      <c r="DF92" s="242"/>
      <c r="DG92" s="242"/>
      <c r="DH92" s="242"/>
      <c r="DI92" s="242"/>
      <c r="DJ92" s="242"/>
      <c r="DK92" s="242"/>
      <c r="DL92" s="242"/>
      <c r="DM92" s="242"/>
      <c r="DN92" s="242"/>
      <c r="DO92" s="242"/>
      <c r="DP92" s="242"/>
      <c r="DQ92" s="242"/>
      <c r="DR92" s="242"/>
      <c r="DS92" s="242"/>
      <c r="DT92" s="242"/>
      <c r="DU92" s="242"/>
      <c r="DV92" s="242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</row>
    <row r="93" spans="2:251" s="243" customFormat="1" ht="12" hidden="1" customHeight="1">
      <c r="B93" s="291" t="s">
        <v>1281</v>
      </c>
      <c r="C93" s="292"/>
      <c r="D93" s="292"/>
      <c r="E93" s="245"/>
      <c r="F93" s="245"/>
      <c r="G93" s="245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  <c r="CU93" s="242"/>
      <c r="CV93" s="242"/>
      <c r="CW93" s="242"/>
      <c r="CX93" s="242"/>
      <c r="CY93" s="242"/>
      <c r="CZ93" s="242"/>
      <c r="DA93" s="242"/>
      <c r="DB93" s="242"/>
      <c r="DC93" s="242"/>
      <c r="DD93" s="242"/>
      <c r="DE93" s="242"/>
      <c r="DF93" s="242"/>
      <c r="DG93" s="242"/>
      <c r="DH93" s="242"/>
      <c r="DI93" s="242"/>
      <c r="DJ93" s="242"/>
      <c r="DK93" s="242"/>
      <c r="DL93" s="242"/>
      <c r="DM93" s="242"/>
      <c r="DN93" s="242"/>
      <c r="DO93" s="242"/>
      <c r="DP93" s="242"/>
      <c r="DQ93" s="242"/>
      <c r="DR93" s="242"/>
      <c r="DS93" s="242"/>
      <c r="DT93" s="242"/>
      <c r="DU93" s="242"/>
      <c r="DV93" s="242"/>
      <c r="DW93" s="242"/>
      <c r="DX93" s="242"/>
      <c r="DY93" s="242"/>
      <c r="DZ93" s="242"/>
      <c r="EA93" s="242"/>
      <c r="EB93" s="242"/>
      <c r="EC93" s="242"/>
      <c r="ED93" s="242"/>
      <c r="EE93" s="242"/>
      <c r="EF93" s="242"/>
      <c r="EG93" s="242"/>
      <c r="EH93" s="242"/>
      <c r="EI93" s="242"/>
      <c r="EJ93" s="242"/>
      <c r="EK93" s="242"/>
      <c r="EL93" s="242"/>
      <c r="EM93" s="242"/>
      <c r="EN93" s="242"/>
      <c r="EO93" s="242"/>
      <c r="EP93" s="242"/>
      <c r="EQ93" s="242"/>
      <c r="ER93" s="242"/>
      <c r="ES93" s="242"/>
      <c r="ET93" s="242"/>
      <c r="EU93" s="242"/>
      <c r="EV93" s="242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  <c r="FL93" s="242"/>
      <c r="FM93" s="242"/>
      <c r="FN93" s="242"/>
      <c r="FO93" s="242"/>
      <c r="FP93" s="242"/>
      <c r="FQ93" s="242"/>
      <c r="FR93" s="242"/>
      <c r="FS93" s="242"/>
      <c r="FT93" s="242"/>
      <c r="FU93" s="242"/>
      <c r="FV93" s="242"/>
      <c r="FW93" s="242"/>
      <c r="FX93" s="242"/>
      <c r="FY93" s="242"/>
      <c r="FZ93" s="242"/>
      <c r="GA93" s="242"/>
      <c r="GB93" s="242"/>
      <c r="GC93" s="242"/>
      <c r="GD93" s="242"/>
      <c r="GE93" s="242"/>
      <c r="GF93" s="242"/>
      <c r="GG93" s="242"/>
      <c r="GH93" s="242"/>
      <c r="GI93" s="242"/>
      <c r="GJ93" s="242"/>
      <c r="GK93" s="242"/>
      <c r="GL93" s="242"/>
      <c r="GM93" s="242"/>
      <c r="GN93" s="242"/>
      <c r="GO93" s="242"/>
      <c r="GP93" s="242"/>
      <c r="GQ93" s="242"/>
      <c r="GR93" s="242"/>
      <c r="GS93" s="242"/>
      <c r="GT93" s="242"/>
      <c r="GU93" s="242"/>
      <c r="GV93" s="242"/>
      <c r="GW93" s="242"/>
      <c r="GX93" s="242"/>
      <c r="GY93" s="242"/>
      <c r="GZ93" s="242"/>
      <c r="HA93" s="242"/>
      <c r="HB93" s="242"/>
      <c r="HC93" s="242"/>
      <c r="HD93" s="242"/>
      <c r="HE93" s="242"/>
      <c r="HF93" s="242"/>
      <c r="HG93" s="242"/>
      <c r="HH93" s="242"/>
      <c r="HI93" s="242"/>
      <c r="HJ93" s="242"/>
      <c r="HK93" s="242"/>
      <c r="HL93" s="242"/>
      <c r="HM93" s="242"/>
      <c r="HN93" s="242"/>
      <c r="HO93" s="242"/>
      <c r="HP93" s="242"/>
      <c r="HQ93" s="242"/>
      <c r="HR93" s="242"/>
      <c r="HS93" s="242"/>
      <c r="HT93" s="242"/>
      <c r="HU93" s="242"/>
      <c r="HV93" s="242"/>
      <c r="HW93" s="242"/>
      <c r="HX93" s="242"/>
      <c r="HY93" s="242"/>
      <c r="HZ93" s="242"/>
      <c r="IA93" s="242"/>
      <c r="IB93" s="242"/>
      <c r="IC93" s="242"/>
      <c r="ID93" s="242"/>
      <c r="IE93" s="242"/>
      <c r="IF93" s="242"/>
      <c r="IG93" s="242"/>
      <c r="IH93" s="242"/>
      <c r="II93" s="242"/>
      <c r="IJ93" s="242"/>
      <c r="IK93" s="242"/>
      <c r="IL93" s="242"/>
      <c r="IM93" s="242"/>
      <c r="IN93" s="242"/>
      <c r="IO93" s="242"/>
      <c r="IP93" s="242"/>
      <c r="IQ93" s="242"/>
    </row>
    <row r="94" spans="2:251" s="243" customFormat="1" ht="12" hidden="1" customHeight="1">
      <c r="B94" s="291" t="s">
        <v>1282</v>
      </c>
      <c r="C94" s="292"/>
      <c r="D94" s="292"/>
      <c r="E94" s="245"/>
      <c r="F94" s="245"/>
      <c r="G94" s="245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  <c r="CU94" s="242"/>
      <c r="CV94" s="242"/>
      <c r="CW94" s="242"/>
      <c r="CX94" s="242"/>
      <c r="CY94" s="242"/>
      <c r="CZ94" s="242"/>
      <c r="DA94" s="242"/>
      <c r="DB94" s="242"/>
      <c r="DC94" s="242"/>
      <c r="DD94" s="242"/>
      <c r="DE94" s="242"/>
      <c r="DF94" s="242"/>
      <c r="DG94" s="242"/>
      <c r="DH94" s="242"/>
      <c r="DI94" s="242"/>
      <c r="DJ94" s="242"/>
      <c r="DK94" s="242"/>
      <c r="DL94" s="242"/>
      <c r="DM94" s="242"/>
      <c r="DN94" s="242"/>
      <c r="DO94" s="242"/>
      <c r="DP94" s="242"/>
      <c r="DQ94" s="242"/>
      <c r="DR94" s="242"/>
      <c r="DS94" s="242"/>
      <c r="DT94" s="242"/>
      <c r="DU94" s="242"/>
      <c r="DV94" s="242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</row>
    <row r="95" spans="2:251" s="243" customFormat="1" ht="12" hidden="1" customHeight="1">
      <c r="B95" s="291" t="s">
        <v>1283</v>
      </c>
      <c r="C95" s="292"/>
      <c r="D95" s="292"/>
      <c r="E95" s="245"/>
      <c r="F95" s="245"/>
      <c r="G95" s="245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  <c r="CR95" s="242"/>
      <c r="CS95" s="242"/>
      <c r="CT95" s="242"/>
      <c r="CU95" s="242"/>
      <c r="CV95" s="242"/>
      <c r="CW95" s="242"/>
      <c r="CX95" s="242"/>
      <c r="CY95" s="242"/>
      <c r="CZ95" s="242"/>
      <c r="DA95" s="242"/>
      <c r="DB95" s="242"/>
      <c r="DC95" s="242"/>
      <c r="DD95" s="242"/>
      <c r="DE95" s="242"/>
      <c r="DF95" s="242"/>
      <c r="DG95" s="242"/>
      <c r="DH95" s="242"/>
      <c r="DI95" s="242"/>
      <c r="DJ95" s="242"/>
      <c r="DK95" s="242"/>
      <c r="DL95" s="242"/>
      <c r="DM95" s="242"/>
      <c r="DN95" s="242"/>
      <c r="DO95" s="242"/>
      <c r="DP95" s="242"/>
      <c r="DQ95" s="242"/>
      <c r="DR95" s="242"/>
      <c r="DS95" s="242"/>
      <c r="DT95" s="242"/>
      <c r="DU95" s="242"/>
      <c r="DV95" s="242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</row>
    <row r="96" spans="2:251" s="243" customFormat="1" ht="12" hidden="1" customHeight="1">
      <c r="B96" s="291" t="s">
        <v>1284</v>
      </c>
      <c r="C96" s="292"/>
      <c r="D96" s="292"/>
      <c r="E96" s="245"/>
      <c r="F96" s="245"/>
      <c r="G96" s="245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2"/>
      <c r="CC96" s="242"/>
      <c r="CD96" s="242"/>
      <c r="CE96" s="242"/>
      <c r="CF96" s="242"/>
      <c r="CG96" s="242"/>
      <c r="CH96" s="242"/>
      <c r="CI96" s="242"/>
      <c r="CJ96" s="242"/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  <c r="CU96" s="242"/>
      <c r="CV96" s="242"/>
      <c r="CW96" s="242"/>
      <c r="CX96" s="242"/>
      <c r="CY96" s="242"/>
      <c r="CZ96" s="242"/>
      <c r="DA96" s="242"/>
      <c r="DB96" s="242"/>
      <c r="DC96" s="242"/>
      <c r="DD96" s="242"/>
      <c r="DE96" s="242"/>
      <c r="DF96" s="242"/>
      <c r="DG96" s="242"/>
      <c r="DH96" s="242"/>
      <c r="DI96" s="242"/>
      <c r="DJ96" s="242"/>
      <c r="DK96" s="242"/>
      <c r="DL96" s="242"/>
      <c r="DM96" s="242"/>
      <c r="DN96" s="242"/>
      <c r="DO96" s="242"/>
      <c r="DP96" s="242"/>
      <c r="DQ96" s="242"/>
      <c r="DR96" s="242"/>
      <c r="DS96" s="242"/>
      <c r="DT96" s="242"/>
      <c r="DU96" s="242"/>
      <c r="DV96" s="242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</row>
    <row r="97" spans="2:251" s="243" customFormat="1" ht="12" hidden="1" customHeight="1">
      <c r="B97" s="291" t="s">
        <v>1285</v>
      </c>
      <c r="C97" s="292"/>
      <c r="D97" s="292"/>
      <c r="E97" s="245"/>
      <c r="F97" s="245"/>
      <c r="G97" s="245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2"/>
      <c r="CM97" s="242"/>
      <c r="CN97" s="242"/>
      <c r="CO97" s="242"/>
      <c r="CP97" s="242"/>
      <c r="CQ97" s="242"/>
      <c r="CR97" s="242"/>
      <c r="CS97" s="242"/>
      <c r="CT97" s="242"/>
      <c r="CU97" s="242"/>
      <c r="CV97" s="242"/>
      <c r="CW97" s="242"/>
      <c r="CX97" s="242"/>
      <c r="CY97" s="242"/>
      <c r="CZ97" s="242"/>
      <c r="DA97" s="242"/>
      <c r="DB97" s="242"/>
      <c r="DC97" s="242"/>
      <c r="DD97" s="242"/>
      <c r="DE97" s="242"/>
      <c r="DF97" s="242"/>
      <c r="DG97" s="242"/>
      <c r="DH97" s="242"/>
      <c r="DI97" s="242"/>
      <c r="DJ97" s="242"/>
      <c r="DK97" s="242"/>
      <c r="DL97" s="242"/>
      <c r="DM97" s="242"/>
      <c r="DN97" s="242"/>
      <c r="DO97" s="242"/>
      <c r="DP97" s="242"/>
      <c r="DQ97" s="242"/>
      <c r="DR97" s="242"/>
      <c r="DS97" s="242"/>
      <c r="DT97" s="242"/>
      <c r="DU97" s="242"/>
      <c r="DV97" s="242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</row>
    <row r="98" spans="2:251" s="243" customFormat="1" ht="12" hidden="1" customHeight="1">
      <c r="B98" s="291" t="s">
        <v>1286</v>
      </c>
      <c r="C98" s="292"/>
      <c r="D98" s="292"/>
      <c r="E98" s="245"/>
      <c r="F98" s="245"/>
      <c r="G98" s="245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2"/>
      <c r="BK98" s="242"/>
      <c r="BL98" s="242"/>
      <c r="BM98" s="242"/>
      <c r="BN98" s="242"/>
      <c r="BO98" s="242"/>
      <c r="BP98" s="242"/>
      <c r="BQ98" s="242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2"/>
      <c r="CG98" s="242"/>
      <c r="CH98" s="242"/>
      <c r="CI98" s="242"/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242"/>
      <c r="CV98" s="242"/>
      <c r="CW98" s="242"/>
      <c r="CX98" s="24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/>
      <c r="DI98" s="242"/>
      <c r="DJ98" s="242"/>
      <c r="DK98" s="242"/>
      <c r="DL98" s="242"/>
      <c r="DM98" s="242"/>
      <c r="DN98" s="242"/>
      <c r="DO98" s="242"/>
      <c r="DP98" s="242"/>
      <c r="DQ98" s="242"/>
      <c r="DR98" s="242"/>
      <c r="DS98" s="242"/>
      <c r="DT98" s="242"/>
      <c r="DU98" s="242"/>
      <c r="DV98" s="242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</row>
    <row r="99" spans="2:251" s="243" customFormat="1" ht="12" hidden="1" customHeight="1">
      <c r="B99" s="291" t="s">
        <v>1287</v>
      </c>
      <c r="C99" s="292"/>
      <c r="D99" s="292"/>
      <c r="E99" s="245"/>
      <c r="F99" s="245"/>
      <c r="G99" s="245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242"/>
      <c r="BJ99" s="242"/>
      <c r="BK99" s="242"/>
      <c r="BL99" s="242"/>
      <c r="BM99" s="242"/>
      <c r="BN99" s="242"/>
      <c r="BO99" s="242"/>
      <c r="BP99" s="242"/>
      <c r="BQ99" s="242"/>
      <c r="BR99" s="242"/>
      <c r="BS99" s="242"/>
      <c r="BT99" s="242"/>
      <c r="BU99" s="242"/>
      <c r="BV99" s="242"/>
      <c r="BW99" s="242"/>
      <c r="BX99" s="242"/>
      <c r="BY99" s="242"/>
      <c r="BZ99" s="242"/>
      <c r="CA99" s="242"/>
      <c r="CB99" s="242"/>
      <c r="CC99" s="242"/>
      <c r="CD99" s="242"/>
      <c r="CE99" s="242"/>
      <c r="CF99" s="242"/>
      <c r="CG99" s="242"/>
      <c r="CH99" s="242"/>
      <c r="CI99" s="242"/>
      <c r="CJ99" s="242"/>
      <c r="CK99" s="242"/>
      <c r="CL99" s="242"/>
      <c r="CM99" s="242"/>
      <c r="CN99" s="242"/>
      <c r="CO99" s="242"/>
      <c r="CP99" s="242"/>
      <c r="CQ99" s="242"/>
      <c r="CR99" s="242"/>
      <c r="CS99" s="242"/>
      <c r="CT99" s="242"/>
      <c r="CU99" s="242"/>
      <c r="CV99" s="242"/>
      <c r="CW99" s="242"/>
      <c r="CX99" s="242"/>
      <c r="CY99" s="242"/>
      <c r="CZ99" s="242"/>
      <c r="DA99" s="242"/>
      <c r="DB99" s="242"/>
      <c r="DC99" s="242"/>
      <c r="DD99" s="242"/>
      <c r="DE99" s="242"/>
      <c r="DF99" s="242"/>
      <c r="DG99" s="242"/>
      <c r="DH99" s="242"/>
      <c r="DI99" s="242"/>
      <c r="DJ99" s="242"/>
      <c r="DK99" s="242"/>
      <c r="DL99" s="242"/>
      <c r="DM99" s="242"/>
      <c r="DN99" s="242"/>
      <c r="DO99" s="242"/>
      <c r="DP99" s="242"/>
      <c r="DQ99" s="242"/>
      <c r="DR99" s="242"/>
      <c r="DS99" s="242"/>
      <c r="DT99" s="242"/>
      <c r="DU99" s="242"/>
      <c r="DV99" s="242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</row>
    <row r="100" spans="2:251" s="243" customFormat="1" ht="12" hidden="1" customHeight="1">
      <c r="B100" s="291" t="s">
        <v>1288</v>
      </c>
      <c r="C100" s="292"/>
      <c r="D100" s="292"/>
      <c r="E100" s="245"/>
      <c r="F100" s="245"/>
      <c r="G100" s="245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2"/>
      <c r="BW100" s="242"/>
      <c r="BX100" s="242"/>
      <c r="BY100" s="242"/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/>
      <c r="CJ100" s="242"/>
      <c r="CK100" s="242"/>
      <c r="CL100" s="242"/>
      <c r="CM100" s="242"/>
      <c r="CN100" s="242"/>
      <c r="CO100" s="242"/>
      <c r="CP100" s="242"/>
      <c r="CQ100" s="242"/>
      <c r="CR100" s="242"/>
      <c r="CS100" s="242"/>
      <c r="CT100" s="242"/>
      <c r="CU100" s="242"/>
      <c r="CV100" s="242"/>
      <c r="CW100" s="242"/>
      <c r="CX100" s="242"/>
      <c r="CY100" s="242"/>
      <c r="CZ100" s="242"/>
      <c r="DA100" s="242"/>
      <c r="DB100" s="242"/>
      <c r="DC100" s="242"/>
      <c r="DD100" s="242"/>
      <c r="DE100" s="242"/>
      <c r="DF100" s="242"/>
      <c r="DG100" s="242"/>
      <c r="DH100" s="242"/>
      <c r="DI100" s="242"/>
      <c r="DJ100" s="242"/>
      <c r="DK100" s="242"/>
      <c r="DL100" s="242"/>
      <c r="DM100" s="242"/>
      <c r="DN100" s="242"/>
      <c r="DO100" s="242"/>
      <c r="DP100" s="242"/>
      <c r="DQ100" s="242"/>
      <c r="DR100" s="242"/>
      <c r="DS100" s="242"/>
      <c r="DT100" s="242"/>
      <c r="DU100" s="242"/>
      <c r="DV100" s="242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</row>
    <row r="101" spans="2:251" s="243" customFormat="1" ht="12" hidden="1" customHeight="1">
      <c r="B101" s="291" t="s">
        <v>1289</v>
      </c>
      <c r="C101" s="292"/>
      <c r="D101" s="292"/>
      <c r="E101" s="245"/>
      <c r="F101" s="245"/>
      <c r="G101" s="245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  <c r="CR101" s="242"/>
      <c r="CS101" s="242"/>
      <c r="CT101" s="242"/>
      <c r="CU101" s="242"/>
      <c r="CV101" s="242"/>
      <c r="CW101" s="242"/>
      <c r="CX101" s="242"/>
      <c r="CY101" s="242"/>
      <c r="CZ101" s="242"/>
      <c r="DA101" s="242"/>
      <c r="DB101" s="242"/>
      <c r="DC101" s="242"/>
      <c r="DD101" s="242"/>
      <c r="DE101" s="242"/>
      <c r="DF101" s="242"/>
      <c r="DG101" s="242"/>
      <c r="DH101" s="242"/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/>
      <c r="DS101" s="242"/>
      <c r="DT101" s="242"/>
      <c r="DU101" s="242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</row>
    <row r="102" spans="2:251" s="243" customFormat="1" ht="12" hidden="1" customHeight="1">
      <c r="B102" s="291" t="s">
        <v>1290</v>
      </c>
      <c r="C102" s="292"/>
      <c r="D102" s="292"/>
      <c r="E102" s="245"/>
      <c r="F102" s="245"/>
      <c r="G102" s="245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2"/>
      <c r="BW102" s="242"/>
      <c r="BX102" s="242"/>
      <c r="BY102" s="242"/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/>
      <c r="CJ102" s="242"/>
      <c r="CK102" s="242"/>
      <c r="CL102" s="242"/>
      <c r="CM102" s="242"/>
      <c r="CN102" s="242"/>
      <c r="CO102" s="242"/>
      <c r="CP102" s="242"/>
      <c r="CQ102" s="242"/>
      <c r="CR102" s="242"/>
      <c r="CS102" s="242"/>
      <c r="CT102" s="242"/>
      <c r="CU102" s="242"/>
      <c r="CV102" s="242"/>
      <c r="CW102" s="242"/>
      <c r="CX102" s="242"/>
      <c r="CY102" s="242"/>
      <c r="CZ102" s="242"/>
      <c r="DA102" s="242"/>
      <c r="DB102" s="242"/>
      <c r="DC102" s="242"/>
      <c r="DD102" s="242"/>
      <c r="DE102" s="242"/>
      <c r="DF102" s="242"/>
      <c r="DG102" s="242"/>
      <c r="DH102" s="242"/>
      <c r="DI102" s="242"/>
      <c r="DJ102" s="242"/>
      <c r="DK102" s="242"/>
      <c r="DL102" s="242"/>
      <c r="DM102" s="242"/>
      <c r="DN102" s="242"/>
      <c r="DO102" s="242"/>
      <c r="DP102" s="242"/>
      <c r="DQ102" s="242"/>
      <c r="DR102" s="242"/>
      <c r="DS102" s="242"/>
      <c r="DT102" s="242"/>
      <c r="DU102" s="242"/>
      <c r="DV102" s="242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</row>
    <row r="103" spans="2:251" s="243" customFormat="1" ht="12" hidden="1" customHeight="1">
      <c r="B103" s="291" t="s">
        <v>1291</v>
      </c>
      <c r="C103" s="292"/>
      <c r="D103" s="292"/>
      <c r="E103" s="245"/>
      <c r="F103" s="245"/>
      <c r="G103" s="245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2"/>
      <c r="BW103" s="242"/>
      <c r="BX103" s="242"/>
      <c r="BY103" s="242"/>
      <c r="BZ103" s="242"/>
      <c r="CA103" s="242"/>
      <c r="CB103" s="242"/>
      <c r="CC103" s="242"/>
      <c r="CD103" s="242"/>
      <c r="CE103" s="242"/>
      <c r="CF103" s="242"/>
      <c r="CG103" s="242"/>
      <c r="CH103" s="242"/>
      <c r="CI103" s="242"/>
      <c r="CJ103" s="242"/>
      <c r="CK103" s="242"/>
      <c r="CL103" s="242"/>
      <c r="CM103" s="242"/>
      <c r="CN103" s="242"/>
      <c r="CO103" s="242"/>
      <c r="CP103" s="242"/>
      <c r="CQ103" s="242"/>
      <c r="CR103" s="242"/>
      <c r="CS103" s="242"/>
      <c r="CT103" s="242"/>
      <c r="CU103" s="242"/>
      <c r="CV103" s="242"/>
      <c r="CW103" s="242"/>
      <c r="CX103" s="242"/>
      <c r="CY103" s="242"/>
      <c r="CZ103" s="242"/>
      <c r="DA103" s="242"/>
      <c r="DB103" s="242"/>
      <c r="DC103" s="242"/>
      <c r="DD103" s="242"/>
      <c r="DE103" s="242"/>
      <c r="DF103" s="242"/>
      <c r="DG103" s="242"/>
      <c r="DH103" s="242"/>
      <c r="DI103" s="242"/>
      <c r="DJ103" s="242"/>
      <c r="DK103" s="242"/>
      <c r="DL103" s="242"/>
      <c r="DM103" s="242"/>
      <c r="DN103" s="242"/>
      <c r="DO103" s="242"/>
      <c r="DP103" s="242"/>
      <c r="DQ103" s="242"/>
      <c r="DR103" s="242"/>
      <c r="DS103" s="242"/>
      <c r="DT103" s="242"/>
      <c r="DU103" s="242"/>
      <c r="DV103" s="242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</row>
    <row r="104" spans="2:251" s="243" customFormat="1" ht="12" hidden="1" customHeight="1">
      <c r="B104" s="291" t="s">
        <v>1294</v>
      </c>
      <c r="C104" s="292"/>
      <c r="D104" s="292"/>
      <c r="E104" s="245"/>
      <c r="F104" s="245"/>
      <c r="G104" s="245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2"/>
      <c r="BW104" s="242"/>
      <c r="BX104" s="242"/>
      <c r="BY104" s="242"/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/>
      <c r="CJ104" s="242"/>
      <c r="CK104" s="242"/>
      <c r="CL104" s="242"/>
      <c r="CM104" s="242"/>
      <c r="CN104" s="242"/>
      <c r="CO104" s="242"/>
      <c r="CP104" s="242"/>
      <c r="CQ104" s="242"/>
      <c r="CR104" s="242"/>
      <c r="CS104" s="242"/>
      <c r="CT104" s="242"/>
      <c r="CU104" s="242"/>
      <c r="CV104" s="242"/>
      <c r="CW104" s="242"/>
      <c r="CX104" s="242"/>
      <c r="CY104" s="242"/>
      <c r="CZ104" s="242"/>
      <c r="DA104" s="242"/>
      <c r="DB104" s="242"/>
      <c r="DC104" s="242"/>
      <c r="DD104" s="242"/>
      <c r="DE104" s="242"/>
      <c r="DF104" s="242"/>
      <c r="DG104" s="242"/>
      <c r="DH104" s="242"/>
      <c r="DI104" s="242"/>
      <c r="DJ104" s="242"/>
      <c r="DK104" s="242"/>
      <c r="DL104" s="242"/>
      <c r="DM104" s="242"/>
      <c r="DN104" s="242"/>
      <c r="DO104" s="242"/>
      <c r="DP104" s="242"/>
      <c r="DQ104" s="242"/>
      <c r="DR104" s="242"/>
      <c r="DS104" s="242"/>
      <c r="DT104" s="242"/>
      <c r="DU104" s="242"/>
      <c r="DV104" s="242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</row>
    <row r="105" spans="2:251" s="243" customFormat="1" ht="12" hidden="1" customHeight="1">
      <c r="B105" s="293"/>
      <c r="C105" s="245"/>
      <c r="D105" s="245"/>
      <c r="E105" s="245"/>
      <c r="F105" s="245"/>
      <c r="G105" s="245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2"/>
      <c r="BW105" s="242"/>
      <c r="BX105" s="242"/>
      <c r="BY105" s="242"/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/>
      <c r="CJ105" s="242"/>
      <c r="CK105" s="242"/>
      <c r="CL105" s="242"/>
      <c r="CM105" s="242"/>
      <c r="CN105" s="242"/>
      <c r="CO105" s="242"/>
      <c r="CP105" s="242"/>
      <c r="CQ105" s="242"/>
      <c r="CR105" s="242"/>
      <c r="CS105" s="242"/>
      <c r="CT105" s="242"/>
      <c r="CU105" s="242"/>
      <c r="CV105" s="242"/>
      <c r="CW105" s="242"/>
      <c r="CX105" s="242"/>
      <c r="CY105" s="242"/>
      <c r="CZ105" s="242"/>
      <c r="DA105" s="242"/>
      <c r="DB105" s="242"/>
      <c r="DC105" s="242"/>
      <c r="DD105" s="242"/>
      <c r="DE105" s="242"/>
      <c r="DF105" s="242"/>
      <c r="DG105" s="242"/>
      <c r="DH105" s="242"/>
      <c r="DI105" s="242"/>
      <c r="DJ105" s="242"/>
      <c r="DK105" s="242"/>
      <c r="DL105" s="242"/>
      <c r="DM105" s="242"/>
      <c r="DN105" s="242"/>
      <c r="DO105" s="242"/>
      <c r="DP105" s="242"/>
      <c r="DQ105" s="242"/>
      <c r="DR105" s="242"/>
      <c r="DS105" s="242"/>
      <c r="DT105" s="242"/>
      <c r="DU105" s="242"/>
      <c r="DV105" s="242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</row>
    <row r="106" spans="2:251" s="243" customFormat="1" ht="12" hidden="1" customHeight="1">
      <c r="B106" s="293" t="s">
        <v>1295</v>
      </c>
      <c r="C106" s="245"/>
      <c r="D106" s="245"/>
      <c r="E106" s="245"/>
      <c r="F106" s="245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242"/>
      <c r="BY106" s="242"/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/>
      <c r="CJ106" s="242"/>
      <c r="CK106" s="242"/>
      <c r="CL106" s="242"/>
      <c r="CM106" s="242"/>
      <c r="CN106" s="242"/>
      <c r="CO106" s="242"/>
      <c r="CP106" s="242"/>
      <c r="CQ106" s="242"/>
      <c r="CR106" s="242"/>
      <c r="CS106" s="242"/>
      <c r="CT106" s="242"/>
      <c r="CU106" s="242"/>
      <c r="CV106" s="242"/>
      <c r="CW106" s="242"/>
      <c r="CX106" s="242"/>
      <c r="CY106" s="242"/>
      <c r="CZ106" s="242"/>
      <c r="DA106" s="242"/>
      <c r="DB106" s="242"/>
      <c r="DC106" s="242"/>
      <c r="DD106" s="242"/>
      <c r="DE106" s="242"/>
      <c r="DF106" s="242"/>
      <c r="DG106" s="242"/>
      <c r="DH106" s="242"/>
      <c r="DI106" s="242"/>
      <c r="DJ106" s="242"/>
      <c r="DK106" s="242"/>
      <c r="DL106" s="242"/>
      <c r="DM106" s="242"/>
      <c r="DN106" s="242"/>
      <c r="DO106" s="242"/>
      <c r="DP106" s="242"/>
      <c r="DQ106" s="242"/>
      <c r="DR106" s="242"/>
      <c r="DS106" s="242"/>
      <c r="DT106" s="242"/>
      <c r="DU106" s="242"/>
      <c r="DV106" s="242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</row>
    <row r="107" spans="2:251" s="243" customFormat="1" ht="12" hidden="1" customHeight="1">
      <c r="B107" s="293" t="s">
        <v>1296</v>
      </c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242"/>
      <c r="CU107" s="242"/>
      <c r="CV107" s="242"/>
      <c r="CW107" s="242"/>
      <c r="CX107" s="242"/>
      <c r="CY107" s="242"/>
      <c r="CZ107" s="242"/>
      <c r="DA107" s="242"/>
      <c r="DB107" s="242"/>
      <c r="DC107" s="242"/>
      <c r="DD107" s="242"/>
      <c r="DE107" s="242"/>
      <c r="DF107" s="242"/>
      <c r="DG107" s="242"/>
      <c r="DH107" s="242"/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/>
      <c r="DS107" s="242"/>
      <c r="DT107" s="242"/>
      <c r="DU107" s="242"/>
      <c r="DV107" s="242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</row>
    <row r="108" spans="2:251" s="243" customFormat="1" ht="12" hidden="1" customHeight="1">
      <c r="B108" s="294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  <c r="CR108" s="242"/>
      <c r="CS108" s="242"/>
      <c r="CT108" s="242"/>
      <c r="CU108" s="242"/>
      <c r="CV108" s="242"/>
      <c r="CW108" s="242"/>
      <c r="CX108" s="242"/>
      <c r="CY108" s="242"/>
      <c r="CZ108" s="242"/>
      <c r="DA108" s="242"/>
      <c r="DB108" s="242"/>
      <c r="DC108" s="242"/>
      <c r="DD108" s="242"/>
      <c r="DE108" s="242"/>
      <c r="DF108" s="242"/>
      <c r="DG108" s="242"/>
      <c r="DH108" s="242"/>
      <c r="DI108" s="242"/>
      <c r="DJ108" s="242"/>
      <c r="DK108" s="242"/>
      <c r="DL108" s="242"/>
      <c r="DM108" s="242"/>
      <c r="DN108" s="242"/>
      <c r="DO108" s="242"/>
      <c r="DP108" s="242"/>
      <c r="DQ108" s="242"/>
      <c r="DR108" s="242"/>
      <c r="DS108" s="242"/>
      <c r="DT108" s="242"/>
      <c r="DU108" s="242"/>
      <c r="DV108" s="242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242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242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242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242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242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242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242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2"/>
      <c r="II108" s="242"/>
      <c r="IJ108" s="242"/>
      <c r="IK108" s="242"/>
      <c r="IL108" s="242"/>
      <c r="IM108" s="242"/>
      <c r="IN108" s="242"/>
      <c r="IO108" s="242"/>
      <c r="IP108" s="242"/>
      <c r="IQ108" s="242"/>
    </row>
    <row r="109" spans="2:251" s="243" customFormat="1" ht="12" hidden="1" customHeight="1">
      <c r="B109" s="294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2"/>
      <c r="BW109" s="242"/>
      <c r="BX109" s="242"/>
      <c r="BY109" s="242"/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2"/>
      <c r="CK109" s="242"/>
      <c r="CL109" s="242"/>
      <c r="CM109" s="242"/>
      <c r="CN109" s="242"/>
      <c r="CO109" s="242"/>
      <c r="CP109" s="242"/>
      <c r="CQ109" s="242"/>
      <c r="CR109" s="242"/>
      <c r="CS109" s="242"/>
      <c r="CT109" s="242"/>
      <c r="CU109" s="242"/>
      <c r="CV109" s="242"/>
      <c r="CW109" s="242"/>
      <c r="CX109" s="242"/>
      <c r="CY109" s="242"/>
      <c r="CZ109" s="242"/>
      <c r="DA109" s="242"/>
      <c r="DB109" s="242"/>
      <c r="DC109" s="242"/>
      <c r="DD109" s="242"/>
      <c r="DE109" s="242"/>
      <c r="DF109" s="242"/>
      <c r="DG109" s="242"/>
      <c r="DH109" s="242"/>
      <c r="DI109" s="242"/>
      <c r="DJ109" s="242"/>
      <c r="DK109" s="242"/>
      <c r="DL109" s="242"/>
      <c r="DM109" s="242"/>
      <c r="DN109" s="242"/>
      <c r="DO109" s="242"/>
      <c r="DP109" s="242"/>
      <c r="DQ109" s="242"/>
      <c r="DR109" s="242"/>
      <c r="DS109" s="242"/>
      <c r="DT109" s="242"/>
      <c r="DU109" s="242"/>
      <c r="DV109" s="242"/>
      <c r="DW109" s="242"/>
      <c r="DX109" s="242"/>
      <c r="DY109" s="242"/>
      <c r="DZ109" s="242"/>
      <c r="EA109" s="242"/>
      <c r="EB109" s="242"/>
      <c r="EC109" s="242"/>
      <c r="ED109" s="242"/>
      <c r="EE109" s="242"/>
      <c r="EF109" s="242"/>
      <c r="EG109" s="242"/>
      <c r="EH109" s="242"/>
      <c r="EI109" s="242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242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242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242"/>
      <c r="GJ109" s="242"/>
      <c r="GK109" s="242"/>
      <c r="GL109" s="242"/>
      <c r="GM109" s="242"/>
      <c r="GN109" s="242"/>
      <c r="GO109" s="242"/>
      <c r="GP109" s="242"/>
      <c r="GQ109" s="242"/>
      <c r="GR109" s="242"/>
      <c r="GS109" s="242"/>
      <c r="GT109" s="242"/>
      <c r="GU109" s="242"/>
      <c r="GV109" s="242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242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242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2"/>
      <c r="II109" s="242"/>
      <c r="IJ109" s="242"/>
      <c r="IK109" s="242"/>
      <c r="IL109" s="242"/>
      <c r="IM109" s="242"/>
      <c r="IN109" s="242"/>
      <c r="IO109" s="242"/>
      <c r="IP109" s="242"/>
      <c r="IQ109" s="242"/>
    </row>
    <row r="110" spans="2:251" s="243" customFormat="1" ht="12" hidden="1" customHeight="1">
      <c r="B110" s="294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2"/>
      <c r="CM110" s="242"/>
      <c r="CN110" s="242"/>
      <c r="CO110" s="242"/>
      <c r="CP110" s="242"/>
      <c r="CQ110" s="242"/>
      <c r="CR110" s="242"/>
      <c r="CS110" s="242"/>
      <c r="CT110" s="242"/>
      <c r="CU110" s="242"/>
      <c r="CV110" s="242"/>
      <c r="CW110" s="242"/>
      <c r="CX110" s="242"/>
      <c r="CY110" s="242"/>
      <c r="CZ110" s="242"/>
      <c r="DA110" s="242"/>
      <c r="DB110" s="242"/>
      <c r="DC110" s="242"/>
      <c r="DD110" s="242"/>
      <c r="DE110" s="242"/>
      <c r="DF110" s="242"/>
      <c r="DG110" s="242"/>
      <c r="DH110" s="242"/>
      <c r="DI110" s="242"/>
      <c r="DJ110" s="242"/>
      <c r="DK110" s="242"/>
      <c r="DL110" s="242"/>
      <c r="DM110" s="242"/>
      <c r="DN110" s="242"/>
      <c r="DO110" s="242"/>
      <c r="DP110" s="242"/>
      <c r="DQ110" s="242"/>
      <c r="DR110" s="242"/>
      <c r="DS110" s="242"/>
      <c r="DT110" s="242"/>
      <c r="DU110" s="242"/>
      <c r="DV110" s="242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242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242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242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242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242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242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242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2"/>
      <c r="II110" s="242"/>
      <c r="IJ110" s="242"/>
      <c r="IK110" s="242"/>
      <c r="IL110" s="242"/>
      <c r="IM110" s="242"/>
      <c r="IN110" s="242"/>
      <c r="IO110" s="242"/>
      <c r="IP110" s="242"/>
      <c r="IQ110" s="242"/>
    </row>
    <row r="111" spans="2:251" s="243" customFormat="1" ht="12" hidden="1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2"/>
      <c r="CK111" s="242"/>
      <c r="CL111" s="242"/>
      <c r="CM111" s="242"/>
      <c r="CN111" s="242"/>
      <c r="CO111" s="242"/>
      <c r="CP111" s="242"/>
      <c r="CQ111" s="242"/>
      <c r="CR111" s="242"/>
      <c r="CS111" s="242"/>
      <c r="CT111" s="242"/>
      <c r="CU111" s="242"/>
      <c r="CV111" s="242"/>
      <c r="CW111" s="242"/>
      <c r="CX111" s="242"/>
      <c r="CY111" s="242"/>
      <c r="CZ111" s="242"/>
      <c r="DA111" s="242"/>
      <c r="DB111" s="242"/>
      <c r="DC111" s="242"/>
      <c r="DD111" s="242"/>
      <c r="DE111" s="242"/>
      <c r="DF111" s="242"/>
      <c r="DG111" s="242"/>
      <c r="DH111" s="242"/>
      <c r="DI111" s="242"/>
      <c r="DJ111" s="242"/>
      <c r="DK111" s="242"/>
      <c r="DL111" s="242"/>
      <c r="DM111" s="242"/>
      <c r="DN111" s="242"/>
      <c r="DO111" s="242"/>
      <c r="DP111" s="242"/>
      <c r="DQ111" s="242"/>
      <c r="DR111" s="242"/>
      <c r="DS111" s="242"/>
      <c r="DT111" s="242"/>
      <c r="DU111" s="242"/>
      <c r="DV111" s="242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42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242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242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242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242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242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242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2"/>
      <c r="II111" s="242"/>
      <c r="IJ111" s="242"/>
      <c r="IK111" s="242"/>
      <c r="IL111" s="242"/>
      <c r="IM111" s="242"/>
      <c r="IN111" s="242"/>
      <c r="IO111" s="242"/>
      <c r="IP111" s="242"/>
      <c r="IQ111" s="242"/>
    </row>
    <row r="112" spans="2:251" s="243" customFormat="1" ht="12" hidden="1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2"/>
      <c r="BW112" s="242"/>
      <c r="BX112" s="242"/>
      <c r="BY112" s="242"/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/>
      <c r="CJ112" s="242"/>
      <c r="CK112" s="242"/>
      <c r="CL112" s="242"/>
      <c r="CM112" s="242"/>
      <c r="CN112" s="242"/>
      <c r="CO112" s="242"/>
      <c r="CP112" s="242"/>
      <c r="CQ112" s="242"/>
      <c r="CR112" s="242"/>
      <c r="CS112" s="242"/>
      <c r="CT112" s="242"/>
      <c r="CU112" s="242"/>
      <c r="CV112" s="242"/>
      <c r="CW112" s="242"/>
      <c r="CX112" s="242"/>
      <c r="CY112" s="242"/>
      <c r="CZ112" s="242"/>
      <c r="DA112" s="242"/>
      <c r="DB112" s="242"/>
      <c r="DC112" s="242"/>
      <c r="DD112" s="242"/>
      <c r="DE112" s="242"/>
      <c r="DF112" s="242"/>
      <c r="DG112" s="242"/>
      <c r="DH112" s="242"/>
      <c r="DI112" s="242"/>
      <c r="DJ112" s="242"/>
      <c r="DK112" s="242"/>
      <c r="DL112" s="242"/>
      <c r="DM112" s="242"/>
      <c r="DN112" s="242"/>
      <c r="DO112" s="242"/>
      <c r="DP112" s="242"/>
      <c r="DQ112" s="242"/>
      <c r="DR112" s="242"/>
      <c r="DS112" s="242"/>
      <c r="DT112" s="242"/>
      <c r="DU112" s="242"/>
      <c r="DV112" s="242"/>
      <c r="DW112" s="242"/>
      <c r="DX112" s="242"/>
      <c r="DY112" s="242"/>
      <c r="DZ112" s="242"/>
      <c r="EA112" s="242"/>
      <c r="EB112" s="242"/>
      <c r="EC112" s="242"/>
      <c r="ED112" s="242"/>
      <c r="EE112" s="242"/>
      <c r="EF112" s="242"/>
      <c r="EG112" s="242"/>
      <c r="EH112" s="242"/>
      <c r="EI112" s="242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242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242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  <c r="GO112" s="242"/>
      <c r="GP112" s="242"/>
      <c r="GQ112" s="242"/>
      <c r="GR112" s="242"/>
      <c r="GS112" s="242"/>
      <c r="GT112" s="242"/>
      <c r="GU112" s="242"/>
      <c r="GV112" s="242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242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242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2"/>
      <c r="II112" s="242"/>
      <c r="IJ112" s="242"/>
      <c r="IK112" s="242"/>
      <c r="IL112" s="242"/>
      <c r="IM112" s="242"/>
      <c r="IN112" s="242"/>
      <c r="IO112" s="242"/>
      <c r="IP112" s="242"/>
      <c r="IQ112" s="242"/>
    </row>
    <row r="113" spans="1:251" s="243" customFormat="1" ht="12" hidden="1" customHeight="1">
      <c r="A113" s="242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2"/>
      <c r="CM113" s="242"/>
      <c r="CN113" s="242"/>
      <c r="CO113" s="242"/>
      <c r="CP113" s="242"/>
      <c r="CQ113" s="242"/>
      <c r="CR113" s="242"/>
      <c r="CS113" s="242"/>
      <c r="CT113" s="242"/>
      <c r="CU113" s="242"/>
      <c r="CV113" s="242"/>
      <c r="CW113" s="242"/>
      <c r="CX113" s="242"/>
      <c r="CY113" s="242"/>
      <c r="CZ113" s="242"/>
      <c r="DA113" s="242"/>
      <c r="DB113" s="242"/>
      <c r="DC113" s="242"/>
      <c r="DD113" s="242"/>
      <c r="DE113" s="242"/>
      <c r="DF113" s="242"/>
      <c r="DG113" s="242"/>
      <c r="DH113" s="242"/>
      <c r="DI113" s="242"/>
      <c r="DJ113" s="242"/>
      <c r="DK113" s="242"/>
      <c r="DL113" s="242"/>
      <c r="DM113" s="242"/>
      <c r="DN113" s="242"/>
      <c r="DO113" s="242"/>
      <c r="DP113" s="242"/>
      <c r="DQ113" s="242"/>
      <c r="DR113" s="242"/>
      <c r="DS113" s="242"/>
      <c r="DT113" s="242"/>
      <c r="DU113" s="242"/>
      <c r="DV113" s="242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242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242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242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242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242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242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2"/>
      <c r="II113" s="242"/>
      <c r="IJ113" s="242"/>
      <c r="IK113" s="242"/>
      <c r="IL113" s="242"/>
      <c r="IM113" s="242"/>
      <c r="IN113" s="242"/>
      <c r="IO113" s="242"/>
      <c r="IP113" s="242"/>
      <c r="IQ113" s="242"/>
    </row>
    <row r="114" spans="1:251" s="243" customFormat="1" ht="12" hidden="1" customHeight="1">
      <c r="A114" s="242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2"/>
      <c r="BW114" s="242"/>
      <c r="BX114" s="242"/>
      <c r="BY114" s="242"/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2"/>
      <c r="CK114" s="242"/>
      <c r="CL114" s="242"/>
      <c r="CM114" s="242"/>
      <c r="CN114" s="242"/>
      <c r="CO114" s="242"/>
      <c r="CP114" s="242"/>
      <c r="CQ114" s="242"/>
      <c r="CR114" s="242"/>
      <c r="CS114" s="242"/>
      <c r="CT114" s="242"/>
      <c r="CU114" s="242"/>
      <c r="CV114" s="242"/>
      <c r="CW114" s="242"/>
      <c r="CX114" s="242"/>
      <c r="CY114" s="242"/>
      <c r="CZ114" s="242"/>
      <c r="DA114" s="242"/>
      <c r="DB114" s="242"/>
      <c r="DC114" s="242"/>
      <c r="DD114" s="242"/>
      <c r="DE114" s="242"/>
      <c r="DF114" s="242"/>
      <c r="DG114" s="242"/>
      <c r="DH114" s="242"/>
      <c r="DI114" s="242"/>
      <c r="DJ114" s="242"/>
      <c r="DK114" s="242"/>
      <c r="DL114" s="242"/>
      <c r="DM114" s="242"/>
      <c r="DN114" s="242"/>
      <c r="DO114" s="242"/>
      <c r="DP114" s="242"/>
      <c r="DQ114" s="242"/>
      <c r="DR114" s="242"/>
      <c r="DS114" s="242"/>
      <c r="DT114" s="242"/>
      <c r="DU114" s="242"/>
      <c r="DV114" s="242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242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242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242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242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242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242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2"/>
      <c r="II114" s="242"/>
      <c r="IJ114" s="242"/>
      <c r="IK114" s="242"/>
      <c r="IL114" s="242"/>
      <c r="IM114" s="242"/>
      <c r="IN114" s="242"/>
      <c r="IO114" s="242"/>
      <c r="IP114" s="242"/>
      <c r="IQ114" s="242"/>
    </row>
    <row r="115" spans="1:251" s="243" customFormat="1" ht="12" hidden="1" customHeight="1">
      <c r="A115" s="242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2"/>
      <c r="BA115" s="242"/>
      <c r="BB115" s="242"/>
      <c r="BC115" s="242"/>
      <c r="BD115" s="242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2"/>
      <c r="BW115" s="242"/>
      <c r="BX115" s="242"/>
      <c r="BY115" s="242"/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2"/>
      <c r="CK115" s="242"/>
      <c r="CL115" s="242"/>
      <c r="CM115" s="242"/>
      <c r="CN115" s="242"/>
      <c r="CO115" s="242"/>
      <c r="CP115" s="242"/>
      <c r="CQ115" s="242"/>
      <c r="CR115" s="242"/>
      <c r="CS115" s="242"/>
      <c r="CT115" s="242"/>
      <c r="CU115" s="242"/>
      <c r="CV115" s="242"/>
      <c r="CW115" s="242"/>
      <c r="CX115" s="242"/>
      <c r="CY115" s="242"/>
      <c r="CZ115" s="242"/>
      <c r="DA115" s="242"/>
      <c r="DB115" s="242"/>
      <c r="DC115" s="242"/>
      <c r="DD115" s="242"/>
      <c r="DE115" s="242"/>
      <c r="DF115" s="242"/>
      <c r="DG115" s="242"/>
      <c r="DH115" s="242"/>
      <c r="DI115" s="242"/>
      <c r="DJ115" s="242"/>
      <c r="DK115" s="242"/>
      <c r="DL115" s="242"/>
      <c r="DM115" s="242"/>
      <c r="DN115" s="242"/>
      <c r="DO115" s="242"/>
      <c r="DP115" s="242"/>
      <c r="DQ115" s="242"/>
      <c r="DR115" s="242"/>
      <c r="DS115" s="242"/>
      <c r="DT115" s="242"/>
      <c r="DU115" s="242"/>
      <c r="DV115" s="242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242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242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242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242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2"/>
      <c r="II115" s="242"/>
      <c r="IJ115" s="242"/>
      <c r="IK115" s="242"/>
      <c r="IL115" s="242"/>
      <c r="IM115" s="242"/>
      <c r="IN115" s="242"/>
      <c r="IO115" s="242"/>
      <c r="IP115" s="242"/>
      <c r="IQ115" s="242"/>
    </row>
    <row r="116" spans="1:251" s="243" customFormat="1" ht="12" hidden="1" customHeight="1">
      <c r="A116" s="242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/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242"/>
      <c r="DG116" s="242"/>
      <c r="DH116" s="242"/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/>
      <c r="DS116" s="242"/>
      <c r="DT116" s="242"/>
      <c r="DU116" s="242"/>
      <c r="DV116" s="242"/>
      <c r="DW116" s="242"/>
      <c r="DX116" s="242"/>
      <c r="DY116" s="242"/>
      <c r="DZ116" s="242"/>
      <c r="EA116" s="242"/>
      <c r="EB116" s="242"/>
      <c r="EC116" s="242"/>
      <c r="ED116" s="242"/>
      <c r="EE116" s="242"/>
      <c r="EF116" s="242"/>
      <c r="EG116" s="242"/>
      <c r="EH116" s="242"/>
      <c r="EI116" s="242"/>
      <c r="EJ116" s="242"/>
      <c r="EK116" s="242"/>
      <c r="EL116" s="242"/>
      <c r="EM116" s="242"/>
      <c r="EN116" s="242"/>
      <c r="EO116" s="242"/>
      <c r="EP116" s="242"/>
      <c r="EQ116" s="242"/>
      <c r="ER116" s="242"/>
      <c r="ES116" s="242"/>
      <c r="ET116" s="242"/>
      <c r="EU116" s="242"/>
      <c r="EV116" s="242"/>
      <c r="EW116" s="242"/>
      <c r="EX116" s="242"/>
      <c r="EY116" s="242"/>
      <c r="EZ116" s="242"/>
      <c r="FA116" s="242"/>
      <c r="FB116" s="242"/>
      <c r="FC116" s="242"/>
      <c r="FD116" s="242"/>
      <c r="FE116" s="242"/>
      <c r="FF116" s="242"/>
      <c r="FG116" s="242"/>
      <c r="FH116" s="242"/>
      <c r="FI116" s="242"/>
      <c r="FJ116" s="242"/>
      <c r="FK116" s="242"/>
      <c r="FL116" s="242"/>
      <c r="FM116" s="242"/>
      <c r="FN116" s="242"/>
      <c r="FO116" s="242"/>
      <c r="FP116" s="242"/>
      <c r="FQ116" s="242"/>
      <c r="FR116" s="242"/>
      <c r="FS116" s="242"/>
      <c r="FT116" s="242"/>
      <c r="FU116" s="242"/>
      <c r="FV116" s="242"/>
      <c r="FW116" s="242"/>
      <c r="FX116" s="242"/>
      <c r="FY116" s="242"/>
      <c r="FZ116" s="242"/>
      <c r="GA116" s="242"/>
      <c r="GB116" s="242"/>
      <c r="GC116" s="242"/>
      <c r="GD116" s="242"/>
      <c r="GE116" s="242"/>
      <c r="GF116" s="242"/>
      <c r="GG116" s="242"/>
      <c r="GH116" s="242"/>
      <c r="GI116" s="242"/>
      <c r="GJ116" s="242"/>
      <c r="GK116" s="242"/>
      <c r="GL116" s="242"/>
      <c r="GM116" s="242"/>
      <c r="GN116" s="242"/>
      <c r="GO116" s="242"/>
      <c r="GP116" s="242"/>
      <c r="GQ116" s="242"/>
      <c r="GR116" s="242"/>
      <c r="GS116" s="242"/>
      <c r="GT116" s="242"/>
      <c r="GU116" s="242"/>
      <c r="GV116" s="242"/>
      <c r="GW116" s="242"/>
      <c r="GX116" s="242"/>
      <c r="GY116" s="242"/>
      <c r="GZ116" s="242"/>
      <c r="HA116" s="242"/>
      <c r="HB116" s="242"/>
      <c r="HC116" s="242"/>
      <c r="HD116" s="242"/>
      <c r="HE116" s="242"/>
      <c r="HF116" s="242"/>
      <c r="HG116" s="242"/>
      <c r="HH116" s="242"/>
      <c r="HI116" s="242"/>
      <c r="HJ116" s="242"/>
      <c r="HK116" s="242"/>
      <c r="HL116" s="242"/>
      <c r="HM116" s="242"/>
      <c r="HN116" s="242"/>
      <c r="HO116" s="242"/>
      <c r="HP116" s="242"/>
      <c r="HQ116" s="242"/>
      <c r="HR116" s="242"/>
      <c r="HS116" s="242"/>
      <c r="HT116" s="242"/>
      <c r="HU116" s="242"/>
      <c r="HV116" s="242"/>
      <c r="HW116" s="242"/>
      <c r="HX116" s="242"/>
      <c r="HY116" s="242"/>
      <c r="HZ116" s="242"/>
      <c r="IA116" s="242"/>
      <c r="IB116" s="242"/>
      <c r="IC116" s="242"/>
      <c r="ID116" s="242"/>
      <c r="IE116" s="242"/>
      <c r="IF116" s="242"/>
      <c r="IG116" s="242"/>
      <c r="IH116" s="242"/>
      <c r="II116" s="242"/>
      <c r="IJ116" s="242"/>
      <c r="IK116" s="242"/>
      <c r="IL116" s="242"/>
      <c r="IM116" s="242"/>
      <c r="IN116" s="242"/>
      <c r="IO116" s="242"/>
      <c r="IP116" s="242"/>
      <c r="IQ116" s="242"/>
    </row>
    <row r="117" spans="1:251" s="243" customFormat="1" ht="12" hidden="1" customHeight="1">
      <c r="A117" s="242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/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242"/>
      <c r="DG117" s="242"/>
      <c r="DH117" s="242"/>
      <c r="DI117" s="242"/>
      <c r="DJ117" s="242"/>
      <c r="DK117" s="242"/>
      <c r="DL117" s="242"/>
      <c r="DM117" s="242"/>
      <c r="DN117" s="242"/>
      <c r="DO117" s="242"/>
      <c r="DP117" s="242"/>
      <c r="DQ117" s="242"/>
      <c r="DR117" s="242"/>
      <c r="DS117" s="242"/>
      <c r="DT117" s="242"/>
      <c r="DU117" s="242"/>
      <c r="DV117" s="242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</row>
    <row r="1048415" spans="1:251" s="243" customFormat="1" ht="12" customHeight="1">
      <c r="A1048415" s="242"/>
      <c r="B1048415" s="242"/>
      <c r="C1048415" s="242"/>
      <c r="D1048415" s="242"/>
      <c r="E1048415" s="242"/>
      <c r="F1048415" s="242"/>
      <c r="G1048415" s="242"/>
      <c r="H1048415" s="242"/>
      <c r="I1048415" s="242"/>
      <c r="J1048415" s="242"/>
      <c r="K1048415" s="242"/>
      <c r="L1048415" s="242"/>
      <c r="M1048415" s="242"/>
      <c r="N1048415" s="242"/>
      <c r="O1048415" s="242"/>
      <c r="P1048415" s="242"/>
      <c r="Q1048415" s="242"/>
      <c r="R1048415" s="242"/>
      <c r="S1048415" s="242"/>
      <c r="T1048415" s="242"/>
      <c r="U1048415" s="242"/>
      <c r="V1048415" s="242"/>
      <c r="W1048415" s="242"/>
      <c r="X1048415" s="242"/>
      <c r="Y1048415" s="242"/>
      <c r="Z1048415" s="242"/>
      <c r="AA1048415" s="242"/>
      <c r="AB1048415" s="242"/>
      <c r="AC1048415" s="242"/>
      <c r="AD1048415" s="242"/>
      <c r="AE1048415" s="242"/>
      <c r="AF1048415" s="242"/>
      <c r="AG1048415" s="242"/>
      <c r="AH1048415" s="242"/>
      <c r="AI1048415" s="242"/>
      <c r="AJ1048415" s="242"/>
      <c r="AK1048415" s="242"/>
      <c r="AL1048415" s="242"/>
      <c r="AM1048415" s="242"/>
      <c r="AN1048415" s="242"/>
      <c r="AO1048415" s="242"/>
      <c r="AP1048415" s="242"/>
      <c r="AQ1048415" s="242"/>
      <c r="AR1048415" s="242"/>
      <c r="AS1048415" s="242"/>
      <c r="AT1048415" s="242"/>
      <c r="AU1048415" s="242"/>
      <c r="AV1048415" s="242"/>
      <c r="AW1048415" s="242"/>
      <c r="AX1048415" s="242"/>
      <c r="AY1048415" s="242"/>
      <c r="AZ1048415" s="242"/>
      <c r="BA1048415" s="242"/>
      <c r="BB1048415" s="242"/>
      <c r="BC1048415" s="242"/>
      <c r="BD1048415" s="242"/>
      <c r="BE1048415" s="242"/>
      <c r="BF1048415" s="242"/>
      <c r="BG1048415" s="242"/>
      <c r="BH1048415" s="242"/>
      <c r="BI1048415" s="242"/>
      <c r="BJ1048415" s="242"/>
      <c r="BK1048415" s="242"/>
      <c r="BL1048415" s="242"/>
      <c r="BM1048415" s="242"/>
      <c r="BN1048415" s="242"/>
      <c r="BO1048415" s="242"/>
      <c r="BP1048415" s="242"/>
      <c r="BQ1048415" s="242"/>
      <c r="BR1048415" s="242"/>
      <c r="BS1048415" s="242"/>
      <c r="BT1048415" s="242"/>
      <c r="BU1048415" s="242"/>
      <c r="BV1048415" s="242"/>
      <c r="BW1048415" s="242"/>
      <c r="BX1048415" s="242"/>
      <c r="BY1048415" s="242"/>
      <c r="BZ1048415" s="242"/>
      <c r="CA1048415" s="242"/>
      <c r="CB1048415" s="242"/>
      <c r="CC1048415" s="242"/>
      <c r="CD1048415" s="242"/>
      <c r="CE1048415" s="242"/>
      <c r="CF1048415" s="242"/>
      <c r="CG1048415" s="242"/>
      <c r="CH1048415" s="242"/>
      <c r="CI1048415" s="242"/>
      <c r="CJ1048415" s="242"/>
      <c r="CK1048415" s="242"/>
      <c r="CL1048415" s="242"/>
      <c r="CM1048415" s="242"/>
      <c r="CN1048415" s="242"/>
      <c r="CO1048415" s="242"/>
      <c r="CP1048415" s="242"/>
      <c r="CQ1048415" s="242"/>
      <c r="CR1048415" s="242"/>
      <c r="CS1048415" s="242"/>
      <c r="CT1048415" s="242"/>
      <c r="CU1048415" s="242"/>
      <c r="CV1048415" s="242"/>
      <c r="CW1048415" s="242"/>
      <c r="CX1048415" s="242"/>
      <c r="CY1048415" s="242"/>
      <c r="CZ1048415" s="242"/>
      <c r="DA1048415" s="242"/>
      <c r="DB1048415" s="242"/>
      <c r="DC1048415" s="242"/>
      <c r="DD1048415" s="242"/>
      <c r="DE1048415" s="242"/>
      <c r="DF1048415" s="242"/>
      <c r="DG1048415" s="242"/>
      <c r="DH1048415" s="242"/>
      <c r="DI1048415" s="242"/>
      <c r="DJ1048415" s="242"/>
      <c r="DK1048415" s="242"/>
      <c r="DL1048415" s="242"/>
      <c r="DM1048415" s="242"/>
      <c r="DN1048415" s="242"/>
      <c r="DO1048415" s="242"/>
      <c r="DP1048415" s="242"/>
      <c r="DQ1048415" s="242"/>
      <c r="DR1048415" s="242"/>
      <c r="DS1048415" s="242"/>
      <c r="DT1048415" s="242"/>
      <c r="DU1048415" s="242"/>
      <c r="DV1048415" s="242"/>
      <c r="DW1048415" s="242"/>
      <c r="DX1048415" s="242"/>
      <c r="DY1048415" s="242"/>
      <c r="DZ1048415" s="242"/>
      <c r="EA1048415" s="242"/>
      <c r="EB1048415" s="242"/>
      <c r="EC1048415" s="242"/>
      <c r="ED1048415" s="242"/>
      <c r="EE1048415" s="242"/>
      <c r="EF1048415" s="242"/>
      <c r="EG1048415" s="242"/>
      <c r="EH1048415" s="242"/>
      <c r="EI1048415" s="242"/>
      <c r="EJ1048415" s="242"/>
      <c r="EK1048415" s="242"/>
      <c r="EL1048415" s="242"/>
      <c r="EM1048415" s="242"/>
      <c r="EN1048415" s="242"/>
      <c r="EO1048415" s="242"/>
      <c r="EP1048415" s="242"/>
      <c r="EQ1048415" s="242"/>
      <c r="ER1048415" s="242"/>
      <c r="ES1048415" s="242"/>
      <c r="ET1048415" s="242"/>
      <c r="EU1048415" s="242"/>
      <c r="EV1048415" s="242"/>
      <c r="EW1048415" s="242"/>
      <c r="EX1048415" s="242"/>
      <c r="EY1048415" s="242"/>
      <c r="EZ1048415" s="242"/>
      <c r="FA1048415" s="242"/>
      <c r="FB1048415" s="242"/>
      <c r="FC1048415" s="242"/>
      <c r="FD1048415" s="242"/>
      <c r="FE1048415" s="242"/>
      <c r="FF1048415" s="242"/>
      <c r="FG1048415" s="242"/>
      <c r="FH1048415" s="242"/>
      <c r="FI1048415" s="242"/>
      <c r="FJ1048415" s="242"/>
      <c r="FK1048415" s="242"/>
      <c r="FL1048415" s="242"/>
      <c r="FM1048415" s="242"/>
      <c r="FN1048415" s="242"/>
      <c r="FO1048415" s="242"/>
      <c r="FP1048415" s="242"/>
      <c r="FQ1048415" s="242"/>
      <c r="FR1048415" s="242"/>
      <c r="FS1048415" s="242"/>
      <c r="FT1048415" s="242"/>
      <c r="FU1048415" s="242"/>
      <c r="FV1048415" s="242"/>
      <c r="FW1048415" s="242"/>
      <c r="FX1048415" s="242"/>
      <c r="FY1048415" s="242"/>
      <c r="FZ1048415" s="242"/>
      <c r="GA1048415" s="242"/>
      <c r="GB1048415" s="242"/>
      <c r="GC1048415" s="242"/>
      <c r="GD1048415" s="242"/>
      <c r="GE1048415" s="242"/>
      <c r="GF1048415" s="242"/>
      <c r="GG1048415" s="242"/>
      <c r="GH1048415" s="242"/>
      <c r="GI1048415" s="242"/>
      <c r="GJ1048415" s="242"/>
      <c r="GK1048415" s="242"/>
      <c r="GL1048415" s="242"/>
      <c r="GM1048415" s="242"/>
      <c r="GN1048415" s="242"/>
      <c r="GO1048415" s="242"/>
      <c r="GP1048415" s="242"/>
      <c r="GQ1048415" s="242"/>
      <c r="GR1048415" s="242"/>
      <c r="GS1048415" s="242"/>
      <c r="GT1048415" s="242"/>
      <c r="GU1048415" s="242"/>
      <c r="GV1048415" s="242"/>
      <c r="GW1048415" s="242"/>
      <c r="GX1048415" s="242"/>
      <c r="GY1048415" s="242"/>
      <c r="GZ1048415" s="242"/>
      <c r="HA1048415" s="242"/>
      <c r="HB1048415" s="242"/>
      <c r="HC1048415" s="242"/>
      <c r="HD1048415" s="242"/>
      <c r="HE1048415" s="242"/>
      <c r="HF1048415" s="242"/>
      <c r="HG1048415" s="242"/>
      <c r="HH1048415" s="242"/>
      <c r="HI1048415" s="242"/>
      <c r="HJ1048415" s="242"/>
      <c r="HK1048415" s="242"/>
      <c r="HL1048415" s="242"/>
      <c r="HM1048415" s="242"/>
      <c r="HN1048415" s="242"/>
      <c r="HO1048415" s="242"/>
      <c r="HP1048415" s="242"/>
      <c r="HQ1048415" s="242"/>
      <c r="HR1048415" s="242"/>
      <c r="HS1048415" s="242"/>
      <c r="HT1048415" s="242"/>
      <c r="HU1048415" s="242"/>
      <c r="HV1048415" s="242"/>
      <c r="HW1048415" s="242"/>
      <c r="HX1048415" s="242"/>
      <c r="HY1048415" s="242"/>
      <c r="HZ1048415" s="242"/>
      <c r="IA1048415" s="242"/>
      <c r="IB1048415" s="242"/>
      <c r="IC1048415" s="242"/>
      <c r="ID1048415" s="242"/>
      <c r="IE1048415" s="242"/>
      <c r="IF1048415" s="242"/>
      <c r="IG1048415" s="242"/>
      <c r="IH1048415" s="242"/>
      <c r="II1048415" s="242"/>
      <c r="IJ1048415" s="242"/>
      <c r="IK1048415" s="242"/>
      <c r="IL1048415" s="242"/>
      <c r="IM1048415" s="242"/>
      <c r="IN1048415" s="242"/>
      <c r="IO1048415" s="242"/>
      <c r="IP1048415" s="242"/>
      <c r="IQ1048415" s="242"/>
    </row>
    <row r="1048416" spans="1:251" s="243" customFormat="1" ht="12" customHeight="1">
      <c r="A1048416" s="242"/>
      <c r="B1048416" s="242"/>
      <c r="C1048416" s="242"/>
      <c r="D1048416" s="242"/>
      <c r="E1048416" s="242"/>
      <c r="F1048416" s="242"/>
      <c r="G1048416" s="242"/>
      <c r="H1048416" s="242"/>
      <c r="I1048416" s="242"/>
      <c r="J1048416" s="242"/>
      <c r="K1048416" s="242"/>
      <c r="L1048416" s="242"/>
      <c r="M1048416" s="242"/>
      <c r="N1048416" s="242"/>
      <c r="O1048416" s="242"/>
      <c r="P1048416" s="242"/>
      <c r="Q1048416" s="242"/>
      <c r="R1048416" s="242"/>
      <c r="S1048416" s="242"/>
      <c r="T1048416" s="242"/>
      <c r="U1048416" s="242"/>
      <c r="V1048416" s="242"/>
      <c r="W1048416" s="242"/>
      <c r="X1048416" s="242"/>
      <c r="Y1048416" s="242"/>
      <c r="Z1048416" s="242"/>
      <c r="AA1048416" s="242"/>
      <c r="AB1048416" s="242"/>
      <c r="AC1048416" s="242"/>
      <c r="AD1048416" s="242"/>
      <c r="AE1048416" s="242"/>
      <c r="AF1048416" s="242"/>
      <c r="AG1048416" s="242"/>
      <c r="AH1048416" s="242"/>
      <c r="AI1048416" s="242"/>
      <c r="AJ1048416" s="242"/>
      <c r="AK1048416" s="242"/>
      <c r="AL1048416" s="242"/>
      <c r="AM1048416" s="242"/>
      <c r="AN1048416" s="242"/>
      <c r="AO1048416" s="242"/>
      <c r="AP1048416" s="242"/>
      <c r="AQ1048416" s="242"/>
      <c r="AR1048416" s="242"/>
      <c r="AS1048416" s="242"/>
      <c r="AT1048416" s="242"/>
      <c r="AU1048416" s="242"/>
      <c r="AV1048416" s="242"/>
      <c r="AW1048416" s="242"/>
      <c r="AX1048416" s="242"/>
      <c r="AY1048416" s="242"/>
      <c r="AZ1048416" s="242"/>
      <c r="BA1048416" s="242"/>
      <c r="BB1048416" s="242"/>
      <c r="BC1048416" s="242"/>
      <c r="BD1048416" s="242"/>
      <c r="BE1048416" s="242"/>
      <c r="BF1048416" s="242"/>
      <c r="BG1048416" s="242"/>
      <c r="BH1048416" s="242"/>
      <c r="BI1048416" s="242"/>
      <c r="BJ1048416" s="242"/>
      <c r="BK1048416" s="242"/>
      <c r="BL1048416" s="242"/>
      <c r="BM1048416" s="242"/>
      <c r="BN1048416" s="242"/>
      <c r="BO1048416" s="242"/>
      <c r="BP1048416" s="242"/>
      <c r="BQ1048416" s="242"/>
      <c r="BR1048416" s="242"/>
      <c r="BS1048416" s="242"/>
      <c r="BT1048416" s="242"/>
      <c r="BU1048416" s="242"/>
      <c r="BV1048416" s="242"/>
      <c r="BW1048416" s="242"/>
      <c r="BX1048416" s="242"/>
      <c r="BY1048416" s="242"/>
      <c r="BZ1048416" s="242"/>
      <c r="CA1048416" s="242"/>
      <c r="CB1048416" s="242"/>
      <c r="CC1048416" s="242"/>
      <c r="CD1048416" s="242"/>
      <c r="CE1048416" s="242"/>
      <c r="CF1048416" s="242"/>
      <c r="CG1048416" s="242"/>
      <c r="CH1048416" s="242"/>
      <c r="CI1048416" s="242"/>
      <c r="CJ1048416" s="242"/>
      <c r="CK1048416" s="242"/>
      <c r="CL1048416" s="242"/>
      <c r="CM1048416" s="242"/>
      <c r="CN1048416" s="242"/>
      <c r="CO1048416" s="242"/>
      <c r="CP1048416" s="242"/>
      <c r="CQ1048416" s="242"/>
      <c r="CR1048416" s="242"/>
      <c r="CS1048416" s="242"/>
      <c r="CT1048416" s="242"/>
      <c r="CU1048416" s="242"/>
      <c r="CV1048416" s="242"/>
      <c r="CW1048416" s="242"/>
      <c r="CX1048416" s="242"/>
      <c r="CY1048416" s="242"/>
      <c r="CZ1048416" s="242"/>
      <c r="DA1048416" s="242"/>
      <c r="DB1048416" s="242"/>
      <c r="DC1048416" s="242"/>
      <c r="DD1048416" s="242"/>
      <c r="DE1048416" s="242"/>
      <c r="DF1048416" s="242"/>
      <c r="DG1048416" s="242"/>
      <c r="DH1048416" s="242"/>
      <c r="DI1048416" s="242"/>
      <c r="DJ1048416" s="242"/>
      <c r="DK1048416" s="242"/>
      <c r="DL1048416" s="242"/>
      <c r="DM1048416" s="242"/>
      <c r="DN1048416" s="242"/>
      <c r="DO1048416" s="242"/>
      <c r="DP1048416" s="242"/>
      <c r="DQ1048416" s="242"/>
      <c r="DR1048416" s="242"/>
      <c r="DS1048416" s="242"/>
      <c r="DT1048416" s="242"/>
      <c r="DU1048416" s="242"/>
      <c r="DV1048416" s="242"/>
      <c r="DW1048416" s="242"/>
      <c r="DX1048416" s="242"/>
      <c r="DY1048416" s="242"/>
      <c r="DZ1048416" s="242"/>
      <c r="EA1048416" s="242"/>
      <c r="EB1048416" s="242"/>
      <c r="EC1048416" s="242"/>
      <c r="ED1048416" s="242"/>
      <c r="EE1048416" s="242"/>
      <c r="EF1048416" s="242"/>
      <c r="EG1048416" s="242"/>
      <c r="EH1048416" s="242"/>
      <c r="EI1048416" s="242"/>
      <c r="EJ1048416" s="242"/>
      <c r="EK1048416" s="242"/>
      <c r="EL1048416" s="242"/>
      <c r="EM1048416" s="242"/>
      <c r="EN1048416" s="242"/>
      <c r="EO1048416" s="242"/>
      <c r="EP1048416" s="242"/>
      <c r="EQ1048416" s="242"/>
      <c r="ER1048416" s="242"/>
      <c r="ES1048416" s="242"/>
      <c r="ET1048416" s="242"/>
      <c r="EU1048416" s="242"/>
      <c r="EV1048416" s="242"/>
      <c r="EW1048416" s="242"/>
      <c r="EX1048416" s="242"/>
      <c r="EY1048416" s="242"/>
      <c r="EZ1048416" s="242"/>
      <c r="FA1048416" s="242"/>
      <c r="FB1048416" s="242"/>
      <c r="FC1048416" s="242"/>
      <c r="FD1048416" s="242"/>
      <c r="FE1048416" s="242"/>
      <c r="FF1048416" s="242"/>
      <c r="FG1048416" s="242"/>
      <c r="FH1048416" s="242"/>
      <c r="FI1048416" s="242"/>
      <c r="FJ1048416" s="242"/>
      <c r="FK1048416" s="242"/>
      <c r="FL1048416" s="242"/>
      <c r="FM1048416" s="242"/>
      <c r="FN1048416" s="242"/>
      <c r="FO1048416" s="242"/>
      <c r="FP1048416" s="242"/>
      <c r="FQ1048416" s="242"/>
      <c r="FR1048416" s="242"/>
      <c r="FS1048416" s="242"/>
      <c r="FT1048416" s="242"/>
      <c r="FU1048416" s="242"/>
      <c r="FV1048416" s="242"/>
      <c r="FW1048416" s="242"/>
      <c r="FX1048416" s="242"/>
      <c r="FY1048416" s="242"/>
      <c r="FZ1048416" s="242"/>
      <c r="GA1048416" s="242"/>
      <c r="GB1048416" s="242"/>
      <c r="GC1048416" s="242"/>
      <c r="GD1048416" s="242"/>
      <c r="GE1048416" s="242"/>
      <c r="GF1048416" s="242"/>
      <c r="GG1048416" s="242"/>
      <c r="GH1048416" s="242"/>
      <c r="GI1048416" s="242"/>
      <c r="GJ1048416" s="242"/>
      <c r="GK1048416" s="242"/>
      <c r="GL1048416" s="242"/>
      <c r="GM1048416" s="242"/>
      <c r="GN1048416" s="242"/>
      <c r="GO1048416" s="242"/>
      <c r="GP1048416" s="242"/>
      <c r="GQ1048416" s="242"/>
      <c r="GR1048416" s="242"/>
      <c r="GS1048416" s="242"/>
      <c r="GT1048416" s="242"/>
      <c r="GU1048416" s="242"/>
      <c r="GV1048416" s="242"/>
      <c r="GW1048416" s="242"/>
      <c r="GX1048416" s="242"/>
      <c r="GY1048416" s="242"/>
      <c r="GZ1048416" s="242"/>
      <c r="HA1048416" s="242"/>
      <c r="HB1048416" s="242"/>
      <c r="HC1048416" s="242"/>
      <c r="HD1048416" s="242"/>
      <c r="HE1048416" s="242"/>
      <c r="HF1048416" s="242"/>
      <c r="HG1048416" s="242"/>
      <c r="HH1048416" s="242"/>
      <c r="HI1048416" s="242"/>
      <c r="HJ1048416" s="242"/>
      <c r="HK1048416" s="242"/>
      <c r="HL1048416" s="242"/>
      <c r="HM1048416" s="242"/>
      <c r="HN1048416" s="242"/>
      <c r="HO1048416" s="242"/>
      <c r="HP1048416" s="242"/>
      <c r="HQ1048416" s="242"/>
      <c r="HR1048416" s="242"/>
      <c r="HS1048416" s="242"/>
      <c r="HT1048416" s="242"/>
      <c r="HU1048416" s="242"/>
      <c r="HV1048416" s="242"/>
      <c r="HW1048416" s="242"/>
      <c r="HX1048416" s="242"/>
      <c r="HY1048416" s="242"/>
      <c r="HZ1048416" s="242"/>
      <c r="IA1048416" s="242"/>
      <c r="IB1048416" s="242"/>
      <c r="IC1048416" s="242"/>
      <c r="ID1048416" s="242"/>
      <c r="IE1048416" s="242"/>
      <c r="IF1048416" s="242"/>
      <c r="IG1048416" s="242"/>
      <c r="IH1048416" s="242"/>
      <c r="II1048416" s="242"/>
      <c r="IJ1048416" s="242"/>
      <c r="IK1048416" s="242"/>
      <c r="IL1048416" s="242"/>
      <c r="IM1048416" s="242"/>
      <c r="IN1048416" s="242"/>
      <c r="IO1048416" s="242"/>
      <c r="IP1048416" s="242"/>
      <c r="IQ1048416" s="242"/>
    </row>
    <row r="1048417" spans="1:251" s="243" customFormat="1" ht="12" customHeight="1">
      <c r="A1048417" s="242"/>
      <c r="B1048417" s="242"/>
      <c r="C1048417" s="242"/>
      <c r="D1048417" s="242"/>
      <c r="E1048417" s="242"/>
      <c r="F1048417" s="242"/>
      <c r="G1048417" s="242"/>
      <c r="H1048417" s="242"/>
      <c r="I1048417" s="242"/>
      <c r="J1048417" s="242"/>
      <c r="K1048417" s="242"/>
      <c r="L1048417" s="242"/>
      <c r="M1048417" s="242"/>
      <c r="N1048417" s="242"/>
      <c r="O1048417" s="242"/>
      <c r="P1048417" s="242"/>
      <c r="Q1048417" s="242"/>
      <c r="R1048417" s="242"/>
      <c r="S1048417" s="242"/>
      <c r="T1048417" s="242"/>
      <c r="U1048417" s="242"/>
      <c r="V1048417" s="242"/>
      <c r="W1048417" s="242"/>
      <c r="X1048417" s="242"/>
      <c r="Y1048417" s="242"/>
      <c r="Z1048417" s="242"/>
      <c r="AA1048417" s="242"/>
      <c r="AB1048417" s="242"/>
      <c r="AC1048417" s="242"/>
      <c r="AD1048417" s="242"/>
      <c r="AE1048417" s="242"/>
      <c r="AF1048417" s="242"/>
      <c r="AG1048417" s="242"/>
      <c r="AH1048417" s="242"/>
      <c r="AI1048417" s="242"/>
      <c r="AJ1048417" s="242"/>
      <c r="AK1048417" s="242"/>
      <c r="AL1048417" s="242"/>
      <c r="AM1048417" s="242"/>
      <c r="AN1048417" s="242"/>
      <c r="AO1048417" s="242"/>
      <c r="AP1048417" s="242"/>
      <c r="AQ1048417" s="242"/>
      <c r="AR1048417" s="242"/>
      <c r="AS1048417" s="242"/>
      <c r="AT1048417" s="242"/>
      <c r="AU1048417" s="242"/>
      <c r="AV1048417" s="242"/>
      <c r="AW1048417" s="242"/>
      <c r="AX1048417" s="242"/>
      <c r="AY1048417" s="242"/>
      <c r="AZ1048417" s="242"/>
      <c r="BA1048417" s="242"/>
      <c r="BB1048417" s="242"/>
      <c r="BC1048417" s="242"/>
      <c r="BD1048417" s="242"/>
      <c r="BE1048417" s="242"/>
      <c r="BF1048417" s="242"/>
      <c r="BG1048417" s="242"/>
      <c r="BH1048417" s="242"/>
      <c r="BI1048417" s="242"/>
      <c r="BJ1048417" s="242"/>
      <c r="BK1048417" s="242"/>
      <c r="BL1048417" s="242"/>
      <c r="BM1048417" s="242"/>
      <c r="BN1048417" s="242"/>
      <c r="BO1048417" s="242"/>
      <c r="BP1048417" s="242"/>
      <c r="BQ1048417" s="242"/>
      <c r="BR1048417" s="242"/>
      <c r="BS1048417" s="242"/>
      <c r="BT1048417" s="242"/>
      <c r="BU1048417" s="242"/>
      <c r="BV1048417" s="242"/>
      <c r="BW1048417" s="242"/>
      <c r="BX1048417" s="242"/>
      <c r="BY1048417" s="242"/>
      <c r="BZ1048417" s="242"/>
      <c r="CA1048417" s="242"/>
      <c r="CB1048417" s="242"/>
      <c r="CC1048417" s="242"/>
      <c r="CD1048417" s="242"/>
      <c r="CE1048417" s="242"/>
      <c r="CF1048417" s="242"/>
      <c r="CG1048417" s="242"/>
      <c r="CH1048417" s="242"/>
      <c r="CI1048417" s="242"/>
      <c r="CJ1048417" s="242"/>
      <c r="CK1048417" s="242"/>
      <c r="CL1048417" s="242"/>
      <c r="CM1048417" s="242"/>
      <c r="CN1048417" s="242"/>
      <c r="CO1048417" s="242"/>
      <c r="CP1048417" s="242"/>
      <c r="CQ1048417" s="242"/>
      <c r="CR1048417" s="242"/>
      <c r="CS1048417" s="242"/>
      <c r="CT1048417" s="242"/>
      <c r="CU1048417" s="242"/>
      <c r="CV1048417" s="242"/>
      <c r="CW1048417" s="242"/>
      <c r="CX1048417" s="242"/>
      <c r="CY1048417" s="242"/>
      <c r="CZ1048417" s="242"/>
      <c r="DA1048417" s="242"/>
      <c r="DB1048417" s="242"/>
      <c r="DC1048417" s="242"/>
      <c r="DD1048417" s="242"/>
      <c r="DE1048417" s="242"/>
      <c r="DF1048417" s="242"/>
      <c r="DG1048417" s="242"/>
      <c r="DH1048417" s="242"/>
      <c r="DI1048417" s="242"/>
      <c r="DJ1048417" s="242"/>
      <c r="DK1048417" s="242"/>
      <c r="DL1048417" s="242"/>
      <c r="DM1048417" s="242"/>
      <c r="DN1048417" s="242"/>
      <c r="DO1048417" s="242"/>
      <c r="DP1048417" s="242"/>
      <c r="DQ1048417" s="242"/>
      <c r="DR1048417" s="242"/>
      <c r="DS1048417" s="242"/>
      <c r="DT1048417" s="242"/>
      <c r="DU1048417" s="242"/>
      <c r="DV1048417" s="242"/>
      <c r="DW1048417" s="242"/>
      <c r="DX1048417" s="242"/>
      <c r="DY1048417" s="242"/>
      <c r="DZ1048417" s="242"/>
      <c r="EA1048417" s="242"/>
      <c r="EB1048417" s="242"/>
      <c r="EC1048417" s="242"/>
      <c r="ED1048417" s="242"/>
      <c r="EE1048417" s="242"/>
      <c r="EF1048417" s="242"/>
      <c r="EG1048417" s="242"/>
      <c r="EH1048417" s="242"/>
      <c r="EI1048417" s="242"/>
      <c r="EJ1048417" s="242"/>
      <c r="EK1048417" s="242"/>
      <c r="EL1048417" s="242"/>
      <c r="EM1048417" s="242"/>
      <c r="EN1048417" s="242"/>
      <c r="EO1048417" s="242"/>
      <c r="EP1048417" s="242"/>
      <c r="EQ1048417" s="242"/>
      <c r="ER1048417" s="242"/>
      <c r="ES1048417" s="242"/>
      <c r="ET1048417" s="242"/>
      <c r="EU1048417" s="242"/>
      <c r="EV1048417" s="242"/>
      <c r="EW1048417" s="242"/>
      <c r="EX1048417" s="242"/>
      <c r="EY1048417" s="242"/>
      <c r="EZ1048417" s="242"/>
      <c r="FA1048417" s="242"/>
      <c r="FB1048417" s="242"/>
      <c r="FC1048417" s="242"/>
      <c r="FD1048417" s="242"/>
      <c r="FE1048417" s="242"/>
      <c r="FF1048417" s="242"/>
      <c r="FG1048417" s="242"/>
      <c r="FH1048417" s="242"/>
      <c r="FI1048417" s="242"/>
      <c r="FJ1048417" s="242"/>
      <c r="FK1048417" s="242"/>
      <c r="FL1048417" s="242"/>
      <c r="FM1048417" s="242"/>
      <c r="FN1048417" s="242"/>
      <c r="FO1048417" s="242"/>
      <c r="FP1048417" s="242"/>
      <c r="FQ1048417" s="242"/>
      <c r="FR1048417" s="242"/>
      <c r="FS1048417" s="242"/>
      <c r="FT1048417" s="242"/>
      <c r="FU1048417" s="242"/>
      <c r="FV1048417" s="242"/>
      <c r="FW1048417" s="242"/>
      <c r="FX1048417" s="242"/>
      <c r="FY1048417" s="242"/>
      <c r="FZ1048417" s="242"/>
      <c r="GA1048417" s="242"/>
      <c r="GB1048417" s="242"/>
      <c r="GC1048417" s="242"/>
      <c r="GD1048417" s="242"/>
      <c r="GE1048417" s="242"/>
      <c r="GF1048417" s="242"/>
      <c r="GG1048417" s="242"/>
      <c r="GH1048417" s="242"/>
      <c r="GI1048417" s="242"/>
      <c r="GJ1048417" s="242"/>
      <c r="GK1048417" s="242"/>
      <c r="GL1048417" s="242"/>
      <c r="GM1048417" s="242"/>
      <c r="GN1048417" s="242"/>
      <c r="GO1048417" s="242"/>
      <c r="GP1048417" s="242"/>
      <c r="GQ1048417" s="242"/>
      <c r="GR1048417" s="242"/>
      <c r="GS1048417" s="242"/>
      <c r="GT1048417" s="242"/>
      <c r="GU1048417" s="242"/>
      <c r="GV1048417" s="242"/>
      <c r="GW1048417" s="242"/>
      <c r="GX1048417" s="242"/>
      <c r="GY1048417" s="242"/>
      <c r="GZ1048417" s="242"/>
      <c r="HA1048417" s="242"/>
      <c r="HB1048417" s="242"/>
      <c r="HC1048417" s="242"/>
      <c r="HD1048417" s="242"/>
      <c r="HE1048417" s="242"/>
      <c r="HF1048417" s="242"/>
      <c r="HG1048417" s="242"/>
      <c r="HH1048417" s="242"/>
      <c r="HI1048417" s="242"/>
      <c r="HJ1048417" s="242"/>
      <c r="HK1048417" s="242"/>
      <c r="HL1048417" s="242"/>
      <c r="HM1048417" s="242"/>
      <c r="HN1048417" s="242"/>
      <c r="HO1048417" s="242"/>
      <c r="HP1048417" s="242"/>
      <c r="HQ1048417" s="242"/>
      <c r="HR1048417" s="242"/>
      <c r="HS1048417" s="242"/>
      <c r="HT1048417" s="242"/>
      <c r="HU1048417" s="242"/>
      <c r="HV1048417" s="242"/>
      <c r="HW1048417" s="242"/>
      <c r="HX1048417" s="242"/>
      <c r="HY1048417" s="242"/>
      <c r="HZ1048417" s="242"/>
      <c r="IA1048417" s="242"/>
      <c r="IB1048417" s="242"/>
      <c r="IC1048417" s="242"/>
      <c r="ID1048417" s="242"/>
      <c r="IE1048417" s="242"/>
      <c r="IF1048417" s="242"/>
      <c r="IG1048417" s="242"/>
      <c r="IH1048417" s="242"/>
      <c r="II1048417" s="242"/>
      <c r="IJ1048417" s="242"/>
      <c r="IK1048417" s="242"/>
      <c r="IL1048417" s="242"/>
      <c r="IM1048417" s="242"/>
      <c r="IN1048417" s="242"/>
      <c r="IO1048417" s="242"/>
      <c r="IP1048417" s="242"/>
      <c r="IQ1048417" s="242"/>
    </row>
    <row r="1048418" spans="1:251" s="243" customFormat="1" ht="12" customHeight="1">
      <c r="A1048418" s="242"/>
      <c r="B1048418" s="242"/>
      <c r="C1048418" s="242"/>
      <c r="D1048418" s="242"/>
      <c r="E1048418" s="242"/>
      <c r="F1048418" s="242"/>
      <c r="G1048418" s="242"/>
      <c r="H1048418" s="242"/>
      <c r="I1048418" s="242"/>
      <c r="J1048418" s="242"/>
      <c r="K1048418" s="242"/>
      <c r="L1048418" s="242"/>
      <c r="M1048418" s="242"/>
      <c r="N1048418" s="242"/>
      <c r="O1048418" s="242"/>
      <c r="P1048418" s="242"/>
      <c r="Q1048418" s="242"/>
      <c r="R1048418" s="242"/>
      <c r="S1048418" s="242"/>
      <c r="T1048418" s="242"/>
      <c r="U1048418" s="242"/>
      <c r="V1048418" s="242"/>
      <c r="W1048418" s="242"/>
      <c r="X1048418" s="242"/>
      <c r="Y1048418" s="242"/>
      <c r="Z1048418" s="242"/>
      <c r="AA1048418" s="242"/>
      <c r="AB1048418" s="242"/>
      <c r="AC1048418" s="242"/>
      <c r="AD1048418" s="242"/>
      <c r="AE1048418" s="242"/>
      <c r="AF1048418" s="242"/>
      <c r="AG1048418" s="242"/>
      <c r="AH1048418" s="242"/>
      <c r="AI1048418" s="242"/>
      <c r="AJ1048418" s="242"/>
      <c r="AK1048418" s="242"/>
      <c r="AL1048418" s="242"/>
      <c r="AM1048418" s="242"/>
      <c r="AN1048418" s="242"/>
      <c r="AO1048418" s="242"/>
      <c r="AP1048418" s="242"/>
      <c r="AQ1048418" s="242"/>
      <c r="AR1048418" s="242"/>
      <c r="AS1048418" s="242"/>
      <c r="AT1048418" s="242"/>
      <c r="AU1048418" s="242"/>
      <c r="AV1048418" s="242"/>
      <c r="AW1048418" s="242"/>
      <c r="AX1048418" s="242"/>
      <c r="AY1048418" s="242"/>
      <c r="AZ1048418" s="242"/>
      <c r="BA1048418" s="242"/>
      <c r="BB1048418" s="242"/>
      <c r="BC1048418" s="242"/>
      <c r="BD1048418" s="242"/>
      <c r="BE1048418" s="242"/>
      <c r="BF1048418" s="242"/>
      <c r="BG1048418" s="242"/>
      <c r="BH1048418" s="242"/>
      <c r="BI1048418" s="242"/>
      <c r="BJ1048418" s="242"/>
      <c r="BK1048418" s="242"/>
      <c r="BL1048418" s="242"/>
      <c r="BM1048418" s="242"/>
      <c r="BN1048418" s="242"/>
      <c r="BO1048418" s="242"/>
      <c r="BP1048418" s="242"/>
      <c r="BQ1048418" s="242"/>
      <c r="BR1048418" s="242"/>
      <c r="BS1048418" s="242"/>
      <c r="BT1048418" s="242"/>
      <c r="BU1048418" s="242"/>
      <c r="BV1048418" s="242"/>
      <c r="BW1048418" s="242"/>
      <c r="BX1048418" s="242"/>
      <c r="BY1048418" s="242"/>
      <c r="BZ1048418" s="242"/>
      <c r="CA1048418" s="242"/>
      <c r="CB1048418" s="242"/>
      <c r="CC1048418" s="242"/>
      <c r="CD1048418" s="242"/>
      <c r="CE1048418" s="242"/>
      <c r="CF1048418" s="242"/>
      <c r="CG1048418" s="242"/>
      <c r="CH1048418" s="242"/>
      <c r="CI1048418" s="242"/>
      <c r="CJ1048418" s="242"/>
      <c r="CK1048418" s="242"/>
      <c r="CL1048418" s="242"/>
      <c r="CM1048418" s="242"/>
      <c r="CN1048418" s="242"/>
      <c r="CO1048418" s="242"/>
      <c r="CP1048418" s="242"/>
      <c r="CQ1048418" s="242"/>
      <c r="CR1048418" s="242"/>
      <c r="CS1048418" s="242"/>
      <c r="CT1048418" s="242"/>
      <c r="CU1048418" s="242"/>
      <c r="CV1048418" s="242"/>
      <c r="CW1048418" s="242"/>
      <c r="CX1048418" s="242"/>
      <c r="CY1048418" s="242"/>
      <c r="CZ1048418" s="242"/>
      <c r="DA1048418" s="242"/>
      <c r="DB1048418" s="242"/>
      <c r="DC1048418" s="242"/>
      <c r="DD1048418" s="242"/>
      <c r="DE1048418" s="242"/>
      <c r="DF1048418" s="242"/>
      <c r="DG1048418" s="242"/>
      <c r="DH1048418" s="242"/>
      <c r="DI1048418" s="242"/>
      <c r="DJ1048418" s="242"/>
      <c r="DK1048418" s="242"/>
      <c r="DL1048418" s="242"/>
      <c r="DM1048418" s="242"/>
      <c r="DN1048418" s="242"/>
      <c r="DO1048418" s="242"/>
      <c r="DP1048418" s="242"/>
      <c r="DQ1048418" s="242"/>
      <c r="DR1048418" s="242"/>
      <c r="DS1048418" s="242"/>
      <c r="DT1048418" s="242"/>
      <c r="DU1048418" s="242"/>
      <c r="DV1048418" s="242"/>
      <c r="DW1048418" s="242"/>
      <c r="DX1048418" s="242"/>
      <c r="DY1048418" s="242"/>
      <c r="DZ1048418" s="242"/>
      <c r="EA1048418" s="242"/>
      <c r="EB1048418" s="242"/>
      <c r="EC1048418" s="242"/>
      <c r="ED1048418" s="242"/>
      <c r="EE1048418" s="242"/>
      <c r="EF1048418" s="242"/>
      <c r="EG1048418" s="242"/>
      <c r="EH1048418" s="242"/>
      <c r="EI1048418" s="242"/>
      <c r="EJ1048418" s="242"/>
      <c r="EK1048418" s="242"/>
      <c r="EL1048418" s="242"/>
      <c r="EM1048418" s="242"/>
      <c r="EN1048418" s="242"/>
      <c r="EO1048418" s="242"/>
      <c r="EP1048418" s="242"/>
      <c r="EQ1048418" s="242"/>
      <c r="ER1048418" s="242"/>
      <c r="ES1048418" s="242"/>
      <c r="ET1048418" s="242"/>
      <c r="EU1048418" s="242"/>
      <c r="EV1048418" s="242"/>
      <c r="EW1048418" s="242"/>
      <c r="EX1048418" s="242"/>
      <c r="EY1048418" s="242"/>
      <c r="EZ1048418" s="242"/>
      <c r="FA1048418" s="242"/>
      <c r="FB1048418" s="242"/>
      <c r="FC1048418" s="242"/>
      <c r="FD1048418" s="242"/>
      <c r="FE1048418" s="242"/>
      <c r="FF1048418" s="242"/>
      <c r="FG1048418" s="242"/>
      <c r="FH1048418" s="242"/>
      <c r="FI1048418" s="242"/>
      <c r="FJ1048418" s="242"/>
      <c r="FK1048418" s="242"/>
      <c r="FL1048418" s="242"/>
      <c r="FM1048418" s="242"/>
      <c r="FN1048418" s="242"/>
      <c r="FO1048418" s="242"/>
      <c r="FP1048418" s="242"/>
      <c r="FQ1048418" s="242"/>
      <c r="FR1048418" s="242"/>
      <c r="FS1048418" s="242"/>
      <c r="FT1048418" s="242"/>
      <c r="FU1048418" s="242"/>
      <c r="FV1048418" s="242"/>
      <c r="FW1048418" s="242"/>
      <c r="FX1048418" s="242"/>
      <c r="FY1048418" s="242"/>
      <c r="FZ1048418" s="242"/>
      <c r="GA1048418" s="242"/>
      <c r="GB1048418" s="242"/>
      <c r="GC1048418" s="242"/>
      <c r="GD1048418" s="242"/>
      <c r="GE1048418" s="242"/>
      <c r="GF1048418" s="242"/>
      <c r="GG1048418" s="242"/>
      <c r="GH1048418" s="242"/>
      <c r="GI1048418" s="242"/>
      <c r="GJ1048418" s="242"/>
      <c r="GK1048418" s="242"/>
      <c r="GL1048418" s="242"/>
      <c r="GM1048418" s="242"/>
      <c r="GN1048418" s="242"/>
      <c r="GO1048418" s="242"/>
      <c r="GP1048418" s="242"/>
      <c r="GQ1048418" s="242"/>
      <c r="GR1048418" s="242"/>
      <c r="GS1048418" s="242"/>
      <c r="GT1048418" s="242"/>
      <c r="GU1048418" s="242"/>
      <c r="GV1048418" s="242"/>
      <c r="GW1048418" s="242"/>
      <c r="GX1048418" s="242"/>
      <c r="GY1048418" s="242"/>
      <c r="GZ1048418" s="242"/>
      <c r="HA1048418" s="242"/>
      <c r="HB1048418" s="242"/>
      <c r="HC1048418" s="242"/>
      <c r="HD1048418" s="242"/>
      <c r="HE1048418" s="242"/>
      <c r="HF1048418" s="242"/>
      <c r="HG1048418" s="242"/>
      <c r="HH1048418" s="242"/>
      <c r="HI1048418" s="242"/>
      <c r="HJ1048418" s="242"/>
      <c r="HK1048418" s="242"/>
      <c r="HL1048418" s="242"/>
      <c r="HM1048418" s="242"/>
      <c r="HN1048418" s="242"/>
      <c r="HO1048418" s="242"/>
      <c r="HP1048418" s="242"/>
      <c r="HQ1048418" s="242"/>
      <c r="HR1048418" s="242"/>
      <c r="HS1048418" s="242"/>
      <c r="HT1048418" s="242"/>
      <c r="HU1048418" s="242"/>
      <c r="HV1048418" s="242"/>
      <c r="HW1048418" s="242"/>
      <c r="HX1048418" s="242"/>
      <c r="HY1048418" s="242"/>
      <c r="HZ1048418" s="242"/>
      <c r="IA1048418" s="242"/>
      <c r="IB1048418" s="242"/>
      <c r="IC1048418" s="242"/>
      <c r="ID1048418" s="242"/>
      <c r="IE1048418" s="242"/>
      <c r="IF1048418" s="242"/>
      <c r="IG1048418" s="242"/>
      <c r="IH1048418" s="242"/>
      <c r="II1048418" s="242"/>
      <c r="IJ1048418" s="242"/>
      <c r="IK1048418" s="242"/>
      <c r="IL1048418" s="242"/>
      <c r="IM1048418" s="242"/>
      <c r="IN1048418" s="242"/>
      <c r="IO1048418" s="242"/>
      <c r="IP1048418" s="242"/>
      <c r="IQ1048418" s="242"/>
    </row>
    <row r="1048419" spans="1:251" s="243" customFormat="1" ht="12" customHeight="1">
      <c r="A1048419" s="242"/>
      <c r="B1048419" s="242"/>
      <c r="C1048419" s="242"/>
      <c r="D1048419" s="242"/>
      <c r="E1048419" s="242"/>
      <c r="F1048419" s="242"/>
      <c r="G1048419" s="242"/>
      <c r="H1048419" s="242"/>
      <c r="I1048419" s="242"/>
      <c r="J1048419" s="242"/>
      <c r="K1048419" s="242"/>
      <c r="L1048419" s="242"/>
      <c r="M1048419" s="242"/>
      <c r="N1048419" s="242"/>
      <c r="O1048419" s="242"/>
      <c r="P1048419" s="242"/>
      <c r="Q1048419" s="242"/>
      <c r="R1048419" s="242"/>
      <c r="S1048419" s="242"/>
      <c r="T1048419" s="242"/>
      <c r="U1048419" s="242"/>
      <c r="V1048419" s="242"/>
      <c r="W1048419" s="242"/>
      <c r="X1048419" s="242"/>
      <c r="Y1048419" s="242"/>
      <c r="Z1048419" s="242"/>
      <c r="AA1048419" s="242"/>
      <c r="AB1048419" s="242"/>
      <c r="AC1048419" s="242"/>
      <c r="AD1048419" s="242"/>
      <c r="AE1048419" s="242"/>
      <c r="AF1048419" s="242"/>
      <c r="AG1048419" s="242"/>
      <c r="AH1048419" s="242"/>
      <c r="AI1048419" s="242"/>
      <c r="AJ1048419" s="242"/>
      <c r="AK1048419" s="242"/>
      <c r="AL1048419" s="242"/>
      <c r="AM1048419" s="242"/>
      <c r="AN1048419" s="242"/>
      <c r="AO1048419" s="242"/>
      <c r="AP1048419" s="242"/>
      <c r="AQ1048419" s="242"/>
      <c r="AR1048419" s="242"/>
      <c r="AS1048419" s="242"/>
      <c r="AT1048419" s="242"/>
      <c r="AU1048419" s="242"/>
      <c r="AV1048419" s="242"/>
      <c r="AW1048419" s="242"/>
      <c r="AX1048419" s="242"/>
      <c r="AY1048419" s="242"/>
      <c r="AZ1048419" s="242"/>
      <c r="BA1048419" s="242"/>
      <c r="BB1048419" s="242"/>
      <c r="BC1048419" s="242"/>
      <c r="BD1048419" s="242"/>
      <c r="BE1048419" s="242"/>
      <c r="BF1048419" s="242"/>
      <c r="BG1048419" s="242"/>
      <c r="BH1048419" s="242"/>
      <c r="BI1048419" s="242"/>
      <c r="BJ1048419" s="242"/>
      <c r="BK1048419" s="242"/>
      <c r="BL1048419" s="242"/>
      <c r="BM1048419" s="242"/>
      <c r="BN1048419" s="242"/>
      <c r="BO1048419" s="242"/>
      <c r="BP1048419" s="242"/>
      <c r="BQ1048419" s="242"/>
      <c r="BR1048419" s="242"/>
      <c r="BS1048419" s="242"/>
      <c r="BT1048419" s="242"/>
      <c r="BU1048419" s="242"/>
      <c r="BV1048419" s="242"/>
      <c r="BW1048419" s="242"/>
      <c r="BX1048419" s="242"/>
      <c r="BY1048419" s="242"/>
      <c r="BZ1048419" s="242"/>
      <c r="CA1048419" s="242"/>
      <c r="CB1048419" s="242"/>
      <c r="CC1048419" s="242"/>
      <c r="CD1048419" s="242"/>
      <c r="CE1048419" s="242"/>
      <c r="CF1048419" s="242"/>
      <c r="CG1048419" s="242"/>
      <c r="CH1048419" s="242"/>
      <c r="CI1048419" s="242"/>
      <c r="CJ1048419" s="242"/>
      <c r="CK1048419" s="242"/>
      <c r="CL1048419" s="242"/>
      <c r="CM1048419" s="242"/>
      <c r="CN1048419" s="242"/>
      <c r="CO1048419" s="242"/>
      <c r="CP1048419" s="242"/>
      <c r="CQ1048419" s="242"/>
      <c r="CR1048419" s="242"/>
      <c r="CS1048419" s="242"/>
      <c r="CT1048419" s="242"/>
      <c r="CU1048419" s="242"/>
      <c r="CV1048419" s="242"/>
      <c r="CW1048419" s="242"/>
      <c r="CX1048419" s="242"/>
      <c r="CY1048419" s="242"/>
      <c r="CZ1048419" s="242"/>
      <c r="DA1048419" s="242"/>
      <c r="DB1048419" s="242"/>
      <c r="DC1048419" s="242"/>
      <c r="DD1048419" s="242"/>
      <c r="DE1048419" s="242"/>
      <c r="DF1048419" s="242"/>
      <c r="DG1048419" s="242"/>
      <c r="DH1048419" s="242"/>
      <c r="DI1048419" s="242"/>
      <c r="DJ1048419" s="242"/>
      <c r="DK1048419" s="242"/>
      <c r="DL1048419" s="242"/>
      <c r="DM1048419" s="242"/>
      <c r="DN1048419" s="242"/>
      <c r="DO1048419" s="242"/>
      <c r="DP1048419" s="242"/>
      <c r="DQ1048419" s="242"/>
      <c r="DR1048419" s="242"/>
      <c r="DS1048419" s="242"/>
      <c r="DT1048419" s="242"/>
      <c r="DU1048419" s="242"/>
      <c r="DV1048419" s="242"/>
      <c r="DW1048419" s="242"/>
      <c r="DX1048419" s="242"/>
      <c r="DY1048419" s="242"/>
      <c r="DZ1048419" s="242"/>
      <c r="EA1048419" s="242"/>
      <c r="EB1048419" s="242"/>
      <c r="EC1048419" s="242"/>
      <c r="ED1048419" s="242"/>
      <c r="EE1048419" s="242"/>
      <c r="EF1048419" s="242"/>
      <c r="EG1048419" s="242"/>
      <c r="EH1048419" s="242"/>
      <c r="EI1048419" s="242"/>
      <c r="EJ1048419" s="242"/>
      <c r="EK1048419" s="242"/>
      <c r="EL1048419" s="242"/>
      <c r="EM1048419" s="242"/>
      <c r="EN1048419" s="242"/>
      <c r="EO1048419" s="242"/>
      <c r="EP1048419" s="242"/>
      <c r="EQ1048419" s="242"/>
      <c r="ER1048419" s="242"/>
      <c r="ES1048419" s="242"/>
      <c r="ET1048419" s="242"/>
      <c r="EU1048419" s="242"/>
      <c r="EV1048419" s="242"/>
      <c r="EW1048419" s="242"/>
      <c r="EX1048419" s="242"/>
      <c r="EY1048419" s="242"/>
      <c r="EZ1048419" s="242"/>
      <c r="FA1048419" s="242"/>
      <c r="FB1048419" s="242"/>
      <c r="FC1048419" s="242"/>
      <c r="FD1048419" s="242"/>
      <c r="FE1048419" s="242"/>
      <c r="FF1048419" s="242"/>
      <c r="FG1048419" s="242"/>
      <c r="FH1048419" s="242"/>
      <c r="FI1048419" s="242"/>
      <c r="FJ1048419" s="242"/>
      <c r="FK1048419" s="242"/>
      <c r="FL1048419" s="242"/>
      <c r="FM1048419" s="242"/>
      <c r="FN1048419" s="242"/>
      <c r="FO1048419" s="242"/>
      <c r="FP1048419" s="242"/>
      <c r="FQ1048419" s="242"/>
      <c r="FR1048419" s="242"/>
      <c r="FS1048419" s="242"/>
      <c r="FT1048419" s="242"/>
      <c r="FU1048419" s="242"/>
      <c r="FV1048419" s="242"/>
      <c r="FW1048419" s="242"/>
      <c r="FX1048419" s="242"/>
      <c r="FY1048419" s="242"/>
      <c r="FZ1048419" s="242"/>
      <c r="GA1048419" s="242"/>
      <c r="GB1048419" s="242"/>
      <c r="GC1048419" s="242"/>
      <c r="GD1048419" s="242"/>
      <c r="GE1048419" s="242"/>
      <c r="GF1048419" s="242"/>
      <c r="GG1048419" s="242"/>
      <c r="GH1048419" s="242"/>
      <c r="GI1048419" s="242"/>
      <c r="GJ1048419" s="242"/>
      <c r="GK1048419" s="242"/>
      <c r="GL1048419" s="242"/>
      <c r="GM1048419" s="242"/>
      <c r="GN1048419" s="242"/>
      <c r="GO1048419" s="242"/>
      <c r="GP1048419" s="242"/>
      <c r="GQ1048419" s="242"/>
      <c r="GR1048419" s="242"/>
      <c r="GS1048419" s="242"/>
      <c r="GT1048419" s="242"/>
      <c r="GU1048419" s="242"/>
      <c r="GV1048419" s="242"/>
      <c r="GW1048419" s="242"/>
      <c r="GX1048419" s="242"/>
      <c r="GY1048419" s="242"/>
      <c r="GZ1048419" s="242"/>
      <c r="HA1048419" s="242"/>
      <c r="HB1048419" s="242"/>
      <c r="HC1048419" s="242"/>
      <c r="HD1048419" s="242"/>
      <c r="HE1048419" s="242"/>
      <c r="HF1048419" s="242"/>
      <c r="HG1048419" s="242"/>
      <c r="HH1048419" s="242"/>
      <c r="HI1048419" s="242"/>
      <c r="HJ1048419" s="242"/>
      <c r="HK1048419" s="242"/>
      <c r="HL1048419" s="242"/>
      <c r="HM1048419" s="242"/>
      <c r="HN1048419" s="242"/>
      <c r="HO1048419" s="242"/>
      <c r="HP1048419" s="242"/>
      <c r="HQ1048419" s="242"/>
      <c r="HR1048419" s="242"/>
      <c r="HS1048419" s="242"/>
      <c r="HT1048419" s="242"/>
      <c r="HU1048419" s="242"/>
      <c r="HV1048419" s="242"/>
      <c r="HW1048419" s="242"/>
      <c r="HX1048419" s="242"/>
      <c r="HY1048419" s="242"/>
      <c r="HZ1048419" s="242"/>
      <c r="IA1048419" s="242"/>
      <c r="IB1048419" s="242"/>
      <c r="IC1048419" s="242"/>
      <c r="ID1048419" s="242"/>
      <c r="IE1048419" s="242"/>
      <c r="IF1048419" s="242"/>
      <c r="IG1048419" s="242"/>
      <c r="IH1048419" s="242"/>
      <c r="II1048419" s="242"/>
      <c r="IJ1048419" s="242"/>
      <c r="IK1048419" s="242"/>
      <c r="IL1048419" s="242"/>
      <c r="IM1048419" s="242"/>
      <c r="IN1048419" s="242"/>
      <c r="IO1048419" s="242"/>
      <c r="IP1048419" s="242"/>
      <c r="IQ1048419" s="242"/>
    </row>
    <row r="1048420" spans="1:251" s="243" customFormat="1" ht="12" customHeight="1">
      <c r="A1048420" s="242"/>
      <c r="B1048420" s="242"/>
      <c r="C1048420" s="242"/>
      <c r="D1048420" s="242"/>
      <c r="E1048420" s="242"/>
      <c r="F1048420" s="242"/>
      <c r="G1048420" s="242"/>
      <c r="H1048420" s="242"/>
      <c r="I1048420" s="242"/>
      <c r="J1048420" s="242"/>
      <c r="K1048420" s="242"/>
      <c r="L1048420" s="242"/>
      <c r="M1048420" s="242"/>
      <c r="N1048420" s="242"/>
      <c r="O1048420" s="242"/>
      <c r="P1048420" s="242"/>
      <c r="Q1048420" s="242"/>
      <c r="R1048420" s="242"/>
      <c r="S1048420" s="242"/>
      <c r="T1048420" s="242"/>
      <c r="U1048420" s="242"/>
      <c r="V1048420" s="242"/>
      <c r="W1048420" s="242"/>
      <c r="X1048420" s="242"/>
      <c r="Y1048420" s="242"/>
      <c r="Z1048420" s="242"/>
      <c r="AA1048420" s="242"/>
      <c r="AB1048420" s="242"/>
      <c r="AC1048420" s="242"/>
      <c r="AD1048420" s="242"/>
      <c r="AE1048420" s="242"/>
      <c r="AF1048420" s="242"/>
      <c r="AG1048420" s="242"/>
      <c r="AH1048420" s="242"/>
      <c r="AI1048420" s="242"/>
      <c r="AJ1048420" s="242"/>
      <c r="AK1048420" s="242"/>
      <c r="AL1048420" s="242"/>
      <c r="AM1048420" s="242"/>
      <c r="AN1048420" s="242"/>
      <c r="AO1048420" s="242"/>
      <c r="AP1048420" s="242"/>
      <c r="AQ1048420" s="242"/>
      <c r="AR1048420" s="242"/>
      <c r="AS1048420" s="242"/>
      <c r="AT1048420" s="242"/>
      <c r="AU1048420" s="242"/>
      <c r="AV1048420" s="242"/>
      <c r="AW1048420" s="242"/>
      <c r="AX1048420" s="242"/>
      <c r="AY1048420" s="242"/>
      <c r="AZ1048420" s="242"/>
      <c r="BA1048420" s="242"/>
      <c r="BB1048420" s="242"/>
      <c r="BC1048420" s="242"/>
      <c r="BD1048420" s="242"/>
      <c r="BE1048420" s="242"/>
      <c r="BF1048420" s="242"/>
      <c r="BG1048420" s="242"/>
      <c r="BH1048420" s="242"/>
      <c r="BI1048420" s="242"/>
      <c r="BJ1048420" s="242"/>
      <c r="BK1048420" s="242"/>
      <c r="BL1048420" s="242"/>
      <c r="BM1048420" s="242"/>
      <c r="BN1048420" s="242"/>
      <c r="BO1048420" s="242"/>
      <c r="BP1048420" s="242"/>
      <c r="BQ1048420" s="242"/>
      <c r="BR1048420" s="242"/>
      <c r="BS1048420" s="242"/>
      <c r="BT1048420" s="242"/>
      <c r="BU1048420" s="242"/>
      <c r="BV1048420" s="242"/>
      <c r="BW1048420" s="242"/>
      <c r="BX1048420" s="242"/>
      <c r="BY1048420" s="242"/>
      <c r="BZ1048420" s="242"/>
      <c r="CA1048420" s="242"/>
      <c r="CB1048420" s="242"/>
      <c r="CC1048420" s="242"/>
      <c r="CD1048420" s="242"/>
      <c r="CE1048420" s="242"/>
      <c r="CF1048420" s="242"/>
      <c r="CG1048420" s="242"/>
      <c r="CH1048420" s="242"/>
      <c r="CI1048420" s="242"/>
      <c r="CJ1048420" s="242"/>
      <c r="CK1048420" s="242"/>
      <c r="CL1048420" s="242"/>
      <c r="CM1048420" s="242"/>
      <c r="CN1048420" s="242"/>
      <c r="CO1048420" s="242"/>
      <c r="CP1048420" s="242"/>
      <c r="CQ1048420" s="242"/>
      <c r="CR1048420" s="242"/>
      <c r="CS1048420" s="242"/>
      <c r="CT1048420" s="242"/>
      <c r="CU1048420" s="242"/>
      <c r="CV1048420" s="242"/>
      <c r="CW1048420" s="242"/>
      <c r="CX1048420" s="242"/>
      <c r="CY1048420" s="242"/>
      <c r="CZ1048420" s="242"/>
      <c r="DA1048420" s="242"/>
      <c r="DB1048420" s="242"/>
      <c r="DC1048420" s="242"/>
      <c r="DD1048420" s="242"/>
      <c r="DE1048420" s="242"/>
      <c r="DF1048420" s="242"/>
      <c r="DG1048420" s="242"/>
      <c r="DH1048420" s="242"/>
      <c r="DI1048420" s="242"/>
      <c r="DJ1048420" s="242"/>
      <c r="DK1048420" s="242"/>
      <c r="DL1048420" s="242"/>
      <c r="DM1048420" s="242"/>
      <c r="DN1048420" s="242"/>
      <c r="DO1048420" s="242"/>
      <c r="DP1048420" s="242"/>
      <c r="DQ1048420" s="242"/>
      <c r="DR1048420" s="242"/>
      <c r="DS1048420" s="242"/>
      <c r="DT1048420" s="242"/>
      <c r="DU1048420" s="242"/>
      <c r="DV1048420" s="242"/>
      <c r="DW1048420" s="242"/>
      <c r="DX1048420" s="242"/>
      <c r="DY1048420" s="242"/>
      <c r="DZ1048420" s="242"/>
      <c r="EA1048420" s="242"/>
      <c r="EB1048420" s="242"/>
      <c r="EC1048420" s="242"/>
      <c r="ED1048420" s="242"/>
      <c r="EE1048420" s="242"/>
      <c r="EF1048420" s="242"/>
      <c r="EG1048420" s="242"/>
      <c r="EH1048420" s="242"/>
      <c r="EI1048420" s="242"/>
      <c r="EJ1048420" s="242"/>
      <c r="EK1048420" s="242"/>
      <c r="EL1048420" s="242"/>
      <c r="EM1048420" s="242"/>
      <c r="EN1048420" s="242"/>
      <c r="EO1048420" s="242"/>
      <c r="EP1048420" s="242"/>
      <c r="EQ1048420" s="242"/>
      <c r="ER1048420" s="242"/>
      <c r="ES1048420" s="242"/>
      <c r="ET1048420" s="242"/>
      <c r="EU1048420" s="242"/>
      <c r="EV1048420" s="242"/>
      <c r="EW1048420" s="242"/>
      <c r="EX1048420" s="242"/>
      <c r="EY1048420" s="242"/>
      <c r="EZ1048420" s="242"/>
      <c r="FA1048420" s="242"/>
      <c r="FB1048420" s="242"/>
      <c r="FC1048420" s="242"/>
      <c r="FD1048420" s="242"/>
      <c r="FE1048420" s="242"/>
      <c r="FF1048420" s="242"/>
      <c r="FG1048420" s="242"/>
      <c r="FH1048420" s="242"/>
      <c r="FI1048420" s="242"/>
      <c r="FJ1048420" s="242"/>
      <c r="FK1048420" s="242"/>
      <c r="FL1048420" s="242"/>
      <c r="FM1048420" s="242"/>
      <c r="FN1048420" s="242"/>
      <c r="FO1048420" s="242"/>
      <c r="FP1048420" s="242"/>
      <c r="FQ1048420" s="242"/>
      <c r="FR1048420" s="242"/>
      <c r="FS1048420" s="242"/>
      <c r="FT1048420" s="242"/>
      <c r="FU1048420" s="242"/>
      <c r="FV1048420" s="242"/>
      <c r="FW1048420" s="242"/>
      <c r="FX1048420" s="242"/>
      <c r="FY1048420" s="242"/>
      <c r="FZ1048420" s="242"/>
      <c r="GA1048420" s="242"/>
      <c r="GB1048420" s="242"/>
      <c r="GC1048420" s="242"/>
      <c r="GD1048420" s="242"/>
      <c r="GE1048420" s="242"/>
      <c r="GF1048420" s="242"/>
      <c r="GG1048420" s="242"/>
      <c r="GH1048420" s="242"/>
      <c r="GI1048420" s="242"/>
      <c r="GJ1048420" s="242"/>
      <c r="GK1048420" s="242"/>
      <c r="GL1048420" s="242"/>
      <c r="GM1048420" s="242"/>
      <c r="GN1048420" s="242"/>
      <c r="GO1048420" s="242"/>
      <c r="GP1048420" s="242"/>
      <c r="GQ1048420" s="242"/>
      <c r="GR1048420" s="242"/>
      <c r="GS1048420" s="242"/>
      <c r="GT1048420" s="242"/>
      <c r="GU1048420" s="242"/>
      <c r="GV1048420" s="242"/>
      <c r="GW1048420" s="242"/>
      <c r="GX1048420" s="242"/>
      <c r="GY1048420" s="242"/>
      <c r="GZ1048420" s="242"/>
      <c r="HA1048420" s="242"/>
      <c r="HB1048420" s="242"/>
      <c r="HC1048420" s="242"/>
      <c r="HD1048420" s="242"/>
      <c r="HE1048420" s="242"/>
      <c r="HF1048420" s="242"/>
      <c r="HG1048420" s="242"/>
      <c r="HH1048420" s="242"/>
      <c r="HI1048420" s="242"/>
      <c r="HJ1048420" s="242"/>
      <c r="HK1048420" s="242"/>
      <c r="HL1048420" s="242"/>
      <c r="HM1048420" s="242"/>
      <c r="HN1048420" s="242"/>
      <c r="HO1048420" s="242"/>
      <c r="HP1048420" s="242"/>
      <c r="HQ1048420" s="242"/>
      <c r="HR1048420" s="242"/>
      <c r="HS1048420" s="242"/>
      <c r="HT1048420" s="242"/>
      <c r="HU1048420" s="242"/>
      <c r="HV1048420" s="242"/>
      <c r="HW1048420" s="242"/>
      <c r="HX1048420" s="242"/>
      <c r="HY1048420" s="242"/>
      <c r="HZ1048420" s="242"/>
      <c r="IA1048420" s="242"/>
      <c r="IB1048420" s="242"/>
      <c r="IC1048420" s="242"/>
      <c r="ID1048420" s="242"/>
      <c r="IE1048420" s="242"/>
      <c r="IF1048420" s="242"/>
      <c r="IG1048420" s="242"/>
      <c r="IH1048420" s="242"/>
      <c r="II1048420" s="242"/>
      <c r="IJ1048420" s="242"/>
      <c r="IK1048420" s="242"/>
      <c r="IL1048420" s="242"/>
      <c r="IM1048420" s="242"/>
      <c r="IN1048420" s="242"/>
      <c r="IO1048420" s="242"/>
      <c r="IP1048420" s="242"/>
      <c r="IQ1048420" s="242"/>
    </row>
    <row r="1048421" spans="1:251" s="243" customFormat="1" ht="12" customHeight="1">
      <c r="A1048421" s="242"/>
      <c r="B1048421" s="242"/>
      <c r="C1048421" s="242"/>
      <c r="D1048421" s="242"/>
      <c r="E1048421" s="242"/>
      <c r="F1048421" s="242"/>
      <c r="G1048421" s="242"/>
      <c r="H1048421" s="242"/>
      <c r="I1048421" s="242"/>
      <c r="J1048421" s="242"/>
      <c r="K1048421" s="242"/>
      <c r="L1048421" s="242"/>
      <c r="M1048421" s="242"/>
      <c r="N1048421" s="242"/>
      <c r="O1048421" s="242"/>
      <c r="P1048421" s="242"/>
      <c r="Q1048421" s="242"/>
      <c r="R1048421" s="242"/>
      <c r="S1048421" s="242"/>
      <c r="T1048421" s="242"/>
      <c r="U1048421" s="242"/>
      <c r="V1048421" s="242"/>
      <c r="W1048421" s="242"/>
      <c r="X1048421" s="242"/>
      <c r="Y1048421" s="242"/>
      <c r="Z1048421" s="242"/>
      <c r="AA1048421" s="242"/>
      <c r="AB1048421" s="242"/>
      <c r="AC1048421" s="242"/>
      <c r="AD1048421" s="242"/>
      <c r="AE1048421" s="242"/>
      <c r="AF1048421" s="242"/>
      <c r="AG1048421" s="242"/>
      <c r="AH1048421" s="242"/>
      <c r="AI1048421" s="242"/>
      <c r="AJ1048421" s="242"/>
      <c r="AK1048421" s="242"/>
      <c r="AL1048421" s="242"/>
      <c r="AM1048421" s="242"/>
      <c r="AN1048421" s="242"/>
      <c r="AO1048421" s="242"/>
      <c r="AP1048421" s="242"/>
      <c r="AQ1048421" s="242"/>
      <c r="AR1048421" s="242"/>
      <c r="AS1048421" s="242"/>
      <c r="AT1048421" s="242"/>
      <c r="AU1048421" s="242"/>
      <c r="AV1048421" s="242"/>
      <c r="AW1048421" s="242"/>
      <c r="AX1048421" s="242"/>
      <c r="AY1048421" s="242"/>
      <c r="AZ1048421" s="242"/>
      <c r="BA1048421" s="242"/>
      <c r="BB1048421" s="242"/>
      <c r="BC1048421" s="242"/>
      <c r="BD1048421" s="242"/>
      <c r="BE1048421" s="242"/>
      <c r="BF1048421" s="242"/>
      <c r="BG1048421" s="242"/>
      <c r="BH1048421" s="242"/>
      <c r="BI1048421" s="242"/>
      <c r="BJ1048421" s="242"/>
      <c r="BK1048421" s="242"/>
      <c r="BL1048421" s="242"/>
      <c r="BM1048421" s="242"/>
      <c r="BN1048421" s="242"/>
      <c r="BO1048421" s="242"/>
      <c r="BP1048421" s="242"/>
      <c r="BQ1048421" s="242"/>
      <c r="BR1048421" s="242"/>
      <c r="BS1048421" s="242"/>
      <c r="BT1048421" s="242"/>
      <c r="BU1048421" s="242"/>
      <c r="BV1048421" s="242"/>
      <c r="BW1048421" s="242"/>
      <c r="BX1048421" s="242"/>
      <c r="BY1048421" s="242"/>
      <c r="BZ1048421" s="242"/>
      <c r="CA1048421" s="242"/>
      <c r="CB1048421" s="242"/>
      <c r="CC1048421" s="242"/>
      <c r="CD1048421" s="242"/>
      <c r="CE1048421" s="242"/>
      <c r="CF1048421" s="242"/>
      <c r="CG1048421" s="242"/>
      <c r="CH1048421" s="242"/>
      <c r="CI1048421" s="242"/>
      <c r="CJ1048421" s="242"/>
      <c r="CK1048421" s="242"/>
      <c r="CL1048421" s="242"/>
      <c r="CM1048421" s="242"/>
      <c r="CN1048421" s="242"/>
      <c r="CO1048421" s="242"/>
      <c r="CP1048421" s="242"/>
      <c r="CQ1048421" s="242"/>
      <c r="CR1048421" s="242"/>
      <c r="CS1048421" s="242"/>
      <c r="CT1048421" s="242"/>
      <c r="CU1048421" s="242"/>
      <c r="CV1048421" s="242"/>
      <c r="CW1048421" s="242"/>
      <c r="CX1048421" s="242"/>
      <c r="CY1048421" s="242"/>
      <c r="CZ1048421" s="242"/>
      <c r="DA1048421" s="242"/>
      <c r="DB1048421" s="242"/>
      <c r="DC1048421" s="242"/>
      <c r="DD1048421" s="242"/>
      <c r="DE1048421" s="242"/>
      <c r="DF1048421" s="242"/>
      <c r="DG1048421" s="242"/>
      <c r="DH1048421" s="242"/>
      <c r="DI1048421" s="242"/>
      <c r="DJ1048421" s="242"/>
      <c r="DK1048421" s="242"/>
      <c r="DL1048421" s="242"/>
      <c r="DM1048421" s="242"/>
      <c r="DN1048421" s="242"/>
      <c r="DO1048421" s="242"/>
      <c r="DP1048421" s="242"/>
      <c r="DQ1048421" s="242"/>
      <c r="DR1048421" s="242"/>
      <c r="DS1048421" s="242"/>
      <c r="DT1048421" s="242"/>
      <c r="DU1048421" s="242"/>
      <c r="DV1048421" s="242"/>
      <c r="DW1048421" s="242"/>
      <c r="DX1048421" s="242"/>
      <c r="DY1048421" s="242"/>
      <c r="DZ1048421" s="242"/>
      <c r="EA1048421" s="242"/>
      <c r="EB1048421" s="242"/>
      <c r="EC1048421" s="242"/>
      <c r="ED1048421" s="242"/>
      <c r="EE1048421" s="242"/>
      <c r="EF1048421" s="242"/>
      <c r="EG1048421" s="242"/>
      <c r="EH1048421" s="242"/>
      <c r="EI1048421" s="242"/>
      <c r="EJ1048421" s="242"/>
      <c r="EK1048421" s="242"/>
      <c r="EL1048421" s="242"/>
      <c r="EM1048421" s="242"/>
      <c r="EN1048421" s="242"/>
      <c r="EO1048421" s="242"/>
      <c r="EP1048421" s="242"/>
      <c r="EQ1048421" s="242"/>
      <c r="ER1048421" s="242"/>
      <c r="ES1048421" s="242"/>
      <c r="ET1048421" s="242"/>
      <c r="EU1048421" s="242"/>
      <c r="EV1048421" s="242"/>
      <c r="EW1048421" s="242"/>
      <c r="EX1048421" s="242"/>
      <c r="EY1048421" s="242"/>
      <c r="EZ1048421" s="242"/>
      <c r="FA1048421" s="242"/>
      <c r="FB1048421" s="242"/>
      <c r="FC1048421" s="242"/>
      <c r="FD1048421" s="242"/>
      <c r="FE1048421" s="242"/>
      <c r="FF1048421" s="242"/>
      <c r="FG1048421" s="242"/>
      <c r="FH1048421" s="242"/>
      <c r="FI1048421" s="242"/>
      <c r="FJ1048421" s="242"/>
      <c r="FK1048421" s="242"/>
      <c r="FL1048421" s="242"/>
      <c r="FM1048421" s="242"/>
      <c r="FN1048421" s="242"/>
      <c r="FO1048421" s="242"/>
      <c r="FP1048421" s="242"/>
      <c r="FQ1048421" s="242"/>
      <c r="FR1048421" s="242"/>
      <c r="FS1048421" s="242"/>
      <c r="FT1048421" s="242"/>
      <c r="FU1048421" s="242"/>
      <c r="FV1048421" s="242"/>
      <c r="FW1048421" s="242"/>
      <c r="FX1048421" s="242"/>
      <c r="FY1048421" s="242"/>
      <c r="FZ1048421" s="242"/>
      <c r="GA1048421" s="242"/>
      <c r="GB1048421" s="242"/>
      <c r="GC1048421" s="242"/>
      <c r="GD1048421" s="242"/>
      <c r="GE1048421" s="242"/>
      <c r="GF1048421" s="242"/>
      <c r="GG1048421" s="242"/>
      <c r="GH1048421" s="242"/>
      <c r="GI1048421" s="242"/>
      <c r="GJ1048421" s="242"/>
      <c r="GK1048421" s="242"/>
      <c r="GL1048421" s="242"/>
      <c r="GM1048421" s="242"/>
      <c r="GN1048421" s="242"/>
      <c r="GO1048421" s="242"/>
      <c r="GP1048421" s="242"/>
      <c r="GQ1048421" s="242"/>
      <c r="GR1048421" s="242"/>
      <c r="GS1048421" s="242"/>
      <c r="GT1048421" s="242"/>
      <c r="GU1048421" s="242"/>
      <c r="GV1048421" s="242"/>
      <c r="GW1048421" s="242"/>
      <c r="GX1048421" s="242"/>
      <c r="GY1048421" s="242"/>
      <c r="GZ1048421" s="242"/>
      <c r="HA1048421" s="242"/>
      <c r="HB1048421" s="242"/>
      <c r="HC1048421" s="242"/>
      <c r="HD1048421" s="242"/>
      <c r="HE1048421" s="242"/>
      <c r="HF1048421" s="242"/>
      <c r="HG1048421" s="242"/>
      <c r="HH1048421" s="242"/>
      <c r="HI1048421" s="242"/>
      <c r="HJ1048421" s="242"/>
      <c r="HK1048421" s="242"/>
      <c r="HL1048421" s="242"/>
      <c r="HM1048421" s="242"/>
      <c r="HN1048421" s="242"/>
      <c r="HO1048421" s="242"/>
      <c r="HP1048421" s="242"/>
      <c r="HQ1048421" s="242"/>
      <c r="HR1048421" s="242"/>
      <c r="HS1048421" s="242"/>
      <c r="HT1048421" s="242"/>
      <c r="HU1048421" s="242"/>
      <c r="HV1048421" s="242"/>
      <c r="HW1048421" s="242"/>
      <c r="HX1048421" s="242"/>
      <c r="HY1048421" s="242"/>
      <c r="HZ1048421" s="242"/>
      <c r="IA1048421" s="242"/>
      <c r="IB1048421" s="242"/>
      <c r="IC1048421" s="242"/>
      <c r="ID1048421" s="242"/>
      <c r="IE1048421" s="242"/>
      <c r="IF1048421" s="242"/>
      <c r="IG1048421" s="242"/>
      <c r="IH1048421" s="242"/>
      <c r="II1048421" s="242"/>
      <c r="IJ1048421" s="242"/>
      <c r="IK1048421" s="242"/>
      <c r="IL1048421" s="242"/>
      <c r="IM1048421" s="242"/>
      <c r="IN1048421" s="242"/>
      <c r="IO1048421" s="242"/>
      <c r="IP1048421" s="242"/>
      <c r="IQ1048421" s="242"/>
    </row>
    <row r="1048422" spans="1:251" s="243" customFormat="1" ht="12" customHeight="1">
      <c r="A1048422" s="242"/>
      <c r="B1048422" s="242"/>
      <c r="C1048422" s="242"/>
      <c r="D1048422" s="242"/>
      <c r="E1048422" s="242"/>
      <c r="F1048422" s="242"/>
      <c r="G1048422" s="242"/>
      <c r="H1048422" s="242"/>
      <c r="I1048422" s="242"/>
      <c r="J1048422" s="242"/>
      <c r="K1048422" s="242"/>
      <c r="L1048422" s="242"/>
      <c r="M1048422" s="242"/>
      <c r="N1048422" s="242"/>
      <c r="O1048422" s="242"/>
      <c r="P1048422" s="242"/>
      <c r="Q1048422" s="242"/>
      <c r="R1048422" s="242"/>
      <c r="S1048422" s="242"/>
      <c r="T1048422" s="242"/>
      <c r="U1048422" s="242"/>
      <c r="V1048422" s="242"/>
      <c r="W1048422" s="242"/>
      <c r="X1048422" s="242"/>
      <c r="Y1048422" s="242"/>
      <c r="Z1048422" s="242"/>
      <c r="AA1048422" s="242"/>
      <c r="AB1048422" s="242"/>
      <c r="AC1048422" s="242"/>
      <c r="AD1048422" s="242"/>
      <c r="AE1048422" s="242"/>
      <c r="AF1048422" s="242"/>
      <c r="AG1048422" s="242"/>
      <c r="AH1048422" s="242"/>
      <c r="AI1048422" s="242"/>
      <c r="AJ1048422" s="242"/>
      <c r="AK1048422" s="242"/>
      <c r="AL1048422" s="242"/>
      <c r="AM1048422" s="242"/>
      <c r="AN1048422" s="242"/>
      <c r="AO1048422" s="242"/>
      <c r="AP1048422" s="242"/>
      <c r="AQ1048422" s="242"/>
      <c r="AR1048422" s="242"/>
      <c r="AS1048422" s="242"/>
      <c r="AT1048422" s="242"/>
      <c r="AU1048422" s="242"/>
      <c r="AV1048422" s="242"/>
      <c r="AW1048422" s="242"/>
      <c r="AX1048422" s="242"/>
      <c r="AY1048422" s="242"/>
      <c r="AZ1048422" s="242"/>
      <c r="BA1048422" s="242"/>
      <c r="BB1048422" s="242"/>
      <c r="BC1048422" s="242"/>
      <c r="BD1048422" s="242"/>
      <c r="BE1048422" s="242"/>
      <c r="BF1048422" s="242"/>
      <c r="BG1048422" s="242"/>
      <c r="BH1048422" s="242"/>
      <c r="BI1048422" s="242"/>
      <c r="BJ1048422" s="242"/>
      <c r="BK1048422" s="242"/>
      <c r="BL1048422" s="242"/>
      <c r="BM1048422" s="242"/>
      <c r="BN1048422" s="242"/>
      <c r="BO1048422" s="242"/>
      <c r="BP1048422" s="242"/>
      <c r="BQ1048422" s="242"/>
      <c r="BR1048422" s="242"/>
      <c r="BS1048422" s="242"/>
      <c r="BT1048422" s="242"/>
      <c r="BU1048422" s="242"/>
      <c r="BV1048422" s="242"/>
      <c r="BW1048422" s="242"/>
      <c r="BX1048422" s="242"/>
      <c r="BY1048422" s="242"/>
      <c r="BZ1048422" s="242"/>
      <c r="CA1048422" s="242"/>
      <c r="CB1048422" s="242"/>
      <c r="CC1048422" s="242"/>
      <c r="CD1048422" s="242"/>
      <c r="CE1048422" s="242"/>
      <c r="CF1048422" s="242"/>
      <c r="CG1048422" s="242"/>
      <c r="CH1048422" s="242"/>
      <c r="CI1048422" s="242"/>
      <c r="CJ1048422" s="242"/>
      <c r="CK1048422" s="242"/>
      <c r="CL1048422" s="242"/>
      <c r="CM1048422" s="242"/>
      <c r="CN1048422" s="242"/>
      <c r="CO1048422" s="242"/>
      <c r="CP1048422" s="242"/>
      <c r="CQ1048422" s="242"/>
      <c r="CR1048422" s="242"/>
      <c r="CS1048422" s="242"/>
      <c r="CT1048422" s="242"/>
      <c r="CU1048422" s="242"/>
      <c r="CV1048422" s="242"/>
      <c r="CW1048422" s="242"/>
      <c r="CX1048422" s="242"/>
      <c r="CY1048422" s="242"/>
      <c r="CZ1048422" s="242"/>
      <c r="DA1048422" s="242"/>
      <c r="DB1048422" s="242"/>
      <c r="DC1048422" s="242"/>
      <c r="DD1048422" s="242"/>
      <c r="DE1048422" s="242"/>
      <c r="DF1048422" s="242"/>
      <c r="DG1048422" s="242"/>
      <c r="DH1048422" s="242"/>
      <c r="DI1048422" s="242"/>
      <c r="DJ1048422" s="242"/>
      <c r="DK1048422" s="242"/>
      <c r="DL1048422" s="242"/>
      <c r="DM1048422" s="242"/>
      <c r="DN1048422" s="242"/>
      <c r="DO1048422" s="242"/>
      <c r="DP1048422" s="242"/>
      <c r="DQ1048422" s="242"/>
      <c r="DR1048422" s="242"/>
      <c r="DS1048422" s="242"/>
      <c r="DT1048422" s="242"/>
      <c r="DU1048422" s="242"/>
      <c r="DV1048422" s="242"/>
      <c r="DW1048422" s="242"/>
      <c r="DX1048422" s="242"/>
      <c r="DY1048422" s="242"/>
      <c r="DZ1048422" s="242"/>
      <c r="EA1048422" s="242"/>
      <c r="EB1048422" s="242"/>
      <c r="EC1048422" s="242"/>
      <c r="ED1048422" s="242"/>
      <c r="EE1048422" s="242"/>
      <c r="EF1048422" s="242"/>
      <c r="EG1048422" s="242"/>
      <c r="EH1048422" s="242"/>
      <c r="EI1048422" s="242"/>
      <c r="EJ1048422" s="242"/>
      <c r="EK1048422" s="242"/>
      <c r="EL1048422" s="242"/>
      <c r="EM1048422" s="242"/>
      <c r="EN1048422" s="242"/>
      <c r="EO1048422" s="242"/>
      <c r="EP1048422" s="242"/>
      <c r="EQ1048422" s="242"/>
      <c r="ER1048422" s="242"/>
      <c r="ES1048422" s="242"/>
      <c r="ET1048422" s="242"/>
      <c r="EU1048422" s="242"/>
      <c r="EV1048422" s="242"/>
      <c r="EW1048422" s="242"/>
      <c r="EX1048422" s="242"/>
      <c r="EY1048422" s="242"/>
      <c r="EZ1048422" s="242"/>
      <c r="FA1048422" s="242"/>
      <c r="FB1048422" s="242"/>
      <c r="FC1048422" s="242"/>
      <c r="FD1048422" s="242"/>
      <c r="FE1048422" s="242"/>
      <c r="FF1048422" s="242"/>
      <c r="FG1048422" s="242"/>
      <c r="FH1048422" s="242"/>
      <c r="FI1048422" s="242"/>
      <c r="FJ1048422" s="242"/>
      <c r="FK1048422" s="242"/>
      <c r="FL1048422" s="242"/>
      <c r="FM1048422" s="242"/>
      <c r="FN1048422" s="242"/>
      <c r="FO1048422" s="242"/>
      <c r="FP1048422" s="242"/>
      <c r="FQ1048422" s="242"/>
      <c r="FR1048422" s="242"/>
      <c r="FS1048422" s="242"/>
      <c r="FT1048422" s="242"/>
      <c r="FU1048422" s="242"/>
      <c r="FV1048422" s="242"/>
      <c r="FW1048422" s="242"/>
      <c r="FX1048422" s="242"/>
      <c r="FY1048422" s="242"/>
      <c r="FZ1048422" s="242"/>
      <c r="GA1048422" s="242"/>
      <c r="GB1048422" s="242"/>
      <c r="GC1048422" s="242"/>
      <c r="GD1048422" s="242"/>
      <c r="GE1048422" s="242"/>
      <c r="GF1048422" s="242"/>
      <c r="GG1048422" s="242"/>
      <c r="GH1048422" s="242"/>
      <c r="GI1048422" s="242"/>
      <c r="GJ1048422" s="242"/>
      <c r="GK1048422" s="242"/>
      <c r="GL1048422" s="242"/>
      <c r="GM1048422" s="242"/>
      <c r="GN1048422" s="242"/>
      <c r="GO1048422" s="242"/>
      <c r="GP1048422" s="242"/>
      <c r="GQ1048422" s="242"/>
      <c r="GR1048422" s="242"/>
      <c r="GS1048422" s="242"/>
      <c r="GT1048422" s="242"/>
      <c r="GU1048422" s="242"/>
      <c r="GV1048422" s="242"/>
      <c r="GW1048422" s="242"/>
      <c r="GX1048422" s="242"/>
      <c r="GY1048422" s="242"/>
      <c r="GZ1048422" s="242"/>
      <c r="HA1048422" s="242"/>
      <c r="HB1048422" s="242"/>
      <c r="HC1048422" s="242"/>
      <c r="HD1048422" s="242"/>
      <c r="HE1048422" s="242"/>
      <c r="HF1048422" s="242"/>
      <c r="HG1048422" s="242"/>
      <c r="HH1048422" s="242"/>
      <c r="HI1048422" s="242"/>
      <c r="HJ1048422" s="242"/>
      <c r="HK1048422" s="242"/>
      <c r="HL1048422" s="242"/>
      <c r="HM1048422" s="242"/>
      <c r="HN1048422" s="242"/>
      <c r="HO1048422" s="242"/>
      <c r="HP1048422" s="242"/>
      <c r="HQ1048422" s="242"/>
      <c r="HR1048422" s="242"/>
      <c r="HS1048422" s="242"/>
      <c r="HT1048422" s="242"/>
      <c r="HU1048422" s="242"/>
      <c r="HV1048422" s="242"/>
      <c r="HW1048422" s="242"/>
      <c r="HX1048422" s="242"/>
      <c r="HY1048422" s="242"/>
      <c r="HZ1048422" s="242"/>
      <c r="IA1048422" s="242"/>
      <c r="IB1048422" s="242"/>
      <c r="IC1048422" s="242"/>
      <c r="ID1048422" s="242"/>
      <c r="IE1048422" s="242"/>
      <c r="IF1048422" s="242"/>
      <c r="IG1048422" s="242"/>
      <c r="IH1048422" s="242"/>
      <c r="II1048422" s="242"/>
      <c r="IJ1048422" s="242"/>
      <c r="IK1048422" s="242"/>
      <c r="IL1048422" s="242"/>
      <c r="IM1048422" s="242"/>
      <c r="IN1048422" s="242"/>
      <c r="IO1048422" s="242"/>
      <c r="IP1048422" s="242"/>
      <c r="IQ1048422" s="242"/>
    </row>
    <row r="1048423" spans="1:251" s="243" customFormat="1" ht="12" customHeight="1">
      <c r="A1048423" s="242"/>
      <c r="B1048423" s="242"/>
      <c r="C1048423" s="242"/>
      <c r="D1048423" s="242"/>
      <c r="E1048423" s="242"/>
      <c r="F1048423" s="242"/>
      <c r="G1048423" s="242"/>
      <c r="H1048423" s="242"/>
      <c r="I1048423" s="242"/>
      <c r="J1048423" s="242"/>
      <c r="K1048423" s="242"/>
      <c r="L1048423" s="242"/>
      <c r="M1048423" s="242"/>
      <c r="N1048423" s="242"/>
      <c r="O1048423" s="242"/>
      <c r="P1048423" s="242"/>
      <c r="Q1048423" s="242"/>
      <c r="R1048423" s="242"/>
      <c r="S1048423" s="242"/>
      <c r="T1048423" s="242"/>
      <c r="U1048423" s="242"/>
      <c r="V1048423" s="242"/>
      <c r="W1048423" s="242"/>
      <c r="X1048423" s="242"/>
      <c r="Y1048423" s="242"/>
      <c r="Z1048423" s="242"/>
      <c r="AA1048423" s="242"/>
      <c r="AB1048423" s="242"/>
      <c r="AC1048423" s="242"/>
      <c r="AD1048423" s="242"/>
      <c r="AE1048423" s="242"/>
      <c r="AF1048423" s="242"/>
      <c r="AG1048423" s="242"/>
      <c r="AH1048423" s="242"/>
      <c r="AI1048423" s="242"/>
      <c r="AJ1048423" s="242"/>
      <c r="AK1048423" s="242"/>
      <c r="AL1048423" s="242"/>
      <c r="AM1048423" s="242"/>
      <c r="AN1048423" s="242"/>
      <c r="AO1048423" s="242"/>
      <c r="AP1048423" s="242"/>
      <c r="AQ1048423" s="242"/>
      <c r="AR1048423" s="242"/>
      <c r="AS1048423" s="242"/>
      <c r="AT1048423" s="242"/>
      <c r="AU1048423" s="242"/>
      <c r="AV1048423" s="242"/>
      <c r="AW1048423" s="242"/>
      <c r="AX1048423" s="242"/>
      <c r="AY1048423" s="242"/>
      <c r="AZ1048423" s="242"/>
      <c r="BA1048423" s="242"/>
      <c r="BB1048423" s="242"/>
      <c r="BC1048423" s="242"/>
      <c r="BD1048423" s="242"/>
      <c r="BE1048423" s="242"/>
      <c r="BF1048423" s="242"/>
      <c r="BG1048423" s="242"/>
      <c r="BH1048423" s="242"/>
      <c r="BI1048423" s="242"/>
      <c r="BJ1048423" s="242"/>
      <c r="BK1048423" s="242"/>
      <c r="BL1048423" s="242"/>
      <c r="BM1048423" s="242"/>
      <c r="BN1048423" s="242"/>
      <c r="BO1048423" s="242"/>
      <c r="BP1048423" s="242"/>
      <c r="BQ1048423" s="242"/>
      <c r="BR1048423" s="242"/>
      <c r="BS1048423" s="242"/>
      <c r="BT1048423" s="242"/>
      <c r="BU1048423" s="242"/>
      <c r="BV1048423" s="242"/>
      <c r="BW1048423" s="242"/>
      <c r="BX1048423" s="242"/>
      <c r="BY1048423" s="242"/>
      <c r="BZ1048423" s="242"/>
      <c r="CA1048423" s="242"/>
      <c r="CB1048423" s="242"/>
      <c r="CC1048423" s="242"/>
      <c r="CD1048423" s="242"/>
      <c r="CE1048423" s="242"/>
      <c r="CF1048423" s="242"/>
      <c r="CG1048423" s="242"/>
      <c r="CH1048423" s="242"/>
      <c r="CI1048423" s="242"/>
      <c r="CJ1048423" s="242"/>
      <c r="CK1048423" s="242"/>
      <c r="CL1048423" s="242"/>
      <c r="CM1048423" s="242"/>
      <c r="CN1048423" s="242"/>
      <c r="CO1048423" s="242"/>
      <c r="CP1048423" s="242"/>
      <c r="CQ1048423" s="242"/>
      <c r="CR1048423" s="242"/>
      <c r="CS1048423" s="242"/>
      <c r="CT1048423" s="242"/>
      <c r="CU1048423" s="242"/>
      <c r="CV1048423" s="242"/>
      <c r="CW1048423" s="242"/>
      <c r="CX1048423" s="242"/>
      <c r="CY1048423" s="242"/>
      <c r="CZ1048423" s="242"/>
      <c r="DA1048423" s="242"/>
      <c r="DB1048423" s="242"/>
      <c r="DC1048423" s="242"/>
      <c r="DD1048423" s="242"/>
      <c r="DE1048423" s="242"/>
      <c r="DF1048423" s="242"/>
      <c r="DG1048423" s="242"/>
      <c r="DH1048423" s="242"/>
      <c r="DI1048423" s="242"/>
      <c r="DJ1048423" s="242"/>
      <c r="DK1048423" s="242"/>
      <c r="DL1048423" s="242"/>
      <c r="DM1048423" s="242"/>
      <c r="DN1048423" s="242"/>
      <c r="DO1048423" s="242"/>
      <c r="DP1048423" s="242"/>
      <c r="DQ1048423" s="242"/>
      <c r="DR1048423" s="242"/>
      <c r="DS1048423" s="242"/>
      <c r="DT1048423" s="242"/>
      <c r="DU1048423" s="242"/>
      <c r="DV1048423" s="242"/>
      <c r="DW1048423" s="242"/>
      <c r="DX1048423" s="242"/>
      <c r="DY1048423" s="242"/>
      <c r="DZ1048423" s="242"/>
      <c r="EA1048423" s="242"/>
      <c r="EB1048423" s="242"/>
      <c r="EC1048423" s="242"/>
      <c r="ED1048423" s="242"/>
      <c r="EE1048423" s="242"/>
      <c r="EF1048423" s="242"/>
      <c r="EG1048423" s="242"/>
      <c r="EH1048423" s="242"/>
      <c r="EI1048423" s="242"/>
      <c r="EJ1048423" s="242"/>
      <c r="EK1048423" s="242"/>
      <c r="EL1048423" s="242"/>
      <c r="EM1048423" s="242"/>
      <c r="EN1048423" s="242"/>
      <c r="EO1048423" s="242"/>
      <c r="EP1048423" s="242"/>
      <c r="EQ1048423" s="242"/>
      <c r="ER1048423" s="242"/>
      <c r="ES1048423" s="242"/>
      <c r="ET1048423" s="242"/>
      <c r="EU1048423" s="242"/>
      <c r="EV1048423" s="242"/>
      <c r="EW1048423" s="242"/>
      <c r="EX1048423" s="242"/>
      <c r="EY1048423" s="242"/>
      <c r="EZ1048423" s="242"/>
      <c r="FA1048423" s="242"/>
      <c r="FB1048423" s="242"/>
      <c r="FC1048423" s="242"/>
      <c r="FD1048423" s="242"/>
      <c r="FE1048423" s="242"/>
      <c r="FF1048423" s="242"/>
      <c r="FG1048423" s="242"/>
      <c r="FH1048423" s="242"/>
      <c r="FI1048423" s="242"/>
      <c r="FJ1048423" s="242"/>
      <c r="FK1048423" s="242"/>
      <c r="FL1048423" s="242"/>
      <c r="FM1048423" s="242"/>
      <c r="FN1048423" s="242"/>
      <c r="FO1048423" s="242"/>
      <c r="FP1048423" s="242"/>
      <c r="FQ1048423" s="242"/>
      <c r="FR1048423" s="242"/>
      <c r="FS1048423" s="242"/>
      <c r="FT1048423" s="242"/>
      <c r="FU1048423" s="242"/>
      <c r="FV1048423" s="242"/>
      <c r="FW1048423" s="242"/>
      <c r="FX1048423" s="242"/>
      <c r="FY1048423" s="242"/>
      <c r="FZ1048423" s="242"/>
      <c r="GA1048423" s="242"/>
      <c r="GB1048423" s="242"/>
      <c r="GC1048423" s="242"/>
      <c r="GD1048423" s="242"/>
      <c r="GE1048423" s="242"/>
      <c r="GF1048423" s="242"/>
      <c r="GG1048423" s="242"/>
      <c r="GH1048423" s="242"/>
      <c r="GI1048423" s="242"/>
      <c r="GJ1048423" s="242"/>
      <c r="GK1048423" s="242"/>
      <c r="GL1048423" s="242"/>
      <c r="GM1048423" s="242"/>
      <c r="GN1048423" s="242"/>
      <c r="GO1048423" s="242"/>
      <c r="GP1048423" s="242"/>
      <c r="GQ1048423" s="242"/>
      <c r="GR1048423" s="242"/>
      <c r="GS1048423" s="242"/>
      <c r="GT1048423" s="242"/>
      <c r="GU1048423" s="242"/>
      <c r="GV1048423" s="242"/>
      <c r="GW1048423" s="242"/>
      <c r="GX1048423" s="242"/>
      <c r="GY1048423" s="242"/>
      <c r="GZ1048423" s="242"/>
      <c r="HA1048423" s="242"/>
      <c r="HB1048423" s="242"/>
      <c r="HC1048423" s="242"/>
      <c r="HD1048423" s="242"/>
      <c r="HE1048423" s="242"/>
      <c r="HF1048423" s="242"/>
      <c r="HG1048423" s="242"/>
      <c r="HH1048423" s="242"/>
      <c r="HI1048423" s="242"/>
      <c r="HJ1048423" s="242"/>
      <c r="HK1048423" s="242"/>
      <c r="HL1048423" s="242"/>
      <c r="HM1048423" s="242"/>
      <c r="HN1048423" s="242"/>
      <c r="HO1048423" s="242"/>
      <c r="HP1048423" s="242"/>
      <c r="HQ1048423" s="242"/>
      <c r="HR1048423" s="242"/>
      <c r="HS1048423" s="242"/>
      <c r="HT1048423" s="242"/>
      <c r="HU1048423" s="242"/>
      <c r="HV1048423" s="242"/>
      <c r="HW1048423" s="242"/>
      <c r="HX1048423" s="242"/>
      <c r="HY1048423" s="242"/>
      <c r="HZ1048423" s="242"/>
      <c r="IA1048423" s="242"/>
      <c r="IB1048423" s="242"/>
      <c r="IC1048423" s="242"/>
      <c r="ID1048423" s="242"/>
      <c r="IE1048423" s="242"/>
      <c r="IF1048423" s="242"/>
      <c r="IG1048423" s="242"/>
      <c r="IH1048423" s="242"/>
      <c r="II1048423" s="242"/>
      <c r="IJ1048423" s="242"/>
      <c r="IK1048423" s="242"/>
      <c r="IL1048423" s="242"/>
      <c r="IM1048423" s="242"/>
      <c r="IN1048423" s="242"/>
      <c r="IO1048423" s="242"/>
      <c r="IP1048423" s="242"/>
      <c r="IQ1048423" s="242"/>
    </row>
    <row r="1048424" spans="1:251" s="243" customFormat="1" ht="12" customHeight="1">
      <c r="A1048424" s="242"/>
      <c r="B1048424" s="242"/>
      <c r="C1048424" s="242"/>
      <c r="D1048424" s="242"/>
      <c r="E1048424" s="242"/>
      <c r="F1048424" s="242"/>
      <c r="G1048424" s="242"/>
      <c r="H1048424" s="242"/>
      <c r="I1048424" s="242"/>
      <c r="J1048424" s="242"/>
      <c r="K1048424" s="242"/>
      <c r="L1048424" s="242"/>
      <c r="M1048424" s="242"/>
      <c r="N1048424" s="242"/>
      <c r="O1048424" s="242"/>
      <c r="P1048424" s="242"/>
      <c r="Q1048424" s="242"/>
      <c r="R1048424" s="242"/>
      <c r="S1048424" s="242"/>
      <c r="T1048424" s="242"/>
      <c r="U1048424" s="242"/>
      <c r="V1048424" s="242"/>
      <c r="W1048424" s="242"/>
      <c r="X1048424" s="242"/>
      <c r="Y1048424" s="242"/>
      <c r="Z1048424" s="242"/>
      <c r="AA1048424" s="242"/>
      <c r="AB1048424" s="242"/>
      <c r="AC1048424" s="242"/>
      <c r="AD1048424" s="242"/>
      <c r="AE1048424" s="242"/>
      <c r="AF1048424" s="242"/>
      <c r="AG1048424" s="242"/>
      <c r="AH1048424" s="242"/>
      <c r="AI1048424" s="242"/>
      <c r="AJ1048424" s="242"/>
      <c r="AK1048424" s="242"/>
      <c r="AL1048424" s="242"/>
      <c r="AM1048424" s="242"/>
      <c r="AN1048424" s="242"/>
      <c r="AO1048424" s="242"/>
      <c r="AP1048424" s="242"/>
      <c r="AQ1048424" s="242"/>
      <c r="AR1048424" s="242"/>
      <c r="AS1048424" s="242"/>
      <c r="AT1048424" s="242"/>
      <c r="AU1048424" s="242"/>
      <c r="AV1048424" s="242"/>
      <c r="AW1048424" s="242"/>
      <c r="AX1048424" s="242"/>
      <c r="AY1048424" s="242"/>
      <c r="AZ1048424" s="242"/>
      <c r="BA1048424" s="242"/>
      <c r="BB1048424" s="242"/>
      <c r="BC1048424" s="242"/>
      <c r="BD1048424" s="242"/>
      <c r="BE1048424" s="242"/>
      <c r="BF1048424" s="242"/>
      <c r="BG1048424" s="242"/>
      <c r="BH1048424" s="242"/>
      <c r="BI1048424" s="242"/>
      <c r="BJ1048424" s="242"/>
      <c r="BK1048424" s="242"/>
      <c r="BL1048424" s="242"/>
      <c r="BM1048424" s="242"/>
      <c r="BN1048424" s="242"/>
      <c r="BO1048424" s="242"/>
      <c r="BP1048424" s="242"/>
      <c r="BQ1048424" s="242"/>
      <c r="BR1048424" s="242"/>
      <c r="BS1048424" s="242"/>
      <c r="BT1048424" s="242"/>
      <c r="BU1048424" s="242"/>
      <c r="BV1048424" s="242"/>
      <c r="BW1048424" s="242"/>
      <c r="BX1048424" s="242"/>
      <c r="BY1048424" s="242"/>
      <c r="BZ1048424" s="242"/>
      <c r="CA1048424" s="242"/>
      <c r="CB1048424" s="242"/>
      <c r="CC1048424" s="242"/>
      <c r="CD1048424" s="242"/>
      <c r="CE1048424" s="242"/>
      <c r="CF1048424" s="242"/>
      <c r="CG1048424" s="242"/>
      <c r="CH1048424" s="242"/>
      <c r="CI1048424" s="242"/>
      <c r="CJ1048424" s="242"/>
      <c r="CK1048424" s="242"/>
      <c r="CL1048424" s="242"/>
      <c r="CM1048424" s="242"/>
      <c r="CN1048424" s="242"/>
      <c r="CO1048424" s="242"/>
      <c r="CP1048424" s="242"/>
      <c r="CQ1048424" s="242"/>
      <c r="CR1048424" s="242"/>
      <c r="CS1048424" s="242"/>
      <c r="CT1048424" s="242"/>
      <c r="CU1048424" s="242"/>
      <c r="CV1048424" s="242"/>
      <c r="CW1048424" s="242"/>
      <c r="CX1048424" s="242"/>
      <c r="CY1048424" s="242"/>
      <c r="CZ1048424" s="242"/>
      <c r="DA1048424" s="242"/>
      <c r="DB1048424" s="242"/>
      <c r="DC1048424" s="242"/>
      <c r="DD1048424" s="242"/>
      <c r="DE1048424" s="242"/>
      <c r="DF1048424" s="242"/>
      <c r="DG1048424" s="242"/>
      <c r="DH1048424" s="242"/>
      <c r="DI1048424" s="242"/>
      <c r="DJ1048424" s="242"/>
      <c r="DK1048424" s="242"/>
      <c r="DL1048424" s="242"/>
      <c r="DM1048424" s="242"/>
      <c r="DN1048424" s="242"/>
      <c r="DO1048424" s="242"/>
      <c r="DP1048424" s="242"/>
      <c r="DQ1048424" s="242"/>
      <c r="DR1048424" s="242"/>
      <c r="DS1048424" s="242"/>
      <c r="DT1048424" s="242"/>
      <c r="DU1048424" s="242"/>
      <c r="DV1048424" s="242"/>
      <c r="DW1048424" s="242"/>
      <c r="DX1048424" s="242"/>
      <c r="DY1048424" s="242"/>
      <c r="DZ1048424" s="242"/>
      <c r="EA1048424" s="242"/>
      <c r="EB1048424" s="242"/>
      <c r="EC1048424" s="242"/>
      <c r="ED1048424" s="242"/>
      <c r="EE1048424" s="242"/>
      <c r="EF1048424" s="242"/>
      <c r="EG1048424" s="242"/>
      <c r="EH1048424" s="242"/>
      <c r="EI1048424" s="242"/>
      <c r="EJ1048424" s="242"/>
      <c r="EK1048424" s="242"/>
      <c r="EL1048424" s="242"/>
      <c r="EM1048424" s="242"/>
      <c r="EN1048424" s="242"/>
      <c r="EO1048424" s="242"/>
      <c r="EP1048424" s="242"/>
      <c r="EQ1048424" s="242"/>
      <c r="ER1048424" s="242"/>
      <c r="ES1048424" s="242"/>
      <c r="ET1048424" s="242"/>
      <c r="EU1048424" s="242"/>
      <c r="EV1048424" s="242"/>
      <c r="EW1048424" s="242"/>
      <c r="EX1048424" s="242"/>
      <c r="EY1048424" s="242"/>
      <c r="EZ1048424" s="242"/>
      <c r="FA1048424" s="242"/>
      <c r="FB1048424" s="242"/>
      <c r="FC1048424" s="242"/>
      <c r="FD1048424" s="242"/>
      <c r="FE1048424" s="242"/>
      <c r="FF1048424" s="242"/>
      <c r="FG1048424" s="242"/>
      <c r="FH1048424" s="242"/>
      <c r="FI1048424" s="242"/>
      <c r="FJ1048424" s="242"/>
      <c r="FK1048424" s="242"/>
      <c r="FL1048424" s="242"/>
      <c r="FM1048424" s="242"/>
      <c r="FN1048424" s="242"/>
      <c r="FO1048424" s="242"/>
      <c r="FP1048424" s="242"/>
      <c r="FQ1048424" s="242"/>
      <c r="FR1048424" s="242"/>
      <c r="FS1048424" s="242"/>
      <c r="FT1048424" s="242"/>
      <c r="FU1048424" s="242"/>
      <c r="FV1048424" s="242"/>
      <c r="FW1048424" s="242"/>
      <c r="FX1048424" s="242"/>
      <c r="FY1048424" s="242"/>
      <c r="FZ1048424" s="242"/>
      <c r="GA1048424" s="242"/>
      <c r="GB1048424" s="242"/>
      <c r="GC1048424" s="242"/>
      <c r="GD1048424" s="242"/>
      <c r="GE1048424" s="242"/>
      <c r="GF1048424" s="242"/>
      <c r="GG1048424" s="242"/>
      <c r="GH1048424" s="242"/>
      <c r="GI1048424" s="242"/>
      <c r="GJ1048424" s="242"/>
      <c r="GK1048424" s="242"/>
      <c r="GL1048424" s="242"/>
      <c r="GM1048424" s="242"/>
      <c r="GN1048424" s="242"/>
      <c r="GO1048424" s="242"/>
      <c r="GP1048424" s="242"/>
      <c r="GQ1048424" s="242"/>
      <c r="GR1048424" s="242"/>
      <c r="GS1048424" s="242"/>
      <c r="GT1048424" s="242"/>
      <c r="GU1048424" s="242"/>
      <c r="GV1048424" s="242"/>
      <c r="GW1048424" s="242"/>
      <c r="GX1048424" s="242"/>
      <c r="GY1048424" s="242"/>
      <c r="GZ1048424" s="242"/>
      <c r="HA1048424" s="242"/>
      <c r="HB1048424" s="242"/>
      <c r="HC1048424" s="242"/>
      <c r="HD1048424" s="242"/>
      <c r="HE1048424" s="242"/>
      <c r="HF1048424" s="242"/>
      <c r="HG1048424" s="242"/>
      <c r="HH1048424" s="242"/>
      <c r="HI1048424" s="242"/>
      <c r="HJ1048424" s="242"/>
      <c r="HK1048424" s="242"/>
      <c r="HL1048424" s="242"/>
      <c r="HM1048424" s="242"/>
      <c r="HN1048424" s="242"/>
      <c r="HO1048424" s="242"/>
      <c r="HP1048424" s="242"/>
      <c r="HQ1048424" s="242"/>
      <c r="HR1048424" s="242"/>
      <c r="HS1048424" s="242"/>
      <c r="HT1048424" s="242"/>
      <c r="HU1048424" s="242"/>
      <c r="HV1048424" s="242"/>
      <c r="HW1048424" s="242"/>
      <c r="HX1048424" s="242"/>
      <c r="HY1048424" s="242"/>
      <c r="HZ1048424" s="242"/>
      <c r="IA1048424" s="242"/>
      <c r="IB1048424" s="242"/>
      <c r="IC1048424" s="242"/>
      <c r="ID1048424" s="242"/>
      <c r="IE1048424" s="242"/>
      <c r="IF1048424" s="242"/>
      <c r="IG1048424" s="242"/>
      <c r="IH1048424" s="242"/>
      <c r="II1048424" s="242"/>
      <c r="IJ1048424" s="242"/>
      <c r="IK1048424" s="242"/>
      <c r="IL1048424" s="242"/>
      <c r="IM1048424" s="242"/>
      <c r="IN1048424" s="242"/>
      <c r="IO1048424" s="242"/>
      <c r="IP1048424" s="242"/>
      <c r="IQ1048424" s="242"/>
    </row>
    <row r="1048425" spans="1:251" s="243" customFormat="1" ht="12" customHeight="1">
      <c r="A1048425" s="242"/>
      <c r="B1048425" s="242"/>
      <c r="C1048425" s="242"/>
      <c r="D1048425" s="242"/>
      <c r="E1048425" s="242"/>
      <c r="F1048425" s="242"/>
      <c r="G1048425" s="242"/>
      <c r="H1048425" s="242"/>
      <c r="I1048425" s="242"/>
      <c r="J1048425" s="242"/>
      <c r="K1048425" s="242"/>
      <c r="L1048425" s="242"/>
      <c r="M1048425" s="242"/>
      <c r="N1048425" s="242"/>
      <c r="O1048425" s="242"/>
      <c r="P1048425" s="242"/>
      <c r="Q1048425" s="242"/>
      <c r="R1048425" s="242"/>
      <c r="S1048425" s="242"/>
      <c r="T1048425" s="242"/>
      <c r="U1048425" s="242"/>
      <c r="V1048425" s="242"/>
      <c r="W1048425" s="242"/>
      <c r="X1048425" s="242"/>
      <c r="Y1048425" s="242"/>
      <c r="Z1048425" s="242"/>
      <c r="AA1048425" s="242"/>
      <c r="AB1048425" s="242"/>
      <c r="AC1048425" s="242"/>
      <c r="AD1048425" s="242"/>
      <c r="AE1048425" s="242"/>
      <c r="AF1048425" s="242"/>
      <c r="AG1048425" s="242"/>
      <c r="AH1048425" s="242"/>
      <c r="AI1048425" s="242"/>
      <c r="AJ1048425" s="242"/>
      <c r="AK1048425" s="242"/>
      <c r="AL1048425" s="242"/>
      <c r="AM1048425" s="242"/>
      <c r="AN1048425" s="242"/>
      <c r="AO1048425" s="242"/>
      <c r="AP1048425" s="242"/>
      <c r="AQ1048425" s="242"/>
      <c r="AR1048425" s="242"/>
      <c r="AS1048425" s="242"/>
      <c r="AT1048425" s="242"/>
      <c r="AU1048425" s="242"/>
      <c r="AV1048425" s="242"/>
      <c r="AW1048425" s="242"/>
      <c r="AX1048425" s="242"/>
      <c r="AY1048425" s="242"/>
      <c r="AZ1048425" s="242"/>
      <c r="BA1048425" s="242"/>
      <c r="BB1048425" s="242"/>
      <c r="BC1048425" s="242"/>
      <c r="BD1048425" s="242"/>
      <c r="BE1048425" s="242"/>
      <c r="BF1048425" s="242"/>
      <c r="BG1048425" s="242"/>
      <c r="BH1048425" s="242"/>
      <c r="BI1048425" s="242"/>
      <c r="BJ1048425" s="242"/>
      <c r="BK1048425" s="242"/>
      <c r="BL1048425" s="242"/>
      <c r="BM1048425" s="242"/>
      <c r="BN1048425" s="242"/>
      <c r="BO1048425" s="242"/>
      <c r="BP1048425" s="242"/>
      <c r="BQ1048425" s="242"/>
      <c r="BR1048425" s="242"/>
      <c r="BS1048425" s="242"/>
      <c r="BT1048425" s="242"/>
      <c r="BU1048425" s="242"/>
      <c r="BV1048425" s="242"/>
      <c r="BW1048425" s="242"/>
      <c r="BX1048425" s="242"/>
      <c r="BY1048425" s="242"/>
      <c r="BZ1048425" s="242"/>
      <c r="CA1048425" s="242"/>
      <c r="CB1048425" s="242"/>
      <c r="CC1048425" s="242"/>
      <c r="CD1048425" s="242"/>
      <c r="CE1048425" s="242"/>
      <c r="CF1048425" s="242"/>
      <c r="CG1048425" s="242"/>
      <c r="CH1048425" s="242"/>
      <c r="CI1048425" s="242"/>
      <c r="CJ1048425" s="242"/>
      <c r="CK1048425" s="242"/>
      <c r="CL1048425" s="242"/>
      <c r="CM1048425" s="242"/>
      <c r="CN1048425" s="242"/>
      <c r="CO1048425" s="242"/>
      <c r="CP1048425" s="242"/>
      <c r="CQ1048425" s="242"/>
      <c r="CR1048425" s="242"/>
      <c r="CS1048425" s="242"/>
      <c r="CT1048425" s="242"/>
      <c r="CU1048425" s="242"/>
      <c r="CV1048425" s="242"/>
      <c r="CW1048425" s="242"/>
      <c r="CX1048425" s="242"/>
      <c r="CY1048425" s="242"/>
      <c r="CZ1048425" s="242"/>
      <c r="DA1048425" s="242"/>
      <c r="DB1048425" s="242"/>
      <c r="DC1048425" s="242"/>
      <c r="DD1048425" s="242"/>
      <c r="DE1048425" s="242"/>
      <c r="DF1048425" s="242"/>
      <c r="DG1048425" s="242"/>
      <c r="DH1048425" s="242"/>
      <c r="DI1048425" s="242"/>
      <c r="DJ1048425" s="242"/>
      <c r="DK1048425" s="242"/>
      <c r="DL1048425" s="242"/>
      <c r="DM1048425" s="242"/>
      <c r="DN1048425" s="242"/>
      <c r="DO1048425" s="242"/>
      <c r="DP1048425" s="242"/>
      <c r="DQ1048425" s="242"/>
      <c r="DR1048425" s="242"/>
      <c r="DS1048425" s="242"/>
      <c r="DT1048425" s="242"/>
      <c r="DU1048425" s="242"/>
      <c r="DV1048425" s="242"/>
      <c r="DW1048425" s="242"/>
      <c r="DX1048425" s="242"/>
      <c r="DY1048425" s="242"/>
      <c r="DZ1048425" s="242"/>
      <c r="EA1048425" s="242"/>
      <c r="EB1048425" s="242"/>
      <c r="EC1048425" s="242"/>
      <c r="ED1048425" s="242"/>
      <c r="EE1048425" s="242"/>
      <c r="EF1048425" s="242"/>
      <c r="EG1048425" s="242"/>
      <c r="EH1048425" s="242"/>
      <c r="EI1048425" s="242"/>
      <c r="EJ1048425" s="242"/>
      <c r="EK1048425" s="242"/>
      <c r="EL1048425" s="242"/>
      <c r="EM1048425" s="242"/>
      <c r="EN1048425" s="242"/>
      <c r="EO1048425" s="242"/>
      <c r="EP1048425" s="242"/>
      <c r="EQ1048425" s="242"/>
      <c r="ER1048425" s="242"/>
      <c r="ES1048425" s="242"/>
      <c r="ET1048425" s="242"/>
      <c r="EU1048425" s="242"/>
      <c r="EV1048425" s="242"/>
      <c r="EW1048425" s="242"/>
      <c r="EX1048425" s="242"/>
      <c r="EY1048425" s="242"/>
      <c r="EZ1048425" s="242"/>
      <c r="FA1048425" s="242"/>
      <c r="FB1048425" s="242"/>
      <c r="FC1048425" s="242"/>
      <c r="FD1048425" s="242"/>
      <c r="FE1048425" s="242"/>
      <c r="FF1048425" s="242"/>
      <c r="FG1048425" s="242"/>
      <c r="FH1048425" s="242"/>
      <c r="FI1048425" s="242"/>
      <c r="FJ1048425" s="242"/>
      <c r="FK1048425" s="242"/>
      <c r="FL1048425" s="242"/>
      <c r="FM1048425" s="242"/>
      <c r="FN1048425" s="242"/>
      <c r="FO1048425" s="242"/>
      <c r="FP1048425" s="242"/>
      <c r="FQ1048425" s="242"/>
      <c r="FR1048425" s="242"/>
      <c r="FS1048425" s="242"/>
      <c r="FT1048425" s="242"/>
      <c r="FU1048425" s="242"/>
      <c r="FV1048425" s="242"/>
      <c r="FW1048425" s="242"/>
      <c r="FX1048425" s="242"/>
      <c r="FY1048425" s="242"/>
      <c r="FZ1048425" s="242"/>
      <c r="GA1048425" s="242"/>
      <c r="GB1048425" s="242"/>
      <c r="GC1048425" s="242"/>
      <c r="GD1048425" s="242"/>
      <c r="GE1048425" s="242"/>
      <c r="GF1048425" s="242"/>
      <c r="GG1048425" s="242"/>
      <c r="GH1048425" s="242"/>
      <c r="GI1048425" s="242"/>
      <c r="GJ1048425" s="242"/>
      <c r="GK1048425" s="242"/>
      <c r="GL1048425" s="242"/>
      <c r="GM1048425" s="242"/>
      <c r="GN1048425" s="242"/>
      <c r="GO1048425" s="242"/>
      <c r="GP1048425" s="242"/>
      <c r="GQ1048425" s="242"/>
      <c r="GR1048425" s="242"/>
      <c r="GS1048425" s="242"/>
      <c r="GT1048425" s="242"/>
      <c r="GU1048425" s="242"/>
      <c r="GV1048425" s="242"/>
      <c r="GW1048425" s="242"/>
      <c r="GX1048425" s="242"/>
      <c r="GY1048425" s="242"/>
      <c r="GZ1048425" s="242"/>
      <c r="HA1048425" s="242"/>
      <c r="HB1048425" s="242"/>
      <c r="HC1048425" s="242"/>
      <c r="HD1048425" s="242"/>
      <c r="HE1048425" s="242"/>
      <c r="HF1048425" s="242"/>
      <c r="HG1048425" s="242"/>
      <c r="HH1048425" s="242"/>
      <c r="HI1048425" s="242"/>
      <c r="HJ1048425" s="242"/>
      <c r="HK1048425" s="242"/>
      <c r="HL1048425" s="242"/>
      <c r="HM1048425" s="242"/>
      <c r="HN1048425" s="242"/>
      <c r="HO1048425" s="242"/>
      <c r="HP1048425" s="242"/>
      <c r="HQ1048425" s="242"/>
      <c r="HR1048425" s="242"/>
      <c r="HS1048425" s="242"/>
      <c r="HT1048425" s="242"/>
      <c r="HU1048425" s="242"/>
      <c r="HV1048425" s="242"/>
      <c r="HW1048425" s="242"/>
      <c r="HX1048425" s="242"/>
      <c r="HY1048425" s="242"/>
      <c r="HZ1048425" s="242"/>
      <c r="IA1048425" s="242"/>
      <c r="IB1048425" s="242"/>
      <c r="IC1048425" s="242"/>
      <c r="ID1048425" s="242"/>
      <c r="IE1048425" s="242"/>
      <c r="IF1048425" s="242"/>
      <c r="IG1048425" s="242"/>
      <c r="IH1048425" s="242"/>
      <c r="II1048425" s="242"/>
      <c r="IJ1048425" s="242"/>
      <c r="IK1048425" s="242"/>
      <c r="IL1048425" s="242"/>
      <c r="IM1048425" s="242"/>
      <c r="IN1048425" s="242"/>
      <c r="IO1048425" s="242"/>
      <c r="IP1048425" s="242"/>
      <c r="IQ1048425" s="242"/>
    </row>
    <row r="1048426" spans="1:251" s="243" customFormat="1" ht="12" customHeight="1">
      <c r="A1048426" s="242"/>
      <c r="B1048426" s="242"/>
      <c r="C1048426" s="242"/>
      <c r="D1048426" s="242"/>
      <c r="E1048426" s="242"/>
      <c r="F1048426" s="242"/>
      <c r="G1048426" s="242"/>
      <c r="H1048426" s="242"/>
      <c r="I1048426" s="242"/>
      <c r="J1048426" s="242"/>
      <c r="K1048426" s="242"/>
      <c r="L1048426" s="242"/>
      <c r="M1048426" s="242"/>
      <c r="N1048426" s="242"/>
      <c r="O1048426" s="242"/>
      <c r="P1048426" s="242"/>
      <c r="Q1048426" s="242"/>
      <c r="R1048426" s="242"/>
      <c r="S1048426" s="242"/>
      <c r="T1048426" s="242"/>
      <c r="U1048426" s="242"/>
      <c r="V1048426" s="242"/>
      <c r="W1048426" s="242"/>
      <c r="X1048426" s="242"/>
      <c r="Y1048426" s="242"/>
      <c r="Z1048426" s="242"/>
      <c r="AA1048426" s="242"/>
      <c r="AB1048426" s="242"/>
      <c r="AC1048426" s="242"/>
      <c r="AD1048426" s="242"/>
      <c r="AE1048426" s="242"/>
      <c r="AF1048426" s="242"/>
      <c r="AG1048426" s="242"/>
      <c r="AH1048426" s="242"/>
      <c r="AI1048426" s="242"/>
      <c r="AJ1048426" s="242"/>
      <c r="AK1048426" s="242"/>
      <c r="AL1048426" s="242"/>
      <c r="AM1048426" s="242"/>
      <c r="AN1048426" s="242"/>
      <c r="AO1048426" s="242"/>
      <c r="AP1048426" s="242"/>
      <c r="AQ1048426" s="242"/>
      <c r="AR1048426" s="242"/>
      <c r="AS1048426" s="242"/>
      <c r="AT1048426" s="242"/>
      <c r="AU1048426" s="242"/>
      <c r="AV1048426" s="242"/>
      <c r="AW1048426" s="242"/>
      <c r="AX1048426" s="242"/>
      <c r="AY1048426" s="242"/>
      <c r="AZ1048426" s="242"/>
      <c r="BA1048426" s="242"/>
      <c r="BB1048426" s="242"/>
      <c r="BC1048426" s="242"/>
      <c r="BD1048426" s="242"/>
      <c r="BE1048426" s="242"/>
      <c r="BF1048426" s="242"/>
      <c r="BG1048426" s="242"/>
      <c r="BH1048426" s="242"/>
      <c r="BI1048426" s="242"/>
      <c r="BJ1048426" s="242"/>
      <c r="BK1048426" s="242"/>
      <c r="BL1048426" s="242"/>
      <c r="BM1048426" s="242"/>
      <c r="BN1048426" s="242"/>
      <c r="BO1048426" s="242"/>
      <c r="BP1048426" s="242"/>
      <c r="BQ1048426" s="242"/>
      <c r="BR1048426" s="242"/>
      <c r="BS1048426" s="242"/>
      <c r="BT1048426" s="242"/>
      <c r="BU1048426" s="242"/>
      <c r="BV1048426" s="242"/>
      <c r="BW1048426" s="242"/>
      <c r="BX1048426" s="242"/>
      <c r="BY1048426" s="242"/>
      <c r="BZ1048426" s="242"/>
      <c r="CA1048426" s="242"/>
      <c r="CB1048426" s="242"/>
      <c r="CC1048426" s="242"/>
      <c r="CD1048426" s="242"/>
      <c r="CE1048426" s="242"/>
      <c r="CF1048426" s="242"/>
      <c r="CG1048426" s="242"/>
      <c r="CH1048426" s="242"/>
      <c r="CI1048426" s="242"/>
      <c r="CJ1048426" s="242"/>
      <c r="CK1048426" s="242"/>
      <c r="CL1048426" s="242"/>
      <c r="CM1048426" s="242"/>
      <c r="CN1048426" s="242"/>
      <c r="CO1048426" s="242"/>
      <c r="CP1048426" s="242"/>
      <c r="CQ1048426" s="242"/>
      <c r="CR1048426" s="242"/>
      <c r="CS1048426" s="242"/>
      <c r="CT1048426" s="242"/>
      <c r="CU1048426" s="242"/>
      <c r="CV1048426" s="242"/>
      <c r="CW1048426" s="242"/>
      <c r="CX1048426" s="242"/>
      <c r="CY1048426" s="242"/>
      <c r="CZ1048426" s="242"/>
      <c r="DA1048426" s="242"/>
      <c r="DB1048426" s="242"/>
      <c r="DC1048426" s="242"/>
      <c r="DD1048426" s="242"/>
      <c r="DE1048426" s="242"/>
      <c r="DF1048426" s="242"/>
      <c r="DG1048426" s="242"/>
      <c r="DH1048426" s="242"/>
      <c r="DI1048426" s="242"/>
      <c r="DJ1048426" s="242"/>
      <c r="DK1048426" s="242"/>
      <c r="DL1048426" s="242"/>
      <c r="DM1048426" s="242"/>
      <c r="DN1048426" s="242"/>
      <c r="DO1048426" s="242"/>
      <c r="DP1048426" s="242"/>
      <c r="DQ1048426" s="242"/>
      <c r="DR1048426" s="242"/>
      <c r="DS1048426" s="242"/>
      <c r="DT1048426" s="242"/>
      <c r="DU1048426" s="242"/>
      <c r="DV1048426" s="242"/>
      <c r="DW1048426" s="242"/>
      <c r="DX1048426" s="242"/>
      <c r="DY1048426" s="242"/>
      <c r="DZ1048426" s="242"/>
      <c r="EA1048426" s="242"/>
      <c r="EB1048426" s="242"/>
      <c r="EC1048426" s="242"/>
      <c r="ED1048426" s="242"/>
      <c r="EE1048426" s="242"/>
      <c r="EF1048426" s="242"/>
      <c r="EG1048426" s="242"/>
      <c r="EH1048426" s="242"/>
      <c r="EI1048426" s="242"/>
      <c r="EJ1048426" s="242"/>
      <c r="EK1048426" s="242"/>
      <c r="EL1048426" s="242"/>
      <c r="EM1048426" s="242"/>
      <c r="EN1048426" s="242"/>
      <c r="EO1048426" s="242"/>
      <c r="EP1048426" s="242"/>
      <c r="EQ1048426" s="242"/>
      <c r="ER1048426" s="242"/>
      <c r="ES1048426" s="242"/>
      <c r="ET1048426" s="242"/>
      <c r="EU1048426" s="242"/>
      <c r="EV1048426" s="242"/>
      <c r="EW1048426" s="242"/>
      <c r="EX1048426" s="242"/>
      <c r="EY1048426" s="242"/>
      <c r="EZ1048426" s="242"/>
      <c r="FA1048426" s="242"/>
      <c r="FB1048426" s="242"/>
      <c r="FC1048426" s="242"/>
      <c r="FD1048426" s="242"/>
      <c r="FE1048426" s="242"/>
      <c r="FF1048426" s="242"/>
      <c r="FG1048426" s="242"/>
      <c r="FH1048426" s="242"/>
      <c r="FI1048426" s="242"/>
      <c r="FJ1048426" s="242"/>
      <c r="FK1048426" s="242"/>
      <c r="FL1048426" s="242"/>
      <c r="FM1048426" s="242"/>
      <c r="FN1048426" s="242"/>
      <c r="FO1048426" s="242"/>
      <c r="FP1048426" s="242"/>
      <c r="FQ1048426" s="242"/>
      <c r="FR1048426" s="242"/>
      <c r="FS1048426" s="242"/>
      <c r="FT1048426" s="242"/>
      <c r="FU1048426" s="242"/>
      <c r="FV1048426" s="242"/>
      <c r="FW1048426" s="242"/>
      <c r="FX1048426" s="242"/>
      <c r="FY1048426" s="242"/>
      <c r="FZ1048426" s="242"/>
      <c r="GA1048426" s="242"/>
      <c r="GB1048426" s="242"/>
      <c r="GC1048426" s="242"/>
      <c r="GD1048426" s="242"/>
      <c r="GE1048426" s="242"/>
      <c r="GF1048426" s="242"/>
      <c r="GG1048426" s="242"/>
      <c r="GH1048426" s="242"/>
      <c r="GI1048426" s="242"/>
      <c r="GJ1048426" s="242"/>
      <c r="GK1048426" s="242"/>
      <c r="GL1048426" s="242"/>
      <c r="GM1048426" s="242"/>
      <c r="GN1048426" s="242"/>
      <c r="GO1048426" s="242"/>
      <c r="GP1048426" s="242"/>
      <c r="GQ1048426" s="242"/>
      <c r="GR1048426" s="242"/>
      <c r="GS1048426" s="242"/>
      <c r="GT1048426" s="242"/>
      <c r="GU1048426" s="242"/>
      <c r="GV1048426" s="242"/>
      <c r="GW1048426" s="242"/>
      <c r="GX1048426" s="242"/>
      <c r="GY1048426" s="242"/>
      <c r="GZ1048426" s="242"/>
      <c r="HA1048426" s="242"/>
      <c r="HB1048426" s="242"/>
      <c r="HC1048426" s="242"/>
      <c r="HD1048426" s="242"/>
      <c r="HE1048426" s="242"/>
      <c r="HF1048426" s="242"/>
      <c r="HG1048426" s="242"/>
      <c r="HH1048426" s="242"/>
      <c r="HI1048426" s="242"/>
      <c r="HJ1048426" s="242"/>
      <c r="HK1048426" s="242"/>
      <c r="HL1048426" s="242"/>
      <c r="HM1048426" s="242"/>
      <c r="HN1048426" s="242"/>
      <c r="HO1048426" s="242"/>
      <c r="HP1048426" s="242"/>
      <c r="HQ1048426" s="242"/>
      <c r="HR1048426" s="242"/>
      <c r="HS1048426" s="242"/>
      <c r="HT1048426" s="242"/>
      <c r="HU1048426" s="242"/>
      <c r="HV1048426" s="242"/>
      <c r="HW1048426" s="242"/>
      <c r="HX1048426" s="242"/>
      <c r="HY1048426" s="242"/>
      <c r="HZ1048426" s="242"/>
      <c r="IA1048426" s="242"/>
      <c r="IB1048426" s="242"/>
      <c r="IC1048426" s="242"/>
      <c r="ID1048426" s="242"/>
      <c r="IE1048426" s="242"/>
      <c r="IF1048426" s="242"/>
      <c r="IG1048426" s="242"/>
      <c r="IH1048426" s="242"/>
      <c r="II1048426" s="242"/>
      <c r="IJ1048426" s="242"/>
      <c r="IK1048426" s="242"/>
      <c r="IL1048426" s="242"/>
      <c r="IM1048426" s="242"/>
      <c r="IN1048426" s="242"/>
      <c r="IO1048426" s="242"/>
      <c r="IP1048426" s="242"/>
      <c r="IQ1048426" s="242"/>
    </row>
    <row r="1048427" spans="1:251" s="243" customFormat="1" ht="12" customHeight="1">
      <c r="A1048427" s="242"/>
      <c r="B1048427" s="242"/>
      <c r="C1048427" s="242"/>
      <c r="D1048427" s="242"/>
      <c r="E1048427" s="242"/>
      <c r="F1048427" s="242"/>
      <c r="G1048427" s="242"/>
      <c r="H1048427" s="242"/>
      <c r="I1048427" s="242"/>
      <c r="J1048427" s="242"/>
      <c r="K1048427" s="242"/>
      <c r="L1048427" s="242"/>
      <c r="M1048427" s="242"/>
      <c r="N1048427" s="242"/>
      <c r="O1048427" s="242"/>
      <c r="P1048427" s="242"/>
      <c r="Q1048427" s="242"/>
      <c r="R1048427" s="242"/>
      <c r="S1048427" s="242"/>
      <c r="T1048427" s="242"/>
      <c r="U1048427" s="242"/>
      <c r="V1048427" s="242"/>
      <c r="W1048427" s="242"/>
      <c r="X1048427" s="242"/>
      <c r="Y1048427" s="242"/>
      <c r="Z1048427" s="242"/>
      <c r="AA1048427" s="242"/>
      <c r="AB1048427" s="242"/>
      <c r="AC1048427" s="242"/>
      <c r="AD1048427" s="242"/>
      <c r="AE1048427" s="242"/>
      <c r="AF1048427" s="242"/>
      <c r="AG1048427" s="242"/>
      <c r="AH1048427" s="242"/>
      <c r="AI1048427" s="242"/>
      <c r="AJ1048427" s="242"/>
      <c r="AK1048427" s="242"/>
      <c r="AL1048427" s="242"/>
      <c r="AM1048427" s="242"/>
      <c r="AN1048427" s="242"/>
      <c r="AO1048427" s="242"/>
      <c r="AP1048427" s="242"/>
      <c r="AQ1048427" s="242"/>
      <c r="AR1048427" s="242"/>
      <c r="AS1048427" s="242"/>
      <c r="AT1048427" s="242"/>
      <c r="AU1048427" s="242"/>
      <c r="AV1048427" s="242"/>
      <c r="AW1048427" s="242"/>
      <c r="AX1048427" s="242"/>
      <c r="AY1048427" s="242"/>
      <c r="AZ1048427" s="242"/>
      <c r="BA1048427" s="242"/>
      <c r="BB1048427" s="242"/>
      <c r="BC1048427" s="242"/>
      <c r="BD1048427" s="242"/>
      <c r="BE1048427" s="242"/>
      <c r="BF1048427" s="242"/>
      <c r="BG1048427" s="242"/>
      <c r="BH1048427" s="242"/>
      <c r="BI1048427" s="242"/>
      <c r="BJ1048427" s="242"/>
      <c r="BK1048427" s="242"/>
      <c r="BL1048427" s="242"/>
      <c r="BM1048427" s="242"/>
      <c r="BN1048427" s="242"/>
      <c r="BO1048427" s="242"/>
      <c r="BP1048427" s="242"/>
      <c r="BQ1048427" s="242"/>
      <c r="BR1048427" s="242"/>
      <c r="BS1048427" s="242"/>
      <c r="BT1048427" s="242"/>
      <c r="BU1048427" s="242"/>
      <c r="BV1048427" s="242"/>
      <c r="BW1048427" s="242"/>
      <c r="BX1048427" s="242"/>
      <c r="BY1048427" s="242"/>
      <c r="BZ1048427" s="242"/>
      <c r="CA1048427" s="242"/>
      <c r="CB1048427" s="242"/>
      <c r="CC1048427" s="242"/>
      <c r="CD1048427" s="242"/>
      <c r="CE1048427" s="242"/>
      <c r="CF1048427" s="242"/>
      <c r="CG1048427" s="242"/>
      <c r="CH1048427" s="242"/>
      <c r="CI1048427" s="242"/>
      <c r="CJ1048427" s="242"/>
      <c r="CK1048427" s="242"/>
      <c r="CL1048427" s="242"/>
      <c r="CM1048427" s="242"/>
      <c r="CN1048427" s="242"/>
      <c r="CO1048427" s="242"/>
      <c r="CP1048427" s="242"/>
      <c r="CQ1048427" s="242"/>
      <c r="CR1048427" s="242"/>
      <c r="CS1048427" s="242"/>
      <c r="CT1048427" s="242"/>
      <c r="CU1048427" s="242"/>
      <c r="CV1048427" s="242"/>
      <c r="CW1048427" s="242"/>
      <c r="CX1048427" s="242"/>
      <c r="CY1048427" s="242"/>
      <c r="CZ1048427" s="242"/>
      <c r="DA1048427" s="242"/>
      <c r="DB1048427" s="242"/>
      <c r="DC1048427" s="242"/>
      <c r="DD1048427" s="242"/>
      <c r="DE1048427" s="242"/>
      <c r="DF1048427" s="242"/>
      <c r="DG1048427" s="242"/>
      <c r="DH1048427" s="242"/>
      <c r="DI1048427" s="242"/>
      <c r="DJ1048427" s="242"/>
      <c r="DK1048427" s="242"/>
      <c r="DL1048427" s="242"/>
      <c r="DM1048427" s="242"/>
      <c r="DN1048427" s="242"/>
      <c r="DO1048427" s="242"/>
      <c r="DP1048427" s="242"/>
      <c r="DQ1048427" s="242"/>
      <c r="DR1048427" s="242"/>
      <c r="DS1048427" s="242"/>
      <c r="DT1048427" s="242"/>
      <c r="DU1048427" s="242"/>
      <c r="DV1048427" s="242"/>
      <c r="DW1048427" s="242"/>
      <c r="DX1048427" s="242"/>
      <c r="DY1048427" s="242"/>
      <c r="DZ1048427" s="242"/>
      <c r="EA1048427" s="242"/>
      <c r="EB1048427" s="242"/>
      <c r="EC1048427" s="242"/>
      <c r="ED1048427" s="242"/>
      <c r="EE1048427" s="242"/>
      <c r="EF1048427" s="242"/>
      <c r="EG1048427" s="242"/>
      <c r="EH1048427" s="242"/>
      <c r="EI1048427" s="242"/>
      <c r="EJ1048427" s="242"/>
      <c r="EK1048427" s="242"/>
      <c r="EL1048427" s="242"/>
      <c r="EM1048427" s="242"/>
      <c r="EN1048427" s="242"/>
      <c r="EO1048427" s="242"/>
      <c r="EP1048427" s="242"/>
      <c r="EQ1048427" s="242"/>
      <c r="ER1048427" s="242"/>
      <c r="ES1048427" s="242"/>
      <c r="ET1048427" s="242"/>
      <c r="EU1048427" s="242"/>
      <c r="EV1048427" s="242"/>
      <c r="EW1048427" s="242"/>
      <c r="EX1048427" s="242"/>
      <c r="EY1048427" s="242"/>
      <c r="EZ1048427" s="242"/>
      <c r="FA1048427" s="242"/>
      <c r="FB1048427" s="242"/>
      <c r="FC1048427" s="242"/>
      <c r="FD1048427" s="242"/>
      <c r="FE1048427" s="242"/>
      <c r="FF1048427" s="242"/>
      <c r="FG1048427" s="242"/>
      <c r="FH1048427" s="242"/>
      <c r="FI1048427" s="242"/>
      <c r="FJ1048427" s="242"/>
      <c r="FK1048427" s="242"/>
      <c r="FL1048427" s="242"/>
      <c r="FM1048427" s="242"/>
      <c r="FN1048427" s="242"/>
      <c r="FO1048427" s="242"/>
      <c r="FP1048427" s="242"/>
      <c r="FQ1048427" s="242"/>
      <c r="FR1048427" s="242"/>
      <c r="FS1048427" s="242"/>
      <c r="FT1048427" s="242"/>
      <c r="FU1048427" s="242"/>
      <c r="FV1048427" s="242"/>
      <c r="FW1048427" s="242"/>
      <c r="FX1048427" s="242"/>
      <c r="FY1048427" s="242"/>
      <c r="FZ1048427" s="242"/>
      <c r="GA1048427" s="242"/>
      <c r="GB1048427" s="242"/>
      <c r="GC1048427" s="242"/>
      <c r="GD1048427" s="242"/>
      <c r="GE1048427" s="242"/>
      <c r="GF1048427" s="242"/>
      <c r="GG1048427" s="242"/>
      <c r="GH1048427" s="242"/>
      <c r="GI1048427" s="242"/>
      <c r="GJ1048427" s="242"/>
      <c r="GK1048427" s="242"/>
      <c r="GL1048427" s="242"/>
      <c r="GM1048427" s="242"/>
      <c r="GN1048427" s="242"/>
      <c r="GO1048427" s="242"/>
      <c r="GP1048427" s="242"/>
      <c r="GQ1048427" s="242"/>
      <c r="GR1048427" s="242"/>
      <c r="GS1048427" s="242"/>
      <c r="GT1048427" s="242"/>
      <c r="GU1048427" s="242"/>
      <c r="GV1048427" s="242"/>
      <c r="GW1048427" s="242"/>
      <c r="GX1048427" s="242"/>
      <c r="GY1048427" s="242"/>
      <c r="GZ1048427" s="242"/>
      <c r="HA1048427" s="242"/>
      <c r="HB1048427" s="242"/>
      <c r="HC1048427" s="242"/>
      <c r="HD1048427" s="242"/>
      <c r="HE1048427" s="242"/>
      <c r="HF1048427" s="242"/>
      <c r="HG1048427" s="242"/>
      <c r="HH1048427" s="242"/>
      <c r="HI1048427" s="242"/>
      <c r="HJ1048427" s="242"/>
      <c r="HK1048427" s="242"/>
      <c r="HL1048427" s="242"/>
      <c r="HM1048427" s="242"/>
      <c r="HN1048427" s="242"/>
      <c r="HO1048427" s="242"/>
      <c r="HP1048427" s="242"/>
      <c r="HQ1048427" s="242"/>
      <c r="HR1048427" s="242"/>
      <c r="HS1048427" s="242"/>
      <c r="HT1048427" s="242"/>
      <c r="HU1048427" s="242"/>
      <c r="HV1048427" s="242"/>
      <c r="HW1048427" s="242"/>
      <c r="HX1048427" s="242"/>
      <c r="HY1048427" s="242"/>
      <c r="HZ1048427" s="242"/>
      <c r="IA1048427" s="242"/>
      <c r="IB1048427" s="242"/>
      <c r="IC1048427" s="242"/>
      <c r="ID1048427" s="242"/>
      <c r="IE1048427" s="242"/>
      <c r="IF1048427" s="242"/>
      <c r="IG1048427" s="242"/>
      <c r="IH1048427" s="242"/>
      <c r="II1048427" s="242"/>
      <c r="IJ1048427" s="242"/>
      <c r="IK1048427" s="242"/>
      <c r="IL1048427" s="242"/>
      <c r="IM1048427" s="242"/>
      <c r="IN1048427" s="242"/>
      <c r="IO1048427" s="242"/>
      <c r="IP1048427" s="242"/>
      <c r="IQ1048427" s="242"/>
    </row>
    <row r="1048428" spans="1:251" s="243" customFormat="1" ht="12" customHeight="1">
      <c r="A1048428" s="242"/>
      <c r="B1048428" s="242"/>
      <c r="C1048428" s="242"/>
      <c r="D1048428" s="242"/>
      <c r="E1048428" s="242"/>
      <c r="F1048428" s="242"/>
      <c r="G1048428" s="242"/>
      <c r="H1048428" s="242"/>
      <c r="I1048428" s="242"/>
      <c r="J1048428" s="242"/>
      <c r="K1048428" s="242"/>
      <c r="L1048428" s="242"/>
      <c r="M1048428" s="242"/>
      <c r="N1048428" s="242"/>
      <c r="O1048428" s="242"/>
      <c r="P1048428" s="242"/>
      <c r="Q1048428" s="242"/>
      <c r="R1048428" s="242"/>
      <c r="S1048428" s="242"/>
      <c r="T1048428" s="242"/>
      <c r="U1048428" s="242"/>
      <c r="V1048428" s="242"/>
      <c r="W1048428" s="242"/>
      <c r="X1048428" s="242"/>
      <c r="Y1048428" s="242"/>
      <c r="Z1048428" s="242"/>
      <c r="AA1048428" s="242"/>
      <c r="AB1048428" s="242"/>
      <c r="AC1048428" s="242"/>
      <c r="AD1048428" s="242"/>
      <c r="AE1048428" s="242"/>
      <c r="AF1048428" s="242"/>
      <c r="AG1048428" s="242"/>
      <c r="AH1048428" s="242"/>
      <c r="AI1048428" s="242"/>
      <c r="AJ1048428" s="242"/>
      <c r="AK1048428" s="242"/>
      <c r="AL1048428" s="242"/>
      <c r="AM1048428" s="242"/>
      <c r="AN1048428" s="242"/>
      <c r="AO1048428" s="242"/>
      <c r="AP1048428" s="242"/>
      <c r="AQ1048428" s="242"/>
      <c r="AR1048428" s="242"/>
      <c r="AS1048428" s="242"/>
      <c r="AT1048428" s="242"/>
      <c r="AU1048428" s="242"/>
      <c r="AV1048428" s="242"/>
      <c r="AW1048428" s="242"/>
      <c r="AX1048428" s="242"/>
      <c r="AY1048428" s="242"/>
      <c r="AZ1048428" s="242"/>
      <c r="BA1048428" s="242"/>
      <c r="BB1048428" s="242"/>
      <c r="BC1048428" s="242"/>
      <c r="BD1048428" s="242"/>
      <c r="BE1048428" s="242"/>
      <c r="BF1048428" s="242"/>
      <c r="BG1048428" s="242"/>
      <c r="BH1048428" s="242"/>
      <c r="BI1048428" s="242"/>
      <c r="BJ1048428" s="242"/>
      <c r="BK1048428" s="242"/>
      <c r="BL1048428" s="242"/>
      <c r="BM1048428" s="242"/>
      <c r="BN1048428" s="242"/>
      <c r="BO1048428" s="242"/>
      <c r="BP1048428" s="242"/>
      <c r="BQ1048428" s="242"/>
      <c r="BR1048428" s="242"/>
      <c r="BS1048428" s="242"/>
      <c r="BT1048428" s="242"/>
      <c r="BU1048428" s="242"/>
      <c r="BV1048428" s="242"/>
      <c r="BW1048428" s="242"/>
      <c r="BX1048428" s="242"/>
      <c r="BY1048428" s="242"/>
      <c r="BZ1048428" s="242"/>
      <c r="CA1048428" s="242"/>
      <c r="CB1048428" s="242"/>
      <c r="CC1048428" s="242"/>
      <c r="CD1048428" s="242"/>
      <c r="CE1048428" s="242"/>
      <c r="CF1048428" s="242"/>
      <c r="CG1048428" s="242"/>
      <c r="CH1048428" s="242"/>
      <c r="CI1048428" s="242"/>
      <c r="CJ1048428" s="242"/>
      <c r="CK1048428" s="242"/>
      <c r="CL1048428" s="242"/>
      <c r="CM1048428" s="242"/>
      <c r="CN1048428" s="242"/>
      <c r="CO1048428" s="242"/>
      <c r="CP1048428" s="242"/>
      <c r="CQ1048428" s="242"/>
      <c r="CR1048428" s="242"/>
      <c r="CS1048428" s="242"/>
      <c r="CT1048428" s="242"/>
      <c r="CU1048428" s="242"/>
      <c r="CV1048428" s="242"/>
      <c r="CW1048428" s="242"/>
      <c r="CX1048428" s="242"/>
      <c r="CY1048428" s="242"/>
      <c r="CZ1048428" s="242"/>
      <c r="DA1048428" s="242"/>
      <c r="DB1048428" s="242"/>
      <c r="DC1048428" s="242"/>
      <c r="DD1048428" s="242"/>
      <c r="DE1048428" s="242"/>
      <c r="DF1048428" s="242"/>
      <c r="DG1048428" s="242"/>
      <c r="DH1048428" s="242"/>
      <c r="DI1048428" s="242"/>
      <c r="DJ1048428" s="242"/>
      <c r="DK1048428" s="242"/>
      <c r="DL1048428" s="242"/>
      <c r="DM1048428" s="242"/>
      <c r="DN1048428" s="242"/>
      <c r="DO1048428" s="242"/>
      <c r="DP1048428" s="242"/>
      <c r="DQ1048428" s="242"/>
      <c r="DR1048428" s="242"/>
      <c r="DS1048428" s="242"/>
      <c r="DT1048428" s="242"/>
      <c r="DU1048428" s="242"/>
      <c r="DV1048428" s="242"/>
      <c r="DW1048428" s="242"/>
      <c r="DX1048428" s="242"/>
      <c r="DY1048428" s="242"/>
      <c r="DZ1048428" s="242"/>
      <c r="EA1048428" s="242"/>
      <c r="EB1048428" s="242"/>
      <c r="EC1048428" s="242"/>
      <c r="ED1048428" s="242"/>
      <c r="EE1048428" s="242"/>
      <c r="EF1048428" s="242"/>
      <c r="EG1048428" s="242"/>
      <c r="EH1048428" s="242"/>
      <c r="EI1048428" s="242"/>
      <c r="EJ1048428" s="242"/>
      <c r="EK1048428" s="242"/>
      <c r="EL1048428" s="242"/>
      <c r="EM1048428" s="242"/>
      <c r="EN1048428" s="242"/>
      <c r="EO1048428" s="242"/>
      <c r="EP1048428" s="242"/>
      <c r="EQ1048428" s="242"/>
      <c r="ER1048428" s="242"/>
      <c r="ES1048428" s="242"/>
      <c r="ET1048428" s="242"/>
      <c r="EU1048428" s="242"/>
      <c r="EV1048428" s="242"/>
      <c r="EW1048428" s="242"/>
      <c r="EX1048428" s="242"/>
      <c r="EY1048428" s="242"/>
      <c r="EZ1048428" s="242"/>
      <c r="FA1048428" s="242"/>
      <c r="FB1048428" s="242"/>
      <c r="FC1048428" s="242"/>
      <c r="FD1048428" s="242"/>
      <c r="FE1048428" s="242"/>
      <c r="FF1048428" s="242"/>
      <c r="FG1048428" s="242"/>
      <c r="FH1048428" s="242"/>
      <c r="FI1048428" s="242"/>
      <c r="FJ1048428" s="242"/>
      <c r="FK1048428" s="242"/>
      <c r="FL1048428" s="242"/>
      <c r="FM1048428" s="242"/>
      <c r="FN1048428" s="242"/>
      <c r="FO1048428" s="242"/>
      <c r="FP1048428" s="242"/>
      <c r="FQ1048428" s="242"/>
      <c r="FR1048428" s="242"/>
      <c r="FS1048428" s="242"/>
      <c r="FT1048428" s="242"/>
      <c r="FU1048428" s="242"/>
      <c r="FV1048428" s="242"/>
      <c r="FW1048428" s="242"/>
      <c r="FX1048428" s="242"/>
      <c r="FY1048428" s="242"/>
      <c r="FZ1048428" s="242"/>
      <c r="GA1048428" s="242"/>
      <c r="GB1048428" s="242"/>
      <c r="GC1048428" s="242"/>
      <c r="GD1048428" s="242"/>
      <c r="GE1048428" s="242"/>
      <c r="GF1048428" s="242"/>
      <c r="GG1048428" s="242"/>
      <c r="GH1048428" s="242"/>
      <c r="GI1048428" s="242"/>
      <c r="GJ1048428" s="242"/>
      <c r="GK1048428" s="242"/>
      <c r="GL1048428" s="242"/>
      <c r="GM1048428" s="242"/>
      <c r="GN1048428" s="242"/>
      <c r="GO1048428" s="242"/>
      <c r="GP1048428" s="242"/>
      <c r="GQ1048428" s="242"/>
      <c r="GR1048428" s="242"/>
      <c r="GS1048428" s="242"/>
      <c r="GT1048428" s="242"/>
      <c r="GU1048428" s="242"/>
      <c r="GV1048428" s="242"/>
      <c r="GW1048428" s="242"/>
      <c r="GX1048428" s="242"/>
      <c r="GY1048428" s="242"/>
      <c r="GZ1048428" s="242"/>
      <c r="HA1048428" s="242"/>
      <c r="HB1048428" s="242"/>
      <c r="HC1048428" s="242"/>
      <c r="HD1048428" s="242"/>
      <c r="HE1048428" s="242"/>
      <c r="HF1048428" s="242"/>
      <c r="HG1048428" s="242"/>
      <c r="HH1048428" s="242"/>
      <c r="HI1048428" s="242"/>
      <c r="HJ1048428" s="242"/>
      <c r="HK1048428" s="242"/>
      <c r="HL1048428" s="242"/>
      <c r="HM1048428" s="242"/>
      <c r="HN1048428" s="242"/>
      <c r="HO1048428" s="242"/>
      <c r="HP1048428" s="242"/>
      <c r="HQ1048428" s="242"/>
      <c r="HR1048428" s="242"/>
      <c r="HS1048428" s="242"/>
      <c r="HT1048428" s="242"/>
      <c r="HU1048428" s="242"/>
      <c r="HV1048428" s="242"/>
      <c r="HW1048428" s="242"/>
      <c r="HX1048428" s="242"/>
      <c r="HY1048428" s="242"/>
      <c r="HZ1048428" s="242"/>
      <c r="IA1048428" s="242"/>
      <c r="IB1048428" s="242"/>
      <c r="IC1048428" s="242"/>
      <c r="ID1048428" s="242"/>
      <c r="IE1048428" s="242"/>
      <c r="IF1048428" s="242"/>
      <c r="IG1048428" s="242"/>
      <c r="IH1048428" s="242"/>
      <c r="II1048428" s="242"/>
      <c r="IJ1048428" s="242"/>
      <c r="IK1048428" s="242"/>
      <c r="IL1048428" s="242"/>
      <c r="IM1048428" s="242"/>
      <c r="IN1048428" s="242"/>
      <c r="IO1048428" s="242"/>
      <c r="IP1048428" s="242"/>
      <c r="IQ1048428" s="242"/>
    </row>
    <row r="1048429" spans="1:251" s="243" customFormat="1" ht="12" customHeight="1">
      <c r="A1048429" s="242"/>
      <c r="B1048429" s="242"/>
      <c r="C1048429" s="242"/>
      <c r="D1048429" s="242"/>
      <c r="E1048429" s="242"/>
      <c r="F1048429" s="242"/>
      <c r="G1048429" s="242"/>
      <c r="H1048429" s="242"/>
      <c r="I1048429" s="242"/>
      <c r="J1048429" s="242"/>
      <c r="K1048429" s="242"/>
      <c r="L1048429" s="242"/>
      <c r="M1048429" s="242"/>
      <c r="N1048429" s="242"/>
      <c r="O1048429" s="242"/>
      <c r="P1048429" s="242"/>
      <c r="Q1048429" s="242"/>
      <c r="R1048429" s="242"/>
      <c r="S1048429" s="242"/>
      <c r="T1048429" s="242"/>
      <c r="U1048429" s="242"/>
      <c r="V1048429" s="242"/>
      <c r="W1048429" s="242"/>
      <c r="X1048429" s="242"/>
      <c r="Y1048429" s="242"/>
      <c r="Z1048429" s="242"/>
      <c r="AA1048429" s="242"/>
      <c r="AB1048429" s="242"/>
      <c r="AC1048429" s="242"/>
      <c r="AD1048429" s="242"/>
      <c r="AE1048429" s="242"/>
      <c r="AF1048429" s="242"/>
      <c r="AG1048429" s="242"/>
      <c r="AH1048429" s="242"/>
      <c r="AI1048429" s="242"/>
      <c r="AJ1048429" s="242"/>
      <c r="AK1048429" s="242"/>
      <c r="AL1048429" s="242"/>
      <c r="AM1048429" s="242"/>
      <c r="AN1048429" s="242"/>
      <c r="AO1048429" s="242"/>
      <c r="AP1048429" s="242"/>
      <c r="AQ1048429" s="242"/>
      <c r="AR1048429" s="242"/>
      <c r="AS1048429" s="242"/>
      <c r="AT1048429" s="242"/>
      <c r="AU1048429" s="242"/>
      <c r="AV1048429" s="242"/>
      <c r="AW1048429" s="242"/>
      <c r="AX1048429" s="242"/>
      <c r="AY1048429" s="242"/>
      <c r="AZ1048429" s="242"/>
      <c r="BA1048429" s="242"/>
      <c r="BB1048429" s="242"/>
      <c r="BC1048429" s="242"/>
      <c r="BD1048429" s="242"/>
      <c r="BE1048429" s="242"/>
      <c r="BF1048429" s="242"/>
      <c r="BG1048429" s="242"/>
      <c r="BH1048429" s="242"/>
      <c r="BI1048429" s="242"/>
      <c r="BJ1048429" s="242"/>
      <c r="BK1048429" s="242"/>
      <c r="BL1048429" s="242"/>
      <c r="BM1048429" s="242"/>
      <c r="BN1048429" s="242"/>
      <c r="BO1048429" s="242"/>
      <c r="BP1048429" s="242"/>
      <c r="BQ1048429" s="242"/>
      <c r="BR1048429" s="242"/>
      <c r="BS1048429" s="242"/>
      <c r="BT1048429" s="242"/>
      <c r="BU1048429" s="242"/>
      <c r="BV1048429" s="242"/>
      <c r="BW1048429" s="242"/>
      <c r="BX1048429" s="242"/>
      <c r="BY1048429" s="242"/>
      <c r="BZ1048429" s="242"/>
      <c r="CA1048429" s="242"/>
      <c r="CB1048429" s="242"/>
      <c r="CC1048429" s="242"/>
      <c r="CD1048429" s="242"/>
      <c r="CE1048429" s="242"/>
      <c r="CF1048429" s="242"/>
      <c r="CG1048429" s="242"/>
      <c r="CH1048429" s="242"/>
      <c r="CI1048429" s="242"/>
      <c r="CJ1048429" s="242"/>
      <c r="CK1048429" s="242"/>
      <c r="CL1048429" s="242"/>
      <c r="CM1048429" s="242"/>
      <c r="CN1048429" s="242"/>
      <c r="CO1048429" s="242"/>
      <c r="CP1048429" s="242"/>
      <c r="CQ1048429" s="242"/>
      <c r="CR1048429" s="242"/>
      <c r="CS1048429" s="242"/>
      <c r="CT1048429" s="242"/>
      <c r="CU1048429" s="242"/>
      <c r="CV1048429" s="242"/>
      <c r="CW1048429" s="242"/>
      <c r="CX1048429" s="242"/>
      <c r="CY1048429" s="242"/>
      <c r="CZ1048429" s="242"/>
      <c r="DA1048429" s="242"/>
      <c r="DB1048429" s="242"/>
      <c r="DC1048429" s="242"/>
      <c r="DD1048429" s="242"/>
      <c r="DE1048429" s="242"/>
      <c r="DF1048429" s="242"/>
      <c r="DG1048429" s="242"/>
      <c r="DH1048429" s="242"/>
      <c r="DI1048429" s="242"/>
      <c r="DJ1048429" s="242"/>
      <c r="DK1048429" s="242"/>
      <c r="DL1048429" s="242"/>
      <c r="DM1048429" s="242"/>
      <c r="DN1048429" s="242"/>
      <c r="DO1048429" s="242"/>
      <c r="DP1048429" s="242"/>
      <c r="DQ1048429" s="242"/>
      <c r="DR1048429" s="242"/>
      <c r="DS1048429" s="242"/>
      <c r="DT1048429" s="242"/>
      <c r="DU1048429" s="242"/>
      <c r="DV1048429" s="242"/>
      <c r="DW1048429" s="242"/>
      <c r="DX1048429" s="242"/>
      <c r="DY1048429" s="242"/>
      <c r="DZ1048429" s="242"/>
      <c r="EA1048429" s="242"/>
      <c r="EB1048429" s="242"/>
      <c r="EC1048429" s="242"/>
      <c r="ED1048429" s="242"/>
      <c r="EE1048429" s="242"/>
      <c r="EF1048429" s="242"/>
      <c r="EG1048429" s="242"/>
      <c r="EH1048429" s="242"/>
      <c r="EI1048429" s="242"/>
      <c r="EJ1048429" s="242"/>
      <c r="EK1048429" s="242"/>
      <c r="EL1048429" s="242"/>
      <c r="EM1048429" s="242"/>
      <c r="EN1048429" s="242"/>
      <c r="EO1048429" s="242"/>
      <c r="EP1048429" s="242"/>
      <c r="EQ1048429" s="242"/>
      <c r="ER1048429" s="242"/>
      <c r="ES1048429" s="242"/>
      <c r="ET1048429" s="242"/>
      <c r="EU1048429" s="242"/>
      <c r="EV1048429" s="242"/>
      <c r="EW1048429" s="242"/>
      <c r="EX1048429" s="242"/>
      <c r="EY1048429" s="242"/>
      <c r="EZ1048429" s="242"/>
      <c r="FA1048429" s="242"/>
      <c r="FB1048429" s="242"/>
      <c r="FC1048429" s="242"/>
      <c r="FD1048429" s="242"/>
      <c r="FE1048429" s="242"/>
      <c r="FF1048429" s="242"/>
      <c r="FG1048429" s="242"/>
      <c r="FH1048429" s="242"/>
      <c r="FI1048429" s="242"/>
      <c r="FJ1048429" s="242"/>
      <c r="FK1048429" s="242"/>
      <c r="FL1048429" s="242"/>
      <c r="FM1048429" s="242"/>
      <c r="FN1048429" s="242"/>
      <c r="FO1048429" s="242"/>
      <c r="FP1048429" s="242"/>
      <c r="FQ1048429" s="242"/>
      <c r="FR1048429" s="242"/>
      <c r="FS1048429" s="242"/>
      <c r="FT1048429" s="242"/>
      <c r="FU1048429" s="242"/>
      <c r="FV1048429" s="242"/>
      <c r="FW1048429" s="242"/>
      <c r="FX1048429" s="242"/>
      <c r="FY1048429" s="242"/>
      <c r="FZ1048429" s="242"/>
      <c r="GA1048429" s="242"/>
      <c r="GB1048429" s="242"/>
      <c r="GC1048429" s="242"/>
      <c r="GD1048429" s="242"/>
      <c r="GE1048429" s="242"/>
      <c r="GF1048429" s="242"/>
      <c r="GG1048429" s="242"/>
      <c r="GH1048429" s="242"/>
      <c r="GI1048429" s="242"/>
      <c r="GJ1048429" s="242"/>
      <c r="GK1048429" s="242"/>
      <c r="GL1048429" s="242"/>
      <c r="GM1048429" s="242"/>
      <c r="GN1048429" s="242"/>
      <c r="GO1048429" s="242"/>
      <c r="GP1048429" s="242"/>
      <c r="GQ1048429" s="242"/>
      <c r="GR1048429" s="242"/>
      <c r="GS1048429" s="242"/>
      <c r="GT1048429" s="242"/>
      <c r="GU1048429" s="242"/>
      <c r="GV1048429" s="242"/>
      <c r="GW1048429" s="242"/>
      <c r="GX1048429" s="242"/>
      <c r="GY1048429" s="242"/>
      <c r="GZ1048429" s="242"/>
      <c r="HA1048429" s="242"/>
      <c r="HB1048429" s="242"/>
      <c r="HC1048429" s="242"/>
      <c r="HD1048429" s="242"/>
      <c r="HE1048429" s="242"/>
      <c r="HF1048429" s="242"/>
      <c r="HG1048429" s="242"/>
      <c r="HH1048429" s="242"/>
      <c r="HI1048429" s="242"/>
      <c r="HJ1048429" s="242"/>
      <c r="HK1048429" s="242"/>
      <c r="HL1048429" s="242"/>
      <c r="HM1048429" s="242"/>
      <c r="HN1048429" s="242"/>
      <c r="HO1048429" s="242"/>
      <c r="HP1048429" s="242"/>
      <c r="HQ1048429" s="242"/>
      <c r="HR1048429" s="242"/>
      <c r="HS1048429" s="242"/>
      <c r="HT1048429" s="242"/>
      <c r="HU1048429" s="242"/>
      <c r="HV1048429" s="242"/>
      <c r="HW1048429" s="242"/>
      <c r="HX1048429" s="242"/>
      <c r="HY1048429" s="242"/>
      <c r="HZ1048429" s="242"/>
      <c r="IA1048429" s="242"/>
      <c r="IB1048429" s="242"/>
      <c r="IC1048429" s="242"/>
      <c r="ID1048429" s="242"/>
      <c r="IE1048429" s="242"/>
      <c r="IF1048429" s="242"/>
      <c r="IG1048429" s="242"/>
      <c r="IH1048429" s="242"/>
      <c r="II1048429" s="242"/>
      <c r="IJ1048429" s="242"/>
      <c r="IK1048429" s="242"/>
      <c r="IL1048429" s="242"/>
      <c r="IM1048429" s="242"/>
      <c r="IN1048429" s="242"/>
      <c r="IO1048429" s="242"/>
      <c r="IP1048429" s="242"/>
      <c r="IQ1048429" s="242"/>
    </row>
    <row r="1048430" spans="1:251" s="243" customFormat="1" ht="12" customHeight="1">
      <c r="A1048430" s="242"/>
      <c r="B1048430" s="242"/>
      <c r="C1048430" s="242"/>
      <c r="D1048430" s="242"/>
      <c r="E1048430" s="242"/>
      <c r="F1048430" s="242"/>
      <c r="G1048430" s="242"/>
      <c r="H1048430" s="242"/>
      <c r="I1048430" s="242"/>
      <c r="J1048430" s="242"/>
      <c r="K1048430" s="242"/>
      <c r="L1048430" s="242"/>
      <c r="M1048430" s="242"/>
      <c r="N1048430" s="242"/>
      <c r="O1048430" s="242"/>
      <c r="P1048430" s="242"/>
      <c r="Q1048430" s="242"/>
      <c r="R1048430" s="242"/>
      <c r="S1048430" s="242"/>
      <c r="T1048430" s="242"/>
      <c r="U1048430" s="242"/>
      <c r="V1048430" s="242"/>
      <c r="W1048430" s="242"/>
      <c r="X1048430" s="242"/>
      <c r="Y1048430" s="242"/>
      <c r="Z1048430" s="242"/>
      <c r="AA1048430" s="242"/>
      <c r="AB1048430" s="242"/>
      <c r="AC1048430" s="242"/>
      <c r="AD1048430" s="242"/>
      <c r="AE1048430" s="242"/>
      <c r="AF1048430" s="242"/>
      <c r="AG1048430" s="242"/>
      <c r="AH1048430" s="242"/>
      <c r="AI1048430" s="242"/>
      <c r="AJ1048430" s="242"/>
      <c r="AK1048430" s="242"/>
      <c r="AL1048430" s="242"/>
      <c r="AM1048430" s="242"/>
      <c r="AN1048430" s="242"/>
      <c r="AO1048430" s="242"/>
      <c r="AP1048430" s="242"/>
      <c r="AQ1048430" s="242"/>
      <c r="AR1048430" s="242"/>
      <c r="AS1048430" s="242"/>
      <c r="AT1048430" s="242"/>
      <c r="AU1048430" s="242"/>
      <c r="AV1048430" s="242"/>
      <c r="AW1048430" s="242"/>
      <c r="AX1048430" s="242"/>
      <c r="AY1048430" s="242"/>
      <c r="AZ1048430" s="242"/>
      <c r="BA1048430" s="242"/>
      <c r="BB1048430" s="242"/>
      <c r="BC1048430" s="242"/>
      <c r="BD1048430" s="242"/>
      <c r="BE1048430" s="242"/>
      <c r="BF1048430" s="242"/>
      <c r="BG1048430" s="242"/>
      <c r="BH1048430" s="242"/>
      <c r="BI1048430" s="242"/>
      <c r="BJ1048430" s="242"/>
      <c r="BK1048430" s="242"/>
      <c r="BL1048430" s="242"/>
      <c r="BM1048430" s="242"/>
      <c r="BN1048430" s="242"/>
      <c r="BO1048430" s="242"/>
      <c r="BP1048430" s="242"/>
      <c r="BQ1048430" s="242"/>
      <c r="BR1048430" s="242"/>
      <c r="BS1048430" s="242"/>
      <c r="BT1048430" s="242"/>
      <c r="BU1048430" s="242"/>
      <c r="BV1048430" s="242"/>
      <c r="BW1048430" s="242"/>
      <c r="BX1048430" s="242"/>
      <c r="BY1048430" s="242"/>
      <c r="BZ1048430" s="242"/>
      <c r="CA1048430" s="242"/>
      <c r="CB1048430" s="242"/>
      <c r="CC1048430" s="242"/>
      <c r="CD1048430" s="242"/>
      <c r="CE1048430" s="242"/>
      <c r="CF1048430" s="242"/>
      <c r="CG1048430" s="242"/>
      <c r="CH1048430" s="242"/>
      <c r="CI1048430" s="242"/>
      <c r="CJ1048430" s="242"/>
      <c r="CK1048430" s="242"/>
      <c r="CL1048430" s="242"/>
      <c r="CM1048430" s="242"/>
      <c r="CN1048430" s="242"/>
      <c r="CO1048430" s="242"/>
      <c r="CP1048430" s="242"/>
      <c r="CQ1048430" s="242"/>
      <c r="CR1048430" s="242"/>
      <c r="CS1048430" s="242"/>
      <c r="CT1048430" s="242"/>
      <c r="CU1048430" s="242"/>
      <c r="CV1048430" s="242"/>
      <c r="CW1048430" s="242"/>
      <c r="CX1048430" s="242"/>
      <c r="CY1048430" s="242"/>
      <c r="CZ1048430" s="242"/>
      <c r="DA1048430" s="242"/>
      <c r="DB1048430" s="242"/>
      <c r="DC1048430" s="242"/>
      <c r="DD1048430" s="242"/>
      <c r="DE1048430" s="242"/>
      <c r="DF1048430" s="242"/>
      <c r="DG1048430" s="242"/>
      <c r="DH1048430" s="242"/>
      <c r="DI1048430" s="242"/>
      <c r="DJ1048430" s="242"/>
      <c r="DK1048430" s="242"/>
      <c r="DL1048430" s="242"/>
      <c r="DM1048430" s="242"/>
      <c r="DN1048430" s="242"/>
      <c r="DO1048430" s="242"/>
      <c r="DP1048430" s="242"/>
      <c r="DQ1048430" s="242"/>
      <c r="DR1048430" s="242"/>
      <c r="DS1048430" s="242"/>
      <c r="DT1048430" s="242"/>
      <c r="DU1048430" s="242"/>
      <c r="DV1048430" s="242"/>
      <c r="DW1048430" s="242"/>
      <c r="DX1048430" s="242"/>
      <c r="DY1048430" s="242"/>
      <c r="DZ1048430" s="242"/>
      <c r="EA1048430" s="242"/>
      <c r="EB1048430" s="242"/>
      <c r="EC1048430" s="242"/>
      <c r="ED1048430" s="242"/>
      <c r="EE1048430" s="242"/>
      <c r="EF1048430" s="242"/>
      <c r="EG1048430" s="242"/>
      <c r="EH1048430" s="242"/>
      <c r="EI1048430" s="242"/>
      <c r="EJ1048430" s="242"/>
      <c r="EK1048430" s="242"/>
      <c r="EL1048430" s="242"/>
      <c r="EM1048430" s="242"/>
      <c r="EN1048430" s="242"/>
      <c r="EO1048430" s="242"/>
      <c r="EP1048430" s="242"/>
      <c r="EQ1048430" s="242"/>
      <c r="ER1048430" s="242"/>
      <c r="ES1048430" s="242"/>
      <c r="ET1048430" s="242"/>
      <c r="EU1048430" s="242"/>
      <c r="EV1048430" s="242"/>
      <c r="EW1048430" s="242"/>
      <c r="EX1048430" s="242"/>
      <c r="EY1048430" s="242"/>
      <c r="EZ1048430" s="242"/>
      <c r="FA1048430" s="242"/>
      <c r="FB1048430" s="242"/>
      <c r="FC1048430" s="242"/>
      <c r="FD1048430" s="242"/>
      <c r="FE1048430" s="242"/>
      <c r="FF1048430" s="242"/>
      <c r="FG1048430" s="242"/>
      <c r="FH1048430" s="242"/>
      <c r="FI1048430" s="242"/>
      <c r="FJ1048430" s="242"/>
      <c r="FK1048430" s="242"/>
      <c r="FL1048430" s="242"/>
      <c r="FM1048430" s="242"/>
      <c r="FN1048430" s="242"/>
      <c r="FO1048430" s="242"/>
      <c r="FP1048430" s="242"/>
      <c r="FQ1048430" s="242"/>
      <c r="FR1048430" s="242"/>
      <c r="FS1048430" s="242"/>
      <c r="FT1048430" s="242"/>
      <c r="FU1048430" s="242"/>
      <c r="FV1048430" s="242"/>
      <c r="FW1048430" s="242"/>
      <c r="FX1048430" s="242"/>
      <c r="FY1048430" s="242"/>
      <c r="FZ1048430" s="242"/>
      <c r="GA1048430" s="242"/>
      <c r="GB1048430" s="242"/>
      <c r="GC1048430" s="242"/>
      <c r="GD1048430" s="242"/>
      <c r="GE1048430" s="242"/>
      <c r="GF1048430" s="242"/>
      <c r="GG1048430" s="242"/>
      <c r="GH1048430" s="242"/>
      <c r="GI1048430" s="242"/>
      <c r="GJ1048430" s="242"/>
      <c r="GK1048430" s="242"/>
      <c r="GL1048430" s="242"/>
      <c r="GM1048430" s="242"/>
      <c r="GN1048430" s="242"/>
      <c r="GO1048430" s="242"/>
      <c r="GP1048430" s="242"/>
      <c r="GQ1048430" s="242"/>
      <c r="GR1048430" s="242"/>
      <c r="GS1048430" s="242"/>
      <c r="GT1048430" s="242"/>
      <c r="GU1048430" s="242"/>
      <c r="GV1048430" s="242"/>
      <c r="GW1048430" s="242"/>
      <c r="GX1048430" s="242"/>
      <c r="GY1048430" s="242"/>
      <c r="GZ1048430" s="242"/>
      <c r="HA1048430" s="242"/>
      <c r="HB1048430" s="242"/>
      <c r="HC1048430" s="242"/>
      <c r="HD1048430" s="242"/>
      <c r="HE1048430" s="242"/>
      <c r="HF1048430" s="242"/>
      <c r="HG1048430" s="242"/>
      <c r="HH1048430" s="242"/>
      <c r="HI1048430" s="242"/>
      <c r="HJ1048430" s="242"/>
      <c r="HK1048430" s="242"/>
      <c r="HL1048430" s="242"/>
      <c r="HM1048430" s="242"/>
      <c r="HN1048430" s="242"/>
      <c r="HO1048430" s="242"/>
      <c r="HP1048430" s="242"/>
      <c r="HQ1048430" s="242"/>
      <c r="HR1048430" s="242"/>
      <c r="HS1048430" s="242"/>
      <c r="HT1048430" s="242"/>
      <c r="HU1048430" s="242"/>
      <c r="HV1048430" s="242"/>
      <c r="HW1048430" s="242"/>
      <c r="HX1048430" s="242"/>
      <c r="HY1048430" s="242"/>
      <c r="HZ1048430" s="242"/>
      <c r="IA1048430" s="242"/>
      <c r="IB1048430" s="242"/>
      <c r="IC1048430" s="242"/>
      <c r="ID1048430" s="242"/>
      <c r="IE1048430" s="242"/>
      <c r="IF1048430" s="242"/>
      <c r="IG1048430" s="242"/>
      <c r="IH1048430" s="242"/>
      <c r="II1048430" s="242"/>
      <c r="IJ1048430" s="242"/>
      <c r="IK1048430" s="242"/>
      <c r="IL1048430" s="242"/>
      <c r="IM1048430" s="242"/>
      <c r="IN1048430" s="242"/>
      <c r="IO1048430" s="242"/>
      <c r="IP1048430" s="242"/>
      <c r="IQ1048430" s="242"/>
    </row>
    <row r="1048431" spans="1:251" s="243" customFormat="1" ht="12" customHeight="1">
      <c r="A1048431" s="242"/>
      <c r="B1048431" s="242"/>
      <c r="C1048431" s="242"/>
      <c r="D1048431" s="242"/>
      <c r="E1048431" s="242"/>
      <c r="F1048431" s="242"/>
      <c r="G1048431" s="242"/>
      <c r="H1048431" s="242"/>
      <c r="I1048431" s="242"/>
      <c r="J1048431" s="242"/>
      <c r="K1048431" s="242"/>
      <c r="L1048431" s="242"/>
      <c r="M1048431" s="242"/>
      <c r="N1048431" s="242"/>
      <c r="O1048431" s="242"/>
      <c r="P1048431" s="242"/>
      <c r="Q1048431" s="242"/>
      <c r="R1048431" s="242"/>
      <c r="S1048431" s="242"/>
      <c r="T1048431" s="242"/>
      <c r="U1048431" s="242"/>
      <c r="V1048431" s="242"/>
      <c r="W1048431" s="242"/>
      <c r="X1048431" s="242"/>
      <c r="Y1048431" s="242"/>
      <c r="Z1048431" s="242"/>
      <c r="AA1048431" s="242"/>
      <c r="AB1048431" s="242"/>
      <c r="AC1048431" s="242"/>
      <c r="AD1048431" s="242"/>
      <c r="AE1048431" s="242"/>
      <c r="AF1048431" s="242"/>
      <c r="AG1048431" s="242"/>
      <c r="AH1048431" s="242"/>
      <c r="AI1048431" s="242"/>
      <c r="AJ1048431" s="242"/>
      <c r="AK1048431" s="242"/>
      <c r="AL1048431" s="242"/>
      <c r="AM1048431" s="242"/>
      <c r="AN1048431" s="242"/>
      <c r="AO1048431" s="242"/>
      <c r="AP1048431" s="242"/>
      <c r="AQ1048431" s="242"/>
      <c r="AR1048431" s="242"/>
      <c r="AS1048431" s="242"/>
      <c r="AT1048431" s="242"/>
      <c r="AU1048431" s="242"/>
      <c r="AV1048431" s="242"/>
      <c r="AW1048431" s="242"/>
      <c r="AX1048431" s="242"/>
      <c r="AY1048431" s="242"/>
      <c r="AZ1048431" s="242"/>
      <c r="BA1048431" s="242"/>
      <c r="BB1048431" s="242"/>
      <c r="BC1048431" s="242"/>
      <c r="BD1048431" s="242"/>
      <c r="BE1048431" s="242"/>
      <c r="BF1048431" s="242"/>
      <c r="BG1048431" s="242"/>
      <c r="BH1048431" s="242"/>
      <c r="BI1048431" s="242"/>
      <c r="BJ1048431" s="242"/>
      <c r="BK1048431" s="242"/>
      <c r="BL1048431" s="242"/>
      <c r="BM1048431" s="242"/>
      <c r="BN1048431" s="242"/>
      <c r="BO1048431" s="242"/>
      <c r="BP1048431" s="242"/>
      <c r="BQ1048431" s="242"/>
      <c r="BR1048431" s="242"/>
      <c r="BS1048431" s="242"/>
      <c r="BT1048431" s="242"/>
      <c r="BU1048431" s="242"/>
      <c r="BV1048431" s="242"/>
      <c r="BW1048431" s="242"/>
      <c r="BX1048431" s="242"/>
      <c r="BY1048431" s="242"/>
      <c r="BZ1048431" s="242"/>
      <c r="CA1048431" s="242"/>
      <c r="CB1048431" s="242"/>
      <c r="CC1048431" s="242"/>
      <c r="CD1048431" s="242"/>
      <c r="CE1048431" s="242"/>
      <c r="CF1048431" s="242"/>
      <c r="CG1048431" s="242"/>
      <c r="CH1048431" s="242"/>
      <c r="CI1048431" s="242"/>
      <c r="CJ1048431" s="242"/>
      <c r="CK1048431" s="242"/>
      <c r="CL1048431" s="242"/>
      <c r="CM1048431" s="242"/>
      <c r="CN1048431" s="242"/>
      <c r="CO1048431" s="242"/>
      <c r="CP1048431" s="242"/>
      <c r="CQ1048431" s="242"/>
      <c r="CR1048431" s="242"/>
      <c r="CS1048431" s="242"/>
      <c r="CT1048431" s="242"/>
      <c r="CU1048431" s="242"/>
      <c r="CV1048431" s="242"/>
      <c r="CW1048431" s="242"/>
      <c r="CX1048431" s="242"/>
      <c r="CY1048431" s="242"/>
      <c r="CZ1048431" s="242"/>
      <c r="DA1048431" s="242"/>
      <c r="DB1048431" s="242"/>
      <c r="DC1048431" s="242"/>
      <c r="DD1048431" s="242"/>
      <c r="DE1048431" s="242"/>
      <c r="DF1048431" s="242"/>
      <c r="DG1048431" s="242"/>
      <c r="DH1048431" s="242"/>
      <c r="DI1048431" s="242"/>
      <c r="DJ1048431" s="242"/>
      <c r="DK1048431" s="242"/>
      <c r="DL1048431" s="242"/>
      <c r="DM1048431" s="242"/>
      <c r="DN1048431" s="242"/>
      <c r="DO1048431" s="242"/>
      <c r="DP1048431" s="242"/>
      <c r="DQ1048431" s="242"/>
      <c r="DR1048431" s="242"/>
      <c r="DS1048431" s="242"/>
      <c r="DT1048431" s="242"/>
      <c r="DU1048431" s="242"/>
      <c r="DV1048431" s="242"/>
      <c r="DW1048431" s="242"/>
      <c r="DX1048431" s="242"/>
      <c r="DY1048431" s="242"/>
      <c r="DZ1048431" s="242"/>
      <c r="EA1048431" s="242"/>
      <c r="EB1048431" s="242"/>
      <c r="EC1048431" s="242"/>
      <c r="ED1048431" s="242"/>
      <c r="EE1048431" s="242"/>
      <c r="EF1048431" s="242"/>
      <c r="EG1048431" s="242"/>
      <c r="EH1048431" s="242"/>
      <c r="EI1048431" s="242"/>
      <c r="EJ1048431" s="242"/>
      <c r="EK1048431" s="242"/>
      <c r="EL1048431" s="242"/>
      <c r="EM1048431" s="242"/>
      <c r="EN1048431" s="242"/>
      <c r="EO1048431" s="242"/>
      <c r="EP1048431" s="242"/>
      <c r="EQ1048431" s="242"/>
      <c r="ER1048431" s="242"/>
      <c r="ES1048431" s="242"/>
      <c r="ET1048431" s="242"/>
      <c r="EU1048431" s="242"/>
      <c r="EV1048431" s="242"/>
      <c r="EW1048431" s="242"/>
      <c r="EX1048431" s="242"/>
      <c r="EY1048431" s="242"/>
      <c r="EZ1048431" s="242"/>
      <c r="FA1048431" s="242"/>
      <c r="FB1048431" s="242"/>
      <c r="FC1048431" s="242"/>
      <c r="FD1048431" s="242"/>
      <c r="FE1048431" s="242"/>
      <c r="FF1048431" s="242"/>
      <c r="FG1048431" s="242"/>
      <c r="FH1048431" s="242"/>
      <c r="FI1048431" s="242"/>
      <c r="FJ1048431" s="242"/>
      <c r="FK1048431" s="242"/>
      <c r="FL1048431" s="242"/>
      <c r="FM1048431" s="242"/>
      <c r="FN1048431" s="242"/>
      <c r="FO1048431" s="242"/>
      <c r="FP1048431" s="242"/>
      <c r="FQ1048431" s="242"/>
      <c r="FR1048431" s="242"/>
      <c r="FS1048431" s="242"/>
      <c r="FT1048431" s="242"/>
      <c r="FU1048431" s="242"/>
      <c r="FV1048431" s="242"/>
      <c r="FW1048431" s="242"/>
      <c r="FX1048431" s="242"/>
      <c r="FY1048431" s="242"/>
      <c r="FZ1048431" s="242"/>
      <c r="GA1048431" s="242"/>
      <c r="GB1048431" s="242"/>
      <c r="GC1048431" s="242"/>
      <c r="GD1048431" s="242"/>
      <c r="GE1048431" s="242"/>
      <c r="GF1048431" s="242"/>
      <c r="GG1048431" s="242"/>
      <c r="GH1048431" s="242"/>
      <c r="GI1048431" s="242"/>
      <c r="GJ1048431" s="242"/>
      <c r="GK1048431" s="242"/>
      <c r="GL1048431" s="242"/>
      <c r="GM1048431" s="242"/>
      <c r="GN1048431" s="242"/>
      <c r="GO1048431" s="242"/>
      <c r="GP1048431" s="242"/>
      <c r="GQ1048431" s="242"/>
      <c r="GR1048431" s="242"/>
      <c r="GS1048431" s="242"/>
      <c r="GT1048431" s="242"/>
      <c r="GU1048431" s="242"/>
      <c r="GV1048431" s="242"/>
      <c r="GW1048431" s="242"/>
      <c r="GX1048431" s="242"/>
      <c r="GY1048431" s="242"/>
      <c r="GZ1048431" s="242"/>
      <c r="HA1048431" s="242"/>
      <c r="HB1048431" s="242"/>
      <c r="HC1048431" s="242"/>
      <c r="HD1048431" s="242"/>
      <c r="HE1048431" s="242"/>
      <c r="HF1048431" s="242"/>
      <c r="HG1048431" s="242"/>
      <c r="HH1048431" s="242"/>
      <c r="HI1048431" s="242"/>
      <c r="HJ1048431" s="242"/>
      <c r="HK1048431" s="242"/>
      <c r="HL1048431" s="242"/>
      <c r="HM1048431" s="242"/>
      <c r="HN1048431" s="242"/>
      <c r="HO1048431" s="242"/>
      <c r="HP1048431" s="242"/>
      <c r="HQ1048431" s="242"/>
      <c r="HR1048431" s="242"/>
      <c r="HS1048431" s="242"/>
      <c r="HT1048431" s="242"/>
      <c r="HU1048431" s="242"/>
      <c r="HV1048431" s="242"/>
      <c r="HW1048431" s="242"/>
      <c r="HX1048431" s="242"/>
      <c r="HY1048431" s="242"/>
      <c r="HZ1048431" s="242"/>
      <c r="IA1048431" s="242"/>
      <c r="IB1048431" s="242"/>
      <c r="IC1048431" s="242"/>
      <c r="ID1048431" s="242"/>
      <c r="IE1048431" s="242"/>
      <c r="IF1048431" s="242"/>
      <c r="IG1048431" s="242"/>
      <c r="IH1048431" s="242"/>
      <c r="II1048431" s="242"/>
      <c r="IJ1048431" s="242"/>
      <c r="IK1048431" s="242"/>
      <c r="IL1048431" s="242"/>
      <c r="IM1048431" s="242"/>
      <c r="IN1048431" s="242"/>
      <c r="IO1048431" s="242"/>
      <c r="IP1048431" s="242"/>
      <c r="IQ1048431" s="242"/>
    </row>
    <row r="1048432" spans="1:251" s="243" customFormat="1" ht="12" customHeight="1">
      <c r="A1048432" s="242"/>
      <c r="B1048432" s="242"/>
      <c r="C1048432" s="242"/>
      <c r="D1048432" s="242"/>
      <c r="E1048432" s="242"/>
      <c r="F1048432" s="242"/>
      <c r="G1048432" s="242"/>
      <c r="H1048432" s="242"/>
      <c r="I1048432" s="242"/>
      <c r="J1048432" s="242"/>
      <c r="K1048432" s="242"/>
      <c r="L1048432" s="242"/>
      <c r="M1048432" s="242"/>
      <c r="N1048432" s="242"/>
      <c r="O1048432" s="242"/>
      <c r="P1048432" s="242"/>
      <c r="Q1048432" s="242"/>
      <c r="R1048432" s="242"/>
      <c r="S1048432" s="242"/>
      <c r="T1048432" s="242"/>
      <c r="U1048432" s="242"/>
      <c r="V1048432" s="242"/>
      <c r="W1048432" s="242"/>
      <c r="X1048432" s="242"/>
      <c r="Y1048432" s="242"/>
      <c r="Z1048432" s="242"/>
      <c r="AA1048432" s="242"/>
      <c r="AB1048432" s="242"/>
      <c r="AC1048432" s="242"/>
      <c r="AD1048432" s="242"/>
      <c r="AE1048432" s="242"/>
      <c r="AF1048432" s="242"/>
      <c r="AG1048432" s="242"/>
      <c r="AH1048432" s="242"/>
      <c r="AI1048432" s="242"/>
      <c r="AJ1048432" s="242"/>
      <c r="AK1048432" s="242"/>
      <c r="AL1048432" s="242"/>
      <c r="AM1048432" s="242"/>
      <c r="AN1048432" s="242"/>
      <c r="AO1048432" s="242"/>
      <c r="AP1048432" s="242"/>
      <c r="AQ1048432" s="242"/>
      <c r="AR1048432" s="242"/>
      <c r="AS1048432" s="242"/>
      <c r="AT1048432" s="242"/>
      <c r="AU1048432" s="242"/>
      <c r="AV1048432" s="242"/>
      <c r="AW1048432" s="242"/>
      <c r="AX1048432" s="242"/>
      <c r="AY1048432" s="242"/>
      <c r="AZ1048432" s="242"/>
      <c r="BA1048432" s="242"/>
      <c r="BB1048432" s="242"/>
      <c r="BC1048432" s="242"/>
      <c r="BD1048432" s="242"/>
      <c r="BE1048432" s="242"/>
      <c r="BF1048432" s="242"/>
      <c r="BG1048432" s="242"/>
      <c r="BH1048432" s="242"/>
      <c r="BI1048432" s="242"/>
      <c r="BJ1048432" s="242"/>
      <c r="BK1048432" s="242"/>
      <c r="BL1048432" s="242"/>
      <c r="BM1048432" s="242"/>
      <c r="BN1048432" s="242"/>
      <c r="BO1048432" s="242"/>
      <c r="BP1048432" s="242"/>
      <c r="BQ1048432" s="242"/>
      <c r="BR1048432" s="242"/>
      <c r="BS1048432" s="242"/>
      <c r="BT1048432" s="242"/>
      <c r="BU1048432" s="242"/>
      <c r="BV1048432" s="242"/>
      <c r="BW1048432" s="242"/>
      <c r="BX1048432" s="242"/>
      <c r="BY1048432" s="242"/>
      <c r="BZ1048432" s="242"/>
      <c r="CA1048432" s="242"/>
      <c r="CB1048432" s="242"/>
      <c r="CC1048432" s="242"/>
      <c r="CD1048432" s="242"/>
      <c r="CE1048432" s="242"/>
      <c r="CF1048432" s="242"/>
      <c r="CG1048432" s="242"/>
      <c r="CH1048432" s="242"/>
      <c r="CI1048432" s="242"/>
      <c r="CJ1048432" s="242"/>
      <c r="CK1048432" s="242"/>
      <c r="CL1048432" s="242"/>
      <c r="CM1048432" s="242"/>
      <c r="CN1048432" s="242"/>
      <c r="CO1048432" s="242"/>
      <c r="CP1048432" s="242"/>
      <c r="CQ1048432" s="242"/>
      <c r="CR1048432" s="242"/>
      <c r="CS1048432" s="242"/>
      <c r="CT1048432" s="242"/>
      <c r="CU1048432" s="242"/>
      <c r="CV1048432" s="242"/>
      <c r="CW1048432" s="242"/>
      <c r="CX1048432" s="242"/>
      <c r="CY1048432" s="242"/>
      <c r="CZ1048432" s="242"/>
      <c r="DA1048432" s="242"/>
      <c r="DB1048432" s="242"/>
      <c r="DC1048432" s="242"/>
      <c r="DD1048432" s="242"/>
      <c r="DE1048432" s="242"/>
      <c r="DF1048432" s="242"/>
      <c r="DG1048432" s="242"/>
      <c r="DH1048432" s="242"/>
      <c r="DI1048432" s="242"/>
      <c r="DJ1048432" s="242"/>
      <c r="DK1048432" s="242"/>
      <c r="DL1048432" s="242"/>
      <c r="DM1048432" s="242"/>
      <c r="DN1048432" s="242"/>
      <c r="DO1048432" s="242"/>
      <c r="DP1048432" s="242"/>
      <c r="DQ1048432" s="242"/>
      <c r="DR1048432" s="242"/>
      <c r="DS1048432" s="242"/>
      <c r="DT1048432" s="242"/>
      <c r="DU1048432" s="242"/>
      <c r="DV1048432" s="242"/>
      <c r="DW1048432" s="242"/>
      <c r="DX1048432" s="242"/>
      <c r="DY1048432" s="242"/>
      <c r="DZ1048432" s="242"/>
      <c r="EA1048432" s="242"/>
      <c r="EB1048432" s="242"/>
      <c r="EC1048432" s="242"/>
      <c r="ED1048432" s="242"/>
      <c r="EE1048432" s="242"/>
      <c r="EF1048432" s="242"/>
      <c r="EG1048432" s="242"/>
      <c r="EH1048432" s="242"/>
      <c r="EI1048432" s="242"/>
      <c r="EJ1048432" s="242"/>
      <c r="EK1048432" s="242"/>
      <c r="EL1048432" s="242"/>
      <c r="EM1048432" s="242"/>
      <c r="EN1048432" s="242"/>
      <c r="EO1048432" s="242"/>
      <c r="EP1048432" s="242"/>
      <c r="EQ1048432" s="242"/>
      <c r="ER1048432" s="242"/>
      <c r="ES1048432" s="242"/>
      <c r="ET1048432" s="242"/>
      <c r="EU1048432" s="242"/>
      <c r="EV1048432" s="242"/>
      <c r="EW1048432" s="242"/>
      <c r="EX1048432" s="242"/>
      <c r="EY1048432" s="242"/>
      <c r="EZ1048432" s="242"/>
      <c r="FA1048432" s="242"/>
      <c r="FB1048432" s="242"/>
      <c r="FC1048432" s="242"/>
      <c r="FD1048432" s="242"/>
      <c r="FE1048432" s="242"/>
      <c r="FF1048432" s="242"/>
      <c r="FG1048432" s="242"/>
      <c r="FH1048432" s="242"/>
      <c r="FI1048432" s="242"/>
      <c r="FJ1048432" s="242"/>
      <c r="FK1048432" s="242"/>
      <c r="FL1048432" s="242"/>
      <c r="FM1048432" s="242"/>
      <c r="FN1048432" s="242"/>
      <c r="FO1048432" s="242"/>
      <c r="FP1048432" s="242"/>
      <c r="FQ1048432" s="242"/>
      <c r="FR1048432" s="242"/>
      <c r="FS1048432" s="242"/>
      <c r="FT1048432" s="242"/>
      <c r="FU1048432" s="242"/>
      <c r="FV1048432" s="242"/>
      <c r="FW1048432" s="242"/>
      <c r="FX1048432" s="242"/>
      <c r="FY1048432" s="242"/>
      <c r="FZ1048432" s="242"/>
      <c r="GA1048432" s="242"/>
      <c r="GB1048432" s="242"/>
      <c r="GC1048432" s="242"/>
      <c r="GD1048432" s="242"/>
      <c r="GE1048432" s="242"/>
      <c r="GF1048432" s="242"/>
      <c r="GG1048432" s="242"/>
      <c r="GH1048432" s="242"/>
      <c r="GI1048432" s="242"/>
      <c r="GJ1048432" s="242"/>
      <c r="GK1048432" s="242"/>
      <c r="GL1048432" s="242"/>
      <c r="GM1048432" s="242"/>
      <c r="GN1048432" s="242"/>
      <c r="GO1048432" s="242"/>
      <c r="GP1048432" s="242"/>
      <c r="GQ1048432" s="242"/>
      <c r="GR1048432" s="242"/>
      <c r="GS1048432" s="242"/>
      <c r="GT1048432" s="242"/>
      <c r="GU1048432" s="242"/>
      <c r="GV1048432" s="242"/>
      <c r="GW1048432" s="242"/>
      <c r="GX1048432" s="242"/>
      <c r="GY1048432" s="242"/>
      <c r="GZ1048432" s="242"/>
      <c r="HA1048432" s="242"/>
      <c r="HB1048432" s="242"/>
      <c r="HC1048432" s="242"/>
      <c r="HD1048432" s="242"/>
      <c r="HE1048432" s="242"/>
      <c r="HF1048432" s="242"/>
      <c r="HG1048432" s="242"/>
      <c r="HH1048432" s="242"/>
      <c r="HI1048432" s="242"/>
      <c r="HJ1048432" s="242"/>
      <c r="HK1048432" s="242"/>
      <c r="HL1048432" s="242"/>
      <c r="HM1048432" s="242"/>
      <c r="HN1048432" s="242"/>
      <c r="HO1048432" s="242"/>
      <c r="HP1048432" s="242"/>
      <c r="HQ1048432" s="242"/>
      <c r="HR1048432" s="242"/>
      <c r="HS1048432" s="242"/>
      <c r="HT1048432" s="242"/>
      <c r="HU1048432" s="242"/>
      <c r="HV1048432" s="242"/>
      <c r="HW1048432" s="242"/>
      <c r="HX1048432" s="242"/>
      <c r="HY1048432" s="242"/>
      <c r="HZ1048432" s="242"/>
      <c r="IA1048432" s="242"/>
      <c r="IB1048432" s="242"/>
      <c r="IC1048432" s="242"/>
      <c r="ID1048432" s="242"/>
      <c r="IE1048432" s="242"/>
      <c r="IF1048432" s="242"/>
      <c r="IG1048432" s="242"/>
      <c r="IH1048432" s="242"/>
      <c r="II1048432" s="242"/>
      <c r="IJ1048432" s="242"/>
      <c r="IK1048432" s="242"/>
      <c r="IL1048432" s="242"/>
      <c r="IM1048432" s="242"/>
      <c r="IN1048432" s="242"/>
      <c r="IO1048432" s="242"/>
      <c r="IP1048432" s="242"/>
      <c r="IQ1048432" s="242"/>
    </row>
    <row r="1048433" spans="1:251" s="243" customFormat="1" ht="12" customHeight="1">
      <c r="A1048433" s="242"/>
      <c r="B1048433" s="242"/>
      <c r="C1048433" s="242"/>
      <c r="D1048433" s="242"/>
      <c r="E1048433" s="242"/>
      <c r="F1048433" s="242"/>
      <c r="G1048433" s="242"/>
      <c r="H1048433" s="242"/>
      <c r="I1048433" s="242"/>
      <c r="J1048433" s="242"/>
      <c r="K1048433" s="242"/>
      <c r="L1048433" s="242"/>
      <c r="M1048433" s="242"/>
      <c r="N1048433" s="242"/>
      <c r="O1048433" s="242"/>
      <c r="P1048433" s="242"/>
      <c r="Q1048433" s="242"/>
      <c r="R1048433" s="242"/>
      <c r="S1048433" s="242"/>
      <c r="T1048433" s="242"/>
      <c r="U1048433" s="242"/>
      <c r="V1048433" s="242"/>
      <c r="W1048433" s="242"/>
      <c r="X1048433" s="242"/>
      <c r="Y1048433" s="242"/>
      <c r="Z1048433" s="242"/>
      <c r="AA1048433" s="242"/>
      <c r="AB1048433" s="242"/>
      <c r="AC1048433" s="242"/>
      <c r="AD1048433" s="242"/>
      <c r="AE1048433" s="242"/>
      <c r="AF1048433" s="242"/>
      <c r="AG1048433" s="242"/>
      <c r="AH1048433" s="242"/>
      <c r="AI1048433" s="242"/>
      <c r="AJ1048433" s="242"/>
      <c r="AK1048433" s="242"/>
      <c r="AL1048433" s="242"/>
      <c r="AM1048433" s="242"/>
      <c r="AN1048433" s="242"/>
      <c r="AO1048433" s="242"/>
      <c r="AP1048433" s="242"/>
      <c r="AQ1048433" s="242"/>
      <c r="AR1048433" s="242"/>
      <c r="AS1048433" s="242"/>
      <c r="AT1048433" s="242"/>
      <c r="AU1048433" s="242"/>
      <c r="AV1048433" s="242"/>
      <c r="AW1048433" s="242"/>
      <c r="AX1048433" s="242"/>
      <c r="AY1048433" s="242"/>
      <c r="AZ1048433" s="242"/>
      <c r="BA1048433" s="242"/>
      <c r="BB1048433" s="242"/>
      <c r="BC1048433" s="242"/>
      <c r="BD1048433" s="242"/>
      <c r="BE1048433" s="242"/>
      <c r="BF1048433" s="242"/>
      <c r="BG1048433" s="242"/>
      <c r="BH1048433" s="242"/>
      <c r="BI1048433" s="242"/>
      <c r="BJ1048433" s="242"/>
      <c r="BK1048433" s="242"/>
      <c r="BL1048433" s="242"/>
      <c r="BM1048433" s="242"/>
      <c r="BN1048433" s="242"/>
      <c r="BO1048433" s="242"/>
      <c r="BP1048433" s="242"/>
      <c r="BQ1048433" s="242"/>
      <c r="BR1048433" s="242"/>
      <c r="BS1048433" s="242"/>
      <c r="BT1048433" s="242"/>
      <c r="BU1048433" s="242"/>
      <c r="BV1048433" s="242"/>
      <c r="BW1048433" s="242"/>
      <c r="BX1048433" s="242"/>
      <c r="BY1048433" s="242"/>
      <c r="BZ1048433" s="242"/>
      <c r="CA1048433" s="242"/>
      <c r="CB1048433" s="242"/>
      <c r="CC1048433" s="242"/>
      <c r="CD1048433" s="242"/>
      <c r="CE1048433" s="242"/>
      <c r="CF1048433" s="242"/>
      <c r="CG1048433" s="242"/>
      <c r="CH1048433" s="242"/>
      <c r="CI1048433" s="242"/>
      <c r="CJ1048433" s="242"/>
      <c r="CK1048433" s="242"/>
      <c r="CL1048433" s="242"/>
      <c r="CM1048433" s="242"/>
      <c r="CN1048433" s="242"/>
      <c r="CO1048433" s="242"/>
      <c r="CP1048433" s="242"/>
      <c r="CQ1048433" s="242"/>
      <c r="CR1048433" s="242"/>
      <c r="CS1048433" s="242"/>
      <c r="CT1048433" s="242"/>
      <c r="CU1048433" s="242"/>
      <c r="CV1048433" s="242"/>
      <c r="CW1048433" s="242"/>
      <c r="CX1048433" s="242"/>
      <c r="CY1048433" s="242"/>
      <c r="CZ1048433" s="242"/>
      <c r="DA1048433" s="242"/>
      <c r="DB1048433" s="242"/>
      <c r="DC1048433" s="242"/>
      <c r="DD1048433" s="242"/>
      <c r="DE1048433" s="242"/>
      <c r="DF1048433" s="242"/>
      <c r="DG1048433" s="242"/>
      <c r="DH1048433" s="242"/>
      <c r="DI1048433" s="242"/>
      <c r="DJ1048433" s="242"/>
      <c r="DK1048433" s="242"/>
      <c r="DL1048433" s="242"/>
      <c r="DM1048433" s="242"/>
      <c r="DN1048433" s="242"/>
      <c r="DO1048433" s="242"/>
      <c r="DP1048433" s="242"/>
      <c r="DQ1048433" s="242"/>
      <c r="DR1048433" s="242"/>
      <c r="DS1048433" s="242"/>
      <c r="DT1048433" s="242"/>
      <c r="DU1048433" s="242"/>
      <c r="DV1048433" s="242"/>
      <c r="DW1048433" s="242"/>
      <c r="DX1048433" s="242"/>
      <c r="DY1048433" s="242"/>
      <c r="DZ1048433" s="242"/>
      <c r="EA1048433" s="242"/>
      <c r="EB1048433" s="242"/>
      <c r="EC1048433" s="242"/>
      <c r="ED1048433" s="242"/>
      <c r="EE1048433" s="242"/>
      <c r="EF1048433" s="242"/>
      <c r="EG1048433" s="242"/>
      <c r="EH1048433" s="242"/>
      <c r="EI1048433" s="242"/>
      <c r="EJ1048433" s="242"/>
      <c r="EK1048433" s="242"/>
      <c r="EL1048433" s="242"/>
      <c r="EM1048433" s="242"/>
      <c r="EN1048433" s="242"/>
      <c r="EO1048433" s="242"/>
      <c r="EP1048433" s="242"/>
      <c r="EQ1048433" s="242"/>
      <c r="ER1048433" s="242"/>
      <c r="ES1048433" s="242"/>
      <c r="ET1048433" s="242"/>
      <c r="EU1048433" s="242"/>
      <c r="EV1048433" s="242"/>
      <c r="EW1048433" s="242"/>
      <c r="EX1048433" s="242"/>
      <c r="EY1048433" s="242"/>
      <c r="EZ1048433" s="242"/>
      <c r="FA1048433" s="242"/>
      <c r="FB1048433" s="242"/>
      <c r="FC1048433" s="242"/>
      <c r="FD1048433" s="242"/>
      <c r="FE1048433" s="242"/>
      <c r="FF1048433" s="242"/>
      <c r="FG1048433" s="242"/>
      <c r="FH1048433" s="242"/>
      <c r="FI1048433" s="242"/>
      <c r="FJ1048433" s="242"/>
      <c r="FK1048433" s="242"/>
      <c r="FL1048433" s="242"/>
      <c r="FM1048433" s="242"/>
      <c r="FN1048433" s="242"/>
      <c r="FO1048433" s="242"/>
      <c r="FP1048433" s="242"/>
      <c r="FQ1048433" s="242"/>
      <c r="FR1048433" s="242"/>
      <c r="FS1048433" s="242"/>
      <c r="FT1048433" s="242"/>
      <c r="FU1048433" s="242"/>
      <c r="FV1048433" s="242"/>
      <c r="FW1048433" s="242"/>
      <c r="FX1048433" s="242"/>
      <c r="FY1048433" s="242"/>
      <c r="FZ1048433" s="242"/>
      <c r="GA1048433" s="242"/>
      <c r="GB1048433" s="242"/>
      <c r="GC1048433" s="242"/>
      <c r="GD1048433" s="242"/>
      <c r="GE1048433" s="242"/>
      <c r="GF1048433" s="242"/>
      <c r="GG1048433" s="242"/>
      <c r="GH1048433" s="242"/>
      <c r="GI1048433" s="242"/>
      <c r="GJ1048433" s="242"/>
      <c r="GK1048433" s="242"/>
      <c r="GL1048433" s="242"/>
      <c r="GM1048433" s="242"/>
      <c r="GN1048433" s="242"/>
      <c r="GO1048433" s="242"/>
      <c r="GP1048433" s="242"/>
      <c r="GQ1048433" s="242"/>
      <c r="GR1048433" s="242"/>
      <c r="GS1048433" s="242"/>
      <c r="GT1048433" s="242"/>
      <c r="GU1048433" s="242"/>
      <c r="GV1048433" s="242"/>
      <c r="GW1048433" s="242"/>
      <c r="GX1048433" s="242"/>
      <c r="GY1048433" s="242"/>
      <c r="GZ1048433" s="242"/>
      <c r="HA1048433" s="242"/>
      <c r="HB1048433" s="242"/>
      <c r="HC1048433" s="242"/>
      <c r="HD1048433" s="242"/>
      <c r="HE1048433" s="242"/>
      <c r="HF1048433" s="242"/>
      <c r="HG1048433" s="242"/>
      <c r="HH1048433" s="242"/>
      <c r="HI1048433" s="242"/>
      <c r="HJ1048433" s="242"/>
      <c r="HK1048433" s="242"/>
      <c r="HL1048433" s="242"/>
      <c r="HM1048433" s="242"/>
      <c r="HN1048433" s="242"/>
      <c r="HO1048433" s="242"/>
      <c r="HP1048433" s="242"/>
      <c r="HQ1048433" s="242"/>
      <c r="HR1048433" s="242"/>
      <c r="HS1048433" s="242"/>
      <c r="HT1048433" s="242"/>
      <c r="HU1048433" s="242"/>
      <c r="HV1048433" s="242"/>
      <c r="HW1048433" s="242"/>
      <c r="HX1048433" s="242"/>
      <c r="HY1048433" s="242"/>
      <c r="HZ1048433" s="242"/>
      <c r="IA1048433" s="242"/>
      <c r="IB1048433" s="242"/>
      <c r="IC1048433" s="242"/>
      <c r="ID1048433" s="242"/>
      <c r="IE1048433" s="242"/>
      <c r="IF1048433" s="242"/>
      <c r="IG1048433" s="242"/>
      <c r="IH1048433" s="242"/>
      <c r="II1048433" s="242"/>
      <c r="IJ1048433" s="242"/>
      <c r="IK1048433" s="242"/>
      <c r="IL1048433" s="242"/>
      <c r="IM1048433" s="242"/>
      <c r="IN1048433" s="242"/>
      <c r="IO1048433" s="242"/>
      <c r="IP1048433" s="242"/>
      <c r="IQ1048433" s="242"/>
    </row>
    <row r="1048434" spans="1:251" s="243" customFormat="1" ht="12" customHeight="1">
      <c r="A1048434" s="242"/>
      <c r="B1048434" s="242"/>
      <c r="C1048434" s="242"/>
      <c r="D1048434" s="242"/>
      <c r="E1048434" s="242"/>
      <c r="F1048434" s="242"/>
      <c r="G1048434" s="242"/>
      <c r="H1048434" s="242"/>
      <c r="I1048434" s="242"/>
      <c r="J1048434" s="242"/>
      <c r="K1048434" s="242"/>
      <c r="L1048434" s="242"/>
      <c r="M1048434" s="242"/>
      <c r="N1048434" s="242"/>
      <c r="O1048434" s="242"/>
      <c r="P1048434" s="242"/>
      <c r="Q1048434" s="242"/>
      <c r="R1048434" s="242"/>
      <c r="S1048434" s="242"/>
      <c r="T1048434" s="242"/>
      <c r="U1048434" s="242"/>
      <c r="V1048434" s="242"/>
      <c r="W1048434" s="242"/>
      <c r="X1048434" s="242"/>
      <c r="Y1048434" s="242"/>
      <c r="Z1048434" s="242"/>
      <c r="AA1048434" s="242"/>
      <c r="AB1048434" s="242"/>
      <c r="AC1048434" s="242"/>
      <c r="AD1048434" s="242"/>
      <c r="AE1048434" s="242"/>
      <c r="AF1048434" s="242"/>
      <c r="AG1048434" s="242"/>
      <c r="AH1048434" s="242"/>
      <c r="AI1048434" s="242"/>
      <c r="AJ1048434" s="242"/>
      <c r="AK1048434" s="242"/>
      <c r="AL1048434" s="242"/>
      <c r="AM1048434" s="242"/>
      <c r="AN1048434" s="242"/>
      <c r="AO1048434" s="242"/>
      <c r="AP1048434" s="242"/>
      <c r="AQ1048434" s="242"/>
      <c r="AR1048434" s="242"/>
      <c r="AS1048434" s="242"/>
      <c r="AT1048434" s="242"/>
      <c r="AU1048434" s="242"/>
      <c r="AV1048434" s="242"/>
      <c r="AW1048434" s="242"/>
      <c r="AX1048434" s="242"/>
      <c r="AY1048434" s="242"/>
      <c r="AZ1048434" s="242"/>
      <c r="BA1048434" s="242"/>
      <c r="BB1048434" s="242"/>
      <c r="BC1048434" s="242"/>
      <c r="BD1048434" s="242"/>
      <c r="BE1048434" s="242"/>
      <c r="BF1048434" s="242"/>
      <c r="BG1048434" s="242"/>
      <c r="BH1048434" s="242"/>
      <c r="BI1048434" s="242"/>
      <c r="BJ1048434" s="242"/>
      <c r="BK1048434" s="242"/>
      <c r="BL1048434" s="242"/>
      <c r="BM1048434" s="242"/>
      <c r="BN1048434" s="242"/>
      <c r="BO1048434" s="242"/>
      <c r="BP1048434" s="242"/>
      <c r="BQ1048434" s="242"/>
      <c r="BR1048434" s="242"/>
      <c r="BS1048434" s="242"/>
      <c r="BT1048434" s="242"/>
      <c r="BU1048434" s="242"/>
      <c r="BV1048434" s="242"/>
      <c r="BW1048434" s="242"/>
      <c r="BX1048434" s="242"/>
      <c r="BY1048434" s="242"/>
      <c r="BZ1048434" s="242"/>
      <c r="CA1048434" s="242"/>
      <c r="CB1048434" s="242"/>
      <c r="CC1048434" s="242"/>
      <c r="CD1048434" s="242"/>
      <c r="CE1048434" s="242"/>
      <c r="CF1048434" s="242"/>
      <c r="CG1048434" s="242"/>
      <c r="CH1048434" s="242"/>
      <c r="CI1048434" s="242"/>
      <c r="CJ1048434" s="242"/>
      <c r="CK1048434" s="242"/>
      <c r="CL1048434" s="242"/>
      <c r="CM1048434" s="242"/>
      <c r="CN1048434" s="242"/>
      <c r="CO1048434" s="242"/>
      <c r="CP1048434" s="242"/>
      <c r="CQ1048434" s="242"/>
      <c r="CR1048434" s="242"/>
      <c r="CS1048434" s="242"/>
      <c r="CT1048434" s="242"/>
      <c r="CU1048434" s="242"/>
      <c r="CV1048434" s="242"/>
      <c r="CW1048434" s="242"/>
      <c r="CX1048434" s="242"/>
      <c r="CY1048434" s="242"/>
      <c r="CZ1048434" s="242"/>
      <c r="DA1048434" s="242"/>
      <c r="DB1048434" s="242"/>
      <c r="DC1048434" s="242"/>
      <c r="DD1048434" s="242"/>
      <c r="DE1048434" s="242"/>
      <c r="DF1048434" s="242"/>
      <c r="DG1048434" s="242"/>
      <c r="DH1048434" s="242"/>
      <c r="DI1048434" s="242"/>
      <c r="DJ1048434" s="242"/>
      <c r="DK1048434" s="242"/>
      <c r="DL1048434" s="242"/>
      <c r="DM1048434" s="242"/>
      <c r="DN1048434" s="242"/>
      <c r="DO1048434" s="242"/>
      <c r="DP1048434" s="242"/>
      <c r="DQ1048434" s="242"/>
      <c r="DR1048434" s="242"/>
      <c r="DS1048434" s="242"/>
      <c r="DT1048434" s="242"/>
      <c r="DU1048434" s="242"/>
      <c r="DV1048434" s="242"/>
      <c r="DW1048434" s="242"/>
      <c r="DX1048434" s="242"/>
      <c r="DY1048434" s="242"/>
      <c r="DZ1048434" s="242"/>
      <c r="EA1048434" s="242"/>
      <c r="EB1048434" s="242"/>
      <c r="EC1048434" s="242"/>
      <c r="ED1048434" s="242"/>
      <c r="EE1048434" s="242"/>
      <c r="EF1048434" s="242"/>
      <c r="EG1048434" s="242"/>
      <c r="EH1048434" s="242"/>
      <c r="EI1048434" s="242"/>
      <c r="EJ1048434" s="242"/>
      <c r="EK1048434" s="242"/>
      <c r="EL1048434" s="242"/>
      <c r="EM1048434" s="242"/>
      <c r="EN1048434" s="242"/>
      <c r="EO1048434" s="242"/>
      <c r="EP1048434" s="242"/>
      <c r="EQ1048434" s="242"/>
      <c r="ER1048434" s="242"/>
      <c r="ES1048434" s="242"/>
      <c r="ET1048434" s="242"/>
      <c r="EU1048434" s="242"/>
      <c r="EV1048434" s="242"/>
      <c r="EW1048434" s="242"/>
      <c r="EX1048434" s="242"/>
      <c r="EY1048434" s="242"/>
      <c r="EZ1048434" s="242"/>
      <c r="FA1048434" s="242"/>
      <c r="FB1048434" s="242"/>
      <c r="FC1048434" s="242"/>
      <c r="FD1048434" s="242"/>
      <c r="FE1048434" s="242"/>
      <c r="FF1048434" s="242"/>
      <c r="FG1048434" s="242"/>
      <c r="FH1048434" s="242"/>
      <c r="FI1048434" s="242"/>
      <c r="FJ1048434" s="242"/>
      <c r="FK1048434" s="242"/>
      <c r="FL1048434" s="242"/>
      <c r="FM1048434" s="242"/>
      <c r="FN1048434" s="242"/>
      <c r="FO1048434" s="242"/>
      <c r="FP1048434" s="242"/>
      <c r="FQ1048434" s="242"/>
      <c r="FR1048434" s="242"/>
      <c r="FS1048434" s="242"/>
      <c r="FT1048434" s="242"/>
      <c r="FU1048434" s="242"/>
      <c r="FV1048434" s="242"/>
      <c r="FW1048434" s="242"/>
      <c r="FX1048434" s="242"/>
      <c r="FY1048434" s="242"/>
      <c r="FZ1048434" s="242"/>
      <c r="GA1048434" s="242"/>
      <c r="GB1048434" s="242"/>
      <c r="GC1048434" s="242"/>
      <c r="GD1048434" s="242"/>
      <c r="GE1048434" s="242"/>
      <c r="GF1048434" s="242"/>
      <c r="GG1048434" s="242"/>
      <c r="GH1048434" s="242"/>
      <c r="GI1048434" s="242"/>
      <c r="GJ1048434" s="242"/>
      <c r="GK1048434" s="242"/>
      <c r="GL1048434" s="242"/>
      <c r="GM1048434" s="242"/>
      <c r="GN1048434" s="242"/>
      <c r="GO1048434" s="242"/>
      <c r="GP1048434" s="242"/>
      <c r="GQ1048434" s="242"/>
      <c r="GR1048434" s="242"/>
      <c r="GS1048434" s="242"/>
      <c r="GT1048434" s="242"/>
      <c r="GU1048434" s="242"/>
      <c r="GV1048434" s="242"/>
      <c r="GW1048434" s="242"/>
      <c r="GX1048434" s="242"/>
      <c r="GY1048434" s="242"/>
      <c r="GZ1048434" s="242"/>
      <c r="HA1048434" s="242"/>
      <c r="HB1048434" s="242"/>
      <c r="HC1048434" s="242"/>
      <c r="HD1048434" s="242"/>
      <c r="HE1048434" s="242"/>
      <c r="HF1048434" s="242"/>
      <c r="HG1048434" s="242"/>
      <c r="HH1048434" s="242"/>
      <c r="HI1048434" s="242"/>
      <c r="HJ1048434" s="242"/>
      <c r="HK1048434" s="242"/>
      <c r="HL1048434" s="242"/>
      <c r="HM1048434" s="242"/>
      <c r="HN1048434" s="242"/>
      <c r="HO1048434" s="242"/>
      <c r="HP1048434" s="242"/>
      <c r="HQ1048434" s="242"/>
      <c r="HR1048434" s="242"/>
      <c r="HS1048434" s="242"/>
      <c r="HT1048434" s="242"/>
      <c r="HU1048434" s="242"/>
      <c r="HV1048434" s="242"/>
      <c r="HW1048434" s="242"/>
      <c r="HX1048434" s="242"/>
      <c r="HY1048434" s="242"/>
      <c r="HZ1048434" s="242"/>
      <c r="IA1048434" s="242"/>
      <c r="IB1048434" s="242"/>
      <c r="IC1048434" s="242"/>
      <c r="ID1048434" s="242"/>
      <c r="IE1048434" s="242"/>
      <c r="IF1048434" s="242"/>
      <c r="IG1048434" s="242"/>
      <c r="IH1048434" s="242"/>
      <c r="II1048434" s="242"/>
      <c r="IJ1048434" s="242"/>
      <c r="IK1048434" s="242"/>
      <c r="IL1048434" s="242"/>
      <c r="IM1048434" s="242"/>
      <c r="IN1048434" s="242"/>
      <c r="IO1048434" s="242"/>
      <c r="IP1048434" s="242"/>
      <c r="IQ1048434" s="242"/>
    </row>
    <row r="1048435" spans="1:251" s="243" customFormat="1" ht="12" customHeight="1">
      <c r="A1048435" s="242"/>
      <c r="B1048435" s="242"/>
      <c r="C1048435" s="242"/>
      <c r="D1048435" s="242"/>
      <c r="E1048435" s="242"/>
      <c r="F1048435" s="242"/>
      <c r="G1048435" s="242"/>
      <c r="H1048435" s="242"/>
      <c r="I1048435" s="242"/>
      <c r="J1048435" s="242"/>
      <c r="K1048435" s="242"/>
      <c r="L1048435" s="242"/>
      <c r="M1048435" s="242"/>
      <c r="N1048435" s="242"/>
      <c r="O1048435" s="242"/>
      <c r="P1048435" s="242"/>
      <c r="Q1048435" s="242"/>
      <c r="R1048435" s="242"/>
      <c r="S1048435" s="242"/>
      <c r="T1048435" s="242"/>
      <c r="U1048435" s="242"/>
      <c r="V1048435" s="242"/>
      <c r="W1048435" s="242"/>
      <c r="X1048435" s="242"/>
      <c r="Y1048435" s="242"/>
      <c r="Z1048435" s="242"/>
      <c r="AA1048435" s="242"/>
      <c r="AB1048435" s="242"/>
      <c r="AC1048435" s="242"/>
      <c r="AD1048435" s="242"/>
      <c r="AE1048435" s="242"/>
      <c r="AF1048435" s="242"/>
      <c r="AG1048435" s="242"/>
      <c r="AH1048435" s="242"/>
      <c r="AI1048435" s="242"/>
      <c r="AJ1048435" s="242"/>
      <c r="AK1048435" s="242"/>
      <c r="AL1048435" s="242"/>
      <c r="AM1048435" s="242"/>
      <c r="AN1048435" s="242"/>
      <c r="AO1048435" s="242"/>
      <c r="AP1048435" s="242"/>
      <c r="AQ1048435" s="242"/>
      <c r="AR1048435" s="242"/>
      <c r="AS1048435" s="242"/>
      <c r="AT1048435" s="242"/>
      <c r="AU1048435" s="242"/>
      <c r="AV1048435" s="242"/>
      <c r="AW1048435" s="242"/>
      <c r="AX1048435" s="242"/>
      <c r="AY1048435" s="242"/>
      <c r="AZ1048435" s="242"/>
      <c r="BA1048435" s="242"/>
      <c r="BB1048435" s="242"/>
      <c r="BC1048435" s="242"/>
      <c r="BD1048435" s="242"/>
      <c r="BE1048435" s="242"/>
      <c r="BF1048435" s="242"/>
      <c r="BG1048435" s="242"/>
      <c r="BH1048435" s="242"/>
      <c r="BI1048435" s="242"/>
      <c r="BJ1048435" s="242"/>
      <c r="BK1048435" s="242"/>
      <c r="BL1048435" s="242"/>
      <c r="BM1048435" s="242"/>
      <c r="BN1048435" s="242"/>
      <c r="BO1048435" s="242"/>
      <c r="BP1048435" s="242"/>
      <c r="BQ1048435" s="242"/>
      <c r="BR1048435" s="242"/>
      <c r="BS1048435" s="242"/>
      <c r="BT1048435" s="242"/>
      <c r="BU1048435" s="242"/>
      <c r="BV1048435" s="242"/>
      <c r="BW1048435" s="242"/>
      <c r="BX1048435" s="242"/>
      <c r="BY1048435" s="242"/>
      <c r="BZ1048435" s="242"/>
      <c r="CA1048435" s="242"/>
      <c r="CB1048435" s="242"/>
      <c r="CC1048435" s="242"/>
      <c r="CD1048435" s="242"/>
      <c r="CE1048435" s="242"/>
      <c r="CF1048435" s="242"/>
      <c r="CG1048435" s="242"/>
      <c r="CH1048435" s="242"/>
      <c r="CI1048435" s="242"/>
      <c r="CJ1048435" s="242"/>
      <c r="CK1048435" s="242"/>
      <c r="CL1048435" s="242"/>
      <c r="CM1048435" s="242"/>
      <c r="CN1048435" s="242"/>
      <c r="CO1048435" s="242"/>
      <c r="CP1048435" s="242"/>
      <c r="CQ1048435" s="242"/>
      <c r="CR1048435" s="242"/>
      <c r="CS1048435" s="242"/>
      <c r="CT1048435" s="242"/>
      <c r="CU1048435" s="242"/>
      <c r="CV1048435" s="242"/>
      <c r="CW1048435" s="242"/>
      <c r="CX1048435" s="242"/>
      <c r="CY1048435" s="242"/>
      <c r="CZ1048435" s="242"/>
      <c r="DA1048435" s="242"/>
      <c r="DB1048435" s="242"/>
      <c r="DC1048435" s="242"/>
      <c r="DD1048435" s="242"/>
      <c r="DE1048435" s="242"/>
      <c r="DF1048435" s="242"/>
      <c r="DG1048435" s="242"/>
      <c r="DH1048435" s="242"/>
      <c r="DI1048435" s="242"/>
      <c r="DJ1048435" s="242"/>
      <c r="DK1048435" s="242"/>
      <c r="DL1048435" s="242"/>
      <c r="DM1048435" s="242"/>
      <c r="DN1048435" s="242"/>
      <c r="DO1048435" s="242"/>
      <c r="DP1048435" s="242"/>
      <c r="DQ1048435" s="242"/>
      <c r="DR1048435" s="242"/>
      <c r="DS1048435" s="242"/>
      <c r="DT1048435" s="242"/>
      <c r="DU1048435" s="242"/>
      <c r="DV1048435" s="242"/>
      <c r="DW1048435" s="242"/>
      <c r="DX1048435" s="242"/>
      <c r="DY1048435" s="242"/>
      <c r="DZ1048435" s="242"/>
      <c r="EA1048435" s="242"/>
      <c r="EB1048435" s="242"/>
      <c r="EC1048435" s="242"/>
      <c r="ED1048435" s="242"/>
      <c r="EE1048435" s="242"/>
      <c r="EF1048435" s="242"/>
      <c r="EG1048435" s="242"/>
      <c r="EH1048435" s="242"/>
      <c r="EI1048435" s="242"/>
      <c r="EJ1048435" s="242"/>
      <c r="EK1048435" s="242"/>
      <c r="EL1048435" s="242"/>
      <c r="EM1048435" s="242"/>
      <c r="EN1048435" s="242"/>
      <c r="EO1048435" s="242"/>
      <c r="EP1048435" s="242"/>
      <c r="EQ1048435" s="242"/>
      <c r="ER1048435" s="242"/>
      <c r="ES1048435" s="242"/>
      <c r="ET1048435" s="242"/>
      <c r="EU1048435" s="242"/>
      <c r="EV1048435" s="242"/>
      <c r="EW1048435" s="242"/>
      <c r="EX1048435" s="242"/>
      <c r="EY1048435" s="242"/>
      <c r="EZ1048435" s="242"/>
      <c r="FA1048435" s="242"/>
      <c r="FB1048435" s="242"/>
      <c r="FC1048435" s="242"/>
      <c r="FD1048435" s="242"/>
      <c r="FE1048435" s="242"/>
      <c r="FF1048435" s="242"/>
      <c r="FG1048435" s="242"/>
      <c r="FH1048435" s="242"/>
      <c r="FI1048435" s="242"/>
      <c r="FJ1048435" s="242"/>
      <c r="FK1048435" s="242"/>
      <c r="FL1048435" s="242"/>
      <c r="FM1048435" s="242"/>
      <c r="FN1048435" s="242"/>
      <c r="FO1048435" s="242"/>
      <c r="FP1048435" s="242"/>
      <c r="FQ1048435" s="242"/>
      <c r="FR1048435" s="242"/>
      <c r="FS1048435" s="242"/>
      <c r="FT1048435" s="242"/>
      <c r="FU1048435" s="242"/>
      <c r="FV1048435" s="242"/>
      <c r="FW1048435" s="242"/>
      <c r="FX1048435" s="242"/>
      <c r="FY1048435" s="242"/>
      <c r="FZ1048435" s="242"/>
      <c r="GA1048435" s="242"/>
      <c r="GB1048435" s="242"/>
      <c r="GC1048435" s="242"/>
      <c r="GD1048435" s="242"/>
      <c r="GE1048435" s="242"/>
      <c r="GF1048435" s="242"/>
      <c r="GG1048435" s="242"/>
      <c r="GH1048435" s="242"/>
      <c r="GI1048435" s="242"/>
      <c r="GJ1048435" s="242"/>
      <c r="GK1048435" s="242"/>
      <c r="GL1048435" s="242"/>
      <c r="GM1048435" s="242"/>
      <c r="GN1048435" s="242"/>
      <c r="GO1048435" s="242"/>
      <c r="GP1048435" s="242"/>
      <c r="GQ1048435" s="242"/>
      <c r="GR1048435" s="242"/>
      <c r="GS1048435" s="242"/>
      <c r="GT1048435" s="242"/>
      <c r="GU1048435" s="242"/>
      <c r="GV1048435" s="242"/>
      <c r="GW1048435" s="242"/>
      <c r="GX1048435" s="242"/>
      <c r="GY1048435" s="242"/>
      <c r="GZ1048435" s="242"/>
      <c r="HA1048435" s="242"/>
      <c r="HB1048435" s="242"/>
      <c r="HC1048435" s="242"/>
      <c r="HD1048435" s="242"/>
      <c r="HE1048435" s="242"/>
      <c r="HF1048435" s="242"/>
      <c r="HG1048435" s="242"/>
      <c r="HH1048435" s="242"/>
      <c r="HI1048435" s="242"/>
      <c r="HJ1048435" s="242"/>
      <c r="HK1048435" s="242"/>
      <c r="HL1048435" s="242"/>
      <c r="HM1048435" s="242"/>
      <c r="HN1048435" s="242"/>
      <c r="HO1048435" s="242"/>
      <c r="HP1048435" s="242"/>
      <c r="HQ1048435" s="242"/>
      <c r="HR1048435" s="242"/>
      <c r="HS1048435" s="242"/>
      <c r="HT1048435" s="242"/>
      <c r="HU1048435" s="242"/>
      <c r="HV1048435" s="242"/>
      <c r="HW1048435" s="242"/>
      <c r="HX1048435" s="242"/>
      <c r="HY1048435" s="242"/>
      <c r="HZ1048435" s="242"/>
      <c r="IA1048435" s="242"/>
      <c r="IB1048435" s="242"/>
      <c r="IC1048435" s="242"/>
      <c r="ID1048435" s="242"/>
      <c r="IE1048435" s="242"/>
      <c r="IF1048435" s="242"/>
      <c r="IG1048435" s="242"/>
      <c r="IH1048435" s="242"/>
      <c r="II1048435" s="242"/>
      <c r="IJ1048435" s="242"/>
      <c r="IK1048435" s="242"/>
      <c r="IL1048435" s="242"/>
      <c r="IM1048435" s="242"/>
      <c r="IN1048435" s="242"/>
      <c r="IO1048435" s="242"/>
      <c r="IP1048435" s="242"/>
      <c r="IQ1048435" s="242"/>
    </row>
    <row r="1048436" spans="1:251" s="243" customFormat="1" ht="12" customHeight="1">
      <c r="A1048436" s="242"/>
      <c r="B1048436" s="242"/>
      <c r="C1048436" s="242"/>
      <c r="D1048436" s="242"/>
      <c r="E1048436" s="242"/>
      <c r="F1048436" s="242"/>
      <c r="G1048436" s="242"/>
      <c r="H1048436" s="242"/>
      <c r="I1048436" s="242"/>
      <c r="J1048436" s="242"/>
      <c r="K1048436" s="242"/>
      <c r="L1048436" s="242"/>
      <c r="M1048436" s="242"/>
      <c r="N1048436" s="242"/>
      <c r="O1048436" s="242"/>
      <c r="P1048436" s="242"/>
      <c r="Q1048436" s="242"/>
      <c r="R1048436" s="242"/>
      <c r="S1048436" s="242"/>
      <c r="T1048436" s="242"/>
      <c r="U1048436" s="242"/>
      <c r="V1048436" s="242"/>
      <c r="W1048436" s="242"/>
      <c r="X1048436" s="242"/>
      <c r="Y1048436" s="242"/>
      <c r="Z1048436" s="242"/>
      <c r="AA1048436" s="242"/>
      <c r="AB1048436" s="242"/>
      <c r="AC1048436" s="242"/>
      <c r="AD1048436" s="242"/>
      <c r="AE1048436" s="242"/>
      <c r="AF1048436" s="242"/>
      <c r="AG1048436" s="242"/>
      <c r="AH1048436" s="242"/>
      <c r="AI1048436" s="242"/>
      <c r="AJ1048436" s="242"/>
      <c r="AK1048436" s="242"/>
      <c r="AL1048436" s="242"/>
      <c r="AM1048436" s="242"/>
      <c r="AN1048436" s="242"/>
      <c r="AO1048436" s="242"/>
      <c r="AP1048436" s="242"/>
      <c r="AQ1048436" s="242"/>
      <c r="AR1048436" s="242"/>
      <c r="AS1048436" s="242"/>
      <c r="AT1048436" s="242"/>
      <c r="AU1048436" s="242"/>
      <c r="AV1048436" s="242"/>
      <c r="AW1048436" s="242"/>
      <c r="AX1048436" s="242"/>
      <c r="AY1048436" s="242"/>
      <c r="AZ1048436" s="242"/>
      <c r="BA1048436" s="242"/>
      <c r="BB1048436" s="242"/>
      <c r="BC1048436" s="242"/>
      <c r="BD1048436" s="242"/>
      <c r="BE1048436" s="242"/>
      <c r="BF1048436" s="242"/>
      <c r="BG1048436" s="242"/>
      <c r="BH1048436" s="242"/>
      <c r="BI1048436" s="242"/>
      <c r="BJ1048436" s="242"/>
      <c r="BK1048436" s="242"/>
      <c r="BL1048436" s="242"/>
      <c r="BM1048436" s="242"/>
      <c r="BN1048436" s="242"/>
      <c r="BO1048436" s="242"/>
      <c r="BP1048436" s="242"/>
      <c r="BQ1048436" s="242"/>
      <c r="BR1048436" s="242"/>
      <c r="BS1048436" s="242"/>
      <c r="BT1048436" s="242"/>
      <c r="BU1048436" s="242"/>
      <c r="BV1048436" s="242"/>
      <c r="BW1048436" s="242"/>
      <c r="BX1048436" s="242"/>
      <c r="BY1048436" s="242"/>
      <c r="BZ1048436" s="242"/>
      <c r="CA1048436" s="242"/>
      <c r="CB1048436" s="242"/>
      <c r="CC1048436" s="242"/>
      <c r="CD1048436" s="242"/>
      <c r="CE1048436" s="242"/>
      <c r="CF1048436" s="242"/>
      <c r="CG1048436" s="242"/>
      <c r="CH1048436" s="242"/>
      <c r="CI1048436" s="242"/>
      <c r="CJ1048436" s="242"/>
      <c r="CK1048436" s="242"/>
      <c r="CL1048436" s="242"/>
      <c r="CM1048436" s="242"/>
      <c r="CN1048436" s="242"/>
      <c r="CO1048436" s="242"/>
      <c r="CP1048436" s="242"/>
      <c r="CQ1048436" s="242"/>
      <c r="CR1048436" s="242"/>
      <c r="CS1048436" s="242"/>
      <c r="CT1048436" s="242"/>
      <c r="CU1048436" s="242"/>
      <c r="CV1048436" s="242"/>
      <c r="CW1048436" s="242"/>
      <c r="CX1048436" s="242"/>
      <c r="CY1048436" s="242"/>
      <c r="CZ1048436" s="242"/>
      <c r="DA1048436" s="242"/>
      <c r="DB1048436" s="242"/>
      <c r="DC1048436" s="242"/>
      <c r="DD1048436" s="242"/>
      <c r="DE1048436" s="242"/>
      <c r="DF1048436" s="242"/>
      <c r="DG1048436" s="242"/>
      <c r="DH1048436" s="242"/>
      <c r="DI1048436" s="242"/>
      <c r="DJ1048436" s="242"/>
      <c r="DK1048436" s="242"/>
      <c r="DL1048436" s="242"/>
      <c r="DM1048436" s="242"/>
      <c r="DN1048436" s="242"/>
      <c r="DO1048436" s="242"/>
      <c r="DP1048436" s="242"/>
      <c r="DQ1048436" s="242"/>
      <c r="DR1048436" s="242"/>
      <c r="DS1048436" s="242"/>
      <c r="DT1048436" s="242"/>
      <c r="DU1048436" s="242"/>
      <c r="DV1048436" s="242"/>
      <c r="DW1048436" s="242"/>
      <c r="DX1048436" s="242"/>
      <c r="DY1048436" s="242"/>
      <c r="DZ1048436" s="242"/>
      <c r="EA1048436" s="242"/>
      <c r="EB1048436" s="242"/>
      <c r="EC1048436" s="242"/>
      <c r="ED1048436" s="242"/>
      <c r="EE1048436" s="242"/>
      <c r="EF1048436" s="242"/>
      <c r="EG1048436" s="242"/>
      <c r="EH1048436" s="242"/>
      <c r="EI1048436" s="242"/>
      <c r="EJ1048436" s="242"/>
      <c r="EK1048436" s="242"/>
      <c r="EL1048436" s="242"/>
      <c r="EM1048436" s="242"/>
      <c r="EN1048436" s="242"/>
      <c r="EO1048436" s="242"/>
      <c r="EP1048436" s="242"/>
      <c r="EQ1048436" s="242"/>
      <c r="ER1048436" s="242"/>
      <c r="ES1048436" s="242"/>
      <c r="ET1048436" s="242"/>
      <c r="EU1048436" s="242"/>
      <c r="EV1048436" s="242"/>
      <c r="EW1048436" s="242"/>
      <c r="EX1048436" s="242"/>
      <c r="EY1048436" s="242"/>
      <c r="EZ1048436" s="242"/>
      <c r="FA1048436" s="242"/>
      <c r="FB1048436" s="242"/>
      <c r="FC1048436" s="242"/>
      <c r="FD1048436" s="242"/>
      <c r="FE1048436" s="242"/>
      <c r="FF1048436" s="242"/>
      <c r="FG1048436" s="242"/>
      <c r="FH1048436" s="242"/>
      <c r="FI1048436" s="242"/>
      <c r="FJ1048436" s="242"/>
      <c r="FK1048436" s="242"/>
      <c r="FL1048436" s="242"/>
      <c r="FM1048436" s="242"/>
      <c r="FN1048436" s="242"/>
      <c r="FO1048436" s="242"/>
      <c r="FP1048436" s="242"/>
      <c r="FQ1048436" s="242"/>
      <c r="FR1048436" s="242"/>
      <c r="FS1048436" s="242"/>
      <c r="FT1048436" s="242"/>
      <c r="FU1048436" s="242"/>
      <c r="FV1048436" s="242"/>
      <c r="FW1048436" s="242"/>
      <c r="FX1048436" s="242"/>
      <c r="FY1048436" s="242"/>
      <c r="FZ1048436" s="242"/>
      <c r="GA1048436" s="242"/>
      <c r="GB1048436" s="242"/>
      <c r="GC1048436" s="242"/>
      <c r="GD1048436" s="242"/>
      <c r="GE1048436" s="242"/>
      <c r="GF1048436" s="242"/>
      <c r="GG1048436" s="242"/>
      <c r="GH1048436" s="242"/>
      <c r="GI1048436" s="242"/>
      <c r="GJ1048436" s="242"/>
      <c r="GK1048436" s="242"/>
      <c r="GL1048436" s="242"/>
      <c r="GM1048436" s="242"/>
      <c r="GN1048436" s="242"/>
      <c r="GO1048436" s="242"/>
      <c r="GP1048436" s="242"/>
      <c r="GQ1048436" s="242"/>
      <c r="GR1048436" s="242"/>
      <c r="GS1048436" s="242"/>
      <c r="GT1048436" s="242"/>
      <c r="GU1048436" s="242"/>
      <c r="GV1048436" s="242"/>
      <c r="GW1048436" s="242"/>
      <c r="GX1048436" s="242"/>
      <c r="GY1048436" s="242"/>
      <c r="GZ1048436" s="242"/>
      <c r="HA1048436" s="242"/>
      <c r="HB1048436" s="242"/>
      <c r="HC1048436" s="242"/>
      <c r="HD1048436" s="242"/>
      <c r="HE1048436" s="242"/>
      <c r="HF1048436" s="242"/>
      <c r="HG1048436" s="242"/>
      <c r="HH1048436" s="242"/>
      <c r="HI1048436" s="242"/>
      <c r="HJ1048436" s="242"/>
      <c r="HK1048436" s="242"/>
      <c r="HL1048436" s="242"/>
      <c r="HM1048436" s="242"/>
      <c r="HN1048436" s="242"/>
      <c r="HO1048436" s="242"/>
      <c r="HP1048436" s="242"/>
      <c r="HQ1048436" s="242"/>
      <c r="HR1048436" s="242"/>
      <c r="HS1048436" s="242"/>
      <c r="HT1048436" s="242"/>
      <c r="HU1048436" s="242"/>
      <c r="HV1048436" s="242"/>
      <c r="HW1048436" s="242"/>
      <c r="HX1048436" s="242"/>
      <c r="HY1048436" s="242"/>
      <c r="HZ1048436" s="242"/>
      <c r="IA1048436" s="242"/>
      <c r="IB1048436" s="242"/>
      <c r="IC1048436" s="242"/>
      <c r="ID1048436" s="242"/>
      <c r="IE1048436" s="242"/>
      <c r="IF1048436" s="242"/>
      <c r="IG1048436" s="242"/>
      <c r="IH1048436" s="242"/>
      <c r="II1048436" s="242"/>
      <c r="IJ1048436" s="242"/>
      <c r="IK1048436" s="242"/>
      <c r="IL1048436" s="242"/>
      <c r="IM1048436" s="242"/>
      <c r="IN1048436" s="242"/>
      <c r="IO1048436" s="242"/>
      <c r="IP1048436" s="242"/>
      <c r="IQ1048436" s="242"/>
    </row>
    <row r="1048437" spans="1:251" s="243" customFormat="1" ht="12" customHeight="1">
      <c r="A1048437" s="242"/>
      <c r="B1048437" s="242"/>
      <c r="C1048437" s="242"/>
      <c r="D1048437" s="242"/>
      <c r="E1048437" s="242"/>
      <c r="F1048437" s="242"/>
      <c r="G1048437" s="242"/>
      <c r="H1048437" s="242"/>
      <c r="I1048437" s="242"/>
      <c r="J1048437" s="242"/>
      <c r="K1048437" s="242"/>
      <c r="L1048437" s="242"/>
      <c r="M1048437" s="242"/>
      <c r="N1048437" s="242"/>
      <c r="O1048437" s="242"/>
      <c r="P1048437" s="242"/>
      <c r="Q1048437" s="242"/>
      <c r="R1048437" s="242"/>
      <c r="S1048437" s="242"/>
      <c r="T1048437" s="242"/>
      <c r="U1048437" s="242"/>
      <c r="V1048437" s="242"/>
      <c r="W1048437" s="242"/>
      <c r="X1048437" s="242"/>
      <c r="Y1048437" s="242"/>
      <c r="Z1048437" s="242"/>
      <c r="AA1048437" s="242"/>
      <c r="AB1048437" s="242"/>
      <c r="AC1048437" s="242"/>
      <c r="AD1048437" s="242"/>
      <c r="AE1048437" s="242"/>
      <c r="AF1048437" s="242"/>
      <c r="AG1048437" s="242"/>
      <c r="AH1048437" s="242"/>
      <c r="AI1048437" s="242"/>
      <c r="AJ1048437" s="242"/>
      <c r="AK1048437" s="242"/>
      <c r="AL1048437" s="242"/>
      <c r="AM1048437" s="242"/>
      <c r="AN1048437" s="242"/>
      <c r="AO1048437" s="242"/>
      <c r="AP1048437" s="242"/>
      <c r="AQ1048437" s="242"/>
      <c r="AR1048437" s="242"/>
      <c r="AS1048437" s="242"/>
      <c r="AT1048437" s="242"/>
      <c r="AU1048437" s="242"/>
      <c r="AV1048437" s="242"/>
      <c r="AW1048437" s="242"/>
      <c r="AX1048437" s="242"/>
      <c r="AY1048437" s="242"/>
      <c r="AZ1048437" s="242"/>
      <c r="BA1048437" s="242"/>
      <c r="BB1048437" s="242"/>
      <c r="BC1048437" s="242"/>
      <c r="BD1048437" s="242"/>
      <c r="BE1048437" s="242"/>
      <c r="BF1048437" s="242"/>
      <c r="BG1048437" s="242"/>
      <c r="BH1048437" s="242"/>
      <c r="BI1048437" s="242"/>
      <c r="BJ1048437" s="242"/>
      <c r="BK1048437" s="242"/>
      <c r="BL1048437" s="242"/>
      <c r="BM1048437" s="242"/>
      <c r="BN1048437" s="242"/>
      <c r="BO1048437" s="242"/>
      <c r="BP1048437" s="242"/>
      <c r="BQ1048437" s="242"/>
      <c r="BR1048437" s="242"/>
      <c r="BS1048437" s="242"/>
      <c r="BT1048437" s="242"/>
      <c r="BU1048437" s="242"/>
      <c r="BV1048437" s="242"/>
      <c r="BW1048437" s="242"/>
      <c r="BX1048437" s="242"/>
      <c r="BY1048437" s="242"/>
      <c r="BZ1048437" s="242"/>
      <c r="CA1048437" s="242"/>
      <c r="CB1048437" s="242"/>
      <c r="CC1048437" s="242"/>
      <c r="CD1048437" s="242"/>
      <c r="CE1048437" s="242"/>
      <c r="CF1048437" s="242"/>
      <c r="CG1048437" s="242"/>
      <c r="CH1048437" s="242"/>
      <c r="CI1048437" s="242"/>
      <c r="CJ1048437" s="242"/>
      <c r="CK1048437" s="242"/>
      <c r="CL1048437" s="242"/>
      <c r="CM1048437" s="242"/>
      <c r="CN1048437" s="242"/>
      <c r="CO1048437" s="242"/>
      <c r="CP1048437" s="242"/>
      <c r="CQ1048437" s="242"/>
      <c r="CR1048437" s="242"/>
      <c r="CS1048437" s="242"/>
      <c r="CT1048437" s="242"/>
      <c r="CU1048437" s="242"/>
      <c r="CV1048437" s="242"/>
      <c r="CW1048437" s="242"/>
      <c r="CX1048437" s="242"/>
      <c r="CY1048437" s="242"/>
      <c r="CZ1048437" s="242"/>
      <c r="DA1048437" s="242"/>
      <c r="DB1048437" s="242"/>
      <c r="DC1048437" s="242"/>
      <c r="DD1048437" s="242"/>
      <c r="DE1048437" s="242"/>
      <c r="DF1048437" s="242"/>
      <c r="DG1048437" s="242"/>
      <c r="DH1048437" s="242"/>
      <c r="DI1048437" s="242"/>
      <c r="DJ1048437" s="242"/>
      <c r="DK1048437" s="242"/>
      <c r="DL1048437" s="242"/>
      <c r="DM1048437" s="242"/>
      <c r="DN1048437" s="242"/>
      <c r="DO1048437" s="242"/>
      <c r="DP1048437" s="242"/>
      <c r="DQ1048437" s="242"/>
      <c r="DR1048437" s="242"/>
      <c r="DS1048437" s="242"/>
      <c r="DT1048437" s="242"/>
      <c r="DU1048437" s="242"/>
      <c r="DV1048437" s="242"/>
      <c r="DW1048437" s="242"/>
      <c r="DX1048437" s="242"/>
      <c r="DY1048437" s="242"/>
      <c r="DZ1048437" s="242"/>
      <c r="EA1048437" s="242"/>
      <c r="EB1048437" s="242"/>
      <c r="EC1048437" s="242"/>
      <c r="ED1048437" s="242"/>
      <c r="EE1048437" s="242"/>
      <c r="EF1048437" s="242"/>
      <c r="EG1048437" s="242"/>
      <c r="EH1048437" s="242"/>
      <c r="EI1048437" s="242"/>
      <c r="EJ1048437" s="242"/>
      <c r="EK1048437" s="242"/>
      <c r="EL1048437" s="242"/>
      <c r="EM1048437" s="242"/>
      <c r="EN1048437" s="242"/>
      <c r="EO1048437" s="242"/>
      <c r="EP1048437" s="242"/>
      <c r="EQ1048437" s="242"/>
      <c r="ER1048437" s="242"/>
      <c r="ES1048437" s="242"/>
      <c r="ET1048437" s="242"/>
      <c r="EU1048437" s="242"/>
      <c r="EV1048437" s="242"/>
      <c r="EW1048437" s="242"/>
      <c r="EX1048437" s="242"/>
      <c r="EY1048437" s="242"/>
      <c r="EZ1048437" s="242"/>
      <c r="FA1048437" s="242"/>
      <c r="FB1048437" s="242"/>
      <c r="FC1048437" s="242"/>
      <c r="FD1048437" s="242"/>
      <c r="FE1048437" s="242"/>
      <c r="FF1048437" s="242"/>
      <c r="FG1048437" s="242"/>
      <c r="FH1048437" s="242"/>
      <c r="FI1048437" s="242"/>
      <c r="FJ1048437" s="242"/>
      <c r="FK1048437" s="242"/>
      <c r="FL1048437" s="242"/>
      <c r="FM1048437" s="242"/>
      <c r="FN1048437" s="242"/>
      <c r="FO1048437" s="242"/>
      <c r="FP1048437" s="242"/>
      <c r="FQ1048437" s="242"/>
      <c r="FR1048437" s="242"/>
      <c r="FS1048437" s="242"/>
      <c r="FT1048437" s="242"/>
      <c r="FU1048437" s="242"/>
      <c r="FV1048437" s="242"/>
      <c r="FW1048437" s="242"/>
      <c r="FX1048437" s="242"/>
      <c r="FY1048437" s="242"/>
      <c r="FZ1048437" s="242"/>
      <c r="GA1048437" s="242"/>
      <c r="GB1048437" s="242"/>
      <c r="GC1048437" s="242"/>
      <c r="GD1048437" s="242"/>
      <c r="GE1048437" s="242"/>
      <c r="GF1048437" s="242"/>
      <c r="GG1048437" s="242"/>
      <c r="GH1048437" s="242"/>
      <c r="GI1048437" s="242"/>
      <c r="GJ1048437" s="242"/>
      <c r="GK1048437" s="242"/>
      <c r="GL1048437" s="242"/>
      <c r="GM1048437" s="242"/>
      <c r="GN1048437" s="242"/>
      <c r="GO1048437" s="242"/>
      <c r="GP1048437" s="242"/>
      <c r="GQ1048437" s="242"/>
      <c r="GR1048437" s="242"/>
      <c r="GS1048437" s="242"/>
      <c r="GT1048437" s="242"/>
      <c r="GU1048437" s="242"/>
      <c r="GV1048437" s="242"/>
      <c r="GW1048437" s="242"/>
      <c r="GX1048437" s="242"/>
      <c r="GY1048437" s="242"/>
      <c r="GZ1048437" s="242"/>
      <c r="HA1048437" s="242"/>
      <c r="HB1048437" s="242"/>
      <c r="HC1048437" s="242"/>
      <c r="HD1048437" s="242"/>
      <c r="HE1048437" s="242"/>
      <c r="HF1048437" s="242"/>
      <c r="HG1048437" s="242"/>
      <c r="HH1048437" s="242"/>
      <c r="HI1048437" s="242"/>
      <c r="HJ1048437" s="242"/>
      <c r="HK1048437" s="242"/>
      <c r="HL1048437" s="242"/>
      <c r="HM1048437" s="242"/>
      <c r="HN1048437" s="242"/>
      <c r="HO1048437" s="242"/>
      <c r="HP1048437" s="242"/>
      <c r="HQ1048437" s="242"/>
      <c r="HR1048437" s="242"/>
      <c r="HS1048437" s="242"/>
      <c r="HT1048437" s="242"/>
      <c r="HU1048437" s="242"/>
      <c r="HV1048437" s="242"/>
      <c r="HW1048437" s="242"/>
      <c r="HX1048437" s="242"/>
      <c r="HY1048437" s="242"/>
      <c r="HZ1048437" s="242"/>
      <c r="IA1048437" s="242"/>
      <c r="IB1048437" s="242"/>
      <c r="IC1048437" s="242"/>
      <c r="ID1048437" s="242"/>
      <c r="IE1048437" s="242"/>
      <c r="IF1048437" s="242"/>
      <c r="IG1048437" s="242"/>
      <c r="IH1048437" s="242"/>
      <c r="II1048437" s="242"/>
      <c r="IJ1048437" s="242"/>
      <c r="IK1048437" s="242"/>
      <c r="IL1048437" s="242"/>
      <c r="IM1048437" s="242"/>
      <c r="IN1048437" s="242"/>
      <c r="IO1048437" s="242"/>
      <c r="IP1048437" s="242"/>
      <c r="IQ1048437" s="242"/>
    </row>
    <row r="1048438" spans="1:251" s="243" customFormat="1" ht="12" customHeight="1">
      <c r="A1048438" s="242"/>
      <c r="B1048438" s="242"/>
      <c r="C1048438" s="242"/>
      <c r="D1048438" s="242"/>
      <c r="E1048438" s="242"/>
      <c r="F1048438" s="242"/>
      <c r="G1048438" s="242"/>
      <c r="H1048438" s="242"/>
      <c r="I1048438" s="242"/>
      <c r="J1048438" s="242"/>
      <c r="K1048438" s="242"/>
      <c r="L1048438" s="242"/>
      <c r="M1048438" s="242"/>
      <c r="N1048438" s="242"/>
      <c r="O1048438" s="242"/>
      <c r="P1048438" s="242"/>
      <c r="Q1048438" s="242"/>
      <c r="R1048438" s="242"/>
      <c r="S1048438" s="242"/>
      <c r="T1048438" s="242"/>
      <c r="U1048438" s="242"/>
      <c r="V1048438" s="242"/>
      <c r="W1048438" s="242"/>
      <c r="X1048438" s="242"/>
      <c r="Y1048438" s="242"/>
      <c r="Z1048438" s="242"/>
      <c r="AA1048438" s="242"/>
      <c r="AB1048438" s="242"/>
      <c r="AC1048438" s="242"/>
      <c r="AD1048438" s="242"/>
      <c r="AE1048438" s="242"/>
      <c r="AF1048438" s="242"/>
      <c r="AG1048438" s="242"/>
      <c r="AH1048438" s="242"/>
      <c r="AI1048438" s="242"/>
      <c r="AJ1048438" s="242"/>
      <c r="AK1048438" s="242"/>
      <c r="AL1048438" s="242"/>
      <c r="AM1048438" s="242"/>
      <c r="AN1048438" s="242"/>
      <c r="AO1048438" s="242"/>
      <c r="AP1048438" s="242"/>
      <c r="AQ1048438" s="242"/>
      <c r="AR1048438" s="242"/>
      <c r="AS1048438" s="242"/>
      <c r="AT1048438" s="242"/>
      <c r="AU1048438" s="242"/>
      <c r="AV1048438" s="242"/>
      <c r="AW1048438" s="242"/>
      <c r="AX1048438" s="242"/>
      <c r="AY1048438" s="242"/>
      <c r="AZ1048438" s="242"/>
      <c r="BA1048438" s="242"/>
      <c r="BB1048438" s="242"/>
      <c r="BC1048438" s="242"/>
      <c r="BD1048438" s="242"/>
      <c r="BE1048438" s="242"/>
      <c r="BF1048438" s="242"/>
      <c r="BG1048438" s="242"/>
      <c r="BH1048438" s="242"/>
      <c r="BI1048438" s="242"/>
      <c r="BJ1048438" s="242"/>
      <c r="BK1048438" s="242"/>
      <c r="BL1048438" s="242"/>
      <c r="BM1048438" s="242"/>
      <c r="BN1048438" s="242"/>
      <c r="BO1048438" s="242"/>
      <c r="BP1048438" s="242"/>
      <c r="BQ1048438" s="242"/>
      <c r="BR1048438" s="242"/>
      <c r="BS1048438" s="242"/>
      <c r="BT1048438" s="242"/>
      <c r="BU1048438" s="242"/>
      <c r="BV1048438" s="242"/>
      <c r="BW1048438" s="242"/>
      <c r="BX1048438" s="242"/>
      <c r="BY1048438" s="242"/>
      <c r="BZ1048438" s="242"/>
      <c r="CA1048438" s="242"/>
      <c r="CB1048438" s="242"/>
      <c r="CC1048438" s="242"/>
      <c r="CD1048438" s="242"/>
      <c r="CE1048438" s="242"/>
      <c r="CF1048438" s="242"/>
      <c r="CG1048438" s="242"/>
      <c r="CH1048438" s="242"/>
      <c r="CI1048438" s="242"/>
      <c r="CJ1048438" s="242"/>
      <c r="CK1048438" s="242"/>
      <c r="CL1048438" s="242"/>
      <c r="CM1048438" s="242"/>
      <c r="CN1048438" s="242"/>
      <c r="CO1048438" s="242"/>
      <c r="CP1048438" s="242"/>
      <c r="CQ1048438" s="242"/>
      <c r="CR1048438" s="242"/>
      <c r="CS1048438" s="242"/>
      <c r="CT1048438" s="242"/>
      <c r="CU1048438" s="242"/>
      <c r="CV1048438" s="242"/>
      <c r="CW1048438" s="242"/>
      <c r="CX1048438" s="242"/>
      <c r="CY1048438" s="242"/>
      <c r="CZ1048438" s="242"/>
      <c r="DA1048438" s="242"/>
      <c r="DB1048438" s="242"/>
      <c r="DC1048438" s="242"/>
      <c r="DD1048438" s="242"/>
      <c r="DE1048438" s="242"/>
      <c r="DF1048438" s="242"/>
      <c r="DG1048438" s="242"/>
      <c r="DH1048438" s="242"/>
      <c r="DI1048438" s="242"/>
      <c r="DJ1048438" s="242"/>
      <c r="DK1048438" s="242"/>
      <c r="DL1048438" s="242"/>
      <c r="DM1048438" s="242"/>
      <c r="DN1048438" s="242"/>
      <c r="DO1048438" s="242"/>
      <c r="DP1048438" s="242"/>
      <c r="DQ1048438" s="242"/>
      <c r="DR1048438" s="242"/>
      <c r="DS1048438" s="242"/>
      <c r="DT1048438" s="242"/>
      <c r="DU1048438" s="242"/>
      <c r="DV1048438" s="242"/>
      <c r="DW1048438" s="242"/>
      <c r="DX1048438" s="242"/>
      <c r="DY1048438" s="242"/>
      <c r="DZ1048438" s="242"/>
      <c r="EA1048438" s="242"/>
      <c r="EB1048438" s="242"/>
      <c r="EC1048438" s="242"/>
      <c r="ED1048438" s="242"/>
      <c r="EE1048438" s="242"/>
      <c r="EF1048438" s="242"/>
      <c r="EG1048438" s="242"/>
      <c r="EH1048438" s="242"/>
      <c r="EI1048438" s="242"/>
      <c r="EJ1048438" s="242"/>
      <c r="EK1048438" s="242"/>
      <c r="EL1048438" s="242"/>
      <c r="EM1048438" s="242"/>
      <c r="EN1048438" s="242"/>
      <c r="EO1048438" s="242"/>
      <c r="EP1048438" s="242"/>
      <c r="EQ1048438" s="242"/>
      <c r="ER1048438" s="242"/>
      <c r="ES1048438" s="242"/>
      <c r="ET1048438" s="242"/>
      <c r="EU1048438" s="242"/>
      <c r="EV1048438" s="242"/>
      <c r="EW1048438" s="242"/>
      <c r="EX1048438" s="242"/>
      <c r="EY1048438" s="242"/>
      <c r="EZ1048438" s="242"/>
      <c r="FA1048438" s="242"/>
      <c r="FB1048438" s="242"/>
      <c r="FC1048438" s="242"/>
      <c r="FD1048438" s="242"/>
      <c r="FE1048438" s="242"/>
      <c r="FF1048438" s="242"/>
      <c r="FG1048438" s="242"/>
      <c r="FH1048438" s="242"/>
      <c r="FI1048438" s="242"/>
      <c r="FJ1048438" s="242"/>
      <c r="FK1048438" s="242"/>
      <c r="FL1048438" s="242"/>
      <c r="FM1048438" s="242"/>
      <c r="FN1048438" s="242"/>
      <c r="FO1048438" s="242"/>
      <c r="FP1048438" s="242"/>
      <c r="FQ1048438" s="242"/>
      <c r="FR1048438" s="242"/>
      <c r="FS1048438" s="242"/>
      <c r="FT1048438" s="242"/>
      <c r="FU1048438" s="242"/>
      <c r="FV1048438" s="242"/>
      <c r="FW1048438" s="242"/>
      <c r="FX1048438" s="242"/>
      <c r="FY1048438" s="242"/>
      <c r="FZ1048438" s="242"/>
      <c r="GA1048438" s="242"/>
      <c r="GB1048438" s="242"/>
      <c r="GC1048438" s="242"/>
      <c r="GD1048438" s="242"/>
      <c r="GE1048438" s="242"/>
      <c r="GF1048438" s="242"/>
      <c r="GG1048438" s="242"/>
      <c r="GH1048438" s="242"/>
      <c r="GI1048438" s="242"/>
      <c r="GJ1048438" s="242"/>
      <c r="GK1048438" s="242"/>
      <c r="GL1048438" s="242"/>
      <c r="GM1048438" s="242"/>
      <c r="GN1048438" s="242"/>
      <c r="GO1048438" s="242"/>
      <c r="GP1048438" s="242"/>
      <c r="GQ1048438" s="242"/>
      <c r="GR1048438" s="242"/>
      <c r="GS1048438" s="242"/>
      <c r="GT1048438" s="242"/>
      <c r="GU1048438" s="242"/>
      <c r="GV1048438" s="242"/>
      <c r="GW1048438" s="242"/>
      <c r="GX1048438" s="242"/>
      <c r="GY1048438" s="242"/>
      <c r="GZ1048438" s="242"/>
      <c r="HA1048438" s="242"/>
      <c r="HB1048438" s="242"/>
      <c r="HC1048438" s="242"/>
      <c r="HD1048438" s="242"/>
      <c r="HE1048438" s="242"/>
      <c r="HF1048438" s="242"/>
      <c r="HG1048438" s="242"/>
      <c r="HH1048438" s="242"/>
      <c r="HI1048438" s="242"/>
      <c r="HJ1048438" s="242"/>
      <c r="HK1048438" s="242"/>
      <c r="HL1048438" s="242"/>
      <c r="HM1048438" s="242"/>
      <c r="HN1048438" s="242"/>
      <c r="HO1048438" s="242"/>
      <c r="HP1048438" s="242"/>
      <c r="HQ1048438" s="242"/>
      <c r="HR1048438" s="242"/>
      <c r="HS1048438" s="242"/>
      <c r="HT1048438" s="242"/>
      <c r="HU1048438" s="242"/>
      <c r="HV1048438" s="242"/>
      <c r="HW1048438" s="242"/>
      <c r="HX1048438" s="242"/>
      <c r="HY1048438" s="242"/>
      <c r="HZ1048438" s="242"/>
      <c r="IA1048438" s="242"/>
      <c r="IB1048438" s="242"/>
      <c r="IC1048438" s="242"/>
      <c r="ID1048438" s="242"/>
      <c r="IE1048438" s="242"/>
      <c r="IF1048438" s="242"/>
      <c r="IG1048438" s="242"/>
      <c r="IH1048438" s="242"/>
      <c r="II1048438" s="242"/>
      <c r="IJ1048438" s="242"/>
      <c r="IK1048438" s="242"/>
      <c r="IL1048438" s="242"/>
      <c r="IM1048438" s="242"/>
      <c r="IN1048438" s="242"/>
      <c r="IO1048438" s="242"/>
      <c r="IP1048438" s="242"/>
      <c r="IQ1048438" s="242"/>
    </row>
    <row r="1048439" spans="1:251" s="243" customFormat="1" ht="12" customHeight="1">
      <c r="A1048439" s="242"/>
      <c r="B1048439" s="242"/>
      <c r="C1048439" s="242"/>
      <c r="D1048439" s="242"/>
      <c r="E1048439" s="242"/>
      <c r="F1048439" s="242"/>
      <c r="G1048439" s="242"/>
      <c r="H1048439" s="242"/>
      <c r="I1048439" s="242"/>
      <c r="J1048439" s="242"/>
      <c r="K1048439" s="242"/>
      <c r="L1048439" s="242"/>
      <c r="M1048439" s="242"/>
      <c r="N1048439" s="242"/>
      <c r="O1048439" s="242"/>
      <c r="P1048439" s="242"/>
      <c r="Q1048439" s="242"/>
      <c r="R1048439" s="242"/>
      <c r="S1048439" s="242"/>
      <c r="T1048439" s="242"/>
      <c r="U1048439" s="242"/>
      <c r="V1048439" s="242"/>
      <c r="W1048439" s="242"/>
      <c r="X1048439" s="242"/>
      <c r="Y1048439" s="242"/>
      <c r="Z1048439" s="242"/>
      <c r="AA1048439" s="242"/>
      <c r="AB1048439" s="242"/>
      <c r="AC1048439" s="242"/>
      <c r="AD1048439" s="242"/>
      <c r="AE1048439" s="242"/>
      <c r="AF1048439" s="242"/>
      <c r="AG1048439" s="242"/>
      <c r="AH1048439" s="242"/>
      <c r="AI1048439" s="242"/>
      <c r="AJ1048439" s="242"/>
      <c r="AK1048439" s="242"/>
      <c r="AL1048439" s="242"/>
      <c r="AM1048439" s="242"/>
      <c r="AN1048439" s="242"/>
      <c r="AO1048439" s="242"/>
      <c r="AP1048439" s="242"/>
      <c r="AQ1048439" s="242"/>
      <c r="AR1048439" s="242"/>
      <c r="AS1048439" s="242"/>
      <c r="AT1048439" s="242"/>
      <c r="AU1048439" s="242"/>
      <c r="AV1048439" s="242"/>
      <c r="AW1048439" s="242"/>
      <c r="AX1048439" s="242"/>
      <c r="AY1048439" s="242"/>
      <c r="AZ1048439" s="242"/>
      <c r="BA1048439" s="242"/>
      <c r="BB1048439" s="242"/>
      <c r="BC1048439" s="242"/>
      <c r="BD1048439" s="242"/>
      <c r="BE1048439" s="242"/>
      <c r="BF1048439" s="242"/>
      <c r="BG1048439" s="242"/>
      <c r="BH1048439" s="242"/>
      <c r="BI1048439" s="242"/>
      <c r="BJ1048439" s="242"/>
      <c r="BK1048439" s="242"/>
      <c r="BL1048439" s="242"/>
      <c r="BM1048439" s="242"/>
      <c r="BN1048439" s="242"/>
      <c r="BO1048439" s="242"/>
      <c r="BP1048439" s="242"/>
      <c r="BQ1048439" s="242"/>
      <c r="BR1048439" s="242"/>
      <c r="BS1048439" s="242"/>
      <c r="BT1048439" s="242"/>
      <c r="BU1048439" s="242"/>
      <c r="BV1048439" s="242"/>
      <c r="BW1048439" s="242"/>
      <c r="BX1048439" s="242"/>
      <c r="BY1048439" s="242"/>
      <c r="BZ1048439" s="242"/>
      <c r="CA1048439" s="242"/>
      <c r="CB1048439" s="242"/>
      <c r="CC1048439" s="242"/>
      <c r="CD1048439" s="242"/>
      <c r="CE1048439" s="242"/>
      <c r="CF1048439" s="242"/>
      <c r="CG1048439" s="242"/>
      <c r="CH1048439" s="242"/>
      <c r="CI1048439" s="242"/>
      <c r="CJ1048439" s="242"/>
      <c r="CK1048439" s="242"/>
      <c r="CL1048439" s="242"/>
      <c r="CM1048439" s="242"/>
      <c r="CN1048439" s="242"/>
      <c r="CO1048439" s="242"/>
      <c r="CP1048439" s="242"/>
      <c r="CQ1048439" s="242"/>
      <c r="CR1048439" s="242"/>
      <c r="CS1048439" s="242"/>
      <c r="CT1048439" s="242"/>
      <c r="CU1048439" s="242"/>
      <c r="CV1048439" s="242"/>
      <c r="CW1048439" s="242"/>
      <c r="CX1048439" s="242"/>
      <c r="CY1048439" s="242"/>
      <c r="CZ1048439" s="242"/>
      <c r="DA1048439" s="242"/>
      <c r="DB1048439" s="242"/>
      <c r="DC1048439" s="242"/>
      <c r="DD1048439" s="242"/>
      <c r="DE1048439" s="242"/>
      <c r="DF1048439" s="242"/>
      <c r="DG1048439" s="242"/>
      <c r="DH1048439" s="242"/>
      <c r="DI1048439" s="242"/>
      <c r="DJ1048439" s="242"/>
      <c r="DK1048439" s="242"/>
      <c r="DL1048439" s="242"/>
      <c r="DM1048439" s="242"/>
      <c r="DN1048439" s="242"/>
      <c r="DO1048439" s="242"/>
      <c r="DP1048439" s="242"/>
      <c r="DQ1048439" s="242"/>
      <c r="DR1048439" s="242"/>
      <c r="DS1048439" s="242"/>
      <c r="DT1048439" s="242"/>
      <c r="DU1048439" s="242"/>
      <c r="DV1048439" s="242"/>
      <c r="DW1048439" s="242"/>
      <c r="DX1048439" s="242"/>
      <c r="DY1048439" s="242"/>
      <c r="DZ1048439" s="242"/>
      <c r="EA1048439" s="242"/>
      <c r="EB1048439" s="242"/>
      <c r="EC1048439" s="242"/>
      <c r="ED1048439" s="242"/>
      <c r="EE1048439" s="242"/>
      <c r="EF1048439" s="242"/>
      <c r="EG1048439" s="242"/>
      <c r="EH1048439" s="242"/>
      <c r="EI1048439" s="242"/>
      <c r="EJ1048439" s="242"/>
      <c r="EK1048439" s="242"/>
      <c r="EL1048439" s="242"/>
      <c r="EM1048439" s="242"/>
      <c r="EN1048439" s="242"/>
      <c r="EO1048439" s="242"/>
      <c r="EP1048439" s="242"/>
      <c r="EQ1048439" s="242"/>
      <c r="ER1048439" s="242"/>
      <c r="ES1048439" s="242"/>
      <c r="ET1048439" s="242"/>
      <c r="EU1048439" s="242"/>
      <c r="EV1048439" s="242"/>
      <c r="EW1048439" s="242"/>
      <c r="EX1048439" s="242"/>
      <c r="EY1048439" s="242"/>
      <c r="EZ1048439" s="242"/>
      <c r="FA1048439" s="242"/>
      <c r="FB1048439" s="242"/>
      <c r="FC1048439" s="242"/>
      <c r="FD1048439" s="242"/>
      <c r="FE1048439" s="242"/>
      <c r="FF1048439" s="242"/>
      <c r="FG1048439" s="242"/>
      <c r="FH1048439" s="242"/>
      <c r="FI1048439" s="242"/>
      <c r="FJ1048439" s="242"/>
      <c r="FK1048439" s="242"/>
      <c r="FL1048439" s="242"/>
      <c r="FM1048439" s="242"/>
      <c r="FN1048439" s="242"/>
      <c r="FO1048439" s="242"/>
      <c r="FP1048439" s="242"/>
      <c r="FQ1048439" s="242"/>
      <c r="FR1048439" s="242"/>
      <c r="FS1048439" s="242"/>
      <c r="FT1048439" s="242"/>
      <c r="FU1048439" s="242"/>
      <c r="FV1048439" s="242"/>
      <c r="FW1048439" s="242"/>
      <c r="FX1048439" s="242"/>
      <c r="FY1048439" s="242"/>
      <c r="FZ1048439" s="242"/>
      <c r="GA1048439" s="242"/>
      <c r="GB1048439" s="242"/>
      <c r="GC1048439" s="242"/>
      <c r="GD1048439" s="242"/>
      <c r="GE1048439" s="242"/>
      <c r="GF1048439" s="242"/>
      <c r="GG1048439" s="242"/>
      <c r="GH1048439" s="242"/>
      <c r="GI1048439" s="242"/>
      <c r="GJ1048439" s="242"/>
      <c r="GK1048439" s="242"/>
      <c r="GL1048439" s="242"/>
      <c r="GM1048439" s="242"/>
      <c r="GN1048439" s="242"/>
      <c r="GO1048439" s="242"/>
      <c r="GP1048439" s="242"/>
      <c r="GQ1048439" s="242"/>
      <c r="GR1048439" s="242"/>
      <c r="GS1048439" s="242"/>
      <c r="GT1048439" s="242"/>
      <c r="GU1048439" s="242"/>
      <c r="GV1048439" s="242"/>
      <c r="GW1048439" s="242"/>
      <c r="GX1048439" s="242"/>
      <c r="GY1048439" s="242"/>
      <c r="GZ1048439" s="242"/>
      <c r="HA1048439" s="242"/>
      <c r="HB1048439" s="242"/>
      <c r="HC1048439" s="242"/>
      <c r="HD1048439" s="242"/>
      <c r="HE1048439" s="242"/>
      <c r="HF1048439" s="242"/>
      <c r="HG1048439" s="242"/>
      <c r="HH1048439" s="242"/>
      <c r="HI1048439" s="242"/>
      <c r="HJ1048439" s="242"/>
      <c r="HK1048439" s="242"/>
      <c r="HL1048439" s="242"/>
      <c r="HM1048439" s="242"/>
      <c r="HN1048439" s="242"/>
      <c r="HO1048439" s="242"/>
      <c r="HP1048439" s="242"/>
      <c r="HQ1048439" s="242"/>
      <c r="HR1048439" s="242"/>
      <c r="HS1048439" s="242"/>
      <c r="HT1048439" s="242"/>
      <c r="HU1048439" s="242"/>
      <c r="HV1048439" s="242"/>
      <c r="HW1048439" s="242"/>
      <c r="HX1048439" s="242"/>
      <c r="HY1048439" s="242"/>
      <c r="HZ1048439" s="242"/>
      <c r="IA1048439" s="242"/>
      <c r="IB1048439" s="242"/>
      <c r="IC1048439" s="242"/>
      <c r="ID1048439" s="242"/>
      <c r="IE1048439" s="242"/>
      <c r="IF1048439" s="242"/>
      <c r="IG1048439" s="242"/>
      <c r="IH1048439" s="242"/>
      <c r="II1048439" s="242"/>
      <c r="IJ1048439" s="242"/>
      <c r="IK1048439" s="242"/>
      <c r="IL1048439" s="242"/>
      <c r="IM1048439" s="242"/>
      <c r="IN1048439" s="242"/>
      <c r="IO1048439" s="242"/>
      <c r="IP1048439" s="242"/>
      <c r="IQ1048439" s="242"/>
    </row>
    <row r="1048440" spans="1:251" s="243" customFormat="1" ht="12" customHeight="1">
      <c r="A1048440" s="242"/>
      <c r="B1048440" s="242"/>
      <c r="C1048440" s="242"/>
      <c r="D1048440" s="242"/>
      <c r="E1048440" s="242"/>
      <c r="F1048440" s="242"/>
      <c r="G1048440" s="242"/>
      <c r="H1048440" s="242"/>
      <c r="I1048440" s="242"/>
      <c r="J1048440" s="242"/>
      <c r="K1048440" s="242"/>
      <c r="L1048440" s="242"/>
      <c r="M1048440" s="242"/>
      <c r="N1048440" s="242"/>
      <c r="O1048440" s="242"/>
      <c r="P1048440" s="242"/>
      <c r="Q1048440" s="242"/>
      <c r="R1048440" s="242"/>
      <c r="S1048440" s="242"/>
      <c r="T1048440" s="242"/>
      <c r="U1048440" s="242"/>
      <c r="V1048440" s="242"/>
      <c r="W1048440" s="242"/>
      <c r="X1048440" s="242"/>
      <c r="Y1048440" s="242"/>
      <c r="Z1048440" s="242"/>
      <c r="AA1048440" s="242"/>
      <c r="AB1048440" s="242"/>
      <c r="AC1048440" s="242"/>
      <c r="AD1048440" s="242"/>
      <c r="AE1048440" s="242"/>
      <c r="AF1048440" s="242"/>
      <c r="AG1048440" s="242"/>
      <c r="AH1048440" s="242"/>
      <c r="AI1048440" s="242"/>
      <c r="AJ1048440" s="242"/>
      <c r="AK1048440" s="242"/>
      <c r="AL1048440" s="242"/>
      <c r="AM1048440" s="242"/>
      <c r="AN1048440" s="242"/>
      <c r="AO1048440" s="242"/>
      <c r="AP1048440" s="242"/>
      <c r="AQ1048440" s="242"/>
      <c r="AR1048440" s="242"/>
      <c r="AS1048440" s="242"/>
      <c r="AT1048440" s="242"/>
      <c r="AU1048440" s="242"/>
      <c r="AV1048440" s="242"/>
      <c r="AW1048440" s="242"/>
      <c r="AX1048440" s="242"/>
      <c r="AY1048440" s="242"/>
      <c r="AZ1048440" s="242"/>
      <c r="BA1048440" s="242"/>
      <c r="BB1048440" s="242"/>
      <c r="BC1048440" s="242"/>
      <c r="BD1048440" s="242"/>
      <c r="BE1048440" s="242"/>
      <c r="BF1048440" s="242"/>
      <c r="BG1048440" s="242"/>
      <c r="BH1048440" s="242"/>
      <c r="BI1048440" s="242"/>
      <c r="BJ1048440" s="242"/>
      <c r="BK1048440" s="242"/>
      <c r="BL1048440" s="242"/>
      <c r="BM1048440" s="242"/>
      <c r="BN1048440" s="242"/>
      <c r="BO1048440" s="242"/>
      <c r="BP1048440" s="242"/>
      <c r="BQ1048440" s="242"/>
      <c r="BR1048440" s="242"/>
      <c r="BS1048440" s="242"/>
      <c r="BT1048440" s="242"/>
      <c r="BU1048440" s="242"/>
      <c r="BV1048440" s="242"/>
      <c r="BW1048440" s="242"/>
      <c r="BX1048440" s="242"/>
      <c r="BY1048440" s="242"/>
      <c r="BZ1048440" s="242"/>
      <c r="CA1048440" s="242"/>
      <c r="CB1048440" s="242"/>
      <c r="CC1048440" s="242"/>
      <c r="CD1048440" s="242"/>
      <c r="CE1048440" s="242"/>
      <c r="CF1048440" s="242"/>
      <c r="CG1048440" s="242"/>
      <c r="CH1048440" s="242"/>
      <c r="CI1048440" s="242"/>
      <c r="CJ1048440" s="242"/>
      <c r="CK1048440" s="242"/>
      <c r="CL1048440" s="242"/>
      <c r="CM1048440" s="242"/>
      <c r="CN1048440" s="242"/>
      <c r="CO1048440" s="242"/>
      <c r="CP1048440" s="242"/>
      <c r="CQ1048440" s="242"/>
      <c r="CR1048440" s="242"/>
      <c r="CS1048440" s="242"/>
      <c r="CT1048440" s="242"/>
      <c r="CU1048440" s="242"/>
      <c r="CV1048440" s="242"/>
      <c r="CW1048440" s="242"/>
      <c r="CX1048440" s="242"/>
      <c r="CY1048440" s="242"/>
      <c r="CZ1048440" s="242"/>
      <c r="DA1048440" s="242"/>
      <c r="DB1048440" s="242"/>
      <c r="DC1048440" s="242"/>
      <c r="DD1048440" s="242"/>
      <c r="DE1048440" s="242"/>
      <c r="DF1048440" s="242"/>
      <c r="DG1048440" s="242"/>
      <c r="DH1048440" s="242"/>
      <c r="DI1048440" s="242"/>
      <c r="DJ1048440" s="242"/>
      <c r="DK1048440" s="242"/>
      <c r="DL1048440" s="242"/>
      <c r="DM1048440" s="242"/>
      <c r="DN1048440" s="242"/>
      <c r="DO1048440" s="242"/>
      <c r="DP1048440" s="242"/>
      <c r="DQ1048440" s="242"/>
      <c r="DR1048440" s="242"/>
      <c r="DS1048440" s="242"/>
      <c r="DT1048440" s="242"/>
      <c r="DU1048440" s="242"/>
      <c r="DV1048440" s="242"/>
      <c r="DW1048440" s="242"/>
      <c r="DX1048440" s="242"/>
      <c r="DY1048440" s="242"/>
      <c r="DZ1048440" s="242"/>
      <c r="EA1048440" s="242"/>
      <c r="EB1048440" s="242"/>
      <c r="EC1048440" s="242"/>
      <c r="ED1048440" s="242"/>
      <c r="EE1048440" s="242"/>
      <c r="EF1048440" s="242"/>
      <c r="EG1048440" s="242"/>
      <c r="EH1048440" s="242"/>
      <c r="EI1048440" s="242"/>
      <c r="EJ1048440" s="242"/>
      <c r="EK1048440" s="242"/>
      <c r="EL1048440" s="242"/>
      <c r="EM1048440" s="242"/>
      <c r="EN1048440" s="242"/>
      <c r="EO1048440" s="242"/>
      <c r="EP1048440" s="242"/>
      <c r="EQ1048440" s="242"/>
      <c r="ER1048440" s="242"/>
      <c r="ES1048440" s="242"/>
      <c r="ET1048440" s="242"/>
      <c r="EU1048440" s="242"/>
      <c r="EV1048440" s="242"/>
      <c r="EW1048440" s="242"/>
      <c r="EX1048440" s="242"/>
      <c r="EY1048440" s="242"/>
      <c r="EZ1048440" s="242"/>
      <c r="FA1048440" s="242"/>
      <c r="FB1048440" s="242"/>
      <c r="FC1048440" s="242"/>
      <c r="FD1048440" s="242"/>
      <c r="FE1048440" s="242"/>
      <c r="FF1048440" s="242"/>
      <c r="FG1048440" s="242"/>
      <c r="FH1048440" s="242"/>
      <c r="FI1048440" s="242"/>
      <c r="FJ1048440" s="242"/>
      <c r="FK1048440" s="242"/>
      <c r="FL1048440" s="242"/>
      <c r="FM1048440" s="242"/>
      <c r="FN1048440" s="242"/>
      <c r="FO1048440" s="242"/>
      <c r="FP1048440" s="242"/>
      <c r="FQ1048440" s="242"/>
      <c r="FR1048440" s="242"/>
      <c r="FS1048440" s="242"/>
      <c r="FT1048440" s="242"/>
      <c r="FU1048440" s="242"/>
      <c r="FV1048440" s="242"/>
      <c r="FW1048440" s="242"/>
      <c r="FX1048440" s="242"/>
      <c r="FY1048440" s="242"/>
      <c r="FZ1048440" s="242"/>
      <c r="GA1048440" s="242"/>
      <c r="GB1048440" s="242"/>
      <c r="GC1048440" s="242"/>
      <c r="GD1048440" s="242"/>
      <c r="GE1048440" s="242"/>
      <c r="GF1048440" s="242"/>
      <c r="GG1048440" s="242"/>
      <c r="GH1048440" s="242"/>
      <c r="GI1048440" s="242"/>
      <c r="GJ1048440" s="242"/>
      <c r="GK1048440" s="242"/>
      <c r="GL1048440" s="242"/>
      <c r="GM1048440" s="242"/>
      <c r="GN1048440" s="242"/>
      <c r="GO1048440" s="242"/>
      <c r="GP1048440" s="242"/>
      <c r="GQ1048440" s="242"/>
      <c r="GR1048440" s="242"/>
      <c r="GS1048440" s="242"/>
      <c r="GT1048440" s="242"/>
      <c r="GU1048440" s="242"/>
      <c r="GV1048440" s="242"/>
      <c r="GW1048440" s="242"/>
      <c r="GX1048440" s="242"/>
      <c r="GY1048440" s="242"/>
      <c r="GZ1048440" s="242"/>
      <c r="HA1048440" s="242"/>
      <c r="HB1048440" s="242"/>
      <c r="HC1048440" s="242"/>
      <c r="HD1048440" s="242"/>
      <c r="HE1048440" s="242"/>
      <c r="HF1048440" s="242"/>
      <c r="HG1048440" s="242"/>
      <c r="HH1048440" s="242"/>
      <c r="HI1048440" s="242"/>
      <c r="HJ1048440" s="242"/>
      <c r="HK1048440" s="242"/>
      <c r="HL1048440" s="242"/>
      <c r="HM1048440" s="242"/>
      <c r="HN1048440" s="242"/>
      <c r="HO1048440" s="242"/>
      <c r="HP1048440" s="242"/>
      <c r="HQ1048440" s="242"/>
      <c r="HR1048440" s="242"/>
      <c r="HS1048440" s="242"/>
      <c r="HT1048440" s="242"/>
      <c r="HU1048440" s="242"/>
      <c r="HV1048440" s="242"/>
      <c r="HW1048440" s="242"/>
      <c r="HX1048440" s="242"/>
      <c r="HY1048440" s="242"/>
      <c r="HZ1048440" s="242"/>
      <c r="IA1048440" s="242"/>
      <c r="IB1048440" s="242"/>
      <c r="IC1048440" s="242"/>
      <c r="ID1048440" s="242"/>
      <c r="IE1048440" s="242"/>
      <c r="IF1048440" s="242"/>
      <c r="IG1048440" s="242"/>
      <c r="IH1048440" s="242"/>
      <c r="II1048440" s="242"/>
      <c r="IJ1048440" s="242"/>
      <c r="IK1048440" s="242"/>
      <c r="IL1048440" s="242"/>
      <c r="IM1048440" s="242"/>
      <c r="IN1048440" s="242"/>
      <c r="IO1048440" s="242"/>
      <c r="IP1048440" s="242"/>
      <c r="IQ1048440" s="242"/>
    </row>
    <row r="1048441" spans="1:251" s="243" customFormat="1" ht="12" customHeight="1">
      <c r="A1048441" s="242"/>
      <c r="B1048441" s="242"/>
      <c r="C1048441" s="242"/>
      <c r="D1048441" s="242"/>
      <c r="E1048441" s="242"/>
      <c r="F1048441" s="242"/>
      <c r="G1048441" s="242"/>
      <c r="H1048441" s="242"/>
      <c r="I1048441" s="242"/>
      <c r="J1048441" s="242"/>
      <c r="K1048441" s="242"/>
      <c r="L1048441" s="242"/>
      <c r="M1048441" s="242"/>
      <c r="N1048441" s="242"/>
      <c r="O1048441" s="242"/>
      <c r="P1048441" s="242"/>
      <c r="Q1048441" s="242"/>
      <c r="R1048441" s="242"/>
      <c r="S1048441" s="242"/>
      <c r="T1048441" s="242"/>
      <c r="U1048441" s="242"/>
      <c r="V1048441" s="242"/>
      <c r="W1048441" s="242"/>
      <c r="X1048441" s="242"/>
      <c r="Y1048441" s="242"/>
      <c r="Z1048441" s="242"/>
      <c r="AA1048441" s="242"/>
      <c r="AB1048441" s="242"/>
      <c r="AC1048441" s="242"/>
      <c r="AD1048441" s="242"/>
      <c r="AE1048441" s="242"/>
      <c r="AF1048441" s="242"/>
      <c r="AG1048441" s="242"/>
      <c r="AH1048441" s="242"/>
      <c r="AI1048441" s="242"/>
      <c r="AJ1048441" s="242"/>
      <c r="AK1048441" s="242"/>
      <c r="AL1048441" s="242"/>
      <c r="AM1048441" s="242"/>
      <c r="AN1048441" s="242"/>
      <c r="AO1048441" s="242"/>
      <c r="AP1048441" s="242"/>
      <c r="AQ1048441" s="242"/>
      <c r="AR1048441" s="242"/>
      <c r="AS1048441" s="242"/>
      <c r="AT1048441" s="242"/>
      <c r="AU1048441" s="242"/>
      <c r="AV1048441" s="242"/>
      <c r="AW1048441" s="242"/>
      <c r="AX1048441" s="242"/>
      <c r="AY1048441" s="242"/>
      <c r="AZ1048441" s="242"/>
      <c r="BA1048441" s="242"/>
      <c r="BB1048441" s="242"/>
      <c r="BC1048441" s="242"/>
      <c r="BD1048441" s="242"/>
      <c r="BE1048441" s="242"/>
      <c r="BF1048441" s="242"/>
      <c r="BG1048441" s="242"/>
      <c r="BH1048441" s="242"/>
      <c r="BI1048441" s="242"/>
      <c r="BJ1048441" s="242"/>
      <c r="BK1048441" s="242"/>
      <c r="BL1048441" s="242"/>
      <c r="BM1048441" s="242"/>
      <c r="BN1048441" s="242"/>
      <c r="BO1048441" s="242"/>
      <c r="BP1048441" s="242"/>
      <c r="BQ1048441" s="242"/>
      <c r="BR1048441" s="242"/>
      <c r="BS1048441" s="242"/>
      <c r="BT1048441" s="242"/>
      <c r="BU1048441" s="242"/>
      <c r="BV1048441" s="242"/>
      <c r="BW1048441" s="242"/>
      <c r="BX1048441" s="242"/>
      <c r="BY1048441" s="242"/>
      <c r="BZ1048441" s="242"/>
      <c r="CA1048441" s="242"/>
      <c r="CB1048441" s="242"/>
      <c r="CC1048441" s="242"/>
      <c r="CD1048441" s="242"/>
      <c r="CE1048441" s="242"/>
      <c r="CF1048441" s="242"/>
      <c r="CG1048441" s="242"/>
      <c r="CH1048441" s="242"/>
      <c r="CI1048441" s="242"/>
      <c r="CJ1048441" s="242"/>
      <c r="CK1048441" s="242"/>
      <c r="CL1048441" s="242"/>
      <c r="CM1048441" s="242"/>
      <c r="CN1048441" s="242"/>
      <c r="CO1048441" s="242"/>
      <c r="CP1048441" s="242"/>
      <c r="CQ1048441" s="242"/>
      <c r="CR1048441" s="242"/>
      <c r="CS1048441" s="242"/>
      <c r="CT1048441" s="242"/>
      <c r="CU1048441" s="242"/>
      <c r="CV1048441" s="242"/>
      <c r="CW1048441" s="242"/>
      <c r="CX1048441" s="242"/>
      <c r="CY1048441" s="242"/>
      <c r="CZ1048441" s="242"/>
      <c r="DA1048441" s="242"/>
      <c r="DB1048441" s="242"/>
      <c r="DC1048441" s="242"/>
      <c r="DD1048441" s="242"/>
      <c r="DE1048441" s="242"/>
      <c r="DF1048441" s="242"/>
      <c r="DG1048441" s="242"/>
      <c r="DH1048441" s="242"/>
      <c r="DI1048441" s="242"/>
      <c r="DJ1048441" s="242"/>
      <c r="DK1048441" s="242"/>
      <c r="DL1048441" s="242"/>
      <c r="DM1048441" s="242"/>
      <c r="DN1048441" s="242"/>
      <c r="DO1048441" s="242"/>
      <c r="DP1048441" s="242"/>
      <c r="DQ1048441" s="242"/>
      <c r="DR1048441" s="242"/>
      <c r="DS1048441" s="242"/>
      <c r="DT1048441" s="242"/>
      <c r="DU1048441" s="242"/>
      <c r="DV1048441" s="242"/>
      <c r="DW1048441" s="242"/>
      <c r="DX1048441" s="242"/>
      <c r="DY1048441" s="242"/>
      <c r="DZ1048441" s="242"/>
      <c r="EA1048441" s="242"/>
      <c r="EB1048441" s="242"/>
      <c r="EC1048441" s="242"/>
      <c r="ED1048441" s="242"/>
      <c r="EE1048441" s="242"/>
      <c r="EF1048441" s="242"/>
      <c r="EG1048441" s="242"/>
      <c r="EH1048441" s="242"/>
      <c r="EI1048441" s="242"/>
      <c r="EJ1048441" s="242"/>
      <c r="EK1048441" s="242"/>
      <c r="EL1048441" s="242"/>
      <c r="EM1048441" s="242"/>
      <c r="EN1048441" s="242"/>
      <c r="EO1048441" s="242"/>
      <c r="EP1048441" s="242"/>
      <c r="EQ1048441" s="242"/>
      <c r="ER1048441" s="242"/>
      <c r="ES1048441" s="242"/>
      <c r="ET1048441" s="242"/>
      <c r="EU1048441" s="242"/>
      <c r="EV1048441" s="242"/>
      <c r="EW1048441" s="242"/>
      <c r="EX1048441" s="242"/>
      <c r="EY1048441" s="242"/>
      <c r="EZ1048441" s="242"/>
      <c r="FA1048441" s="242"/>
      <c r="FB1048441" s="242"/>
      <c r="FC1048441" s="242"/>
      <c r="FD1048441" s="242"/>
      <c r="FE1048441" s="242"/>
      <c r="FF1048441" s="242"/>
      <c r="FG1048441" s="242"/>
      <c r="FH1048441" s="242"/>
      <c r="FI1048441" s="242"/>
      <c r="FJ1048441" s="242"/>
      <c r="FK1048441" s="242"/>
      <c r="FL1048441" s="242"/>
      <c r="FM1048441" s="242"/>
      <c r="FN1048441" s="242"/>
      <c r="FO1048441" s="242"/>
      <c r="FP1048441" s="242"/>
      <c r="FQ1048441" s="242"/>
      <c r="FR1048441" s="242"/>
      <c r="FS1048441" s="242"/>
      <c r="FT1048441" s="242"/>
      <c r="FU1048441" s="242"/>
      <c r="FV1048441" s="242"/>
      <c r="FW1048441" s="242"/>
      <c r="FX1048441" s="242"/>
      <c r="FY1048441" s="242"/>
      <c r="FZ1048441" s="242"/>
      <c r="GA1048441" s="242"/>
      <c r="GB1048441" s="242"/>
      <c r="GC1048441" s="242"/>
      <c r="GD1048441" s="242"/>
      <c r="GE1048441" s="242"/>
      <c r="GF1048441" s="242"/>
      <c r="GG1048441" s="242"/>
      <c r="GH1048441" s="242"/>
      <c r="GI1048441" s="242"/>
      <c r="GJ1048441" s="242"/>
      <c r="GK1048441" s="242"/>
      <c r="GL1048441" s="242"/>
      <c r="GM1048441" s="242"/>
      <c r="GN1048441" s="242"/>
      <c r="GO1048441" s="242"/>
      <c r="GP1048441" s="242"/>
      <c r="GQ1048441" s="242"/>
      <c r="GR1048441" s="242"/>
      <c r="GS1048441" s="242"/>
      <c r="GT1048441" s="242"/>
      <c r="GU1048441" s="242"/>
      <c r="GV1048441" s="242"/>
      <c r="GW1048441" s="242"/>
      <c r="GX1048441" s="242"/>
      <c r="GY1048441" s="242"/>
      <c r="GZ1048441" s="242"/>
      <c r="HA1048441" s="242"/>
      <c r="HB1048441" s="242"/>
      <c r="HC1048441" s="242"/>
      <c r="HD1048441" s="242"/>
      <c r="HE1048441" s="242"/>
      <c r="HF1048441" s="242"/>
      <c r="HG1048441" s="242"/>
      <c r="HH1048441" s="242"/>
      <c r="HI1048441" s="242"/>
      <c r="HJ1048441" s="242"/>
      <c r="HK1048441" s="242"/>
      <c r="HL1048441" s="242"/>
      <c r="HM1048441" s="242"/>
      <c r="HN1048441" s="242"/>
      <c r="HO1048441" s="242"/>
      <c r="HP1048441" s="242"/>
      <c r="HQ1048441" s="242"/>
      <c r="HR1048441" s="242"/>
      <c r="HS1048441" s="242"/>
      <c r="HT1048441" s="242"/>
      <c r="HU1048441" s="242"/>
      <c r="HV1048441" s="242"/>
      <c r="HW1048441" s="242"/>
      <c r="HX1048441" s="242"/>
      <c r="HY1048441" s="242"/>
      <c r="HZ1048441" s="242"/>
      <c r="IA1048441" s="242"/>
      <c r="IB1048441" s="242"/>
      <c r="IC1048441" s="242"/>
      <c r="ID1048441" s="242"/>
      <c r="IE1048441" s="242"/>
      <c r="IF1048441" s="242"/>
      <c r="IG1048441" s="242"/>
      <c r="IH1048441" s="242"/>
      <c r="II1048441" s="242"/>
      <c r="IJ1048441" s="242"/>
      <c r="IK1048441" s="242"/>
      <c r="IL1048441" s="242"/>
      <c r="IM1048441" s="242"/>
      <c r="IN1048441" s="242"/>
      <c r="IO1048441" s="242"/>
      <c r="IP1048441" s="242"/>
      <c r="IQ1048441" s="242"/>
    </row>
    <row r="1048442" spans="1:251" s="243" customFormat="1" ht="12" customHeight="1">
      <c r="A1048442" s="242"/>
      <c r="B1048442" s="242"/>
      <c r="C1048442" s="242"/>
      <c r="D1048442" s="242"/>
      <c r="E1048442" s="242"/>
      <c r="F1048442" s="242"/>
      <c r="G1048442" s="242"/>
      <c r="H1048442" s="242"/>
      <c r="I1048442" s="242"/>
      <c r="J1048442" s="242"/>
      <c r="K1048442" s="242"/>
      <c r="L1048442" s="242"/>
      <c r="M1048442" s="242"/>
      <c r="N1048442" s="242"/>
      <c r="O1048442" s="242"/>
      <c r="P1048442" s="242"/>
      <c r="Q1048442" s="242"/>
      <c r="R1048442" s="242"/>
      <c r="S1048442" s="242"/>
      <c r="T1048442" s="242"/>
      <c r="U1048442" s="242"/>
      <c r="V1048442" s="242"/>
      <c r="W1048442" s="242"/>
      <c r="X1048442" s="242"/>
      <c r="Y1048442" s="242"/>
      <c r="Z1048442" s="242"/>
      <c r="AA1048442" s="242"/>
      <c r="AB1048442" s="242"/>
      <c r="AC1048442" s="242"/>
      <c r="AD1048442" s="242"/>
      <c r="AE1048442" s="242"/>
      <c r="AF1048442" s="242"/>
      <c r="AG1048442" s="242"/>
      <c r="AH1048442" s="242"/>
      <c r="AI1048442" s="242"/>
      <c r="AJ1048442" s="242"/>
      <c r="AK1048442" s="242"/>
      <c r="AL1048442" s="242"/>
      <c r="AM1048442" s="242"/>
      <c r="AN1048442" s="242"/>
      <c r="AO1048442" s="242"/>
      <c r="AP1048442" s="242"/>
      <c r="AQ1048442" s="242"/>
      <c r="AR1048442" s="242"/>
      <c r="AS1048442" s="242"/>
      <c r="AT1048442" s="242"/>
      <c r="AU1048442" s="242"/>
      <c r="AV1048442" s="242"/>
      <c r="AW1048442" s="242"/>
      <c r="AX1048442" s="242"/>
      <c r="AY1048442" s="242"/>
      <c r="AZ1048442" s="242"/>
      <c r="BA1048442" s="242"/>
      <c r="BB1048442" s="242"/>
      <c r="BC1048442" s="242"/>
      <c r="BD1048442" s="242"/>
      <c r="BE1048442" s="242"/>
      <c r="BF1048442" s="242"/>
      <c r="BG1048442" s="242"/>
      <c r="BH1048442" s="242"/>
      <c r="BI1048442" s="242"/>
      <c r="BJ1048442" s="242"/>
      <c r="BK1048442" s="242"/>
      <c r="BL1048442" s="242"/>
      <c r="BM1048442" s="242"/>
      <c r="BN1048442" s="242"/>
      <c r="BO1048442" s="242"/>
      <c r="BP1048442" s="242"/>
      <c r="BQ1048442" s="242"/>
      <c r="BR1048442" s="242"/>
      <c r="BS1048442" s="242"/>
      <c r="BT1048442" s="242"/>
      <c r="BU1048442" s="242"/>
      <c r="BV1048442" s="242"/>
      <c r="BW1048442" s="242"/>
      <c r="BX1048442" s="242"/>
      <c r="BY1048442" s="242"/>
      <c r="BZ1048442" s="242"/>
      <c r="CA1048442" s="242"/>
      <c r="CB1048442" s="242"/>
      <c r="CC1048442" s="242"/>
      <c r="CD1048442" s="242"/>
      <c r="CE1048442" s="242"/>
      <c r="CF1048442" s="242"/>
      <c r="CG1048442" s="242"/>
      <c r="CH1048442" s="242"/>
      <c r="CI1048442" s="242"/>
      <c r="CJ1048442" s="242"/>
      <c r="CK1048442" s="242"/>
      <c r="CL1048442" s="242"/>
      <c r="CM1048442" s="242"/>
      <c r="CN1048442" s="242"/>
      <c r="CO1048442" s="242"/>
      <c r="CP1048442" s="242"/>
      <c r="CQ1048442" s="242"/>
      <c r="CR1048442" s="242"/>
      <c r="CS1048442" s="242"/>
      <c r="CT1048442" s="242"/>
      <c r="CU1048442" s="242"/>
      <c r="CV1048442" s="242"/>
      <c r="CW1048442" s="242"/>
      <c r="CX1048442" s="242"/>
      <c r="CY1048442" s="242"/>
      <c r="CZ1048442" s="242"/>
      <c r="DA1048442" s="242"/>
      <c r="DB1048442" s="242"/>
      <c r="DC1048442" s="242"/>
      <c r="DD1048442" s="242"/>
      <c r="DE1048442" s="242"/>
      <c r="DF1048442" s="242"/>
      <c r="DG1048442" s="242"/>
      <c r="DH1048442" s="242"/>
      <c r="DI1048442" s="242"/>
      <c r="DJ1048442" s="242"/>
      <c r="DK1048442" s="242"/>
      <c r="DL1048442" s="242"/>
      <c r="DM1048442" s="242"/>
      <c r="DN1048442" s="242"/>
      <c r="DO1048442" s="242"/>
      <c r="DP1048442" s="242"/>
      <c r="DQ1048442" s="242"/>
      <c r="DR1048442" s="242"/>
      <c r="DS1048442" s="242"/>
      <c r="DT1048442" s="242"/>
      <c r="DU1048442" s="242"/>
      <c r="DV1048442" s="242"/>
      <c r="DW1048442" s="242"/>
      <c r="DX1048442" s="242"/>
      <c r="DY1048442" s="242"/>
      <c r="DZ1048442" s="242"/>
      <c r="EA1048442" s="242"/>
      <c r="EB1048442" s="242"/>
      <c r="EC1048442" s="242"/>
      <c r="ED1048442" s="242"/>
      <c r="EE1048442" s="242"/>
      <c r="EF1048442" s="242"/>
      <c r="EG1048442" s="242"/>
      <c r="EH1048442" s="242"/>
      <c r="EI1048442" s="242"/>
      <c r="EJ1048442" s="242"/>
      <c r="EK1048442" s="242"/>
      <c r="EL1048442" s="242"/>
      <c r="EM1048442" s="242"/>
      <c r="EN1048442" s="242"/>
      <c r="EO1048442" s="242"/>
      <c r="EP1048442" s="242"/>
      <c r="EQ1048442" s="242"/>
      <c r="ER1048442" s="242"/>
      <c r="ES1048442" s="242"/>
      <c r="ET1048442" s="242"/>
      <c r="EU1048442" s="242"/>
      <c r="EV1048442" s="242"/>
      <c r="EW1048442" s="242"/>
      <c r="EX1048442" s="242"/>
      <c r="EY1048442" s="242"/>
      <c r="EZ1048442" s="242"/>
      <c r="FA1048442" s="242"/>
      <c r="FB1048442" s="242"/>
      <c r="FC1048442" s="242"/>
      <c r="FD1048442" s="242"/>
      <c r="FE1048442" s="242"/>
      <c r="FF1048442" s="242"/>
      <c r="FG1048442" s="242"/>
      <c r="FH1048442" s="242"/>
      <c r="FI1048442" s="242"/>
      <c r="FJ1048442" s="242"/>
      <c r="FK1048442" s="242"/>
      <c r="FL1048442" s="242"/>
      <c r="FM1048442" s="242"/>
      <c r="FN1048442" s="242"/>
      <c r="FO1048442" s="242"/>
      <c r="FP1048442" s="242"/>
      <c r="FQ1048442" s="242"/>
      <c r="FR1048442" s="242"/>
      <c r="FS1048442" s="242"/>
      <c r="FT1048442" s="242"/>
      <c r="FU1048442" s="242"/>
      <c r="FV1048442" s="242"/>
      <c r="FW1048442" s="242"/>
      <c r="FX1048442" s="242"/>
      <c r="FY1048442" s="242"/>
      <c r="FZ1048442" s="242"/>
      <c r="GA1048442" s="242"/>
      <c r="GB1048442" s="242"/>
      <c r="GC1048442" s="242"/>
      <c r="GD1048442" s="242"/>
      <c r="GE1048442" s="242"/>
      <c r="GF1048442" s="242"/>
      <c r="GG1048442" s="242"/>
      <c r="GH1048442" s="242"/>
      <c r="GI1048442" s="242"/>
      <c r="GJ1048442" s="242"/>
      <c r="GK1048442" s="242"/>
      <c r="GL1048442" s="242"/>
      <c r="GM1048442" s="242"/>
      <c r="GN1048442" s="242"/>
      <c r="GO1048442" s="242"/>
      <c r="GP1048442" s="242"/>
      <c r="GQ1048442" s="242"/>
      <c r="GR1048442" s="242"/>
      <c r="GS1048442" s="242"/>
      <c r="GT1048442" s="242"/>
      <c r="GU1048442" s="242"/>
      <c r="GV1048442" s="242"/>
      <c r="GW1048442" s="242"/>
      <c r="GX1048442" s="242"/>
      <c r="GY1048442" s="242"/>
      <c r="GZ1048442" s="242"/>
      <c r="HA1048442" s="242"/>
      <c r="HB1048442" s="242"/>
      <c r="HC1048442" s="242"/>
      <c r="HD1048442" s="242"/>
      <c r="HE1048442" s="242"/>
      <c r="HF1048442" s="242"/>
      <c r="HG1048442" s="242"/>
      <c r="HH1048442" s="242"/>
      <c r="HI1048442" s="242"/>
      <c r="HJ1048442" s="242"/>
      <c r="HK1048442" s="242"/>
      <c r="HL1048442" s="242"/>
      <c r="HM1048442" s="242"/>
      <c r="HN1048442" s="242"/>
      <c r="HO1048442" s="242"/>
      <c r="HP1048442" s="242"/>
      <c r="HQ1048442" s="242"/>
      <c r="HR1048442" s="242"/>
      <c r="HS1048442" s="242"/>
      <c r="HT1048442" s="242"/>
      <c r="HU1048442" s="242"/>
      <c r="HV1048442" s="242"/>
      <c r="HW1048442" s="242"/>
      <c r="HX1048442" s="242"/>
      <c r="HY1048442" s="242"/>
      <c r="HZ1048442" s="242"/>
      <c r="IA1048442" s="242"/>
      <c r="IB1048442" s="242"/>
      <c r="IC1048442" s="242"/>
      <c r="ID1048442" s="242"/>
      <c r="IE1048442" s="242"/>
      <c r="IF1048442" s="242"/>
      <c r="IG1048442" s="242"/>
      <c r="IH1048442" s="242"/>
      <c r="II1048442" s="242"/>
      <c r="IJ1048442" s="242"/>
      <c r="IK1048442" s="242"/>
      <c r="IL1048442" s="242"/>
      <c r="IM1048442" s="242"/>
      <c r="IN1048442" s="242"/>
      <c r="IO1048442" s="242"/>
      <c r="IP1048442" s="242"/>
      <c r="IQ1048442" s="242"/>
    </row>
    <row r="1048443" spans="1:251" s="243" customFormat="1" ht="12" customHeight="1">
      <c r="A1048443" s="242"/>
      <c r="B1048443" s="242"/>
      <c r="C1048443" s="242"/>
      <c r="D1048443" s="242"/>
      <c r="E1048443" s="242"/>
      <c r="F1048443" s="242"/>
      <c r="G1048443" s="242"/>
      <c r="H1048443" s="242"/>
      <c r="I1048443" s="242"/>
      <c r="J1048443" s="242"/>
      <c r="K1048443" s="242"/>
      <c r="L1048443" s="242"/>
      <c r="M1048443" s="242"/>
      <c r="N1048443" s="242"/>
      <c r="O1048443" s="242"/>
      <c r="P1048443" s="242"/>
      <c r="Q1048443" s="242"/>
      <c r="R1048443" s="242"/>
      <c r="S1048443" s="242"/>
      <c r="T1048443" s="242"/>
      <c r="U1048443" s="242"/>
      <c r="V1048443" s="242"/>
      <c r="W1048443" s="242"/>
      <c r="X1048443" s="242"/>
      <c r="Y1048443" s="242"/>
      <c r="Z1048443" s="242"/>
      <c r="AA1048443" s="242"/>
      <c r="AB1048443" s="242"/>
      <c r="AC1048443" s="242"/>
      <c r="AD1048443" s="242"/>
      <c r="AE1048443" s="242"/>
      <c r="AF1048443" s="242"/>
      <c r="AG1048443" s="242"/>
      <c r="AH1048443" s="242"/>
      <c r="AI1048443" s="242"/>
      <c r="AJ1048443" s="242"/>
      <c r="AK1048443" s="242"/>
      <c r="AL1048443" s="242"/>
      <c r="AM1048443" s="242"/>
      <c r="AN1048443" s="242"/>
      <c r="AO1048443" s="242"/>
      <c r="AP1048443" s="242"/>
      <c r="AQ1048443" s="242"/>
      <c r="AR1048443" s="242"/>
      <c r="AS1048443" s="242"/>
      <c r="AT1048443" s="242"/>
      <c r="AU1048443" s="242"/>
      <c r="AV1048443" s="242"/>
      <c r="AW1048443" s="242"/>
      <c r="AX1048443" s="242"/>
      <c r="AY1048443" s="242"/>
      <c r="AZ1048443" s="242"/>
      <c r="BA1048443" s="242"/>
      <c r="BB1048443" s="242"/>
      <c r="BC1048443" s="242"/>
      <c r="BD1048443" s="242"/>
      <c r="BE1048443" s="242"/>
      <c r="BF1048443" s="242"/>
      <c r="BG1048443" s="242"/>
      <c r="BH1048443" s="242"/>
      <c r="BI1048443" s="242"/>
      <c r="BJ1048443" s="242"/>
      <c r="BK1048443" s="242"/>
      <c r="BL1048443" s="242"/>
      <c r="BM1048443" s="242"/>
      <c r="BN1048443" s="242"/>
      <c r="BO1048443" s="242"/>
      <c r="BP1048443" s="242"/>
      <c r="BQ1048443" s="242"/>
      <c r="BR1048443" s="242"/>
      <c r="BS1048443" s="242"/>
      <c r="BT1048443" s="242"/>
      <c r="BU1048443" s="242"/>
      <c r="BV1048443" s="242"/>
      <c r="BW1048443" s="242"/>
      <c r="BX1048443" s="242"/>
      <c r="BY1048443" s="242"/>
      <c r="BZ1048443" s="242"/>
      <c r="CA1048443" s="242"/>
      <c r="CB1048443" s="242"/>
      <c r="CC1048443" s="242"/>
      <c r="CD1048443" s="242"/>
      <c r="CE1048443" s="242"/>
      <c r="CF1048443" s="242"/>
      <c r="CG1048443" s="242"/>
      <c r="CH1048443" s="242"/>
      <c r="CI1048443" s="242"/>
      <c r="CJ1048443" s="242"/>
      <c r="CK1048443" s="242"/>
      <c r="CL1048443" s="242"/>
      <c r="CM1048443" s="242"/>
      <c r="CN1048443" s="242"/>
      <c r="CO1048443" s="242"/>
      <c r="CP1048443" s="242"/>
      <c r="CQ1048443" s="242"/>
      <c r="CR1048443" s="242"/>
      <c r="CS1048443" s="242"/>
      <c r="CT1048443" s="242"/>
      <c r="CU1048443" s="242"/>
      <c r="CV1048443" s="242"/>
      <c r="CW1048443" s="242"/>
      <c r="CX1048443" s="242"/>
      <c r="CY1048443" s="242"/>
      <c r="CZ1048443" s="242"/>
      <c r="DA1048443" s="242"/>
      <c r="DB1048443" s="242"/>
      <c r="DC1048443" s="242"/>
      <c r="DD1048443" s="242"/>
      <c r="DE1048443" s="242"/>
      <c r="DF1048443" s="242"/>
      <c r="DG1048443" s="242"/>
      <c r="DH1048443" s="242"/>
      <c r="DI1048443" s="242"/>
      <c r="DJ1048443" s="242"/>
      <c r="DK1048443" s="242"/>
      <c r="DL1048443" s="242"/>
      <c r="DM1048443" s="242"/>
      <c r="DN1048443" s="242"/>
      <c r="DO1048443" s="242"/>
      <c r="DP1048443" s="242"/>
      <c r="DQ1048443" s="242"/>
      <c r="DR1048443" s="242"/>
      <c r="DS1048443" s="242"/>
      <c r="DT1048443" s="242"/>
      <c r="DU1048443" s="242"/>
      <c r="DV1048443" s="242"/>
      <c r="DW1048443" s="242"/>
      <c r="DX1048443" s="242"/>
      <c r="DY1048443" s="242"/>
      <c r="DZ1048443" s="242"/>
      <c r="EA1048443" s="242"/>
      <c r="EB1048443" s="242"/>
      <c r="EC1048443" s="242"/>
      <c r="ED1048443" s="242"/>
      <c r="EE1048443" s="242"/>
      <c r="EF1048443" s="242"/>
      <c r="EG1048443" s="242"/>
      <c r="EH1048443" s="242"/>
      <c r="EI1048443" s="242"/>
      <c r="EJ1048443" s="242"/>
      <c r="EK1048443" s="242"/>
      <c r="EL1048443" s="242"/>
      <c r="EM1048443" s="242"/>
      <c r="EN1048443" s="242"/>
      <c r="EO1048443" s="242"/>
      <c r="EP1048443" s="242"/>
      <c r="EQ1048443" s="242"/>
      <c r="ER1048443" s="242"/>
      <c r="ES1048443" s="242"/>
      <c r="ET1048443" s="242"/>
      <c r="EU1048443" s="242"/>
      <c r="EV1048443" s="242"/>
      <c r="EW1048443" s="242"/>
      <c r="EX1048443" s="242"/>
      <c r="EY1048443" s="242"/>
      <c r="EZ1048443" s="242"/>
      <c r="FA1048443" s="242"/>
      <c r="FB1048443" s="242"/>
      <c r="FC1048443" s="242"/>
      <c r="FD1048443" s="242"/>
      <c r="FE1048443" s="242"/>
      <c r="FF1048443" s="242"/>
      <c r="FG1048443" s="242"/>
      <c r="FH1048443" s="242"/>
      <c r="FI1048443" s="242"/>
      <c r="FJ1048443" s="242"/>
      <c r="FK1048443" s="242"/>
      <c r="FL1048443" s="242"/>
      <c r="FM1048443" s="242"/>
      <c r="FN1048443" s="242"/>
      <c r="FO1048443" s="242"/>
      <c r="FP1048443" s="242"/>
      <c r="FQ1048443" s="242"/>
      <c r="FR1048443" s="242"/>
      <c r="FS1048443" s="242"/>
      <c r="FT1048443" s="242"/>
      <c r="FU1048443" s="242"/>
      <c r="FV1048443" s="242"/>
      <c r="FW1048443" s="242"/>
      <c r="FX1048443" s="242"/>
      <c r="FY1048443" s="242"/>
      <c r="FZ1048443" s="242"/>
      <c r="GA1048443" s="242"/>
      <c r="GB1048443" s="242"/>
      <c r="GC1048443" s="242"/>
      <c r="GD1048443" s="242"/>
      <c r="GE1048443" s="242"/>
      <c r="GF1048443" s="242"/>
      <c r="GG1048443" s="242"/>
      <c r="GH1048443" s="242"/>
      <c r="GI1048443" s="242"/>
      <c r="GJ1048443" s="242"/>
      <c r="GK1048443" s="242"/>
      <c r="GL1048443" s="242"/>
      <c r="GM1048443" s="242"/>
      <c r="GN1048443" s="242"/>
      <c r="GO1048443" s="242"/>
      <c r="GP1048443" s="242"/>
      <c r="GQ1048443" s="242"/>
      <c r="GR1048443" s="242"/>
      <c r="GS1048443" s="242"/>
      <c r="GT1048443" s="242"/>
      <c r="GU1048443" s="242"/>
      <c r="GV1048443" s="242"/>
      <c r="GW1048443" s="242"/>
      <c r="GX1048443" s="242"/>
      <c r="GY1048443" s="242"/>
      <c r="GZ1048443" s="242"/>
      <c r="HA1048443" s="242"/>
      <c r="HB1048443" s="242"/>
      <c r="HC1048443" s="242"/>
      <c r="HD1048443" s="242"/>
      <c r="HE1048443" s="242"/>
      <c r="HF1048443" s="242"/>
      <c r="HG1048443" s="242"/>
      <c r="HH1048443" s="242"/>
      <c r="HI1048443" s="242"/>
      <c r="HJ1048443" s="242"/>
      <c r="HK1048443" s="242"/>
      <c r="HL1048443" s="242"/>
      <c r="HM1048443" s="242"/>
      <c r="HN1048443" s="242"/>
      <c r="HO1048443" s="242"/>
      <c r="HP1048443" s="242"/>
      <c r="HQ1048443" s="242"/>
      <c r="HR1048443" s="242"/>
      <c r="HS1048443" s="242"/>
      <c r="HT1048443" s="242"/>
      <c r="HU1048443" s="242"/>
      <c r="HV1048443" s="242"/>
      <c r="HW1048443" s="242"/>
      <c r="HX1048443" s="242"/>
      <c r="HY1048443" s="242"/>
      <c r="HZ1048443" s="242"/>
      <c r="IA1048443" s="242"/>
      <c r="IB1048443" s="242"/>
      <c r="IC1048443" s="242"/>
      <c r="ID1048443" s="242"/>
      <c r="IE1048443" s="242"/>
      <c r="IF1048443" s="242"/>
      <c r="IG1048443" s="242"/>
      <c r="IH1048443" s="242"/>
      <c r="II1048443" s="242"/>
      <c r="IJ1048443" s="242"/>
      <c r="IK1048443" s="242"/>
      <c r="IL1048443" s="242"/>
      <c r="IM1048443" s="242"/>
      <c r="IN1048443" s="242"/>
      <c r="IO1048443" s="242"/>
      <c r="IP1048443" s="242"/>
      <c r="IQ1048443" s="242"/>
    </row>
    <row r="1048444" spans="1:251" s="243" customFormat="1" ht="12" customHeight="1">
      <c r="A1048444" s="242"/>
      <c r="B1048444" s="242"/>
      <c r="C1048444" s="242"/>
      <c r="D1048444" s="242"/>
      <c r="E1048444" s="242"/>
      <c r="F1048444" s="242"/>
      <c r="G1048444" s="242"/>
      <c r="H1048444" s="242"/>
      <c r="I1048444" s="242"/>
      <c r="J1048444" s="242"/>
      <c r="K1048444" s="242"/>
      <c r="L1048444" s="242"/>
      <c r="M1048444" s="242"/>
      <c r="N1048444" s="242"/>
      <c r="O1048444" s="242"/>
      <c r="P1048444" s="242"/>
      <c r="Q1048444" s="242"/>
      <c r="R1048444" s="242"/>
      <c r="S1048444" s="242"/>
      <c r="T1048444" s="242"/>
      <c r="U1048444" s="242"/>
      <c r="V1048444" s="242"/>
      <c r="W1048444" s="242"/>
      <c r="X1048444" s="242"/>
      <c r="Y1048444" s="242"/>
      <c r="Z1048444" s="242"/>
      <c r="AA1048444" s="242"/>
      <c r="AB1048444" s="242"/>
      <c r="AC1048444" s="242"/>
      <c r="AD1048444" s="242"/>
      <c r="AE1048444" s="242"/>
      <c r="AF1048444" s="242"/>
      <c r="AG1048444" s="242"/>
      <c r="AH1048444" s="242"/>
      <c r="AI1048444" s="242"/>
      <c r="AJ1048444" s="242"/>
      <c r="AK1048444" s="242"/>
      <c r="AL1048444" s="242"/>
      <c r="AM1048444" s="242"/>
      <c r="AN1048444" s="242"/>
      <c r="AO1048444" s="242"/>
      <c r="AP1048444" s="242"/>
      <c r="AQ1048444" s="242"/>
      <c r="AR1048444" s="242"/>
      <c r="AS1048444" s="242"/>
      <c r="AT1048444" s="242"/>
      <c r="AU1048444" s="242"/>
      <c r="AV1048444" s="242"/>
      <c r="AW1048444" s="242"/>
      <c r="AX1048444" s="242"/>
      <c r="AY1048444" s="242"/>
      <c r="AZ1048444" s="242"/>
      <c r="BA1048444" s="242"/>
      <c r="BB1048444" s="242"/>
      <c r="BC1048444" s="242"/>
      <c r="BD1048444" s="242"/>
      <c r="BE1048444" s="242"/>
      <c r="BF1048444" s="242"/>
      <c r="BG1048444" s="242"/>
      <c r="BH1048444" s="242"/>
      <c r="BI1048444" s="242"/>
      <c r="BJ1048444" s="242"/>
      <c r="BK1048444" s="242"/>
      <c r="BL1048444" s="242"/>
      <c r="BM1048444" s="242"/>
      <c r="BN1048444" s="242"/>
      <c r="BO1048444" s="242"/>
      <c r="BP1048444" s="242"/>
      <c r="BQ1048444" s="242"/>
      <c r="BR1048444" s="242"/>
      <c r="BS1048444" s="242"/>
      <c r="BT1048444" s="242"/>
      <c r="BU1048444" s="242"/>
      <c r="BV1048444" s="242"/>
      <c r="BW1048444" s="242"/>
      <c r="BX1048444" s="242"/>
      <c r="BY1048444" s="242"/>
      <c r="BZ1048444" s="242"/>
      <c r="CA1048444" s="242"/>
      <c r="CB1048444" s="242"/>
      <c r="CC1048444" s="242"/>
      <c r="CD1048444" s="242"/>
      <c r="CE1048444" s="242"/>
      <c r="CF1048444" s="242"/>
      <c r="CG1048444" s="242"/>
      <c r="CH1048444" s="242"/>
      <c r="CI1048444" s="242"/>
      <c r="CJ1048444" s="242"/>
      <c r="CK1048444" s="242"/>
      <c r="CL1048444" s="242"/>
      <c r="CM1048444" s="242"/>
      <c r="CN1048444" s="242"/>
      <c r="CO1048444" s="242"/>
      <c r="CP1048444" s="242"/>
      <c r="CQ1048444" s="242"/>
      <c r="CR1048444" s="242"/>
      <c r="CS1048444" s="242"/>
      <c r="CT1048444" s="242"/>
      <c r="CU1048444" s="242"/>
      <c r="CV1048444" s="242"/>
      <c r="CW1048444" s="242"/>
      <c r="CX1048444" s="242"/>
      <c r="CY1048444" s="242"/>
      <c r="CZ1048444" s="242"/>
      <c r="DA1048444" s="242"/>
      <c r="DB1048444" s="242"/>
      <c r="DC1048444" s="242"/>
      <c r="DD1048444" s="242"/>
      <c r="DE1048444" s="242"/>
      <c r="DF1048444" s="242"/>
      <c r="DG1048444" s="242"/>
      <c r="DH1048444" s="242"/>
      <c r="DI1048444" s="242"/>
      <c r="DJ1048444" s="242"/>
      <c r="DK1048444" s="242"/>
      <c r="DL1048444" s="242"/>
      <c r="DM1048444" s="242"/>
      <c r="DN1048444" s="242"/>
      <c r="DO1048444" s="242"/>
      <c r="DP1048444" s="242"/>
      <c r="DQ1048444" s="242"/>
      <c r="DR1048444" s="242"/>
      <c r="DS1048444" s="242"/>
      <c r="DT1048444" s="242"/>
      <c r="DU1048444" s="242"/>
      <c r="DV1048444" s="242"/>
      <c r="DW1048444" s="242"/>
      <c r="DX1048444" s="242"/>
      <c r="DY1048444" s="242"/>
      <c r="DZ1048444" s="242"/>
      <c r="EA1048444" s="242"/>
      <c r="EB1048444" s="242"/>
      <c r="EC1048444" s="242"/>
      <c r="ED1048444" s="242"/>
      <c r="EE1048444" s="242"/>
      <c r="EF1048444" s="242"/>
      <c r="EG1048444" s="242"/>
      <c r="EH1048444" s="242"/>
      <c r="EI1048444" s="242"/>
      <c r="EJ1048444" s="242"/>
      <c r="EK1048444" s="242"/>
      <c r="EL1048444" s="242"/>
      <c r="EM1048444" s="242"/>
      <c r="EN1048444" s="242"/>
      <c r="EO1048444" s="242"/>
      <c r="EP1048444" s="242"/>
      <c r="EQ1048444" s="242"/>
      <c r="ER1048444" s="242"/>
      <c r="ES1048444" s="242"/>
      <c r="ET1048444" s="242"/>
      <c r="EU1048444" s="242"/>
      <c r="EV1048444" s="242"/>
      <c r="EW1048444" s="242"/>
      <c r="EX1048444" s="242"/>
      <c r="EY1048444" s="242"/>
      <c r="EZ1048444" s="242"/>
      <c r="FA1048444" s="242"/>
      <c r="FB1048444" s="242"/>
      <c r="FC1048444" s="242"/>
      <c r="FD1048444" s="242"/>
      <c r="FE1048444" s="242"/>
      <c r="FF1048444" s="242"/>
      <c r="FG1048444" s="242"/>
      <c r="FH1048444" s="242"/>
      <c r="FI1048444" s="242"/>
      <c r="FJ1048444" s="242"/>
      <c r="FK1048444" s="242"/>
      <c r="FL1048444" s="242"/>
      <c r="FM1048444" s="242"/>
      <c r="FN1048444" s="242"/>
      <c r="FO1048444" s="242"/>
      <c r="FP1048444" s="242"/>
      <c r="FQ1048444" s="242"/>
      <c r="FR1048444" s="242"/>
      <c r="FS1048444" s="242"/>
      <c r="FT1048444" s="242"/>
      <c r="FU1048444" s="242"/>
      <c r="FV1048444" s="242"/>
      <c r="FW1048444" s="242"/>
      <c r="FX1048444" s="242"/>
      <c r="FY1048444" s="242"/>
      <c r="FZ1048444" s="242"/>
      <c r="GA1048444" s="242"/>
      <c r="GB1048444" s="242"/>
      <c r="GC1048444" s="242"/>
      <c r="GD1048444" s="242"/>
      <c r="GE1048444" s="242"/>
      <c r="GF1048444" s="242"/>
      <c r="GG1048444" s="242"/>
      <c r="GH1048444" s="242"/>
      <c r="GI1048444" s="242"/>
      <c r="GJ1048444" s="242"/>
      <c r="GK1048444" s="242"/>
      <c r="GL1048444" s="242"/>
      <c r="GM1048444" s="242"/>
      <c r="GN1048444" s="242"/>
      <c r="GO1048444" s="242"/>
      <c r="GP1048444" s="242"/>
      <c r="GQ1048444" s="242"/>
      <c r="GR1048444" s="242"/>
      <c r="GS1048444" s="242"/>
      <c r="GT1048444" s="242"/>
      <c r="GU1048444" s="242"/>
      <c r="GV1048444" s="242"/>
      <c r="GW1048444" s="242"/>
      <c r="GX1048444" s="242"/>
      <c r="GY1048444" s="242"/>
      <c r="GZ1048444" s="242"/>
      <c r="HA1048444" s="242"/>
      <c r="HB1048444" s="242"/>
      <c r="HC1048444" s="242"/>
      <c r="HD1048444" s="242"/>
      <c r="HE1048444" s="242"/>
      <c r="HF1048444" s="242"/>
      <c r="HG1048444" s="242"/>
      <c r="HH1048444" s="242"/>
      <c r="HI1048444" s="242"/>
      <c r="HJ1048444" s="242"/>
      <c r="HK1048444" s="242"/>
      <c r="HL1048444" s="242"/>
      <c r="HM1048444" s="242"/>
      <c r="HN1048444" s="242"/>
      <c r="HO1048444" s="242"/>
      <c r="HP1048444" s="242"/>
      <c r="HQ1048444" s="242"/>
      <c r="HR1048444" s="242"/>
      <c r="HS1048444" s="242"/>
      <c r="HT1048444" s="242"/>
      <c r="HU1048444" s="242"/>
      <c r="HV1048444" s="242"/>
      <c r="HW1048444" s="242"/>
      <c r="HX1048444" s="242"/>
      <c r="HY1048444" s="242"/>
      <c r="HZ1048444" s="242"/>
      <c r="IA1048444" s="242"/>
      <c r="IB1048444" s="242"/>
      <c r="IC1048444" s="242"/>
      <c r="ID1048444" s="242"/>
      <c r="IE1048444" s="242"/>
      <c r="IF1048444" s="242"/>
      <c r="IG1048444" s="242"/>
      <c r="IH1048444" s="242"/>
      <c r="II1048444" s="242"/>
      <c r="IJ1048444" s="242"/>
      <c r="IK1048444" s="242"/>
      <c r="IL1048444" s="242"/>
      <c r="IM1048444" s="242"/>
      <c r="IN1048444" s="242"/>
      <c r="IO1048444" s="242"/>
      <c r="IP1048444" s="242"/>
      <c r="IQ1048444" s="242"/>
    </row>
    <row r="1048445" spans="1:251" s="243" customFormat="1" ht="12" customHeight="1">
      <c r="A1048445" s="242"/>
      <c r="B1048445" s="242"/>
      <c r="C1048445" s="242"/>
      <c r="D1048445" s="242"/>
      <c r="E1048445" s="242"/>
      <c r="F1048445" s="242"/>
      <c r="G1048445" s="242"/>
      <c r="H1048445" s="242"/>
      <c r="I1048445" s="242"/>
      <c r="J1048445" s="242"/>
      <c r="K1048445" s="242"/>
      <c r="L1048445" s="242"/>
      <c r="M1048445" s="242"/>
      <c r="N1048445" s="242"/>
      <c r="O1048445" s="242"/>
      <c r="P1048445" s="242"/>
      <c r="Q1048445" s="242"/>
      <c r="R1048445" s="242"/>
      <c r="S1048445" s="242"/>
      <c r="T1048445" s="242"/>
      <c r="U1048445" s="242"/>
      <c r="V1048445" s="242"/>
      <c r="W1048445" s="242"/>
      <c r="X1048445" s="242"/>
      <c r="Y1048445" s="242"/>
      <c r="Z1048445" s="242"/>
      <c r="AA1048445" s="242"/>
      <c r="AB1048445" s="242"/>
      <c r="AC1048445" s="242"/>
      <c r="AD1048445" s="242"/>
      <c r="AE1048445" s="242"/>
      <c r="AF1048445" s="242"/>
      <c r="AG1048445" s="242"/>
      <c r="AH1048445" s="242"/>
      <c r="AI1048445" s="242"/>
      <c r="AJ1048445" s="242"/>
      <c r="AK1048445" s="242"/>
      <c r="AL1048445" s="242"/>
      <c r="AM1048445" s="242"/>
      <c r="AN1048445" s="242"/>
      <c r="AO1048445" s="242"/>
      <c r="AP1048445" s="242"/>
      <c r="AQ1048445" s="242"/>
      <c r="AR1048445" s="242"/>
      <c r="AS1048445" s="242"/>
      <c r="AT1048445" s="242"/>
      <c r="AU1048445" s="242"/>
      <c r="AV1048445" s="242"/>
      <c r="AW1048445" s="242"/>
      <c r="AX1048445" s="242"/>
      <c r="AY1048445" s="242"/>
      <c r="AZ1048445" s="242"/>
      <c r="BA1048445" s="242"/>
      <c r="BB1048445" s="242"/>
      <c r="BC1048445" s="242"/>
      <c r="BD1048445" s="242"/>
      <c r="BE1048445" s="242"/>
      <c r="BF1048445" s="242"/>
      <c r="BG1048445" s="242"/>
      <c r="BH1048445" s="242"/>
      <c r="BI1048445" s="242"/>
      <c r="BJ1048445" s="242"/>
      <c r="BK1048445" s="242"/>
      <c r="BL1048445" s="242"/>
      <c r="BM1048445" s="242"/>
      <c r="BN1048445" s="242"/>
      <c r="BO1048445" s="242"/>
      <c r="BP1048445" s="242"/>
      <c r="BQ1048445" s="242"/>
      <c r="BR1048445" s="242"/>
      <c r="BS1048445" s="242"/>
      <c r="BT1048445" s="242"/>
      <c r="BU1048445" s="242"/>
      <c r="BV1048445" s="242"/>
      <c r="BW1048445" s="242"/>
      <c r="BX1048445" s="242"/>
      <c r="BY1048445" s="242"/>
      <c r="BZ1048445" s="242"/>
      <c r="CA1048445" s="242"/>
      <c r="CB1048445" s="242"/>
      <c r="CC1048445" s="242"/>
      <c r="CD1048445" s="242"/>
      <c r="CE1048445" s="242"/>
      <c r="CF1048445" s="242"/>
      <c r="CG1048445" s="242"/>
      <c r="CH1048445" s="242"/>
      <c r="CI1048445" s="242"/>
      <c r="CJ1048445" s="242"/>
      <c r="CK1048445" s="242"/>
      <c r="CL1048445" s="242"/>
      <c r="CM1048445" s="242"/>
      <c r="CN1048445" s="242"/>
      <c r="CO1048445" s="242"/>
      <c r="CP1048445" s="242"/>
      <c r="CQ1048445" s="242"/>
      <c r="CR1048445" s="242"/>
      <c r="CS1048445" s="242"/>
      <c r="CT1048445" s="242"/>
      <c r="CU1048445" s="242"/>
      <c r="CV1048445" s="242"/>
      <c r="CW1048445" s="242"/>
      <c r="CX1048445" s="242"/>
      <c r="CY1048445" s="242"/>
      <c r="CZ1048445" s="242"/>
      <c r="DA1048445" s="242"/>
      <c r="DB1048445" s="242"/>
      <c r="DC1048445" s="242"/>
      <c r="DD1048445" s="242"/>
      <c r="DE1048445" s="242"/>
      <c r="DF1048445" s="242"/>
      <c r="DG1048445" s="242"/>
      <c r="DH1048445" s="242"/>
      <c r="DI1048445" s="242"/>
      <c r="DJ1048445" s="242"/>
      <c r="DK1048445" s="242"/>
      <c r="DL1048445" s="242"/>
      <c r="DM1048445" s="242"/>
      <c r="DN1048445" s="242"/>
      <c r="DO1048445" s="242"/>
      <c r="DP1048445" s="242"/>
      <c r="DQ1048445" s="242"/>
      <c r="DR1048445" s="242"/>
      <c r="DS1048445" s="242"/>
      <c r="DT1048445" s="242"/>
      <c r="DU1048445" s="242"/>
      <c r="DV1048445" s="242"/>
      <c r="DW1048445" s="242"/>
      <c r="DX1048445" s="242"/>
      <c r="DY1048445" s="242"/>
      <c r="DZ1048445" s="242"/>
      <c r="EA1048445" s="242"/>
      <c r="EB1048445" s="242"/>
      <c r="EC1048445" s="242"/>
      <c r="ED1048445" s="242"/>
      <c r="EE1048445" s="242"/>
      <c r="EF1048445" s="242"/>
      <c r="EG1048445" s="242"/>
      <c r="EH1048445" s="242"/>
      <c r="EI1048445" s="242"/>
      <c r="EJ1048445" s="242"/>
      <c r="EK1048445" s="242"/>
      <c r="EL1048445" s="242"/>
      <c r="EM1048445" s="242"/>
      <c r="EN1048445" s="242"/>
      <c r="EO1048445" s="242"/>
      <c r="EP1048445" s="242"/>
      <c r="EQ1048445" s="242"/>
      <c r="ER1048445" s="242"/>
      <c r="ES1048445" s="242"/>
      <c r="ET1048445" s="242"/>
      <c r="EU1048445" s="242"/>
      <c r="EV1048445" s="242"/>
      <c r="EW1048445" s="242"/>
      <c r="EX1048445" s="242"/>
      <c r="EY1048445" s="242"/>
      <c r="EZ1048445" s="242"/>
      <c r="FA1048445" s="242"/>
      <c r="FB1048445" s="242"/>
      <c r="FC1048445" s="242"/>
      <c r="FD1048445" s="242"/>
      <c r="FE1048445" s="242"/>
      <c r="FF1048445" s="242"/>
      <c r="FG1048445" s="242"/>
      <c r="FH1048445" s="242"/>
      <c r="FI1048445" s="242"/>
      <c r="FJ1048445" s="242"/>
      <c r="FK1048445" s="242"/>
      <c r="FL1048445" s="242"/>
      <c r="FM1048445" s="242"/>
      <c r="FN1048445" s="242"/>
      <c r="FO1048445" s="242"/>
      <c r="FP1048445" s="242"/>
      <c r="FQ1048445" s="242"/>
      <c r="FR1048445" s="242"/>
      <c r="FS1048445" s="242"/>
      <c r="FT1048445" s="242"/>
      <c r="FU1048445" s="242"/>
      <c r="FV1048445" s="242"/>
      <c r="FW1048445" s="242"/>
      <c r="FX1048445" s="242"/>
      <c r="FY1048445" s="242"/>
      <c r="FZ1048445" s="242"/>
      <c r="GA1048445" s="242"/>
      <c r="GB1048445" s="242"/>
      <c r="GC1048445" s="242"/>
      <c r="GD1048445" s="242"/>
      <c r="GE1048445" s="242"/>
      <c r="GF1048445" s="242"/>
      <c r="GG1048445" s="242"/>
      <c r="GH1048445" s="242"/>
      <c r="GI1048445" s="242"/>
      <c r="GJ1048445" s="242"/>
      <c r="GK1048445" s="242"/>
      <c r="GL1048445" s="242"/>
      <c r="GM1048445" s="242"/>
      <c r="GN1048445" s="242"/>
      <c r="GO1048445" s="242"/>
      <c r="GP1048445" s="242"/>
      <c r="GQ1048445" s="242"/>
      <c r="GR1048445" s="242"/>
      <c r="GS1048445" s="242"/>
      <c r="GT1048445" s="242"/>
      <c r="GU1048445" s="242"/>
      <c r="GV1048445" s="242"/>
      <c r="GW1048445" s="242"/>
      <c r="GX1048445" s="242"/>
      <c r="GY1048445" s="242"/>
      <c r="GZ1048445" s="242"/>
      <c r="HA1048445" s="242"/>
      <c r="HB1048445" s="242"/>
      <c r="HC1048445" s="242"/>
      <c r="HD1048445" s="242"/>
      <c r="HE1048445" s="242"/>
      <c r="HF1048445" s="242"/>
      <c r="HG1048445" s="242"/>
      <c r="HH1048445" s="242"/>
      <c r="HI1048445" s="242"/>
      <c r="HJ1048445" s="242"/>
      <c r="HK1048445" s="242"/>
      <c r="HL1048445" s="242"/>
      <c r="HM1048445" s="242"/>
      <c r="HN1048445" s="242"/>
      <c r="HO1048445" s="242"/>
      <c r="HP1048445" s="242"/>
      <c r="HQ1048445" s="242"/>
      <c r="HR1048445" s="242"/>
      <c r="HS1048445" s="242"/>
      <c r="HT1048445" s="242"/>
      <c r="HU1048445" s="242"/>
      <c r="HV1048445" s="242"/>
      <c r="HW1048445" s="242"/>
      <c r="HX1048445" s="242"/>
      <c r="HY1048445" s="242"/>
      <c r="HZ1048445" s="242"/>
      <c r="IA1048445" s="242"/>
      <c r="IB1048445" s="242"/>
      <c r="IC1048445" s="242"/>
      <c r="ID1048445" s="242"/>
      <c r="IE1048445" s="242"/>
      <c r="IF1048445" s="242"/>
      <c r="IG1048445" s="242"/>
      <c r="IH1048445" s="242"/>
      <c r="II1048445" s="242"/>
      <c r="IJ1048445" s="242"/>
      <c r="IK1048445" s="242"/>
      <c r="IL1048445" s="242"/>
      <c r="IM1048445" s="242"/>
      <c r="IN1048445" s="242"/>
      <c r="IO1048445" s="242"/>
      <c r="IP1048445" s="242"/>
      <c r="IQ1048445" s="242"/>
    </row>
    <row r="1048446" spans="1:251" s="243" customFormat="1" ht="12" customHeight="1">
      <c r="A1048446" s="242"/>
      <c r="B1048446" s="242"/>
      <c r="C1048446" s="242"/>
      <c r="D1048446" s="242"/>
      <c r="E1048446" s="242"/>
      <c r="F1048446" s="242"/>
      <c r="G1048446" s="242"/>
      <c r="H1048446" s="242"/>
      <c r="I1048446" s="242"/>
      <c r="J1048446" s="242"/>
      <c r="K1048446" s="242"/>
      <c r="L1048446" s="242"/>
      <c r="M1048446" s="242"/>
      <c r="N1048446" s="242"/>
      <c r="O1048446" s="242"/>
      <c r="P1048446" s="242"/>
      <c r="Q1048446" s="242"/>
      <c r="R1048446" s="242"/>
      <c r="S1048446" s="242"/>
      <c r="T1048446" s="242"/>
      <c r="U1048446" s="242"/>
      <c r="V1048446" s="242"/>
      <c r="W1048446" s="242"/>
      <c r="X1048446" s="242"/>
      <c r="Y1048446" s="242"/>
      <c r="Z1048446" s="242"/>
      <c r="AA1048446" s="242"/>
      <c r="AB1048446" s="242"/>
      <c r="AC1048446" s="242"/>
      <c r="AD1048446" s="242"/>
      <c r="AE1048446" s="242"/>
      <c r="AF1048446" s="242"/>
      <c r="AG1048446" s="242"/>
      <c r="AH1048446" s="242"/>
      <c r="AI1048446" s="242"/>
      <c r="AJ1048446" s="242"/>
      <c r="AK1048446" s="242"/>
      <c r="AL1048446" s="242"/>
      <c r="AM1048446" s="242"/>
      <c r="AN1048446" s="242"/>
      <c r="AO1048446" s="242"/>
      <c r="AP1048446" s="242"/>
      <c r="AQ1048446" s="242"/>
      <c r="AR1048446" s="242"/>
      <c r="AS1048446" s="242"/>
      <c r="AT1048446" s="242"/>
      <c r="AU1048446" s="242"/>
      <c r="AV1048446" s="242"/>
      <c r="AW1048446" s="242"/>
      <c r="AX1048446" s="242"/>
      <c r="AY1048446" s="242"/>
      <c r="AZ1048446" s="242"/>
      <c r="BA1048446" s="242"/>
      <c r="BB1048446" s="242"/>
      <c r="BC1048446" s="242"/>
      <c r="BD1048446" s="242"/>
      <c r="BE1048446" s="242"/>
      <c r="BF1048446" s="242"/>
      <c r="BG1048446" s="242"/>
      <c r="BH1048446" s="242"/>
      <c r="BI1048446" s="242"/>
      <c r="BJ1048446" s="242"/>
      <c r="BK1048446" s="242"/>
      <c r="BL1048446" s="242"/>
      <c r="BM1048446" s="242"/>
      <c r="BN1048446" s="242"/>
      <c r="BO1048446" s="242"/>
      <c r="BP1048446" s="242"/>
      <c r="BQ1048446" s="242"/>
      <c r="BR1048446" s="242"/>
      <c r="BS1048446" s="242"/>
      <c r="BT1048446" s="242"/>
      <c r="BU1048446" s="242"/>
      <c r="BV1048446" s="242"/>
      <c r="BW1048446" s="242"/>
      <c r="BX1048446" s="242"/>
      <c r="BY1048446" s="242"/>
      <c r="BZ1048446" s="242"/>
      <c r="CA1048446" s="242"/>
      <c r="CB1048446" s="242"/>
      <c r="CC1048446" s="242"/>
      <c r="CD1048446" s="242"/>
      <c r="CE1048446" s="242"/>
      <c r="CF1048446" s="242"/>
      <c r="CG1048446" s="242"/>
      <c r="CH1048446" s="242"/>
      <c r="CI1048446" s="242"/>
      <c r="CJ1048446" s="242"/>
      <c r="CK1048446" s="242"/>
      <c r="CL1048446" s="242"/>
      <c r="CM1048446" s="242"/>
      <c r="CN1048446" s="242"/>
      <c r="CO1048446" s="242"/>
      <c r="CP1048446" s="242"/>
      <c r="CQ1048446" s="242"/>
      <c r="CR1048446" s="242"/>
      <c r="CS1048446" s="242"/>
      <c r="CT1048446" s="242"/>
      <c r="CU1048446" s="242"/>
      <c r="CV1048446" s="242"/>
      <c r="CW1048446" s="242"/>
      <c r="CX1048446" s="242"/>
      <c r="CY1048446" s="242"/>
      <c r="CZ1048446" s="242"/>
      <c r="DA1048446" s="242"/>
      <c r="DB1048446" s="242"/>
      <c r="DC1048446" s="242"/>
      <c r="DD1048446" s="242"/>
      <c r="DE1048446" s="242"/>
      <c r="DF1048446" s="242"/>
      <c r="DG1048446" s="242"/>
      <c r="DH1048446" s="242"/>
      <c r="DI1048446" s="242"/>
      <c r="DJ1048446" s="242"/>
      <c r="DK1048446" s="242"/>
      <c r="DL1048446" s="242"/>
      <c r="DM1048446" s="242"/>
      <c r="DN1048446" s="242"/>
      <c r="DO1048446" s="242"/>
      <c r="DP1048446" s="242"/>
      <c r="DQ1048446" s="242"/>
      <c r="DR1048446" s="242"/>
      <c r="DS1048446" s="242"/>
      <c r="DT1048446" s="242"/>
      <c r="DU1048446" s="242"/>
      <c r="DV1048446" s="242"/>
      <c r="DW1048446" s="242"/>
      <c r="DX1048446" s="242"/>
      <c r="DY1048446" s="242"/>
      <c r="DZ1048446" s="242"/>
      <c r="EA1048446" s="242"/>
      <c r="EB1048446" s="242"/>
      <c r="EC1048446" s="242"/>
      <c r="ED1048446" s="242"/>
      <c r="EE1048446" s="242"/>
      <c r="EF1048446" s="242"/>
      <c r="EG1048446" s="242"/>
      <c r="EH1048446" s="242"/>
      <c r="EI1048446" s="242"/>
      <c r="EJ1048446" s="242"/>
      <c r="EK1048446" s="242"/>
      <c r="EL1048446" s="242"/>
      <c r="EM1048446" s="242"/>
      <c r="EN1048446" s="242"/>
      <c r="EO1048446" s="242"/>
      <c r="EP1048446" s="242"/>
      <c r="EQ1048446" s="242"/>
      <c r="ER1048446" s="242"/>
      <c r="ES1048446" s="242"/>
      <c r="ET1048446" s="242"/>
      <c r="EU1048446" s="242"/>
      <c r="EV1048446" s="242"/>
      <c r="EW1048446" s="242"/>
      <c r="EX1048446" s="242"/>
      <c r="EY1048446" s="242"/>
      <c r="EZ1048446" s="242"/>
      <c r="FA1048446" s="242"/>
      <c r="FB1048446" s="242"/>
      <c r="FC1048446" s="242"/>
      <c r="FD1048446" s="242"/>
      <c r="FE1048446" s="242"/>
      <c r="FF1048446" s="242"/>
      <c r="FG1048446" s="242"/>
      <c r="FH1048446" s="242"/>
      <c r="FI1048446" s="242"/>
      <c r="FJ1048446" s="242"/>
      <c r="FK1048446" s="242"/>
      <c r="FL1048446" s="242"/>
      <c r="FM1048446" s="242"/>
      <c r="FN1048446" s="242"/>
      <c r="FO1048446" s="242"/>
      <c r="FP1048446" s="242"/>
      <c r="FQ1048446" s="242"/>
      <c r="FR1048446" s="242"/>
      <c r="FS1048446" s="242"/>
      <c r="FT1048446" s="242"/>
      <c r="FU1048446" s="242"/>
      <c r="FV1048446" s="242"/>
      <c r="FW1048446" s="242"/>
      <c r="FX1048446" s="242"/>
      <c r="FY1048446" s="242"/>
      <c r="FZ1048446" s="242"/>
      <c r="GA1048446" s="242"/>
      <c r="GB1048446" s="242"/>
      <c r="GC1048446" s="242"/>
      <c r="GD1048446" s="242"/>
      <c r="GE1048446" s="242"/>
      <c r="GF1048446" s="242"/>
      <c r="GG1048446" s="242"/>
      <c r="GH1048446" s="242"/>
      <c r="GI1048446" s="242"/>
      <c r="GJ1048446" s="242"/>
      <c r="GK1048446" s="242"/>
      <c r="GL1048446" s="242"/>
      <c r="GM1048446" s="242"/>
      <c r="GN1048446" s="242"/>
      <c r="GO1048446" s="242"/>
      <c r="GP1048446" s="242"/>
      <c r="GQ1048446" s="242"/>
      <c r="GR1048446" s="242"/>
      <c r="GS1048446" s="242"/>
      <c r="GT1048446" s="242"/>
      <c r="GU1048446" s="242"/>
      <c r="GV1048446" s="242"/>
      <c r="GW1048446" s="242"/>
      <c r="GX1048446" s="242"/>
      <c r="GY1048446" s="242"/>
      <c r="GZ1048446" s="242"/>
      <c r="HA1048446" s="242"/>
      <c r="HB1048446" s="242"/>
      <c r="HC1048446" s="242"/>
      <c r="HD1048446" s="242"/>
      <c r="HE1048446" s="242"/>
      <c r="HF1048446" s="242"/>
      <c r="HG1048446" s="242"/>
      <c r="HH1048446" s="242"/>
      <c r="HI1048446" s="242"/>
      <c r="HJ1048446" s="242"/>
      <c r="HK1048446" s="242"/>
      <c r="HL1048446" s="242"/>
      <c r="HM1048446" s="242"/>
      <c r="HN1048446" s="242"/>
      <c r="HO1048446" s="242"/>
      <c r="HP1048446" s="242"/>
      <c r="HQ1048446" s="242"/>
      <c r="HR1048446" s="242"/>
      <c r="HS1048446" s="242"/>
      <c r="HT1048446" s="242"/>
      <c r="HU1048446" s="242"/>
      <c r="HV1048446" s="242"/>
      <c r="HW1048446" s="242"/>
      <c r="HX1048446" s="242"/>
      <c r="HY1048446" s="242"/>
      <c r="HZ1048446" s="242"/>
      <c r="IA1048446" s="242"/>
      <c r="IB1048446" s="242"/>
      <c r="IC1048446" s="242"/>
      <c r="ID1048446" s="242"/>
      <c r="IE1048446" s="242"/>
      <c r="IF1048446" s="242"/>
      <c r="IG1048446" s="242"/>
      <c r="IH1048446" s="242"/>
      <c r="II1048446" s="242"/>
      <c r="IJ1048446" s="242"/>
      <c r="IK1048446" s="242"/>
      <c r="IL1048446" s="242"/>
      <c r="IM1048446" s="242"/>
      <c r="IN1048446" s="242"/>
      <c r="IO1048446" s="242"/>
      <c r="IP1048446" s="242"/>
      <c r="IQ1048446" s="242"/>
    </row>
    <row r="1048447" spans="1:251" s="243" customFormat="1" ht="12" customHeight="1">
      <c r="A1048447" s="242"/>
      <c r="B1048447" s="242"/>
      <c r="C1048447" s="242"/>
      <c r="D1048447" s="242"/>
      <c r="E1048447" s="242"/>
      <c r="F1048447" s="242"/>
      <c r="G1048447" s="242"/>
      <c r="H1048447" s="242"/>
      <c r="I1048447" s="242"/>
      <c r="J1048447" s="242"/>
      <c r="K1048447" s="242"/>
      <c r="L1048447" s="242"/>
      <c r="M1048447" s="242"/>
      <c r="N1048447" s="242"/>
      <c r="O1048447" s="242"/>
      <c r="P1048447" s="242"/>
      <c r="Q1048447" s="242"/>
      <c r="R1048447" s="242"/>
      <c r="S1048447" s="242"/>
      <c r="T1048447" s="242"/>
      <c r="U1048447" s="242"/>
      <c r="V1048447" s="242"/>
      <c r="W1048447" s="242"/>
      <c r="X1048447" s="242"/>
      <c r="Y1048447" s="242"/>
      <c r="Z1048447" s="242"/>
      <c r="AA1048447" s="242"/>
      <c r="AB1048447" s="242"/>
      <c r="AC1048447" s="242"/>
      <c r="AD1048447" s="242"/>
      <c r="AE1048447" s="242"/>
      <c r="AF1048447" s="242"/>
      <c r="AG1048447" s="242"/>
      <c r="AH1048447" s="242"/>
      <c r="AI1048447" s="242"/>
      <c r="AJ1048447" s="242"/>
      <c r="AK1048447" s="242"/>
      <c r="AL1048447" s="242"/>
      <c r="AM1048447" s="242"/>
      <c r="AN1048447" s="242"/>
      <c r="AO1048447" s="242"/>
      <c r="AP1048447" s="242"/>
      <c r="AQ1048447" s="242"/>
      <c r="AR1048447" s="242"/>
      <c r="AS1048447" s="242"/>
      <c r="AT1048447" s="242"/>
      <c r="AU1048447" s="242"/>
      <c r="AV1048447" s="242"/>
      <c r="AW1048447" s="242"/>
      <c r="AX1048447" s="242"/>
      <c r="AY1048447" s="242"/>
      <c r="AZ1048447" s="242"/>
      <c r="BA1048447" s="242"/>
      <c r="BB1048447" s="242"/>
      <c r="BC1048447" s="242"/>
      <c r="BD1048447" s="242"/>
      <c r="BE1048447" s="242"/>
      <c r="BF1048447" s="242"/>
      <c r="BG1048447" s="242"/>
      <c r="BH1048447" s="242"/>
      <c r="BI1048447" s="242"/>
      <c r="BJ1048447" s="242"/>
      <c r="BK1048447" s="242"/>
      <c r="BL1048447" s="242"/>
      <c r="BM1048447" s="242"/>
      <c r="BN1048447" s="242"/>
      <c r="BO1048447" s="242"/>
      <c r="BP1048447" s="242"/>
      <c r="BQ1048447" s="242"/>
      <c r="BR1048447" s="242"/>
      <c r="BS1048447" s="242"/>
      <c r="BT1048447" s="242"/>
      <c r="BU1048447" s="242"/>
      <c r="BV1048447" s="242"/>
      <c r="BW1048447" s="242"/>
      <c r="BX1048447" s="242"/>
      <c r="BY1048447" s="242"/>
      <c r="BZ1048447" s="242"/>
      <c r="CA1048447" s="242"/>
      <c r="CB1048447" s="242"/>
      <c r="CC1048447" s="242"/>
      <c r="CD1048447" s="242"/>
      <c r="CE1048447" s="242"/>
      <c r="CF1048447" s="242"/>
      <c r="CG1048447" s="242"/>
      <c r="CH1048447" s="242"/>
      <c r="CI1048447" s="242"/>
      <c r="CJ1048447" s="242"/>
      <c r="CK1048447" s="242"/>
      <c r="CL1048447" s="242"/>
      <c r="CM1048447" s="242"/>
      <c r="CN1048447" s="242"/>
      <c r="CO1048447" s="242"/>
      <c r="CP1048447" s="242"/>
      <c r="CQ1048447" s="242"/>
      <c r="CR1048447" s="242"/>
      <c r="CS1048447" s="242"/>
      <c r="CT1048447" s="242"/>
      <c r="CU1048447" s="242"/>
      <c r="CV1048447" s="242"/>
      <c r="CW1048447" s="242"/>
      <c r="CX1048447" s="242"/>
      <c r="CY1048447" s="242"/>
      <c r="CZ1048447" s="242"/>
      <c r="DA1048447" s="242"/>
      <c r="DB1048447" s="242"/>
      <c r="DC1048447" s="242"/>
      <c r="DD1048447" s="242"/>
      <c r="DE1048447" s="242"/>
      <c r="DF1048447" s="242"/>
      <c r="DG1048447" s="242"/>
      <c r="DH1048447" s="242"/>
      <c r="DI1048447" s="242"/>
      <c r="DJ1048447" s="242"/>
      <c r="DK1048447" s="242"/>
      <c r="DL1048447" s="242"/>
      <c r="DM1048447" s="242"/>
      <c r="DN1048447" s="242"/>
      <c r="DO1048447" s="242"/>
      <c r="DP1048447" s="242"/>
      <c r="DQ1048447" s="242"/>
      <c r="DR1048447" s="242"/>
      <c r="DS1048447" s="242"/>
      <c r="DT1048447" s="242"/>
      <c r="DU1048447" s="242"/>
      <c r="DV1048447" s="242"/>
      <c r="DW1048447" s="242"/>
      <c r="DX1048447" s="242"/>
      <c r="DY1048447" s="242"/>
      <c r="DZ1048447" s="242"/>
      <c r="EA1048447" s="242"/>
      <c r="EB1048447" s="242"/>
      <c r="EC1048447" s="242"/>
      <c r="ED1048447" s="242"/>
      <c r="EE1048447" s="242"/>
      <c r="EF1048447" s="242"/>
      <c r="EG1048447" s="242"/>
      <c r="EH1048447" s="242"/>
      <c r="EI1048447" s="242"/>
      <c r="EJ1048447" s="242"/>
      <c r="EK1048447" s="242"/>
      <c r="EL1048447" s="242"/>
      <c r="EM1048447" s="242"/>
      <c r="EN1048447" s="242"/>
      <c r="EO1048447" s="242"/>
      <c r="EP1048447" s="242"/>
      <c r="EQ1048447" s="242"/>
      <c r="ER1048447" s="242"/>
      <c r="ES1048447" s="242"/>
      <c r="ET1048447" s="242"/>
      <c r="EU1048447" s="242"/>
      <c r="EV1048447" s="242"/>
      <c r="EW1048447" s="242"/>
      <c r="EX1048447" s="242"/>
      <c r="EY1048447" s="242"/>
      <c r="EZ1048447" s="242"/>
      <c r="FA1048447" s="242"/>
      <c r="FB1048447" s="242"/>
      <c r="FC1048447" s="242"/>
      <c r="FD1048447" s="242"/>
      <c r="FE1048447" s="242"/>
      <c r="FF1048447" s="242"/>
      <c r="FG1048447" s="242"/>
      <c r="FH1048447" s="242"/>
      <c r="FI1048447" s="242"/>
      <c r="FJ1048447" s="242"/>
      <c r="FK1048447" s="242"/>
      <c r="FL1048447" s="242"/>
      <c r="FM1048447" s="242"/>
      <c r="FN1048447" s="242"/>
      <c r="FO1048447" s="242"/>
      <c r="FP1048447" s="242"/>
      <c r="FQ1048447" s="242"/>
      <c r="FR1048447" s="242"/>
      <c r="FS1048447" s="242"/>
      <c r="FT1048447" s="242"/>
      <c r="FU1048447" s="242"/>
      <c r="FV1048447" s="242"/>
      <c r="FW1048447" s="242"/>
      <c r="FX1048447" s="242"/>
      <c r="FY1048447" s="242"/>
      <c r="FZ1048447" s="242"/>
      <c r="GA1048447" s="242"/>
      <c r="GB1048447" s="242"/>
      <c r="GC1048447" s="242"/>
      <c r="GD1048447" s="242"/>
      <c r="GE1048447" s="242"/>
      <c r="GF1048447" s="242"/>
      <c r="GG1048447" s="242"/>
      <c r="GH1048447" s="242"/>
      <c r="GI1048447" s="242"/>
      <c r="GJ1048447" s="242"/>
      <c r="GK1048447" s="242"/>
      <c r="GL1048447" s="242"/>
      <c r="GM1048447" s="242"/>
      <c r="GN1048447" s="242"/>
      <c r="GO1048447" s="242"/>
      <c r="GP1048447" s="242"/>
      <c r="GQ1048447" s="242"/>
      <c r="GR1048447" s="242"/>
      <c r="GS1048447" s="242"/>
      <c r="GT1048447" s="242"/>
      <c r="GU1048447" s="242"/>
      <c r="GV1048447" s="242"/>
      <c r="GW1048447" s="242"/>
      <c r="GX1048447" s="242"/>
      <c r="GY1048447" s="242"/>
      <c r="GZ1048447" s="242"/>
      <c r="HA1048447" s="242"/>
      <c r="HB1048447" s="242"/>
      <c r="HC1048447" s="242"/>
      <c r="HD1048447" s="242"/>
      <c r="HE1048447" s="242"/>
      <c r="HF1048447" s="242"/>
      <c r="HG1048447" s="242"/>
      <c r="HH1048447" s="242"/>
      <c r="HI1048447" s="242"/>
      <c r="HJ1048447" s="242"/>
      <c r="HK1048447" s="242"/>
      <c r="HL1048447" s="242"/>
      <c r="HM1048447" s="242"/>
      <c r="HN1048447" s="242"/>
      <c r="HO1048447" s="242"/>
      <c r="HP1048447" s="242"/>
      <c r="HQ1048447" s="242"/>
      <c r="HR1048447" s="242"/>
      <c r="HS1048447" s="242"/>
      <c r="HT1048447" s="242"/>
      <c r="HU1048447" s="242"/>
      <c r="HV1048447" s="242"/>
      <c r="HW1048447" s="242"/>
      <c r="HX1048447" s="242"/>
      <c r="HY1048447" s="242"/>
      <c r="HZ1048447" s="242"/>
      <c r="IA1048447" s="242"/>
      <c r="IB1048447" s="242"/>
      <c r="IC1048447" s="242"/>
      <c r="ID1048447" s="242"/>
      <c r="IE1048447" s="242"/>
      <c r="IF1048447" s="242"/>
      <c r="IG1048447" s="242"/>
      <c r="IH1048447" s="242"/>
      <c r="II1048447" s="242"/>
      <c r="IJ1048447" s="242"/>
      <c r="IK1048447" s="242"/>
      <c r="IL1048447" s="242"/>
      <c r="IM1048447" s="242"/>
      <c r="IN1048447" s="242"/>
      <c r="IO1048447" s="242"/>
      <c r="IP1048447" s="242"/>
      <c r="IQ1048447" s="242"/>
    </row>
    <row r="1048448" spans="1:251" s="243" customFormat="1" ht="12" customHeight="1">
      <c r="A1048448" s="242"/>
      <c r="B1048448" s="242"/>
      <c r="C1048448" s="242"/>
      <c r="D1048448" s="242"/>
      <c r="E1048448" s="242"/>
      <c r="F1048448" s="242"/>
      <c r="G1048448" s="242"/>
      <c r="H1048448" s="242"/>
      <c r="I1048448" s="242"/>
      <c r="J1048448" s="242"/>
      <c r="K1048448" s="242"/>
      <c r="L1048448" s="242"/>
      <c r="M1048448" s="242"/>
      <c r="N1048448" s="242"/>
      <c r="O1048448" s="242"/>
      <c r="P1048448" s="242"/>
      <c r="Q1048448" s="242"/>
      <c r="R1048448" s="242"/>
      <c r="S1048448" s="242"/>
      <c r="T1048448" s="242"/>
      <c r="U1048448" s="242"/>
      <c r="V1048448" s="242"/>
      <c r="W1048448" s="242"/>
      <c r="X1048448" s="242"/>
      <c r="Y1048448" s="242"/>
      <c r="Z1048448" s="242"/>
      <c r="AA1048448" s="242"/>
      <c r="AB1048448" s="242"/>
      <c r="AC1048448" s="242"/>
      <c r="AD1048448" s="242"/>
      <c r="AE1048448" s="242"/>
      <c r="AF1048448" s="242"/>
      <c r="AG1048448" s="242"/>
      <c r="AH1048448" s="242"/>
      <c r="AI1048448" s="242"/>
      <c r="AJ1048448" s="242"/>
      <c r="AK1048448" s="242"/>
      <c r="AL1048448" s="242"/>
      <c r="AM1048448" s="242"/>
      <c r="AN1048448" s="242"/>
      <c r="AO1048448" s="242"/>
      <c r="AP1048448" s="242"/>
      <c r="AQ1048448" s="242"/>
      <c r="AR1048448" s="242"/>
      <c r="AS1048448" s="242"/>
      <c r="AT1048448" s="242"/>
      <c r="AU1048448" s="242"/>
      <c r="AV1048448" s="242"/>
      <c r="AW1048448" s="242"/>
      <c r="AX1048448" s="242"/>
      <c r="AY1048448" s="242"/>
      <c r="AZ1048448" s="242"/>
      <c r="BA1048448" s="242"/>
      <c r="BB1048448" s="242"/>
      <c r="BC1048448" s="242"/>
      <c r="BD1048448" s="242"/>
      <c r="BE1048448" s="242"/>
      <c r="BF1048448" s="242"/>
      <c r="BG1048448" s="242"/>
      <c r="BH1048448" s="242"/>
      <c r="BI1048448" s="242"/>
      <c r="BJ1048448" s="242"/>
      <c r="BK1048448" s="242"/>
      <c r="BL1048448" s="242"/>
      <c r="BM1048448" s="242"/>
      <c r="BN1048448" s="242"/>
      <c r="BO1048448" s="242"/>
      <c r="BP1048448" s="242"/>
      <c r="BQ1048448" s="242"/>
      <c r="BR1048448" s="242"/>
      <c r="BS1048448" s="242"/>
      <c r="BT1048448" s="242"/>
      <c r="BU1048448" s="242"/>
      <c r="BV1048448" s="242"/>
      <c r="BW1048448" s="242"/>
      <c r="BX1048448" s="242"/>
      <c r="BY1048448" s="242"/>
      <c r="BZ1048448" s="242"/>
      <c r="CA1048448" s="242"/>
      <c r="CB1048448" s="242"/>
      <c r="CC1048448" s="242"/>
      <c r="CD1048448" s="242"/>
      <c r="CE1048448" s="242"/>
      <c r="CF1048448" s="242"/>
      <c r="CG1048448" s="242"/>
      <c r="CH1048448" s="242"/>
      <c r="CI1048448" s="242"/>
      <c r="CJ1048448" s="242"/>
      <c r="CK1048448" s="242"/>
      <c r="CL1048448" s="242"/>
      <c r="CM1048448" s="242"/>
      <c r="CN1048448" s="242"/>
      <c r="CO1048448" s="242"/>
      <c r="CP1048448" s="242"/>
      <c r="CQ1048448" s="242"/>
      <c r="CR1048448" s="242"/>
      <c r="CS1048448" s="242"/>
      <c r="CT1048448" s="242"/>
      <c r="CU1048448" s="242"/>
      <c r="CV1048448" s="242"/>
      <c r="CW1048448" s="242"/>
      <c r="CX1048448" s="242"/>
      <c r="CY1048448" s="242"/>
      <c r="CZ1048448" s="242"/>
      <c r="DA1048448" s="242"/>
      <c r="DB1048448" s="242"/>
      <c r="DC1048448" s="242"/>
      <c r="DD1048448" s="242"/>
      <c r="DE1048448" s="242"/>
      <c r="DF1048448" s="242"/>
      <c r="DG1048448" s="242"/>
      <c r="DH1048448" s="242"/>
      <c r="DI1048448" s="242"/>
      <c r="DJ1048448" s="242"/>
      <c r="DK1048448" s="242"/>
      <c r="DL1048448" s="242"/>
      <c r="DM1048448" s="242"/>
      <c r="DN1048448" s="242"/>
      <c r="DO1048448" s="242"/>
      <c r="DP1048448" s="242"/>
      <c r="DQ1048448" s="242"/>
      <c r="DR1048448" s="242"/>
      <c r="DS1048448" s="242"/>
      <c r="DT1048448" s="242"/>
      <c r="DU1048448" s="242"/>
      <c r="DV1048448" s="242"/>
      <c r="DW1048448" s="242"/>
      <c r="DX1048448" s="242"/>
      <c r="DY1048448" s="242"/>
      <c r="DZ1048448" s="242"/>
      <c r="EA1048448" s="242"/>
      <c r="EB1048448" s="242"/>
      <c r="EC1048448" s="242"/>
      <c r="ED1048448" s="242"/>
      <c r="EE1048448" s="242"/>
      <c r="EF1048448" s="242"/>
      <c r="EG1048448" s="242"/>
      <c r="EH1048448" s="242"/>
      <c r="EI1048448" s="242"/>
      <c r="EJ1048448" s="242"/>
      <c r="EK1048448" s="242"/>
      <c r="EL1048448" s="242"/>
      <c r="EM1048448" s="242"/>
      <c r="EN1048448" s="242"/>
      <c r="EO1048448" s="242"/>
      <c r="EP1048448" s="242"/>
      <c r="EQ1048448" s="242"/>
      <c r="ER1048448" s="242"/>
      <c r="ES1048448" s="242"/>
      <c r="ET1048448" s="242"/>
      <c r="EU1048448" s="242"/>
      <c r="EV1048448" s="242"/>
      <c r="EW1048448" s="242"/>
      <c r="EX1048448" s="242"/>
      <c r="EY1048448" s="242"/>
      <c r="EZ1048448" s="242"/>
      <c r="FA1048448" s="242"/>
      <c r="FB1048448" s="242"/>
      <c r="FC1048448" s="242"/>
      <c r="FD1048448" s="242"/>
      <c r="FE1048448" s="242"/>
      <c r="FF1048448" s="242"/>
      <c r="FG1048448" s="242"/>
      <c r="FH1048448" s="242"/>
      <c r="FI1048448" s="242"/>
      <c r="FJ1048448" s="242"/>
      <c r="FK1048448" s="242"/>
      <c r="FL1048448" s="242"/>
      <c r="FM1048448" s="242"/>
      <c r="FN1048448" s="242"/>
      <c r="FO1048448" s="242"/>
      <c r="FP1048448" s="242"/>
      <c r="FQ1048448" s="242"/>
      <c r="FR1048448" s="242"/>
      <c r="FS1048448" s="242"/>
      <c r="FT1048448" s="242"/>
      <c r="FU1048448" s="242"/>
      <c r="FV1048448" s="242"/>
      <c r="FW1048448" s="242"/>
      <c r="FX1048448" s="242"/>
      <c r="FY1048448" s="242"/>
      <c r="FZ1048448" s="242"/>
      <c r="GA1048448" s="242"/>
      <c r="GB1048448" s="242"/>
      <c r="GC1048448" s="242"/>
      <c r="GD1048448" s="242"/>
      <c r="GE1048448" s="242"/>
      <c r="GF1048448" s="242"/>
      <c r="GG1048448" s="242"/>
      <c r="GH1048448" s="242"/>
      <c r="GI1048448" s="242"/>
      <c r="GJ1048448" s="242"/>
      <c r="GK1048448" s="242"/>
      <c r="GL1048448" s="242"/>
      <c r="GM1048448" s="242"/>
      <c r="GN1048448" s="242"/>
      <c r="GO1048448" s="242"/>
      <c r="GP1048448" s="242"/>
      <c r="GQ1048448" s="242"/>
      <c r="GR1048448" s="242"/>
      <c r="GS1048448" s="242"/>
      <c r="GT1048448" s="242"/>
      <c r="GU1048448" s="242"/>
      <c r="GV1048448" s="242"/>
      <c r="GW1048448" s="242"/>
      <c r="GX1048448" s="242"/>
      <c r="GY1048448" s="242"/>
      <c r="GZ1048448" s="242"/>
      <c r="HA1048448" s="242"/>
      <c r="HB1048448" s="242"/>
      <c r="HC1048448" s="242"/>
      <c r="HD1048448" s="242"/>
      <c r="HE1048448" s="242"/>
      <c r="HF1048448" s="242"/>
      <c r="HG1048448" s="242"/>
      <c r="HH1048448" s="242"/>
      <c r="HI1048448" s="242"/>
      <c r="HJ1048448" s="242"/>
      <c r="HK1048448" s="242"/>
      <c r="HL1048448" s="242"/>
      <c r="HM1048448" s="242"/>
      <c r="HN1048448" s="242"/>
      <c r="HO1048448" s="242"/>
      <c r="HP1048448" s="242"/>
      <c r="HQ1048448" s="242"/>
      <c r="HR1048448" s="242"/>
      <c r="HS1048448" s="242"/>
      <c r="HT1048448" s="242"/>
      <c r="HU1048448" s="242"/>
      <c r="HV1048448" s="242"/>
      <c r="HW1048448" s="242"/>
      <c r="HX1048448" s="242"/>
      <c r="HY1048448" s="242"/>
      <c r="HZ1048448" s="242"/>
      <c r="IA1048448" s="242"/>
      <c r="IB1048448" s="242"/>
      <c r="IC1048448" s="242"/>
      <c r="ID1048448" s="242"/>
      <c r="IE1048448" s="242"/>
      <c r="IF1048448" s="242"/>
      <c r="IG1048448" s="242"/>
      <c r="IH1048448" s="242"/>
      <c r="II1048448" s="242"/>
      <c r="IJ1048448" s="242"/>
      <c r="IK1048448" s="242"/>
      <c r="IL1048448" s="242"/>
      <c r="IM1048448" s="242"/>
      <c r="IN1048448" s="242"/>
      <c r="IO1048448" s="242"/>
      <c r="IP1048448" s="242"/>
      <c r="IQ1048448" s="242"/>
    </row>
    <row r="1048449" spans="1:251" s="243" customFormat="1" ht="12" customHeight="1">
      <c r="A1048449" s="242"/>
      <c r="B1048449" s="242"/>
      <c r="C1048449" s="242"/>
      <c r="D1048449" s="242"/>
      <c r="E1048449" s="242"/>
      <c r="F1048449" s="242"/>
      <c r="G1048449" s="242"/>
      <c r="H1048449" s="242"/>
      <c r="I1048449" s="242"/>
      <c r="J1048449" s="242"/>
      <c r="K1048449" s="242"/>
      <c r="L1048449" s="242"/>
      <c r="M1048449" s="242"/>
      <c r="N1048449" s="242"/>
      <c r="O1048449" s="242"/>
      <c r="P1048449" s="242"/>
      <c r="Q1048449" s="242"/>
      <c r="R1048449" s="242"/>
      <c r="S1048449" s="242"/>
      <c r="T1048449" s="242"/>
      <c r="U1048449" s="242"/>
      <c r="V1048449" s="242"/>
      <c r="W1048449" s="242"/>
      <c r="X1048449" s="242"/>
      <c r="Y1048449" s="242"/>
      <c r="Z1048449" s="242"/>
      <c r="AA1048449" s="242"/>
      <c r="AB1048449" s="242"/>
      <c r="AC1048449" s="242"/>
      <c r="AD1048449" s="242"/>
      <c r="AE1048449" s="242"/>
      <c r="AF1048449" s="242"/>
      <c r="AG1048449" s="242"/>
      <c r="AH1048449" s="242"/>
      <c r="AI1048449" s="242"/>
      <c r="AJ1048449" s="242"/>
      <c r="AK1048449" s="242"/>
      <c r="AL1048449" s="242"/>
      <c r="AM1048449" s="242"/>
      <c r="AN1048449" s="242"/>
      <c r="AO1048449" s="242"/>
      <c r="AP1048449" s="242"/>
      <c r="AQ1048449" s="242"/>
      <c r="AR1048449" s="242"/>
      <c r="AS1048449" s="242"/>
      <c r="AT1048449" s="242"/>
      <c r="AU1048449" s="242"/>
      <c r="AV1048449" s="242"/>
      <c r="AW1048449" s="242"/>
      <c r="AX1048449" s="242"/>
      <c r="AY1048449" s="242"/>
      <c r="AZ1048449" s="242"/>
      <c r="BA1048449" s="242"/>
      <c r="BB1048449" s="242"/>
      <c r="BC1048449" s="242"/>
      <c r="BD1048449" s="242"/>
      <c r="BE1048449" s="242"/>
      <c r="BF1048449" s="242"/>
      <c r="BG1048449" s="242"/>
      <c r="BH1048449" s="242"/>
      <c r="BI1048449" s="242"/>
      <c r="BJ1048449" s="242"/>
      <c r="BK1048449" s="242"/>
      <c r="BL1048449" s="242"/>
      <c r="BM1048449" s="242"/>
      <c r="BN1048449" s="242"/>
      <c r="BO1048449" s="242"/>
      <c r="BP1048449" s="242"/>
      <c r="BQ1048449" s="242"/>
      <c r="BR1048449" s="242"/>
      <c r="BS1048449" s="242"/>
      <c r="BT1048449" s="242"/>
      <c r="BU1048449" s="242"/>
      <c r="BV1048449" s="242"/>
      <c r="BW1048449" s="242"/>
      <c r="BX1048449" s="242"/>
      <c r="BY1048449" s="242"/>
      <c r="BZ1048449" s="242"/>
      <c r="CA1048449" s="242"/>
      <c r="CB1048449" s="242"/>
      <c r="CC1048449" s="242"/>
      <c r="CD1048449" s="242"/>
      <c r="CE1048449" s="242"/>
      <c r="CF1048449" s="242"/>
      <c r="CG1048449" s="242"/>
      <c r="CH1048449" s="242"/>
      <c r="CI1048449" s="242"/>
      <c r="CJ1048449" s="242"/>
      <c r="CK1048449" s="242"/>
      <c r="CL1048449" s="242"/>
      <c r="CM1048449" s="242"/>
      <c r="CN1048449" s="242"/>
      <c r="CO1048449" s="242"/>
      <c r="CP1048449" s="242"/>
      <c r="CQ1048449" s="242"/>
      <c r="CR1048449" s="242"/>
      <c r="CS1048449" s="242"/>
      <c r="CT1048449" s="242"/>
      <c r="CU1048449" s="242"/>
      <c r="CV1048449" s="242"/>
      <c r="CW1048449" s="242"/>
      <c r="CX1048449" s="242"/>
      <c r="CY1048449" s="242"/>
      <c r="CZ1048449" s="242"/>
      <c r="DA1048449" s="242"/>
      <c r="DB1048449" s="242"/>
      <c r="DC1048449" s="242"/>
      <c r="DD1048449" s="242"/>
      <c r="DE1048449" s="242"/>
      <c r="DF1048449" s="242"/>
      <c r="DG1048449" s="242"/>
      <c r="DH1048449" s="242"/>
      <c r="DI1048449" s="242"/>
      <c r="DJ1048449" s="242"/>
      <c r="DK1048449" s="242"/>
      <c r="DL1048449" s="242"/>
      <c r="DM1048449" s="242"/>
      <c r="DN1048449" s="242"/>
      <c r="DO1048449" s="242"/>
      <c r="DP1048449" s="242"/>
      <c r="DQ1048449" s="242"/>
      <c r="DR1048449" s="242"/>
      <c r="DS1048449" s="242"/>
      <c r="DT1048449" s="242"/>
      <c r="DU1048449" s="242"/>
      <c r="DV1048449" s="242"/>
      <c r="DW1048449" s="242"/>
      <c r="DX1048449" s="242"/>
      <c r="DY1048449" s="242"/>
      <c r="DZ1048449" s="242"/>
      <c r="EA1048449" s="242"/>
      <c r="EB1048449" s="242"/>
      <c r="EC1048449" s="242"/>
      <c r="ED1048449" s="242"/>
      <c r="EE1048449" s="242"/>
      <c r="EF1048449" s="242"/>
      <c r="EG1048449" s="242"/>
      <c r="EH1048449" s="242"/>
      <c r="EI1048449" s="242"/>
      <c r="EJ1048449" s="242"/>
      <c r="EK1048449" s="242"/>
      <c r="EL1048449" s="242"/>
      <c r="EM1048449" s="242"/>
      <c r="EN1048449" s="242"/>
      <c r="EO1048449" s="242"/>
      <c r="EP1048449" s="242"/>
      <c r="EQ1048449" s="242"/>
      <c r="ER1048449" s="242"/>
      <c r="ES1048449" s="242"/>
      <c r="ET1048449" s="242"/>
      <c r="EU1048449" s="242"/>
      <c r="EV1048449" s="242"/>
      <c r="EW1048449" s="242"/>
      <c r="EX1048449" s="242"/>
      <c r="EY1048449" s="242"/>
      <c r="EZ1048449" s="242"/>
      <c r="FA1048449" s="242"/>
      <c r="FB1048449" s="242"/>
      <c r="FC1048449" s="242"/>
      <c r="FD1048449" s="242"/>
      <c r="FE1048449" s="242"/>
      <c r="FF1048449" s="242"/>
      <c r="FG1048449" s="242"/>
      <c r="FH1048449" s="242"/>
      <c r="FI1048449" s="242"/>
      <c r="FJ1048449" s="242"/>
      <c r="FK1048449" s="242"/>
      <c r="FL1048449" s="242"/>
      <c r="FM1048449" s="242"/>
      <c r="FN1048449" s="242"/>
      <c r="FO1048449" s="242"/>
      <c r="FP1048449" s="242"/>
      <c r="FQ1048449" s="242"/>
      <c r="FR1048449" s="242"/>
      <c r="FS1048449" s="242"/>
      <c r="FT1048449" s="242"/>
      <c r="FU1048449" s="242"/>
      <c r="FV1048449" s="242"/>
      <c r="FW1048449" s="242"/>
      <c r="FX1048449" s="242"/>
      <c r="FY1048449" s="242"/>
      <c r="FZ1048449" s="242"/>
      <c r="GA1048449" s="242"/>
      <c r="GB1048449" s="242"/>
      <c r="GC1048449" s="242"/>
      <c r="GD1048449" s="242"/>
      <c r="GE1048449" s="242"/>
      <c r="GF1048449" s="242"/>
      <c r="GG1048449" s="242"/>
      <c r="GH1048449" s="242"/>
      <c r="GI1048449" s="242"/>
      <c r="GJ1048449" s="242"/>
      <c r="GK1048449" s="242"/>
      <c r="GL1048449" s="242"/>
      <c r="GM1048449" s="242"/>
      <c r="GN1048449" s="242"/>
      <c r="GO1048449" s="242"/>
      <c r="GP1048449" s="242"/>
      <c r="GQ1048449" s="242"/>
      <c r="GR1048449" s="242"/>
      <c r="GS1048449" s="242"/>
      <c r="GT1048449" s="242"/>
      <c r="GU1048449" s="242"/>
      <c r="GV1048449" s="242"/>
      <c r="GW1048449" s="242"/>
      <c r="GX1048449" s="242"/>
      <c r="GY1048449" s="242"/>
      <c r="GZ1048449" s="242"/>
      <c r="HA1048449" s="242"/>
      <c r="HB1048449" s="242"/>
      <c r="HC1048449" s="242"/>
      <c r="HD1048449" s="242"/>
      <c r="HE1048449" s="242"/>
      <c r="HF1048449" s="242"/>
      <c r="HG1048449" s="242"/>
      <c r="HH1048449" s="242"/>
      <c r="HI1048449" s="242"/>
      <c r="HJ1048449" s="242"/>
      <c r="HK1048449" s="242"/>
      <c r="HL1048449" s="242"/>
      <c r="HM1048449" s="242"/>
      <c r="HN1048449" s="242"/>
      <c r="HO1048449" s="242"/>
      <c r="HP1048449" s="242"/>
      <c r="HQ1048449" s="242"/>
      <c r="HR1048449" s="242"/>
      <c r="HS1048449" s="242"/>
      <c r="HT1048449" s="242"/>
      <c r="HU1048449" s="242"/>
      <c r="HV1048449" s="242"/>
      <c r="HW1048449" s="242"/>
      <c r="HX1048449" s="242"/>
      <c r="HY1048449" s="242"/>
      <c r="HZ1048449" s="242"/>
      <c r="IA1048449" s="242"/>
      <c r="IB1048449" s="242"/>
      <c r="IC1048449" s="242"/>
      <c r="ID1048449" s="242"/>
      <c r="IE1048449" s="242"/>
      <c r="IF1048449" s="242"/>
      <c r="IG1048449" s="242"/>
      <c r="IH1048449" s="242"/>
      <c r="II1048449" s="242"/>
      <c r="IJ1048449" s="242"/>
      <c r="IK1048449" s="242"/>
      <c r="IL1048449" s="242"/>
      <c r="IM1048449" s="242"/>
      <c r="IN1048449" s="242"/>
      <c r="IO1048449" s="242"/>
      <c r="IP1048449" s="242"/>
      <c r="IQ1048449" s="242"/>
    </row>
    <row r="1048450" spans="1:251" s="243" customFormat="1" ht="12" customHeight="1">
      <c r="A1048450" s="242"/>
      <c r="B1048450" s="242"/>
      <c r="C1048450" s="242"/>
      <c r="D1048450" s="242"/>
      <c r="E1048450" s="242"/>
      <c r="F1048450" s="242"/>
      <c r="G1048450" s="242"/>
      <c r="H1048450" s="242"/>
      <c r="I1048450" s="242"/>
      <c r="J1048450" s="242"/>
      <c r="K1048450" s="242"/>
      <c r="L1048450" s="242"/>
      <c r="M1048450" s="242"/>
      <c r="N1048450" s="242"/>
      <c r="O1048450" s="242"/>
      <c r="P1048450" s="242"/>
      <c r="Q1048450" s="242"/>
      <c r="R1048450" s="242"/>
      <c r="S1048450" s="242"/>
      <c r="T1048450" s="242"/>
      <c r="U1048450" s="242"/>
      <c r="V1048450" s="242"/>
      <c r="W1048450" s="242"/>
      <c r="X1048450" s="242"/>
      <c r="Y1048450" s="242"/>
      <c r="Z1048450" s="242"/>
      <c r="AA1048450" s="242"/>
      <c r="AB1048450" s="242"/>
      <c r="AC1048450" s="242"/>
      <c r="AD1048450" s="242"/>
      <c r="AE1048450" s="242"/>
      <c r="AF1048450" s="242"/>
      <c r="AG1048450" s="242"/>
      <c r="AH1048450" s="242"/>
      <c r="AI1048450" s="242"/>
      <c r="AJ1048450" s="242"/>
      <c r="AK1048450" s="242"/>
      <c r="AL1048450" s="242"/>
      <c r="AM1048450" s="242"/>
      <c r="AN1048450" s="242"/>
      <c r="AO1048450" s="242"/>
      <c r="AP1048450" s="242"/>
      <c r="AQ1048450" s="242"/>
      <c r="AR1048450" s="242"/>
      <c r="AS1048450" s="242"/>
      <c r="AT1048450" s="242"/>
      <c r="AU1048450" s="242"/>
      <c r="AV1048450" s="242"/>
      <c r="AW1048450" s="242"/>
      <c r="AX1048450" s="242"/>
      <c r="AY1048450" s="242"/>
      <c r="AZ1048450" s="242"/>
      <c r="BA1048450" s="242"/>
      <c r="BB1048450" s="242"/>
      <c r="BC1048450" s="242"/>
      <c r="BD1048450" s="242"/>
      <c r="BE1048450" s="242"/>
      <c r="BF1048450" s="242"/>
      <c r="BG1048450" s="242"/>
      <c r="BH1048450" s="242"/>
      <c r="BI1048450" s="242"/>
      <c r="BJ1048450" s="242"/>
      <c r="BK1048450" s="242"/>
      <c r="BL1048450" s="242"/>
      <c r="BM1048450" s="242"/>
      <c r="BN1048450" s="242"/>
      <c r="BO1048450" s="242"/>
      <c r="BP1048450" s="242"/>
      <c r="BQ1048450" s="242"/>
      <c r="BR1048450" s="242"/>
      <c r="BS1048450" s="242"/>
      <c r="BT1048450" s="242"/>
      <c r="BU1048450" s="242"/>
      <c r="BV1048450" s="242"/>
      <c r="BW1048450" s="242"/>
      <c r="BX1048450" s="242"/>
      <c r="BY1048450" s="242"/>
      <c r="BZ1048450" s="242"/>
      <c r="CA1048450" s="242"/>
      <c r="CB1048450" s="242"/>
      <c r="CC1048450" s="242"/>
      <c r="CD1048450" s="242"/>
      <c r="CE1048450" s="242"/>
      <c r="CF1048450" s="242"/>
      <c r="CG1048450" s="242"/>
      <c r="CH1048450" s="242"/>
      <c r="CI1048450" s="242"/>
      <c r="CJ1048450" s="242"/>
      <c r="CK1048450" s="242"/>
      <c r="CL1048450" s="242"/>
      <c r="CM1048450" s="242"/>
      <c r="CN1048450" s="242"/>
      <c r="CO1048450" s="242"/>
      <c r="CP1048450" s="242"/>
      <c r="CQ1048450" s="242"/>
      <c r="CR1048450" s="242"/>
      <c r="CS1048450" s="242"/>
      <c r="CT1048450" s="242"/>
      <c r="CU1048450" s="242"/>
      <c r="CV1048450" s="242"/>
      <c r="CW1048450" s="242"/>
      <c r="CX1048450" s="242"/>
      <c r="CY1048450" s="242"/>
      <c r="CZ1048450" s="242"/>
      <c r="DA1048450" s="242"/>
      <c r="DB1048450" s="242"/>
      <c r="DC1048450" s="242"/>
      <c r="DD1048450" s="242"/>
      <c r="DE1048450" s="242"/>
      <c r="DF1048450" s="242"/>
      <c r="DG1048450" s="242"/>
      <c r="DH1048450" s="242"/>
      <c r="DI1048450" s="242"/>
      <c r="DJ1048450" s="242"/>
      <c r="DK1048450" s="242"/>
      <c r="DL1048450" s="242"/>
      <c r="DM1048450" s="242"/>
      <c r="DN1048450" s="242"/>
      <c r="DO1048450" s="242"/>
      <c r="DP1048450" s="242"/>
      <c r="DQ1048450" s="242"/>
      <c r="DR1048450" s="242"/>
      <c r="DS1048450" s="242"/>
      <c r="DT1048450" s="242"/>
      <c r="DU1048450" s="242"/>
      <c r="DV1048450" s="242"/>
      <c r="DW1048450" s="242"/>
      <c r="DX1048450" s="242"/>
      <c r="DY1048450" s="242"/>
      <c r="DZ1048450" s="242"/>
      <c r="EA1048450" s="242"/>
      <c r="EB1048450" s="242"/>
      <c r="EC1048450" s="242"/>
      <c r="ED1048450" s="242"/>
      <c r="EE1048450" s="242"/>
      <c r="EF1048450" s="242"/>
      <c r="EG1048450" s="242"/>
      <c r="EH1048450" s="242"/>
      <c r="EI1048450" s="242"/>
      <c r="EJ1048450" s="242"/>
      <c r="EK1048450" s="242"/>
      <c r="EL1048450" s="242"/>
      <c r="EM1048450" s="242"/>
      <c r="EN1048450" s="242"/>
      <c r="EO1048450" s="242"/>
      <c r="EP1048450" s="242"/>
      <c r="EQ1048450" s="242"/>
      <c r="ER1048450" s="242"/>
      <c r="ES1048450" s="242"/>
      <c r="ET1048450" s="242"/>
      <c r="EU1048450" s="242"/>
      <c r="EV1048450" s="242"/>
      <c r="EW1048450" s="242"/>
      <c r="EX1048450" s="242"/>
      <c r="EY1048450" s="242"/>
      <c r="EZ1048450" s="242"/>
      <c r="FA1048450" s="242"/>
      <c r="FB1048450" s="242"/>
      <c r="FC1048450" s="242"/>
      <c r="FD1048450" s="242"/>
      <c r="FE1048450" s="242"/>
      <c r="FF1048450" s="242"/>
      <c r="FG1048450" s="242"/>
      <c r="FH1048450" s="242"/>
      <c r="FI1048450" s="242"/>
      <c r="FJ1048450" s="242"/>
      <c r="FK1048450" s="242"/>
      <c r="FL1048450" s="242"/>
      <c r="FM1048450" s="242"/>
      <c r="FN1048450" s="242"/>
      <c r="FO1048450" s="242"/>
      <c r="FP1048450" s="242"/>
      <c r="FQ1048450" s="242"/>
      <c r="FR1048450" s="242"/>
      <c r="FS1048450" s="242"/>
      <c r="FT1048450" s="242"/>
      <c r="FU1048450" s="242"/>
      <c r="FV1048450" s="242"/>
      <c r="FW1048450" s="242"/>
      <c r="FX1048450" s="242"/>
      <c r="FY1048450" s="242"/>
      <c r="FZ1048450" s="242"/>
      <c r="GA1048450" s="242"/>
      <c r="GB1048450" s="242"/>
      <c r="GC1048450" s="242"/>
      <c r="GD1048450" s="242"/>
      <c r="GE1048450" s="242"/>
      <c r="GF1048450" s="242"/>
      <c r="GG1048450" s="242"/>
      <c r="GH1048450" s="242"/>
      <c r="GI1048450" s="242"/>
      <c r="GJ1048450" s="242"/>
      <c r="GK1048450" s="242"/>
      <c r="GL1048450" s="242"/>
      <c r="GM1048450" s="242"/>
      <c r="GN1048450" s="242"/>
      <c r="GO1048450" s="242"/>
      <c r="GP1048450" s="242"/>
      <c r="GQ1048450" s="242"/>
      <c r="GR1048450" s="242"/>
      <c r="GS1048450" s="242"/>
      <c r="GT1048450" s="242"/>
      <c r="GU1048450" s="242"/>
      <c r="GV1048450" s="242"/>
      <c r="GW1048450" s="242"/>
      <c r="GX1048450" s="242"/>
      <c r="GY1048450" s="242"/>
      <c r="GZ1048450" s="242"/>
      <c r="HA1048450" s="242"/>
      <c r="HB1048450" s="242"/>
      <c r="HC1048450" s="242"/>
      <c r="HD1048450" s="242"/>
      <c r="HE1048450" s="242"/>
      <c r="HF1048450" s="242"/>
      <c r="HG1048450" s="242"/>
      <c r="HH1048450" s="242"/>
      <c r="HI1048450" s="242"/>
      <c r="HJ1048450" s="242"/>
      <c r="HK1048450" s="242"/>
      <c r="HL1048450" s="242"/>
      <c r="HM1048450" s="242"/>
      <c r="HN1048450" s="242"/>
      <c r="HO1048450" s="242"/>
      <c r="HP1048450" s="242"/>
      <c r="HQ1048450" s="242"/>
      <c r="HR1048450" s="242"/>
      <c r="HS1048450" s="242"/>
      <c r="HT1048450" s="242"/>
      <c r="HU1048450" s="242"/>
      <c r="HV1048450" s="242"/>
      <c r="HW1048450" s="242"/>
      <c r="HX1048450" s="242"/>
      <c r="HY1048450" s="242"/>
      <c r="HZ1048450" s="242"/>
      <c r="IA1048450" s="242"/>
      <c r="IB1048450" s="242"/>
      <c r="IC1048450" s="242"/>
      <c r="ID1048450" s="242"/>
      <c r="IE1048450" s="242"/>
      <c r="IF1048450" s="242"/>
      <c r="IG1048450" s="242"/>
      <c r="IH1048450" s="242"/>
      <c r="II1048450" s="242"/>
      <c r="IJ1048450" s="242"/>
      <c r="IK1048450" s="242"/>
      <c r="IL1048450" s="242"/>
      <c r="IM1048450" s="242"/>
      <c r="IN1048450" s="242"/>
      <c r="IO1048450" s="242"/>
      <c r="IP1048450" s="242"/>
      <c r="IQ1048450" s="242"/>
    </row>
    <row r="1048451" spans="1:251" s="243" customFormat="1" ht="12" customHeight="1">
      <c r="A1048451" s="242"/>
      <c r="B1048451" s="242"/>
      <c r="C1048451" s="242"/>
      <c r="D1048451" s="242"/>
      <c r="E1048451" s="242"/>
      <c r="F1048451" s="242"/>
      <c r="G1048451" s="242"/>
      <c r="H1048451" s="242"/>
      <c r="I1048451" s="242"/>
      <c r="J1048451" s="242"/>
      <c r="K1048451" s="242"/>
      <c r="L1048451" s="242"/>
      <c r="M1048451" s="242"/>
      <c r="N1048451" s="242"/>
      <c r="O1048451" s="242"/>
      <c r="P1048451" s="242"/>
      <c r="Q1048451" s="242"/>
      <c r="R1048451" s="242"/>
      <c r="S1048451" s="242"/>
      <c r="T1048451" s="242"/>
      <c r="U1048451" s="242"/>
      <c r="V1048451" s="242"/>
      <c r="W1048451" s="242"/>
      <c r="X1048451" s="242"/>
      <c r="Y1048451" s="242"/>
      <c r="Z1048451" s="242"/>
      <c r="AA1048451" s="242"/>
      <c r="AB1048451" s="242"/>
      <c r="AC1048451" s="242"/>
      <c r="AD1048451" s="242"/>
      <c r="AE1048451" s="242"/>
      <c r="AF1048451" s="242"/>
      <c r="AG1048451" s="242"/>
      <c r="AH1048451" s="242"/>
      <c r="AI1048451" s="242"/>
      <c r="AJ1048451" s="242"/>
      <c r="AK1048451" s="242"/>
      <c r="AL1048451" s="242"/>
      <c r="AM1048451" s="242"/>
      <c r="AN1048451" s="242"/>
      <c r="AO1048451" s="242"/>
      <c r="AP1048451" s="242"/>
      <c r="AQ1048451" s="242"/>
      <c r="AR1048451" s="242"/>
      <c r="AS1048451" s="242"/>
      <c r="AT1048451" s="242"/>
      <c r="AU1048451" s="242"/>
      <c r="AV1048451" s="242"/>
      <c r="AW1048451" s="242"/>
      <c r="AX1048451" s="242"/>
      <c r="AY1048451" s="242"/>
      <c r="AZ1048451" s="242"/>
      <c r="BA1048451" s="242"/>
      <c r="BB1048451" s="242"/>
      <c r="BC1048451" s="242"/>
      <c r="BD1048451" s="242"/>
      <c r="BE1048451" s="242"/>
      <c r="BF1048451" s="242"/>
      <c r="BG1048451" s="242"/>
      <c r="BH1048451" s="242"/>
      <c r="BI1048451" s="242"/>
      <c r="BJ1048451" s="242"/>
      <c r="BK1048451" s="242"/>
      <c r="BL1048451" s="242"/>
      <c r="BM1048451" s="242"/>
      <c r="BN1048451" s="242"/>
      <c r="BO1048451" s="242"/>
      <c r="BP1048451" s="242"/>
      <c r="BQ1048451" s="242"/>
      <c r="BR1048451" s="242"/>
      <c r="BS1048451" s="242"/>
      <c r="BT1048451" s="242"/>
      <c r="BU1048451" s="242"/>
      <c r="BV1048451" s="242"/>
      <c r="BW1048451" s="242"/>
      <c r="BX1048451" s="242"/>
      <c r="BY1048451" s="242"/>
      <c r="BZ1048451" s="242"/>
      <c r="CA1048451" s="242"/>
      <c r="CB1048451" s="242"/>
      <c r="CC1048451" s="242"/>
      <c r="CD1048451" s="242"/>
      <c r="CE1048451" s="242"/>
      <c r="CF1048451" s="242"/>
      <c r="CG1048451" s="242"/>
      <c r="CH1048451" s="242"/>
      <c r="CI1048451" s="242"/>
      <c r="CJ1048451" s="242"/>
      <c r="CK1048451" s="242"/>
      <c r="CL1048451" s="242"/>
      <c r="CM1048451" s="242"/>
      <c r="CN1048451" s="242"/>
      <c r="CO1048451" s="242"/>
      <c r="CP1048451" s="242"/>
      <c r="CQ1048451" s="242"/>
      <c r="CR1048451" s="242"/>
      <c r="CS1048451" s="242"/>
      <c r="CT1048451" s="242"/>
      <c r="CU1048451" s="242"/>
      <c r="CV1048451" s="242"/>
      <c r="CW1048451" s="242"/>
      <c r="CX1048451" s="242"/>
      <c r="CY1048451" s="242"/>
      <c r="CZ1048451" s="242"/>
      <c r="DA1048451" s="242"/>
      <c r="DB1048451" s="242"/>
      <c r="DC1048451" s="242"/>
      <c r="DD1048451" s="242"/>
      <c r="DE1048451" s="242"/>
      <c r="DF1048451" s="242"/>
      <c r="DG1048451" s="242"/>
      <c r="DH1048451" s="242"/>
      <c r="DI1048451" s="242"/>
      <c r="DJ1048451" s="242"/>
      <c r="DK1048451" s="242"/>
      <c r="DL1048451" s="242"/>
      <c r="DM1048451" s="242"/>
      <c r="DN1048451" s="242"/>
      <c r="DO1048451" s="242"/>
      <c r="DP1048451" s="242"/>
      <c r="DQ1048451" s="242"/>
      <c r="DR1048451" s="242"/>
      <c r="DS1048451" s="242"/>
      <c r="DT1048451" s="242"/>
      <c r="DU1048451" s="242"/>
      <c r="DV1048451" s="242"/>
      <c r="DW1048451" s="242"/>
      <c r="DX1048451" s="242"/>
      <c r="DY1048451" s="242"/>
      <c r="DZ1048451" s="242"/>
      <c r="EA1048451" s="242"/>
      <c r="EB1048451" s="242"/>
      <c r="EC1048451" s="242"/>
      <c r="ED1048451" s="242"/>
      <c r="EE1048451" s="242"/>
      <c r="EF1048451" s="242"/>
      <c r="EG1048451" s="242"/>
      <c r="EH1048451" s="242"/>
      <c r="EI1048451" s="242"/>
      <c r="EJ1048451" s="242"/>
      <c r="EK1048451" s="242"/>
      <c r="EL1048451" s="242"/>
      <c r="EM1048451" s="242"/>
      <c r="EN1048451" s="242"/>
      <c r="EO1048451" s="242"/>
      <c r="EP1048451" s="242"/>
      <c r="EQ1048451" s="242"/>
      <c r="ER1048451" s="242"/>
      <c r="ES1048451" s="242"/>
      <c r="ET1048451" s="242"/>
      <c r="EU1048451" s="242"/>
      <c r="EV1048451" s="242"/>
      <c r="EW1048451" s="242"/>
      <c r="EX1048451" s="242"/>
      <c r="EY1048451" s="242"/>
      <c r="EZ1048451" s="242"/>
      <c r="FA1048451" s="242"/>
      <c r="FB1048451" s="242"/>
      <c r="FC1048451" s="242"/>
      <c r="FD1048451" s="242"/>
      <c r="FE1048451" s="242"/>
      <c r="FF1048451" s="242"/>
      <c r="FG1048451" s="242"/>
      <c r="FH1048451" s="242"/>
      <c r="FI1048451" s="242"/>
      <c r="FJ1048451" s="242"/>
      <c r="FK1048451" s="242"/>
      <c r="FL1048451" s="242"/>
      <c r="FM1048451" s="242"/>
      <c r="FN1048451" s="242"/>
      <c r="FO1048451" s="242"/>
      <c r="FP1048451" s="242"/>
      <c r="FQ1048451" s="242"/>
      <c r="FR1048451" s="242"/>
      <c r="FS1048451" s="242"/>
      <c r="FT1048451" s="242"/>
      <c r="FU1048451" s="242"/>
      <c r="FV1048451" s="242"/>
      <c r="FW1048451" s="242"/>
      <c r="FX1048451" s="242"/>
      <c r="FY1048451" s="242"/>
      <c r="FZ1048451" s="242"/>
      <c r="GA1048451" s="242"/>
      <c r="GB1048451" s="242"/>
      <c r="GC1048451" s="242"/>
      <c r="GD1048451" s="242"/>
      <c r="GE1048451" s="242"/>
      <c r="GF1048451" s="242"/>
      <c r="GG1048451" s="242"/>
      <c r="GH1048451" s="242"/>
      <c r="GI1048451" s="242"/>
      <c r="GJ1048451" s="242"/>
      <c r="GK1048451" s="242"/>
      <c r="GL1048451" s="242"/>
      <c r="GM1048451" s="242"/>
      <c r="GN1048451" s="242"/>
      <c r="GO1048451" s="242"/>
      <c r="GP1048451" s="242"/>
      <c r="GQ1048451" s="242"/>
      <c r="GR1048451" s="242"/>
      <c r="GS1048451" s="242"/>
      <c r="GT1048451" s="242"/>
      <c r="GU1048451" s="242"/>
      <c r="GV1048451" s="242"/>
      <c r="GW1048451" s="242"/>
      <c r="GX1048451" s="242"/>
      <c r="GY1048451" s="242"/>
      <c r="GZ1048451" s="242"/>
      <c r="HA1048451" s="242"/>
      <c r="HB1048451" s="242"/>
      <c r="HC1048451" s="242"/>
      <c r="HD1048451" s="242"/>
      <c r="HE1048451" s="242"/>
      <c r="HF1048451" s="242"/>
      <c r="HG1048451" s="242"/>
      <c r="HH1048451" s="242"/>
      <c r="HI1048451" s="242"/>
      <c r="HJ1048451" s="242"/>
      <c r="HK1048451" s="242"/>
      <c r="HL1048451" s="242"/>
      <c r="HM1048451" s="242"/>
      <c r="HN1048451" s="242"/>
      <c r="HO1048451" s="242"/>
      <c r="HP1048451" s="242"/>
      <c r="HQ1048451" s="242"/>
      <c r="HR1048451" s="242"/>
      <c r="HS1048451" s="242"/>
      <c r="HT1048451" s="242"/>
      <c r="HU1048451" s="242"/>
      <c r="HV1048451" s="242"/>
      <c r="HW1048451" s="242"/>
      <c r="HX1048451" s="242"/>
      <c r="HY1048451" s="242"/>
      <c r="HZ1048451" s="242"/>
      <c r="IA1048451" s="242"/>
      <c r="IB1048451" s="242"/>
      <c r="IC1048451" s="242"/>
      <c r="ID1048451" s="242"/>
      <c r="IE1048451" s="242"/>
      <c r="IF1048451" s="242"/>
      <c r="IG1048451" s="242"/>
      <c r="IH1048451" s="242"/>
      <c r="II1048451" s="242"/>
      <c r="IJ1048451" s="242"/>
      <c r="IK1048451" s="242"/>
      <c r="IL1048451" s="242"/>
      <c r="IM1048451" s="242"/>
      <c r="IN1048451" s="242"/>
      <c r="IO1048451" s="242"/>
      <c r="IP1048451" s="242"/>
      <c r="IQ1048451" s="242"/>
    </row>
    <row r="1048452" spans="1:251" s="243" customFormat="1" ht="12" customHeight="1">
      <c r="A1048452" s="242"/>
      <c r="B1048452" s="242"/>
      <c r="C1048452" s="242"/>
      <c r="D1048452" s="242"/>
      <c r="E1048452" s="242"/>
      <c r="F1048452" s="242"/>
      <c r="G1048452" s="242"/>
      <c r="H1048452" s="242"/>
      <c r="I1048452" s="242"/>
      <c r="J1048452" s="242"/>
      <c r="K1048452" s="242"/>
      <c r="L1048452" s="242"/>
      <c r="M1048452" s="242"/>
      <c r="N1048452" s="242"/>
      <c r="O1048452" s="242"/>
      <c r="P1048452" s="242"/>
      <c r="Q1048452" s="242"/>
      <c r="R1048452" s="242"/>
      <c r="S1048452" s="242"/>
      <c r="T1048452" s="242"/>
      <c r="U1048452" s="242"/>
      <c r="V1048452" s="242"/>
      <c r="W1048452" s="242"/>
      <c r="X1048452" s="242"/>
      <c r="Y1048452" s="242"/>
      <c r="Z1048452" s="242"/>
      <c r="AA1048452" s="242"/>
      <c r="AB1048452" s="242"/>
      <c r="AC1048452" s="242"/>
      <c r="AD1048452" s="242"/>
      <c r="AE1048452" s="242"/>
      <c r="AF1048452" s="242"/>
      <c r="AG1048452" s="242"/>
      <c r="AH1048452" s="242"/>
      <c r="AI1048452" s="242"/>
      <c r="AJ1048452" s="242"/>
      <c r="AK1048452" s="242"/>
      <c r="AL1048452" s="242"/>
      <c r="AM1048452" s="242"/>
      <c r="AN1048452" s="242"/>
      <c r="AO1048452" s="242"/>
      <c r="AP1048452" s="242"/>
      <c r="AQ1048452" s="242"/>
      <c r="AR1048452" s="242"/>
      <c r="AS1048452" s="242"/>
      <c r="AT1048452" s="242"/>
      <c r="AU1048452" s="242"/>
      <c r="AV1048452" s="242"/>
      <c r="AW1048452" s="242"/>
      <c r="AX1048452" s="242"/>
      <c r="AY1048452" s="242"/>
      <c r="AZ1048452" s="242"/>
      <c r="BA1048452" s="242"/>
      <c r="BB1048452" s="242"/>
      <c r="BC1048452" s="242"/>
      <c r="BD1048452" s="242"/>
      <c r="BE1048452" s="242"/>
      <c r="BF1048452" s="242"/>
      <c r="BG1048452" s="242"/>
      <c r="BH1048452" s="242"/>
      <c r="BI1048452" s="242"/>
      <c r="BJ1048452" s="242"/>
      <c r="BK1048452" s="242"/>
      <c r="BL1048452" s="242"/>
      <c r="BM1048452" s="242"/>
      <c r="BN1048452" s="242"/>
      <c r="BO1048452" s="242"/>
      <c r="BP1048452" s="242"/>
      <c r="BQ1048452" s="242"/>
      <c r="BR1048452" s="242"/>
      <c r="BS1048452" s="242"/>
      <c r="BT1048452" s="242"/>
      <c r="BU1048452" s="242"/>
      <c r="BV1048452" s="242"/>
      <c r="BW1048452" s="242"/>
      <c r="BX1048452" s="242"/>
      <c r="BY1048452" s="242"/>
      <c r="BZ1048452" s="242"/>
      <c r="CA1048452" s="242"/>
      <c r="CB1048452" s="242"/>
      <c r="CC1048452" s="242"/>
      <c r="CD1048452" s="242"/>
      <c r="CE1048452" s="242"/>
      <c r="CF1048452" s="242"/>
      <c r="CG1048452" s="242"/>
      <c r="CH1048452" s="242"/>
      <c r="CI1048452" s="242"/>
      <c r="CJ1048452" s="242"/>
      <c r="CK1048452" s="242"/>
      <c r="CL1048452" s="242"/>
      <c r="CM1048452" s="242"/>
      <c r="CN1048452" s="242"/>
      <c r="CO1048452" s="242"/>
      <c r="CP1048452" s="242"/>
      <c r="CQ1048452" s="242"/>
      <c r="CR1048452" s="242"/>
      <c r="CS1048452" s="242"/>
      <c r="CT1048452" s="242"/>
      <c r="CU1048452" s="242"/>
      <c r="CV1048452" s="242"/>
      <c r="CW1048452" s="242"/>
      <c r="CX1048452" s="242"/>
      <c r="CY1048452" s="242"/>
      <c r="CZ1048452" s="242"/>
      <c r="DA1048452" s="242"/>
      <c r="DB1048452" s="242"/>
      <c r="DC1048452" s="242"/>
      <c r="DD1048452" s="242"/>
      <c r="DE1048452" s="242"/>
      <c r="DF1048452" s="242"/>
      <c r="DG1048452" s="242"/>
      <c r="DH1048452" s="242"/>
      <c r="DI1048452" s="242"/>
      <c r="DJ1048452" s="242"/>
      <c r="DK1048452" s="242"/>
      <c r="DL1048452" s="242"/>
      <c r="DM1048452" s="242"/>
      <c r="DN1048452" s="242"/>
      <c r="DO1048452" s="242"/>
      <c r="DP1048452" s="242"/>
      <c r="DQ1048452" s="242"/>
      <c r="DR1048452" s="242"/>
      <c r="DS1048452" s="242"/>
      <c r="DT1048452" s="242"/>
      <c r="DU1048452" s="242"/>
      <c r="DV1048452" s="242"/>
      <c r="DW1048452" s="242"/>
      <c r="DX1048452" s="242"/>
      <c r="DY1048452" s="242"/>
      <c r="DZ1048452" s="242"/>
      <c r="EA1048452" s="242"/>
      <c r="EB1048452" s="242"/>
      <c r="EC1048452" s="242"/>
      <c r="ED1048452" s="242"/>
      <c r="EE1048452" s="242"/>
      <c r="EF1048452" s="242"/>
      <c r="EG1048452" s="242"/>
      <c r="EH1048452" s="242"/>
      <c r="EI1048452" s="242"/>
      <c r="EJ1048452" s="242"/>
      <c r="EK1048452" s="242"/>
      <c r="EL1048452" s="242"/>
      <c r="EM1048452" s="242"/>
      <c r="EN1048452" s="242"/>
      <c r="EO1048452" s="242"/>
      <c r="EP1048452" s="242"/>
      <c r="EQ1048452" s="242"/>
      <c r="ER1048452" s="242"/>
      <c r="ES1048452" s="242"/>
      <c r="ET1048452" s="242"/>
      <c r="EU1048452" s="242"/>
      <c r="EV1048452" s="242"/>
      <c r="EW1048452" s="242"/>
      <c r="EX1048452" s="242"/>
      <c r="EY1048452" s="242"/>
      <c r="EZ1048452" s="242"/>
      <c r="FA1048452" s="242"/>
      <c r="FB1048452" s="242"/>
      <c r="FC1048452" s="242"/>
      <c r="FD1048452" s="242"/>
      <c r="FE1048452" s="242"/>
      <c r="FF1048452" s="242"/>
      <c r="FG1048452" s="242"/>
      <c r="FH1048452" s="242"/>
      <c r="FI1048452" s="242"/>
      <c r="FJ1048452" s="242"/>
      <c r="FK1048452" s="242"/>
      <c r="FL1048452" s="242"/>
      <c r="FM1048452" s="242"/>
      <c r="FN1048452" s="242"/>
      <c r="FO1048452" s="242"/>
      <c r="FP1048452" s="242"/>
      <c r="FQ1048452" s="242"/>
      <c r="FR1048452" s="242"/>
      <c r="FS1048452" s="242"/>
      <c r="FT1048452" s="242"/>
      <c r="FU1048452" s="242"/>
      <c r="FV1048452" s="242"/>
      <c r="FW1048452" s="242"/>
      <c r="FX1048452" s="242"/>
      <c r="FY1048452" s="242"/>
      <c r="FZ1048452" s="242"/>
      <c r="GA1048452" s="242"/>
      <c r="GB1048452" s="242"/>
      <c r="GC1048452" s="242"/>
      <c r="GD1048452" s="242"/>
      <c r="GE1048452" s="242"/>
      <c r="GF1048452" s="242"/>
      <c r="GG1048452" s="242"/>
      <c r="GH1048452" s="242"/>
      <c r="GI1048452" s="242"/>
      <c r="GJ1048452" s="242"/>
      <c r="GK1048452" s="242"/>
      <c r="GL1048452" s="242"/>
      <c r="GM1048452" s="242"/>
      <c r="GN1048452" s="242"/>
      <c r="GO1048452" s="242"/>
      <c r="GP1048452" s="242"/>
      <c r="GQ1048452" s="242"/>
      <c r="GR1048452" s="242"/>
      <c r="GS1048452" s="242"/>
      <c r="GT1048452" s="242"/>
      <c r="GU1048452" s="242"/>
      <c r="GV1048452" s="242"/>
      <c r="GW1048452" s="242"/>
      <c r="GX1048452" s="242"/>
      <c r="GY1048452" s="242"/>
      <c r="GZ1048452" s="242"/>
      <c r="HA1048452" s="242"/>
      <c r="HB1048452" s="242"/>
      <c r="HC1048452" s="242"/>
      <c r="HD1048452" s="242"/>
      <c r="HE1048452" s="242"/>
      <c r="HF1048452" s="242"/>
      <c r="HG1048452" s="242"/>
      <c r="HH1048452" s="242"/>
      <c r="HI1048452" s="242"/>
      <c r="HJ1048452" s="242"/>
      <c r="HK1048452" s="242"/>
      <c r="HL1048452" s="242"/>
      <c r="HM1048452" s="242"/>
      <c r="HN1048452" s="242"/>
      <c r="HO1048452" s="242"/>
      <c r="HP1048452" s="242"/>
      <c r="HQ1048452" s="242"/>
      <c r="HR1048452" s="242"/>
      <c r="HS1048452" s="242"/>
      <c r="HT1048452" s="242"/>
      <c r="HU1048452" s="242"/>
      <c r="HV1048452" s="242"/>
      <c r="HW1048452" s="242"/>
      <c r="HX1048452" s="242"/>
      <c r="HY1048452" s="242"/>
      <c r="HZ1048452" s="242"/>
      <c r="IA1048452" s="242"/>
      <c r="IB1048452" s="242"/>
      <c r="IC1048452" s="242"/>
      <c r="ID1048452" s="242"/>
      <c r="IE1048452" s="242"/>
      <c r="IF1048452" s="242"/>
      <c r="IG1048452" s="242"/>
      <c r="IH1048452" s="242"/>
      <c r="II1048452" s="242"/>
      <c r="IJ1048452" s="242"/>
      <c r="IK1048452" s="242"/>
      <c r="IL1048452" s="242"/>
      <c r="IM1048452" s="242"/>
      <c r="IN1048452" s="242"/>
      <c r="IO1048452" s="242"/>
      <c r="IP1048452" s="242"/>
      <c r="IQ1048452" s="242"/>
    </row>
    <row r="1048453" spans="1:251" s="243" customFormat="1" ht="12" customHeight="1">
      <c r="A1048453" s="242"/>
      <c r="B1048453" s="242"/>
      <c r="C1048453" s="242"/>
      <c r="D1048453" s="242"/>
      <c r="E1048453" s="242"/>
      <c r="F1048453" s="242"/>
      <c r="G1048453" s="242"/>
      <c r="H1048453" s="242"/>
      <c r="I1048453" s="242"/>
      <c r="J1048453" s="242"/>
      <c r="K1048453" s="242"/>
      <c r="L1048453" s="242"/>
      <c r="M1048453" s="242"/>
      <c r="N1048453" s="242"/>
      <c r="O1048453" s="242"/>
      <c r="P1048453" s="242"/>
      <c r="Q1048453" s="242"/>
      <c r="R1048453" s="242"/>
      <c r="S1048453" s="242"/>
      <c r="T1048453" s="242"/>
      <c r="U1048453" s="242"/>
      <c r="V1048453" s="242"/>
      <c r="W1048453" s="242"/>
      <c r="X1048453" s="242"/>
      <c r="Y1048453" s="242"/>
      <c r="Z1048453" s="242"/>
      <c r="AA1048453" s="242"/>
      <c r="AB1048453" s="242"/>
      <c r="AC1048453" s="242"/>
      <c r="AD1048453" s="242"/>
      <c r="AE1048453" s="242"/>
      <c r="AF1048453" s="242"/>
      <c r="AG1048453" s="242"/>
      <c r="AH1048453" s="242"/>
      <c r="AI1048453" s="242"/>
      <c r="AJ1048453" s="242"/>
      <c r="AK1048453" s="242"/>
      <c r="AL1048453" s="242"/>
      <c r="AM1048453" s="242"/>
      <c r="AN1048453" s="242"/>
      <c r="AO1048453" s="242"/>
      <c r="AP1048453" s="242"/>
      <c r="AQ1048453" s="242"/>
      <c r="AR1048453" s="242"/>
      <c r="AS1048453" s="242"/>
      <c r="AT1048453" s="242"/>
      <c r="AU1048453" s="242"/>
      <c r="AV1048453" s="242"/>
      <c r="AW1048453" s="242"/>
      <c r="AX1048453" s="242"/>
      <c r="AY1048453" s="242"/>
      <c r="AZ1048453" s="242"/>
      <c r="BA1048453" s="242"/>
      <c r="BB1048453" s="242"/>
      <c r="BC1048453" s="242"/>
      <c r="BD1048453" s="242"/>
      <c r="BE1048453" s="242"/>
      <c r="BF1048453" s="242"/>
      <c r="BG1048453" s="242"/>
      <c r="BH1048453" s="242"/>
      <c r="BI1048453" s="242"/>
      <c r="BJ1048453" s="242"/>
      <c r="BK1048453" s="242"/>
      <c r="BL1048453" s="242"/>
      <c r="BM1048453" s="242"/>
      <c r="BN1048453" s="242"/>
      <c r="BO1048453" s="242"/>
      <c r="BP1048453" s="242"/>
      <c r="BQ1048453" s="242"/>
      <c r="BR1048453" s="242"/>
      <c r="BS1048453" s="242"/>
      <c r="BT1048453" s="242"/>
      <c r="BU1048453" s="242"/>
      <c r="BV1048453" s="242"/>
      <c r="BW1048453" s="242"/>
      <c r="BX1048453" s="242"/>
      <c r="BY1048453" s="242"/>
      <c r="BZ1048453" s="242"/>
      <c r="CA1048453" s="242"/>
      <c r="CB1048453" s="242"/>
      <c r="CC1048453" s="242"/>
      <c r="CD1048453" s="242"/>
      <c r="CE1048453" s="242"/>
      <c r="CF1048453" s="242"/>
      <c r="CG1048453" s="242"/>
      <c r="CH1048453" s="242"/>
      <c r="CI1048453" s="242"/>
      <c r="CJ1048453" s="242"/>
      <c r="CK1048453" s="242"/>
      <c r="CL1048453" s="242"/>
      <c r="CM1048453" s="242"/>
      <c r="CN1048453" s="242"/>
      <c r="CO1048453" s="242"/>
      <c r="CP1048453" s="242"/>
      <c r="CQ1048453" s="242"/>
      <c r="CR1048453" s="242"/>
      <c r="CS1048453" s="242"/>
      <c r="CT1048453" s="242"/>
      <c r="CU1048453" s="242"/>
      <c r="CV1048453" s="242"/>
      <c r="CW1048453" s="242"/>
      <c r="CX1048453" s="242"/>
      <c r="CY1048453" s="242"/>
      <c r="CZ1048453" s="242"/>
      <c r="DA1048453" s="242"/>
      <c r="DB1048453" s="242"/>
      <c r="DC1048453" s="242"/>
      <c r="DD1048453" s="242"/>
      <c r="DE1048453" s="242"/>
      <c r="DF1048453" s="242"/>
      <c r="DG1048453" s="242"/>
      <c r="DH1048453" s="242"/>
      <c r="DI1048453" s="242"/>
      <c r="DJ1048453" s="242"/>
      <c r="DK1048453" s="242"/>
      <c r="DL1048453" s="242"/>
      <c r="DM1048453" s="242"/>
      <c r="DN1048453" s="242"/>
      <c r="DO1048453" s="242"/>
      <c r="DP1048453" s="242"/>
      <c r="DQ1048453" s="242"/>
      <c r="DR1048453" s="242"/>
      <c r="DS1048453" s="242"/>
      <c r="DT1048453" s="242"/>
      <c r="DU1048453" s="242"/>
      <c r="DV1048453" s="242"/>
      <c r="DW1048453" s="242"/>
      <c r="DX1048453" s="242"/>
      <c r="DY1048453" s="242"/>
      <c r="DZ1048453" s="242"/>
      <c r="EA1048453" s="242"/>
      <c r="EB1048453" s="242"/>
      <c r="EC1048453" s="242"/>
      <c r="ED1048453" s="242"/>
      <c r="EE1048453" s="242"/>
      <c r="EF1048453" s="242"/>
      <c r="EG1048453" s="242"/>
      <c r="EH1048453" s="242"/>
      <c r="EI1048453" s="242"/>
      <c r="EJ1048453" s="242"/>
      <c r="EK1048453" s="242"/>
      <c r="EL1048453" s="242"/>
      <c r="EM1048453" s="242"/>
      <c r="EN1048453" s="242"/>
      <c r="EO1048453" s="242"/>
      <c r="EP1048453" s="242"/>
      <c r="EQ1048453" s="242"/>
      <c r="ER1048453" s="242"/>
      <c r="ES1048453" s="242"/>
      <c r="ET1048453" s="242"/>
      <c r="EU1048453" s="242"/>
      <c r="EV1048453" s="242"/>
      <c r="EW1048453" s="242"/>
      <c r="EX1048453" s="242"/>
      <c r="EY1048453" s="242"/>
      <c r="EZ1048453" s="242"/>
      <c r="FA1048453" s="242"/>
      <c r="FB1048453" s="242"/>
      <c r="FC1048453" s="242"/>
      <c r="FD1048453" s="242"/>
      <c r="FE1048453" s="242"/>
      <c r="FF1048453" s="242"/>
      <c r="FG1048453" s="242"/>
      <c r="FH1048453" s="242"/>
      <c r="FI1048453" s="242"/>
      <c r="FJ1048453" s="242"/>
      <c r="FK1048453" s="242"/>
      <c r="FL1048453" s="242"/>
      <c r="FM1048453" s="242"/>
      <c r="FN1048453" s="242"/>
      <c r="FO1048453" s="242"/>
      <c r="FP1048453" s="242"/>
      <c r="FQ1048453" s="242"/>
      <c r="FR1048453" s="242"/>
      <c r="FS1048453" s="242"/>
      <c r="FT1048453" s="242"/>
      <c r="FU1048453" s="242"/>
      <c r="FV1048453" s="242"/>
      <c r="FW1048453" s="242"/>
      <c r="FX1048453" s="242"/>
      <c r="FY1048453" s="242"/>
      <c r="FZ1048453" s="242"/>
      <c r="GA1048453" s="242"/>
      <c r="GB1048453" s="242"/>
      <c r="GC1048453" s="242"/>
      <c r="GD1048453" s="242"/>
      <c r="GE1048453" s="242"/>
      <c r="GF1048453" s="242"/>
      <c r="GG1048453" s="242"/>
      <c r="GH1048453" s="242"/>
      <c r="GI1048453" s="242"/>
      <c r="GJ1048453" s="242"/>
      <c r="GK1048453" s="242"/>
      <c r="GL1048453" s="242"/>
      <c r="GM1048453" s="242"/>
      <c r="GN1048453" s="242"/>
      <c r="GO1048453" s="242"/>
      <c r="GP1048453" s="242"/>
      <c r="GQ1048453" s="242"/>
      <c r="GR1048453" s="242"/>
      <c r="GS1048453" s="242"/>
      <c r="GT1048453" s="242"/>
      <c r="GU1048453" s="242"/>
      <c r="GV1048453" s="242"/>
      <c r="GW1048453" s="242"/>
      <c r="GX1048453" s="242"/>
      <c r="GY1048453" s="242"/>
      <c r="GZ1048453" s="242"/>
      <c r="HA1048453" s="242"/>
      <c r="HB1048453" s="242"/>
      <c r="HC1048453" s="242"/>
      <c r="HD1048453" s="242"/>
      <c r="HE1048453" s="242"/>
      <c r="HF1048453" s="242"/>
      <c r="HG1048453" s="242"/>
      <c r="HH1048453" s="242"/>
      <c r="HI1048453" s="242"/>
      <c r="HJ1048453" s="242"/>
      <c r="HK1048453" s="242"/>
      <c r="HL1048453" s="242"/>
      <c r="HM1048453" s="242"/>
      <c r="HN1048453" s="242"/>
      <c r="HO1048453" s="242"/>
      <c r="HP1048453" s="242"/>
      <c r="HQ1048453" s="242"/>
      <c r="HR1048453" s="242"/>
      <c r="HS1048453" s="242"/>
      <c r="HT1048453" s="242"/>
      <c r="HU1048453" s="242"/>
      <c r="HV1048453" s="242"/>
      <c r="HW1048453" s="242"/>
      <c r="HX1048453" s="242"/>
      <c r="HY1048453" s="242"/>
      <c r="HZ1048453" s="242"/>
      <c r="IA1048453" s="242"/>
      <c r="IB1048453" s="242"/>
      <c r="IC1048453" s="242"/>
      <c r="ID1048453" s="242"/>
      <c r="IE1048453" s="242"/>
      <c r="IF1048453" s="242"/>
      <c r="IG1048453" s="242"/>
      <c r="IH1048453" s="242"/>
      <c r="II1048453" s="242"/>
      <c r="IJ1048453" s="242"/>
      <c r="IK1048453" s="242"/>
      <c r="IL1048453" s="242"/>
      <c r="IM1048453" s="242"/>
      <c r="IN1048453" s="242"/>
      <c r="IO1048453" s="242"/>
      <c r="IP1048453" s="242"/>
      <c r="IQ1048453" s="242"/>
    </row>
    <row r="1048454" spans="1:251" s="243" customFormat="1" ht="12" customHeight="1">
      <c r="A1048454" s="242"/>
      <c r="B1048454" s="242"/>
      <c r="C1048454" s="242"/>
      <c r="D1048454" s="242"/>
      <c r="E1048454" s="242"/>
      <c r="F1048454" s="242"/>
      <c r="G1048454" s="242"/>
      <c r="H1048454" s="242"/>
      <c r="I1048454" s="242"/>
      <c r="J1048454" s="242"/>
      <c r="K1048454" s="242"/>
      <c r="L1048454" s="242"/>
      <c r="M1048454" s="242"/>
      <c r="N1048454" s="242"/>
      <c r="O1048454" s="242"/>
      <c r="P1048454" s="242"/>
      <c r="Q1048454" s="242"/>
      <c r="R1048454" s="242"/>
      <c r="S1048454" s="242"/>
      <c r="T1048454" s="242"/>
      <c r="U1048454" s="242"/>
      <c r="V1048454" s="242"/>
      <c r="W1048454" s="242"/>
      <c r="X1048454" s="242"/>
      <c r="Y1048454" s="242"/>
      <c r="Z1048454" s="242"/>
      <c r="AA1048454" s="242"/>
      <c r="AB1048454" s="242"/>
      <c r="AC1048454" s="242"/>
      <c r="AD1048454" s="242"/>
      <c r="AE1048454" s="242"/>
      <c r="AF1048454" s="242"/>
      <c r="AG1048454" s="242"/>
      <c r="AH1048454" s="242"/>
      <c r="AI1048454" s="242"/>
      <c r="AJ1048454" s="242"/>
      <c r="AK1048454" s="242"/>
      <c r="AL1048454" s="242"/>
      <c r="AM1048454" s="242"/>
      <c r="AN1048454" s="242"/>
      <c r="AO1048454" s="242"/>
      <c r="AP1048454" s="242"/>
      <c r="AQ1048454" s="242"/>
      <c r="AR1048454" s="242"/>
      <c r="AS1048454" s="242"/>
      <c r="AT1048454" s="242"/>
      <c r="AU1048454" s="242"/>
      <c r="AV1048454" s="242"/>
      <c r="AW1048454" s="242"/>
      <c r="AX1048454" s="242"/>
      <c r="AY1048454" s="242"/>
      <c r="AZ1048454" s="242"/>
      <c r="BA1048454" s="242"/>
      <c r="BB1048454" s="242"/>
      <c r="BC1048454" s="242"/>
      <c r="BD1048454" s="242"/>
      <c r="BE1048454" s="242"/>
      <c r="BF1048454" s="242"/>
      <c r="BG1048454" s="242"/>
      <c r="BH1048454" s="242"/>
      <c r="BI1048454" s="242"/>
      <c r="BJ1048454" s="242"/>
      <c r="BK1048454" s="242"/>
      <c r="BL1048454" s="242"/>
      <c r="BM1048454" s="242"/>
      <c r="BN1048454" s="242"/>
      <c r="BO1048454" s="242"/>
      <c r="BP1048454" s="242"/>
      <c r="BQ1048454" s="242"/>
      <c r="BR1048454" s="242"/>
      <c r="BS1048454" s="242"/>
      <c r="BT1048454" s="242"/>
      <c r="BU1048454" s="242"/>
      <c r="BV1048454" s="242"/>
      <c r="BW1048454" s="242"/>
      <c r="BX1048454" s="242"/>
      <c r="BY1048454" s="242"/>
      <c r="BZ1048454" s="242"/>
      <c r="CA1048454" s="242"/>
      <c r="CB1048454" s="242"/>
      <c r="CC1048454" s="242"/>
      <c r="CD1048454" s="242"/>
      <c r="CE1048454" s="242"/>
      <c r="CF1048454" s="242"/>
      <c r="CG1048454" s="242"/>
      <c r="CH1048454" s="242"/>
      <c r="CI1048454" s="242"/>
      <c r="CJ1048454" s="242"/>
      <c r="CK1048454" s="242"/>
      <c r="CL1048454" s="242"/>
      <c r="CM1048454" s="242"/>
      <c r="CN1048454" s="242"/>
      <c r="CO1048454" s="242"/>
      <c r="CP1048454" s="242"/>
      <c r="CQ1048454" s="242"/>
      <c r="CR1048454" s="242"/>
      <c r="CS1048454" s="242"/>
      <c r="CT1048454" s="242"/>
      <c r="CU1048454" s="242"/>
      <c r="CV1048454" s="242"/>
      <c r="CW1048454" s="242"/>
      <c r="CX1048454" s="242"/>
      <c r="CY1048454" s="242"/>
      <c r="CZ1048454" s="242"/>
      <c r="DA1048454" s="242"/>
      <c r="DB1048454" s="242"/>
      <c r="DC1048454" s="242"/>
      <c r="DD1048454" s="242"/>
      <c r="DE1048454" s="242"/>
      <c r="DF1048454" s="242"/>
      <c r="DG1048454" s="242"/>
      <c r="DH1048454" s="242"/>
      <c r="DI1048454" s="242"/>
      <c r="DJ1048454" s="242"/>
      <c r="DK1048454" s="242"/>
      <c r="DL1048454" s="242"/>
      <c r="DM1048454" s="242"/>
      <c r="DN1048454" s="242"/>
      <c r="DO1048454" s="242"/>
      <c r="DP1048454" s="242"/>
      <c r="DQ1048454" s="242"/>
      <c r="DR1048454" s="242"/>
      <c r="DS1048454" s="242"/>
      <c r="DT1048454" s="242"/>
      <c r="DU1048454" s="242"/>
      <c r="DV1048454" s="242"/>
      <c r="DW1048454" s="242"/>
      <c r="DX1048454" s="242"/>
      <c r="DY1048454" s="242"/>
      <c r="DZ1048454" s="242"/>
      <c r="EA1048454" s="242"/>
      <c r="EB1048454" s="242"/>
      <c r="EC1048454" s="242"/>
      <c r="ED1048454" s="242"/>
      <c r="EE1048454" s="242"/>
      <c r="EF1048454" s="242"/>
      <c r="EG1048454" s="242"/>
      <c r="EH1048454" s="242"/>
      <c r="EI1048454" s="242"/>
      <c r="EJ1048454" s="242"/>
      <c r="EK1048454" s="242"/>
      <c r="EL1048454" s="242"/>
      <c r="EM1048454" s="242"/>
      <c r="EN1048454" s="242"/>
      <c r="EO1048454" s="242"/>
      <c r="EP1048454" s="242"/>
      <c r="EQ1048454" s="242"/>
      <c r="ER1048454" s="242"/>
      <c r="ES1048454" s="242"/>
      <c r="ET1048454" s="242"/>
      <c r="EU1048454" s="242"/>
      <c r="EV1048454" s="242"/>
      <c r="EW1048454" s="242"/>
      <c r="EX1048454" s="242"/>
      <c r="EY1048454" s="242"/>
      <c r="EZ1048454" s="242"/>
      <c r="FA1048454" s="242"/>
      <c r="FB1048454" s="242"/>
      <c r="FC1048454" s="242"/>
      <c r="FD1048454" s="242"/>
      <c r="FE1048454" s="242"/>
      <c r="FF1048454" s="242"/>
      <c r="FG1048454" s="242"/>
      <c r="FH1048454" s="242"/>
      <c r="FI1048454" s="242"/>
      <c r="FJ1048454" s="242"/>
      <c r="FK1048454" s="242"/>
      <c r="FL1048454" s="242"/>
      <c r="FM1048454" s="242"/>
      <c r="FN1048454" s="242"/>
      <c r="FO1048454" s="242"/>
      <c r="FP1048454" s="242"/>
      <c r="FQ1048454" s="242"/>
      <c r="FR1048454" s="242"/>
      <c r="FS1048454" s="242"/>
      <c r="FT1048454" s="242"/>
      <c r="FU1048454" s="242"/>
      <c r="FV1048454" s="242"/>
      <c r="FW1048454" s="242"/>
      <c r="FX1048454" s="242"/>
      <c r="FY1048454" s="242"/>
      <c r="FZ1048454" s="242"/>
      <c r="GA1048454" s="242"/>
      <c r="GB1048454" s="242"/>
      <c r="GC1048454" s="242"/>
      <c r="GD1048454" s="242"/>
      <c r="GE1048454" s="242"/>
      <c r="GF1048454" s="242"/>
      <c r="GG1048454" s="242"/>
      <c r="GH1048454" s="242"/>
      <c r="GI1048454" s="242"/>
      <c r="GJ1048454" s="242"/>
      <c r="GK1048454" s="242"/>
      <c r="GL1048454" s="242"/>
      <c r="GM1048454" s="242"/>
      <c r="GN1048454" s="242"/>
      <c r="GO1048454" s="242"/>
      <c r="GP1048454" s="242"/>
      <c r="GQ1048454" s="242"/>
      <c r="GR1048454" s="242"/>
      <c r="GS1048454" s="242"/>
      <c r="GT1048454" s="242"/>
      <c r="GU1048454" s="242"/>
      <c r="GV1048454" s="242"/>
      <c r="GW1048454" s="242"/>
      <c r="GX1048454" s="242"/>
      <c r="GY1048454" s="242"/>
      <c r="GZ1048454" s="242"/>
      <c r="HA1048454" s="242"/>
      <c r="HB1048454" s="242"/>
      <c r="HC1048454" s="242"/>
      <c r="HD1048454" s="242"/>
      <c r="HE1048454" s="242"/>
      <c r="HF1048454" s="242"/>
      <c r="HG1048454" s="242"/>
      <c r="HH1048454" s="242"/>
      <c r="HI1048454" s="242"/>
      <c r="HJ1048454" s="242"/>
      <c r="HK1048454" s="242"/>
      <c r="HL1048454" s="242"/>
      <c r="HM1048454" s="242"/>
      <c r="HN1048454" s="242"/>
      <c r="HO1048454" s="242"/>
      <c r="HP1048454" s="242"/>
      <c r="HQ1048454" s="242"/>
      <c r="HR1048454" s="242"/>
      <c r="HS1048454" s="242"/>
      <c r="HT1048454" s="242"/>
      <c r="HU1048454" s="242"/>
      <c r="HV1048454" s="242"/>
      <c r="HW1048454" s="242"/>
      <c r="HX1048454" s="242"/>
      <c r="HY1048454" s="242"/>
      <c r="HZ1048454" s="242"/>
      <c r="IA1048454" s="242"/>
      <c r="IB1048454" s="242"/>
      <c r="IC1048454" s="242"/>
      <c r="ID1048454" s="242"/>
      <c r="IE1048454" s="242"/>
      <c r="IF1048454" s="242"/>
      <c r="IG1048454" s="242"/>
      <c r="IH1048454" s="242"/>
      <c r="II1048454" s="242"/>
      <c r="IJ1048454" s="242"/>
      <c r="IK1048454" s="242"/>
      <c r="IL1048454" s="242"/>
      <c r="IM1048454" s="242"/>
      <c r="IN1048454" s="242"/>
      <c r="IO1048454" s="242"/>
      <c r="IP1048454" s="242"/>
      <c r="IQ1048454" s="242"/>
    </row>
    <row r="1048455" spans="1:251" s="243" customFormat="1" ht="12" customHeight="1">
      <c r="A1048455" s="242"/>
      <c r="B1048455" s="242"/>
      <c r="C1048455" s="242"/>
      <c r="D1048455" s="242"/>
      <c r="E1048455" s="242"/>
      <c r="F1048455" s="242"/>
      <c r="G1048455" s="242"/>
      <c r="H1048455" s="242"/>
      <c r="I1048455" s="242"/>
      <c r="J1048455" s="242"/>
      <c r="K1048455" s="242"/>
      <c r="L1048455" s="242"/>
      <c r="M1048455" s="242"/>
      <c r="N1048455" s="242"/>
      <c r="O1048455" s="242"/>
      <c r="P1048455" s="242"/>
      <c r="Q1048455" s="242"/>
      <c r="R1048455" s="242"/>
      <c r="S1048455" s="242"/>
      <c r="T1048455" s="242"/>
      <c r="U1048455" s="242"/>
      <c r="V1048455" s="242"/>
      <c r="W1048455" s="242"/>
      <c r="X1048455" s="242"/>
      <c r="Y1048455" s="242"/>
      <c r="Z1048455" s="242"/>
      <c r="AA1048455" s="242"/>
      <c r="AB1048455" s="242"/>
      <c r="AC1048455" s="242"/>
      <c r="AD1048455" s="242"/>
      <c r="AE1048455" s="242"/>
      <c r="AF1048455" s="242"/>
      <c r="AG1048455" s="242"/>
      <c r="AH1048455" s="242"/>
      <c r="AI1048455" s="242"/>
      <c r="AJ1048455" s="242"/>
      <c r="AK1048455" s="242"/>
      <c r="AL1048455" s="242"/>
      <c r="AM1048455" s="242"/>
      <c r="AN1048455" s="242"/>
      <c r="AO1048455" s="242"/>
      <c r="AP1048455" s="242"/>
      <c r="AQ1048455" s="242"/>
      <c r="AR1048455" s="242"/>
      <c r="AS1048455" s="242"/>
      <c r="AT1048455" s="242"/>
      <c r="AU1048455" s="242"/>
      <c r="AV1048455" s="242"/>
      <c r="AW1048455" s="242"/>
      <c r="AX1048455" s="242"/>
      <c r="AY1048455" s="242"/>
      <c r="AZ1048455" s="242"/>
      <c r="BA1048455" s="242"/>
      <c r="BB1048455" s="242"/>
      <c r="BC1048455" s="242"/>
      <c r="BD1048455" s="242"/>
      <c r="BE1048455" s="242"/>
      <c r="BF1048455" s="242"/>
      <c r="BG1048455" s="242"/>
      <c r="BH1048455" s="242"/>
      <c r="BI1048455" s="242"/>
      <c r="BJ1048455" s="242"/>
      <c r="BK1048455" s="242"/>
      <c r="BL1048455" s="242"/>
      <c r="BM1048455" s="242"/>
      <c r="BN1048455" s="242"/>
      <c r="BO1048455" s="242"/>
      <c r="BP1048455" s="242"/>
      <c r="BQ1048455" s="242"/>
      <c r="BR1048455" s="242"/>
      <c r="BS1048455" s="242"/>
      <c r="BT1048455" s="242"/>
      <c r="BU1048455" s="242"/>
      <c r="BV1048455" s="242"/>
      <c r="BW1048455" s="242"/>
      <c r="BX1048455" s="242"/>
      <c r="BY1048455" s="242"/>
      <c r="BZ1048455" s="242"/>
      <c r="CA1048455" s="242"/>
      <c r="CB1048455" s="242"/>
      <c r="CC1048455" s="242"/>
      <c r="CD1048455" s="242"/>
      <c r="CE1048455" s="242"/>
      <c r="CF1048455" s="242"/>
      <c r="CG1048455" s="242"/>
      <c r="CH1048455" s="242"/>
      <c r="CI1048455" s="242"/>
      <c r="CJ1048455" s="242"/>
      <c r="CK1048455" s="242"/>
      <c r="CL1048455" s="242"/>
      <c r="CM1048455" s="242"/>
      <c r="CN1048455" s="242"/>
      <c r="CO1048455" s="242"/>
      <c r="CP1048455" s="242"/>
      <c r="CQ1048455" s="242"/>
      <c r="CR1048455" s="242"/>
      <c r="CS1048455" s="242"/>
      <c r="CT1048455" s="242"/>
      <c r="CU1048455" s="242"/>
      <c r="CV1048455" s="242"/>
      <c r="CW1048455" s="242"/>
      <c r="CX1048455" s="242"/>
      <c r="CY1048455" s="242"/>
      <c r="CZ1048455" s="242"/>
      <c r="DA1048455" s="242"/>
      <c r="DB1048455" s="242"/>
      <c r="DC1048455" s="242"/>
      <c r="DD1048455" s="242"/>
      <c r="DE1048455" s="242"/>
      <c r="DF1048455" s="242"/>
      <c r="DG1048455" s="242"/>
      <c r="DH1048455" s="242"/>
      <c r="DI1048455" s="242"/>
      <c r="DJ1048455" s="242"/>
      <c r="DK1048455" s="242"/>
      <c r="DL1048455" s="242"/>
      <c r="DM1048455" s="242"/>
      <c r="DN1048455" s="242"/>
      <c r="DO1048455" s="242"/>
      <c r="DP1048455" s="242"/>
      <c r="DQ1048455" s="242"/>
      <c r="DR1048455" s="242"/>
      <c r="DS1048455" s="242"/>
      <c r="DT1048455" s="242"/>
      <c r="DU1048455" s="242"/>
      <c r="DV1048455" s="242"/>
      <c r="DW1048455" s="242"/>
      <c r="DX1048455" s="242"/>
      <c r="DY1048455" s="242"/>
      <c r="DZ1048455" s="242"/>
      <c r="EA1048455" s="242"/>
      <c r="EB1048455" s="242"/>
      <c r="EC1048455" s="242"/>
      <c r="ED1048455" s="242"/>
      <c r="EE1048455" s="242"/>
      <c r="EF1048455" s="242"/>
      <c r="EG1048455" s="242"/>
      <c r="EH1048455" s="242"/>
      <c r="EI1048455" s="242"/>
      <c r="EJ1048455" s="242"/>
      <c r="EK1048455" s="242"/>
      <c r="EL1048455" s="242"/>
      <c r="EM1048455" s="242"/>
      <c r="EN1048455" s="242"/>
      <c r="EO1048455" s="242"/>
      <c r="EP1048455" s="242"/>
      <c r="EQ1048455" s="242"/>
      <c r="ER1048455" s="242"/>
      <c r="ES1048455" s="242"/>
      <c r="ET1048455" s="242"/>
      <c r="EU1048455" s="242"/>
      <c r="EV1048455" s="242"/>
      <c r="EW1048455" s="242"/>
      <c r="EX1048455" s="242"/>
      <c r="EY1048455" s="242"/>
      <c r="EZ1048455" s="242"/>
      <c r="FA1048455" s="242"/>
      <c r="FB1048455" s="242"/>
      <c r="FC1048455" s="242"/>
      <c r="FD1048455" s="242"/>
      <c r="FE1048455" s="242"/>
      <c r="FF1048455" s="242"/>
      <c r="FG1048455" s="242"/>
      <c r="FH1048455" s="242"/>
      <c r="FI1048455" s="242"/>
      <c r="FJ1048455" s="242"/>
      <c r="FK1048455" s="242"/>
      <c r="FL1048455" s="242"/>
      <c r="FM1048455" s="242"/>
      <c r="FN1048455" s="242"/>
      <c r="FO1048455" s="242"/>
      <c r="FP1048455" s="242"/>
      <c r="FQ1048455" s="242"/>
      <c r="FR1048455" s="242"/>
      <c r="FS1048455" s="242"/>
      <c r="FT1048455" s="242"/>
      <c r="FU1048455" s="242"/>
      <c r="FV1048455" s="242"/>
      <c r="FW1048455" s="242"/>
      <c r="FX1048455" s="242"/>
      <c r="FY1048455" s="242"/>
      <c r="FZ1048455" s="242"/>
      <c r="GA1048455" s="242"/>
      <c r="GB1048455" s="242"/>
      <c r="GC1048455" s="242"/>
      <c r="GD1048455" s="242"/>
      <c r="GE1048455" s="242"/>
      <c r="GF1048455" s="242"/>
      <c r="GG1048455" s="242"/>
      <c r="GH1048455" s="242"/>
      <c r="GI1048455" s="242"/>
      <c r="GJ1048455" s="242"/>
      <c r="GK1048455" s="242"/>
      <c r="GL1048455" s="242"/>
      <c r="GM1048455" s="242"/>
      <c r="GN1048455" s="242"/>
      <c r="GO1048455" s="242"/>
      <c r="GP1048455" s="242"/>
      <c r="GQ1048455" s="242"/>
      <c r="GR1048455" s="242"/>
      <c r="GS1048455" s="242"/>
      <c r="GT1048455" s="242"/>
      <c r="GU1048455" s="242"/>
      <c r="GV1048455" s="242"/>
      <c r="GW1048455" s="242"/>
      <c r="GX1048455" s="242"/>
      <c r="GY1048455" s="242"/>
      <c r="GZ1048455" s="242"/>
      <c r="HA1048455" s="242"/>
      <c r="HB1048455" s="242"/>
      <c r="HC1048455" s="242"/>
      <c r="HD1048455" s="242"/>
      <c r="HE1048455" s="242"/>
      <c r="HF1048455" s="242"/>
      <c r="HG1048455" s="242"/>
      <c r="HH1048455" s="242"/>
      <c r="HI1048455" s="242"/>
      <c r="HJ1048455" s="242"/>
      <c r="HK1048455" s="242"/>
      <c r="HL1048455" s="242"/>
      <c r="HM1048455" s="242"/>
      <c r="HN1048455" s="242"/>
      <c r="HO1048455" s="242"/>
      <c r="HP1048455" s="242"/>
      <c r="HQ1048455" s="242"/>
      <c r="HR1048455" s="242"/>
      <c r="HS1048455" s="242"/>
      <c r="HT1048455" s="242"/>
      <c r="HU1048455" s="242"/>
      <c r="HV1048455" s="242"/>
      <c r="HW1048455" s="242"/>
      <c r="HX1048455" s="242"/>
      <c r="HY1048455" s="242"/>
      <c r="HZ1048455" s="242"/>
      <c r="IA1048455" s="242"/>
      <c r="IB1048455" s="242"/>
      <c r="IC1048455" s="242"/>
      <c r="ID1048455" s="242"/>
      <c r="IE1048455" s="242"/>
      <c r="IF1048455" s="242"/>
      <c r="IG1048455" s="242"/>
      <c r="IH1048455" s="242"/>
      <c r="II1048455" s="242"/>
      <c r="IJ1048455" s="242"/>
      <c r="IK1048455" s="242"/>
      <c r="IL1048455" s="242"/>
      <c r="IM1048455" s="242"/>
      <c r="IN1048455" s="242"/>
      <c r="IO1048455" s="242"/>
      <c r="IP1048455" s="242"/>
      <c r="IQ1048455" s="242"/>
    </row>
    <row r="1048456" spans="1:251" s="243" customFormat="1" ht="12" customHeight="1">
      <c r="A1048456" s="242"/>
      <c r="B1048456" s="242"/>
      <c r="C1048456" s="242"/>
      <c r="D1048456" s="242"/>
      <c r="E1048456" s="242"/>
      <c r="F1048456" s="242"/>
      <c r="G1048456" s="242"/>
      <c r="H1048456" s="242"/>
      <c r="I1048456" s="242"/>
      <c r="J1048456" s="242"/>
      <c r="K1048456" s="242"/>
      <c r="L1048456" s="242"/>
      <c r="M1048456" s="242"/>
      <c r="N1048456" s="242"/>
      <c r="O1048456" s="242"/>
      <c r="P1048456" s="242"/>
      <c r="Q1048456" s="242"/>
      <c r="R1048456" s="242"/>
      <c r="S1048456" s="242"/>
      <c r="T1048456" s="242"/>
      <c r="U1048456" s="242"/>
      <c r="V1048456" s="242"/>
      <c r="W1048456" s="242"/>
      <c r="X1048456" s="242"/>
      <c r="Y1048456" s="242"/>
      <c r="Z1048456" s="242"/>
      <c r="AA1048456" s="242"/>
      <c r="AB1048456" s="242"/>
      <c r="AC1048456" s="242"/>
      <c r="AD1048456" s="242"/>
      <c r="AE1048456" s="242"/>
      <c r="AF1048456" s="242"/>
      <c r="AG1048456" s="242"/>
      <c r="AH1048456" s="242"/>
      <c r="AI1048456" s="242"/>
      <c r="AJ1048456" s="242"/>
      <c r="AK1048456" s="242"/>
      <c r="AL1048456" s="242"/>
      <c r="AM1048456" s="242"/>
      <c r="AN1048456" s="242"/>
      <c r="AO1048456" s="242"/>
      <c r="AP1048456" s="242"/>
      <c r="AQ1048456" s="242"/>
      <c r="AR1048456" s="242"/>
      <c r="AS1048456" s="242"/>
      <c r="AT1048456" s="242"/>
      <c r="AU1048456" s="242"/>
      <c r="AV1048456" s="242"/>
      <c r="AW1048456" s="242"/>
      <c r="AX1048456" s="242"/>
      <c r="AY1048456" s="242"/>
      <c r="AZ1048456" s="242"/>
      <c r="BA1048456" s="242"/>
      <c r="BB1048456" s="242"/>
      <c r="BC1048456" s="242"/>
      <c r="BD1048456" s="242"/>
      <c r="BE1048456" s="242"/>
      <c r="BF1048456" s="242"/>
      <c r="BG1048456" s="242"/>
      <c r="BH1048456" s="242"/>
      <c r="BI1048456" s="242"/>
      <c r="BJ1048456" s="242"/>
      <c r="BK1048456" s="242"/>
      <c r="BL1048456" s="242"/>
      <c r="BM1048456" s="242"/>
      <c r="BN1048456" s="242"/>
      <c r="BO1048456" s="242"/>
      <c r="BP1048456" s="242"/>
      <c r="BQ1048456" s="242"/>
      <c r="BR1048456" s="242"/>
      <c r="BS1048456" s="242"/>
      <c r="BT1048456" s="242"/>
      <c r="BU1048456" s="242"/>
      <c r="BV1048456" s="242"/>
      <c r="BW1048456" s="242"/>
      <c r="BX1048456" s="242"/>
      <c r="BY1048456" s="242"/>
      <c r="BZ1048456" s="242"/>
      <c r="CA1048456" s="242"/>
      <c r="CB1048456" s="242"/>
      <c r="CC1048456" s="242"/>
      <c r="CD1048456" s="242"/>
      <c r="CE1048456" s="242"/>
      <c r="CF1048456" s="242"/>
      <c r="CG1048456" s="242"/>
      <c r="CH1048456" s="242"/>
      <c r="CI1048456" s="242"/>
      <c r="CJ1048456" s="242"/>
      <c r="CK1048456" s="242"/>
      <c r="CL1048456" s="242"/>
      <c r="CM1048456" s="242"/>
      <c r="CN1048456" s="242"/>
      <c r="CO1048456" s="242"/>
      <c r="CP1048456" s="242"/>
      <c r="CQ1048456" s="242"/>
      <c r="CR1048456" s="242"/>
      <c r="CS1048456" s="242"/>
      <c r="CT1048456" s="242"/>
      <c r="CU1048456" s="242"/>
      <c r="CV1048456" s="242"/>
      <c r="CW1048456" s="242"/>
      <c r="CX1048456" s="242"/>
      <c r="CY1048456" s="242"/>
      <c r="CZ1048456" s="242"/>
      <c r="DA1048456" s="242"/>
      <c r="DB1048456" s="242"/>
      <c r="DC1048456" s="242"/>
      <c r="DD1048456" s="242"/>
      <c r="DE1048456" s="242"/>
      <c r="DF1048456" s="242"/>
      <c r="DG1048456" s="242"/>
      <c r="DH1048456" s="242"/>
      <c r="DI1048456" s="242"/>
      <c r="DJ1048456" s="242"/>
      <c r="DK1048456" s="242"/>
      <c r="DL1048456" s="242"/>
      <c r="DM1048456" s="242"/>
      <c r="DN1048456" s="242"/>
      <c r="DO1048456" s="242"/>
      <c r="DP1048456" s="242"/>
      <c r="DQ1048456" s="242"/>
      <c r="DR1048456" s="242"/>
      <c r="DS1048456" s="242"/>
      <c r="DT1048456" s="242"/>
      <c r="DU1048456" s="242"/>
      <c r="DV1048456" s="242"/>
      <c r="DW1048456" s="242"/>
      <c r="DX1048456" s="242"/>
      <c r="DY1048456" s="242"/>
      <c r="DZ1048456" s="242"/>
      <c r="EA1048456" s="242"/>
      <c r="EB1048456" s="242"/>
      <c r="EC1048456" s="242"/>
      <c r="ED1048456" s="242"/>
      <c r="EE1048456" s="242"/>
      <c r="EF1048456" s="242"/>
      <c r="EG1048456" s="242"/>
      <c r="EH1048456" s="242"/>
      <c r="EI1048456" s="242"/>
      <c r="EJ1048456" s="242"/>
      <c r="EK1048456" s="242"/>
      <c r="EL1048456" s="242"/>
      <c r="EM1048456" s="242"/>
      <c r="EN1048456" s="242"/>
      <c r="EO1048456" s="242"/>
      <c r="EP1048456" s="242"/>
      <c r="EQ1048456" s="242"/>
      <c r="ER1048456" s="242"/>
      <c r="ES1048456" s="242"/>
      <c r="ET1048456" s="242"/>
      <c r="EU1048456" s="242"/>
      <c r="EV1048456" s="242"/>
      <c r="EW1048456" s="242"/>
      <c r="EX1048456" s="242"/>
      <c r="EY1048456" s="242"/>
      <c r="EZ1048456" s="242"/>
      <c r="FA1048456" s="242"/>
      <c r="FB1048456" s="242"/>
      <c r="FC1048456" s="242"/>
      <c r="FD1048456" s="242"/>
      <c r="FE1048456" s="242"/>
      <c r="FF1048456" s="242"/>
      <c r="FG1048456" s="242"/>
      <c r="FH1048456" s="242"/>
      <c r="FI1048456" s="242"/>
      <c r="FJ1048456" s="242"/>
      <c r="FK1048456" s="242"/>
      <c r="FL1048456" s="242"/>
      <c r="FM1048456" s="242"/>
      <c r="FN1048456" s="242"/>
      <c r="FO1048456" s="242"/>
      <c r="FP1048456" s="242"/>
      <c r="FQ1048456" s="242"/>
      <c r="FR1048456" s="242"/>
      <c r="FS1048456" s="242"/>
      <c r="FT1048456" s="242"/>
      <c r="FU1048456" s="242"/>
      <c r="FV1048456" s="242"/>
      <c r="FW1048456" s="242"/>
      <c r="FX1048456" s="242"/>
      <c r="FY1048456" s="242"/>
      <c r="FZ1048456" s="242"/>
      <c r="GA1048456" s="242"/>
      <c r="GB1048456" s="242"/>
      <c r="GC1048456" s="242"/>
      <c r="GD1048456" s="242"/>
      <c r="GE1048456" s="242"/>
      <c r="GF1048456" s="242"/>
      <c r="GG1048456" s="242"/>
      <c r="GH1048456" s="242"/>
      <c r="GI1048456" s="242"/>
      <c r="GJ1048456" s="242"/>
      <c r="GK1048456" s="242"/>
      <c r="GL1048456" s="242"/>
      <c r="GM1048456" s="242"/>
      <c r="GN1048456" s="242"/>
      <c r="GO1048456" s="242"/>
      <c r="GP1048456" s="242"/>
      <c r="GQ1048456" s="242"/>
      <c r="GR1048456" s="242"/>
      <c r="GS1048456" s="242"/>
      <c r="GT1048456" s="242"/>
      <c r="GU1048456" s="242"/>
      <c r="GV1048456" s="242"/>
      <c r="GW1048456" s="242"/>
      <c r="GX1048456" s="242"/>
      <c r="GY1048456" s="242"/>
      <c r="GZ1048456" s="242"/>
      <c r="HA1048456" s="242"/>
      <c r="HB1048456" s="242"/>
      <c r="HC1048456" s="242"/>
      <c r="HD1048456" s="242"/>
      <c r="HE1048456" s="242"/>
      <c r="HF1048456" s="242"/>
      <c r="HG1048456" s="242"/>
      <c r="HH1048456" s="242"/>
      <c r="HI1048456" s="242"/>
      <c r="HJ1048456" s="242"/>
      <c r="HK1048456" s="242"/>
      <c r="HL1048456" s="242"/>
      <c r="HM1048456" s="242"/>
      <c r="HN1048456" s="242"/>
      <c r="HO1048456" s="242"/>
      <c r="HP1048456" s="242"/>
      <c r="HQ1048456" s="242"/>
      <c r="HR1048456" s="242"/>
      <c r="HS1048456" s="242"/>
      <c r="HT1048456" s="242"/>
      <c r="HU1048456" s="242"/>
      <c r="HV1048456" s="242"/>
      <c r="HW1048456" s="242"/>
      <c r="HX1048456" s="242"/>
      <c r="HY1048456" s="242"/>
      <c r="HZ1048456" s="242"/>
      <c r="IA1048456" s="242"/>
      <c r="IB1048456" s="242"/>
      <c r="IC1048456" s="242"/>
      <c r="ID1048456" s="242"/>
      <c r="IE1048456" s="242"/>
      <c r="IF1048456" s="242"/>
      <c r="IG1048456" s="242"/>
      <c r="IH1048456" s="242"/>
      <c r="II1048456" s="242"/>
      <c r="IJ1048456" s="242"/>
      <c r="IK1048456" s="242"/>
      <c r="IL1048456" s="242"/>
      <c r="IM1048456" s="242"/>
      <c r="IN1048456" s="242"/>
      <c r="IO1048456" s="242"/>
      <c r="IP1048456" s="242"/>
      <c r="IQ1048456" s="242"/>
    </row>
    <row r="1048457" spans="1:251" s="243" customFormat="1" ht="12" customHeight="1">
      <c r="A1048457" s="242"/>
      <c r="B1048457" s="242"/>
      <c r="C1048457" s="242"/>
      <c r="D1048457" s="242"/>
      <c r="E1048457" s="242"/>
      <c r="F1048457" s="242"/>
      <c r="G1048457" s="242"/>
      <c r="H1048457" s="242"/>
      <c r="I1048457" s="242"/>
      <c r="J1048457" s="242"/>
      <c r="K1048457" s="242"/>
      <c r="L1048457" s="242"/>
      <c r="M1048457" s="242"/>
      <c r="N1048457" s="242"/>
      <c r="O1048457" s="242"/>
      <c r="P1048457" s="242"/>
      <c r="Q1048457" s="242"/>
      <c r="R1048457" s="242"/>
      <c r="S1048457" s="242"/>
      <c r="T1048457" s="242"/>
      <c r="U1048457" s="242"/>
      <c r="V1048457" s="242"/>
      <c r="W1048457" s="242"/>
      <c r="X1048457" s="242"/>
      <c r="Y1048457" s="242"/>
      <c r="Z1048457" s="242"/>
      <c r="AA1048457" s="242"/>
      <c r="AB1048457" s="242"/>
      <c r="AC1048457" s="242"/>
      <c r="AD1048457" s="242"/>
      <c r="AE1048457" s="242"/>
      <c r="AF1048457" s="242"/>
      <c r="AG1048457" s="242"/>
      <c r="AH1048457" s="242"/>
      <c r="AI1048457" s="242"/>
      <c r="AJ1048457" s="242"/>
      <c r="AK1048457" s="242"/>
      <c r="AL1048457" s="242"/>
      <c r="AM1048457" s="242"/>
      <c r="AN1048457" s="242"/>
      <c r="AO1048457" s="242"/>
      <c r="AP1048457" s="242"/>
      <c r="AQ1048457" s="242"/>
      <c r="AR1048457" s="242"/>
      <c r="AS1048457" s="242"/>
      <c r="AT1048457" s="242"/>
      <c r="AU1048457" s="242"/>
      <c r="AV1048457" s="242"/>
      <c r="AW1048457" s="242"/>
      <c r="AX1048457" s="242"/>
      <c r="AY1048457" s="242"/>
      <c r="AZ1048457" s="242"/>
      <c r="BA1048457" s="242"/>
      <c r="BB1048457" s="242"/>
      <c r="BC1048457" s="242"/>
      <c r="BD1048457" s="242"/>
      <c r="BE1048457" s="242"/>
      <c r="BF1048457" s="242"/>
      <c r="BG1048457" s="242"/>
      <c r="BH1048457" s="242"/>
      <c r="BI1048457" s="242"/>
      <c r="BJ1048457" s="242"/>
      <c r="BK1048457" s="242"/>
      <c r="BL1048457" s="242"/>
      <c r="BM1048457" s="242"/>
      <c r="BN1048457" s="242"/>
      <c r="BO1048457" s="242"/>
      <c r="BP1048457" s="242"/>
      <c r="BQ1048457" s="242"/>
      <c r="BR1048457" s="242"/>
      <c r="BS1048457" s="242"/>
      <c r="BT1048457" s="242"/>
      <c r="BU1048457" s="242"/>
      <c r="BV1048457" s="242"/>
      <c r="BW1048457" s="242"/>
      <c r="BX1048457" s="242"/>
      <c r="BY1048457" s="242"/>
      <c r="BZ1048457" s="242"/>
      <c r="CA1048457" s="242"/>
      <c r="CB1048457" s="242"/>
      <c r="CC1048457" s="242"/>
      <c r="CD1048457" s="242"/>
      <c r="CE1048457" s="242"/>
      <c r="CF1048457" s="242"/>
      <c r="CG1048457" s="242"/>
      <c r="CH1048457" s="242"/>
      <c r="CI1048457" s="242"/>
      <c r="CJ1048457" s="242"/>
      <c r="CK1048457" s="242"/>
      <c r="CL1048457" s="242"/>
      <c r="CM1048457" s="242"/>
      <c r="CN1048457" s="242"/>
      <c r="CO1048457" s="242"/>
      <c r="CP1048457" s="242"/>
      <c r="CQ1048457" s="242"/>
      <c r="CR1048457" s="242"/>
      <c r="CS1048457" s="242"/>
      <c r="CT1048457" s="242"/>
      <c r="CU1048457" s="242"/>
      <c r="CV1048457" s="242"/>
      <c r="CW1048457" s="242"/>
      <c r="CX1048457" s="242"/>
      <c r="CY1048457" s="242"/>
      <c r="CZ1048457" s="242"/>
      <c r="DA1048457" s="242"/>
      <c r="DB1048457" s="242"/>
      <c r="DC1048457" s="242"/>
      <c r="DD1048457" s="242"/>
      <c r="DE1048457" s="242"/>
      <c r="DF1048457" s="242"/>
      <c r="DG1048457" s="242"/>
      <c r="DH1048457" s="242"/>
      <c r="DI1048457" s="242"/>
      <c r="DJ1048457" s="242"/>
      <c r="DK1048457" s="242"/>
      <c r="DL1048457" s="242"/>
      <c r="DM1048457" s="242"/>
      <c r="DN1048457" s="242"/>
      <c r="DO1048457" s="242"/>
      <c r="DP1048457" s="242"/>
      <c r="DQ1048457" s="242"/>
      <c r="DR1048457" s="242"/>
      <c r="DS1048457" s="242"/>
      <c r="DT1048457" s="242"/>
      <c r="DU1048457" s="242"/>
      <c r="DV1048457" s="242"/>
      <c r="DW1048457" s="242"/>
      <c r="DX1048457" s="242"/>
      <c r="DY1048457" s="242"/>
      <c r="DZ1048457" s="242"/>
      <c r="EA1048457" s="242"/>
      <c r="EB1048457" s="242"/>
      <c r="EC1048457" s="242"/>
      <c r="ED1048457" s="242"/>
      <c r="EE1048457" s="242"/>
      <c r="EF1048457" s="242"/>
      <c r="EG1048457" s="242"/>
      <c r="EH1048457" s="242"/>
      <c r="EI1048457" s="242"/>
      <c r="EJ1048457" s="242"/>
      <c r="EK1048457" s="242"/>
      <c r="EL1048457" s="242"/>
      <c r="EM1048457" s="242"/>
      <c r="EN1048457" s="242"/>
      <c r="EO1048457" s="242"/>
      <c r="EP1048457" s="242"/>
      <c r="EQ1048457" s="242"/>
      <c r="ER1048457" s="242"/>
      <c r="ES1048457" s="242"/>
      <c r="ET1048457" s="242"/>
      <c r="EU1048457" s="242"/>
      <c r="EV1048457" s="242"/>
      <c r="EW1048457" s="242"/>
      <c r="EX1048457" s="242"/>
      <c r="EY1048457" s="242"/>
      <c r="EZ1048457" s="242"/>
      <c r="FA1048457" s="242"/>
      <c r="FB1048457" s="242"/>
      <c r="FC1048457" s="242"/>
      <c r="FD1048457" s="242"/>
      <c r="FE1048457" s="242"/>
      <c r="FF1048457" s="242"/>
      <c r="FG1048457" s="242"/>
      <c r="FH1048457" s="242"/>
      <c r="FI1048457" s="242"/>
      <c r="FJ1048457" s="242"/>
      <c r="FK1048457" s="242"/>
      <c r="FL1048457" s="242"/>
      <c r="FM1048457" s="242"/>
      <c r="FN1048457" s="242"/>
      <c r="FO1048457" s="242"/>
      <c r="FP1048457" s="242"/>
      <c r="FQ1048457" s="242"/>
      <c r="FR1048457" s="242"/>
      <c r="FS1048457" s="242"/>
      <c r="FT1048457" s="242"/>
      <c r="FU1048457" s="242"/>
      <c r="FV1048457" s="242"/>
      <c r="FW1048457" s="242"/>
      <c r="FX1048457" s="242"/>
      <c r="FY1048457" s="242"/>
      <c r="FZ1048457" s="242"/>
      <c r="GA1048457" s="242"/>
      <c r="GB1048457" s="242"/>
      <c r="GC1048457" s="242"/>
      <c r="GD1048457" s="242"/>
      <c r="GE1048457" s="242"/>
      <c r="GF1048457" s="242"/>
      <c r="GG1048457" s="242"/>
      <c r="GH1048457" s="242"/>
      <c r="GI1048457" s="242"/>
      <c r="GJ1048457" s="242"/>
      <c r="GK1048457" s="242"/>
      <c r="GL1048457" s="242"/>
      <c r="GM1048457" s="242"/>
      <c r="GN1048457" s="242"/>
      <c r="GO1048457" s="242"/>
      <c r="GP1048457" s="242"/>
      <c r="GQ1048457" s="242"/>
      <c r="GR1048457" s="242"/>
      <c r="GS1048457" s="242"/>
      <c r="GT1048457" s="242"/>
      <c r="GU1048457" s="242"/>
      <c r="GV1048457" s="242"/>
      <c r="GW1048457" s="242"/>
      <c r="GX1048457" s="242"/>
      <c r="GY1048457" s="242"/>
      <c r="GZ1048457" s="242"/>
      <c r="HA1048457" s="242"/>
      <c r="HB1048457" s="242"/>
      <c r="HC1048457" s="242"/>
      <c r="HD1048457" s="242"/>
      <c r="HE1048457" s="242"/>
      <c r="HF1048457" s="242"/>
      <c r="HG1048457" s="242"/>
      <c r="HH1048457" s="242"/>
      <c r="HI1048457" s="242"/>
      <c r="HJ1048457" s="242"/>
      <c r="HK1048457" s="242"/>
      <c r="HL1048457" s="242"/>
      <c r="HM1048457" s="242"/>
      <c r="HN1048457" s="242"/>
      <c r="HO1048457" s="242"/>
      <c r="HP1048457" s="242"/>
      <c r="HQ1048457" s="242"/>
      <c r="HR1048457" s="242"/>
      <c r="HS1048457" s="242"/>
      <c r="HT1048457" s="242"/>
      <c r="HU1048457" s="242"/>
      <c r="HV1048457" s="242"/>
      <c r="HW1048457" s="242"/>
      <c r="HX1048457" s="242"/>
      <c r="HY1048457" s="242"/>
      <c r="HZ1048457" s="242"/>
      <c r="IA1048457" s="242"/>
      <c r="IB1048457" s="242"/>
      <c r="IC1048457" s="242"/>
      <c r="ID1048457" s="242"/>
      <c r="IE1048457" s="242"/>
      <c r="IF1048457" s="242"/>
      <c r="IG1048457" s="242"/>
      <c r="IH1048457" s="242"/>
      <c r="II1048457" s="242"/>
      <c r="IJ1048457" s="242"/>
      <c r="IK1048457" s="242"/>
      <c r="IL1048457" s="242"/>
      <c r="IM1048457" s="242"/>
      <c r="IN1048457" s="242"/>
      <c r="IO1048457" s="242"/>
      <c r="IP1048457" s="242"/>
      <c r="IQ1048457" s="242"/>
    </row>
    <row r="1048458" spans="1:251" s="243" customFormat="1" ht="12" customHeight="1">
      <c r="A1048458" s="242"/>
      <c r="B1048458" s="242"/>
      <c r="C1048458" s="242"/>
      <c r="D1048458" s="242"/>
      <c r="E1048458" s="242"/>
      <c r="F1048458" s="242"/>
      <c r="G1048458" s="242"/>
      <c r="H1048458" s="242"/>
      <c r="I1048458" s="242"/>
      <c r="J1048458" s="242"/>
      <c r="K1048458" s="242"/>
      <c r="L1048458" s="242"/>
      <c r="M1048458" s="242"/>
      <c r="N1048458" s="242"/>
      <c r="O1048458" s="242"/>
      <c r="P1048458" s="242"/>
      <c r="Q1048458" s="242"/>
      <c r="R1048458" s="242"/>
      <c r="S1048458" s="242"/>
      <c r="T1048458" s="242"/>
      <c r="U1048458" s="242"/>
      <c r="V1048458" s="242"/>
      <c r="W1048458" s="242"/>
      <c r="X1048458" s="242"/>
      <c r="Y1048458" s="242"/>
      <c r="Z1048458" s="242"/>
      <c r="AA1048458" s="242"/>
      <c r="AB1048458" s="242"/>
      <c r="AC1048458" s="242"/>
      <c r="AD1048458" s="242"/>
      <c r="AE1048458" s="242"/>
      <c r="AF1048458" s="242"/>
      <c r="AG1048458" s="242"/>
      <c r="AH1048458" s="242"/>
      <c r="AI1048458" s="242"/>
      <c r="AJ1048458" s="242"/>
      <c r="AK1048458" s="242"/>
      <c r="AL1048458" s="242"/>
      <c r="AM1048458" s="242"/>
      <c r="AN1048458" s="242"/>
      <c r="AO1048458" s="242"/>
      <c r="AP1048458" s="242"/>
      <c r="AQ1048458" s="242"/>
      <c r="AR1048458" s="242"/>
      <c r="AS1048458" s="242"/>
      <c r="AT1048458" s="242"/>
      <c r="AU1048458" s="242"/>
      <c r="AV1048458" s="242"/>
      <c r="AW1048458" s="242"/>
      <c r="AX1048458" s="242"/>
      <c r="AY1048458" s="242"/>
      <c r="AZ1048458" s="242"/>
      <c r="BA1048458" s="242"/>
      <c r="BB1048458" s="242"/>
      <c r="BC1048458" s="242"/>
      <c r="BD1048458" s="242"/>
      <c r="BE1048458" s="242"/>
      <c r="BF1048458" s="242"/>
      <c r="BG1048458" s="242"/>
      <c r="BH1048458" s="242"/>
      <c r="BI1048458" s="242"/>
      <c r="BJ1048458" s="242"/>
      <c r="BK1048458" s="242"/>
      <c r="BL1048458" s="242"/>
      <c r="BM1048458" s="242"/>
      <c r="BN1048458" s="242"/>
      <c r="BO1048458" s="242"/>
      <c r="BP1048458" s="242"/>
      <c r="BQ1048458" s="242"/>
      <c r="BR1048458" s="242"/>
      <c r="BS1048458" s="242"/>
      <c r="BT1048458" s="242"/>
      <c r="BU1048458" s="242"/>
      <c r="BV1048458" s="242"/>
      <c r="BW1048458" s="242"/>
      <c r="BX1048458" s="242"/>
      <c r="BY1048458" s="242"/>
      <c r="BZ1048458" s="242"/>
      <c r="CA1048458" s="242"/>
      <c r="CB1048458" s="242"/>
      <c r="CC1048458" s="242"/>
      <c r="CD1048458" s="242"/>
      <c r="CE1048458" s="242"/>
      <c r="CF1048458" s="242"/>
      <c r="CG1048458" s="242"/>
      <c r="CH1048458" s="242"/>
      <c r="CI1048458" s="242"/>
      <c r="CJ1048458" s="242"/>
      <c r="CK1048458" s="242"/>
      <c r="CL1048458" s="242"/>
      <c r="CM1048458" s="242"/>
      <c r="CN1048458" s="242"/>
      <c r="CO1048458" s="242"/>
      <c r="CP1048458" s="242"/>
      <c r="CQ1048458" s="242"/>
      <c r="CR1048458" s="242"/>
      <c r="CS1048458" s="242"/>
      <c r="CT1048458" s="242"/>
      <c r="CU1048458" s="242"/>
      <c r="CV1048458" s="242"/>
      <c r="CW1048458" s="242"/>
      <c r="CX1048458" s="242"/>
      <c r="CY1048458" s="242"/>
      <c r="CZ1048458" s="242"/>
      <c r="DA1048458" s="242"/>
      <c r="DB1048458" s="242"/>
      <c r="DC1048458" s="242"/>
      <c r="DD1048458" s="242"/>
      <c r="DE1048458" s="242"/>
      <c r="DF1048458" s="242"/>
      <c r="DG1048458" s="242"/>
      <c r="DH1048458" s="242"/>
      <c r="DI1048458" s="242"/>
      <c r="DJ1048458" s="242"/>
      <c r="DK1048458" s="242"/>
      <c r="DL1048458" s="242"/>
      <c r="DM1048458" s="242"/>
      <c r="DN1048458" s="242"/>
      <c r="DO1048458" s="242"/>
      <c r="DP1048458" s="242"/>
      <c r="DQ1048458" s="242"/>
      <c r="DR1048458" s="242"/>
      <c r="DS1048458" s="242"/>
      <c r="DT1048458" s="242"/>
      <c r="DU1048458" s="242"/>
      <c r="DV1048458" s="242"/>
      <c r="DW1048458" s="242"/>
      <c r="DX1048458" s="242"/>
      <c r="DY1048458" s="242"/>
      <c r="DZ1048458" s="242"/>
      <c r="EA1048458" s="242"/>
      <c r="EB1048458" s="242"/>
      <c r="EC1048458" s="242"/>
      <c r="ED1048458" s="242"/>
      <c r="EE1048458" s="242"/>
      <c r="EF1048458" s="242"/>
      <c r="EG1048458" s="242"/>
      <c r="EH1048458" s="242"/>
      <c r="EI1048458" s="242"/>
      <c r="EJ1048458" s="242"/>
      <c r="EK1048458" s="242"/>
      <c r="EL1048458" s="242"/>
      <c r="EM1048458" s="242"/>
      <c r="EN1048458" s="242"/>
      <c r="EO1048458" s="242"/>
      <c r="EP1048458" s="242"/>
      <c r="EQ1048458" s="242"/>
      <c r="ER1048458" s="242"/>
      <c r="ES1048458" s="242"/>
      <c r="ET1048458" s="242"/>
      <c r="EU1048458" s="242"/>
      <c r="EV1048458" s="242"/>
      <c r="EW1048458" s="242"/>
      <c r="EX1048458" s="242"/>
      <c r="EY1048458" s="242"/>
      <c r="EZ1048458" s="242"/>
      <c r="FA1048458" s="242"/>
      <c r="FB1048458" s="242"/>
      <c r="FC1048458" s="242"/>
      <c r="FD1048458" s="242"/>
      <c r="FE1048458" s="242"/>
      <c r="FF1048458" s="242"/>
      <c r="FG1048458" s="242"/>
      <c r="FH1048458" s="242"/>
      <c r="FI1048458" s="242"/>
      <c r="FJ1048458" s="242"/>
      <c r="FK1048458" s="242"/>
      <c r="FL1048458" s="242"/>
      <c r="FM1048458" s="242"/>
      <c r="FN1048458" s="242"/>
      <c r="FO1048458" s="242"/>
      <c r="FP1048458" s="242"/>
      <c r="FQ1048458" s="242"/>
      <c r="FR1048458" s="242"/>
      <c r="FS1048458" s="242"/>
      <c r="FT1048458" s="242"/>
      <c r="FU1048458" s="242"/>
      <c r="FV1048458" s="242"/>
      <c r="FW1048458" s="242"/>
      <c r="FX1048458" s="242"/>
      <c r="FY1048458" s="242"/>
      <c r="FZ1048458" s="242"/>
      <c r="GA1048458" s="242"/>
      <c r="GB1048458" s="242"/>
      <c r="GC1048458" s="242"/>
      <c r="GD1048458" s="242"/>
      <c r="GE1048458" s="242"/>
      <c r="GF1048458" s="242"/>
      <c r="GG1048458" s="242"/>
      <c r="GH1048458" s="242"/>
      <c r="GI1048458" s="242"/>
      <c r="GJ1048458" s="242"/>
      <c r="GK1048458" s="242"/>
      <c r="GL1048458" s="242"/>
      <c r="GM1048458" s="242"/>
      <c r="GN1048458" s="242"/>
      <c r="GO1048458" s="242"/>
      <c r="GP1048458" s="242"/>
      <c r="GQ1048458" s="242"/>
      <c r="GR1048458" s="242"/>
      <c r="GS1048458" s="242"/>
      <c r="GT1048458" s="242"/>
      <c r="GU1048458" s="242"/>
      <c r="GV1048458" s="242"/>
      <c r="GW1048458" s="242"/>
      <c r="GX1048458" s="242"/>
      <c r="GY1048458" s="242"/>
      <c r="GZ1048458" s="242"/>
      <c r="HA1048458" s="242"/>
      <c r="HB1048458" s="242"/>
      <c r="HC1048458" s="242"/>
      <c r="HD1048458" s="242"/>
      <c r="HE1048458" s="242"/>
      <c r="HF1048458" s="242"/>
      <c r="HG1048458" s="242"/>
      <c r="HH1048458" s="242"/>
      <c r="HI1048458" s="242"/>
      <c r="HJ1048458" s="242"/>
      <c r="HK1048458" s="242"/>
      <c r="HL1048458" s="242"/>
      <c r="HM1048458" s="242"/>
      <c r="HN1048458" s="242"/>
      <c r="HO1048458" s="242"/>
      <c r="HP1048458" s="242"/>
      <c r="HQ1048458" s="242"/>
      <c r="HR1048458" s="242"/>
      <c r="HS1048458" s="242"/>
      <c r="HT1048458" s="242"/>
      <c r="HU1048458" s="242"/>
      <c r="HV1048458" s="242"/>
      <c r="HW1048458" s="242"/>
      <c r="HX1048458" s="242"/>
      <c r="HY1048458" s="242"/>
      <c r="HZ1048458" s="242"/>
      <c r="IA1048458" s="242"/>
      <c r="IB1048458" s="242"/>
      <c r="IC1048458" s="242"/>
      <c r="ID1048458" s="242"/>
      <c r="IE1048458" s="242"/>
      <c r="IF1048458" s="242"/>
      <c r="IG1048458" s="242"/>
      <c r="IH1048458" s="242"/>
      <c r="II1048458" s="242"/>
      <c r="IJ1048458" s="242"/>
      <c r="IK1048458" s="242"/>
      <c r="IL1048458" s="242"/>
      <c r="IM1048458" s="242"/>
      <c r="IN1048458" s="242"/>
      <c r="IO1048458" s="242"/>
      <c r="IP1048458" s="242"/>
      <c r="IQ1048458" s="242"/>
    </row>
    <row r="1048459" spans="1:251" s="243" customFormat="1" ht="12" customHeight="1">
      <c r="A1048459" s="242"/>
      <c r="B1048459" s="242"/>
      <c r="C1048459" s="242"/>
      <c r="D1048459" s="242"/>
      <c r="E1048459" s="242"/>
      <c r="F1048459" s="242"/>
      <c r="G1048459" s="242"/>
      <c r="H1048459" s="242"/>
      <c r="I1048459" s="242"/>
      <c r="J1048459" s="242"/>
      <c r="K1048459" s="242"/>
      <c r="L1048459" s="242"/>
      <c r="M1048459" s="242"/>
      <c r="N1048459" s="242"/>
      <c r="O1048459" s="242"/>
      <c r="P1048459" s="242"/>
      <c r="Q1048459" s="242"/>
      <c r="R1048459" s="242"/>
      <c r="S1048459" s="242"/>
      <c r="T1048459" s="242"/>
      <c r="U1048459" s="242"/>
      <c r="V1048459" s="242"/>
      <c r="W1048459" s="242"/>
      <c r="X1048459" s="242"/>
      <c r="Y1048459" s="242"/>
      <c r="Z1048459" s="242"/>
      <c r="AA1048459" s="242"/>
      <c r="AB1048459" s="242"/>
      <c r="AC1048459" s="242"/>
      <c r="AD1048459" s="242"/>
      <c r="AE1048459" s="242"/>
      <c r="AF1048459" s="242"/>
      <c r="AG1048459" s="242"/>
      <c r="AH1048459" s="242"/>
      <c r="AI1048459" s="242"/>
      <c r="AJ1048459" s="242"/>
      <c r="AK1048459" s="242"/>
      <c r="AL1048459" s="242"/>
      <c r="AM1048459" s="242"/>
      <c r="AN1048459" s="242"/>
      <c r="AO1048459" s="242"/>
      <c r="AP1048459" s="242"/>
      <c r="AQ1048459" s="242"/>
      <c r="AR1048459" s="242"/>
      <c r="AS1048459" s="242"/>
      <c r="AT1048459" s="242"/>
      <c r="AU1048459" s="242"/>
      <c r="AV1048459" s="242"/>
      <c r="AW1048459" s="242"/>
      <c r="AX1048459" s="242"/>
      <c r="AY1048459" s="242"/>
      <c r="AZ1048459" s="242"/>
      <c r="BA1048459" s="242"/>
      <c r="BB1048459" s="242"/>
      <c r="BC1048459" s="242"/>
      <c r="BD1048459" s="242"/>
      <c r="BE1048459" s="242"/>
      <c r="BF1048459" s="242"/>
      <c r="BG1048459" s="242"/>
      <c r="BH1048459" s="242"/>
      <c r="BI1048459" s="242"/>
      <c r="BJ1048459" s="242"/>
      <c r="BK1048459" s="242"/>
      <c r="BL1048459" s="242"/>
      <c r="BM1048459" s="242"/>
      <c r="BN1048459" s="242"/>
      <c r="BO1048459" s="242"/>
      <c r="BP1048459" s="242"/>
      <c r="BQ1048459" s="242"/>
      <c r="BR1048459" s="242"/>
      <c r="BS1048459" s="242"/>
      <c r="BT1048459" s="242"/>
      <c r="BU1048459" s="242"/>
      <c r="BV1048459" s="242"/>
      <c r="BW1048459" s="242"/>
      <c r="BX1048459" s="242"/>
      <c r="BY1048459" s="242"/>
      <c r="BZ1048459" s="242"/>
      <c r="CA1048459" s="242"/>
      <c r="CB1048459" s="242"/>
      <c r="CC1048459" s="242"/>
      <c r="CD1048459" s="242"/>
      <c r="CE1048459" s="242"/>
      <c r="CF1048459" s="242"/>
      <c r="CG1048459" s="242"/>
      <c r="CH1048459" s="242"/>
      <c r="CI1048459" s="242"/>
      <c r="CJ1048459" s="242"/>
      <c r="CK1048459" s="242"/>
      <c r="CL1048459" s="242"/>
      <c r="CM1048459" s="242"/>
      <c r="CN1048459" s="242"/>
      <c r="CO1048459" s="242"/>
      <c r="CP1048459" s="242"/>
      <c r="CQ1048459" s="242"/>
      <c r="CR1048459" s="242"/>
      <c r="CS1048459" s="242"/>
      <c r="CT1048459" s="242"/>
      <c r="CU1048459" s="242"/>
      <c r="CV1048459" s="242"/>
      <c r="CW1048459" s="242"/>
      <c r="CX1048459" s="242"/>
      <c r="CY1048459" s="242"/>
      <c r="CZ1048459" s="242"/>
      <c r="DA1048459" s="242"/>
      <c r="DB1048459" s="242"/>
      <c r="DC1048459" s="242"/>
      <c r="DD1048459" s="242"/>
      <c r="DE1048459" s="242"/>
      <c r="DF1048459" s="242"/>
      <c r="DG1048459" s="242"/>
      <c r="DH1048459" s="242"/>
      <c r="DI1048459" s="242"/>
      <c r="DJ1048459" s="242"/>
      <c r="DK1048459" s="242"/>
      <c r="DL1048459" s="242"/>
      <c r="DM1048459" s="242"/>
      <c r="DN1048459" s="242"/>
      <c r="DO1048459" s="242"/>
      <c r="DP1048459" s="242"/>
      <c r="DQ1048459" s="242"/>
      <c r="DR1048459" s="242"/>
      <c r="DS1048459" s="242"/>
      <c r="DT1048459" s="242"/>
      <c r="DU1048459" s="242"/>
      <c r="DV1048459" s="242"/>
      <c r="DW1048459" s="242"/>
      <c r="DX1048459" s="242"/>
      <c r="DY1048459" s="242"/>
      <c r="DZ1048459" s="242"/>
      <c r="EA1048459" s="242"/>
      <c r="EB1048459" s="242"/>
      <c r="EC1048459" s="242"/>
      <c r="ED1048459" s="242"/>
      <c r="EE1048459" s="242"/>
      <c r="EF1048459" s="242"/>
      <c r="EG1048459" s="242"/>
      <c r="EH1048459" s="242"/>
      <c r="EI1048459" s="242"/>
      <c r="EJ1048459" s="242"/>
      <c r="EK1048459" s="242"/>
      <c r="EL1048459" s="242"/>
      <c r="EM1048459" s="242"/>
      <c r="EN1048459" s="242"/>
      <c r="EO1048459" s="242"/>
      <c r="EP1048459" s="242"/>
      <c r="EQ1048459" s="242"/>
      <c r="ER1048459" s="242"/>
      <c r="ES1048459" s="242"/>
      <c r="ET1048459" s="242"/>
      <c r="EU1048459" s="242"/>
      <c r="EV1048459" s="242"/>
      <c r="EW1048459" s="242"/>
      <c r="EX1048459" s="242"/>
      <c r="EY1048459" s="242"/>
      <c r="EZ1048459" s="242"/>
      <c r="FA1048459" s="242"/>
      <c r="FB1048459" s="242"/>
      <c r="FC1048459" s="242"/>
      <c r="FD1048459" s="242"/>
      <c r="FE1048459" s="242"/>
      <c r="FF1048459" s="242"/>
      <c r="FG1048459" s="242"/>
      <c r="FH1048459" s="242"/>
      <c r="FI1048459" s="242"/>
      <c r="FJ1048459" s="242"/>
      <c r="FK1048459" s="242"/>
      <c r="FL1048459" s="242"/>
      <c r="FM1048459" s="242"/>
      <c r="FN1048459" s="242"/>
      <c r="FO1048459" s="242"/>
      <c r="FP1048459" s="242"/>
      <c r="FQ1048459" s="242"/>
      <c r="FR1048459" s="242"/>
      <c r="FS1048459" s="242"/>
      <c r="FT1048459" s="242"/>
      <c r="FU1048459" s="242"/>
      <c r="FV1048459" s="242"/>
      <c r="FW1048459" s="242"/>
      <c r="FX1048459" s="242"/>
      <c r="FY1048459" s="242"/>
      <c r="FZ1048459" s="242"/>
      <c r="GA1048459" s="242"/>
      <c r="GB1048459" s="242"/>
      <c r="GC1048459" s="242"/>
      <c r="GD1048459" s="242"/>
      <c r="GE1048459" s="242"/>
      <c r="GF1048459" s="242"/>
      <c r="GG1048459" s="242"/>
      <c r="GH1048459" s="242"/>
      <c r="GI1048459" s="242"/>
      <c r="GJ1048459" s="242"/>
      <c r="GK1048459" s="242"/>
      <c r="GL1048459" s="242"/>
      <c r="GM1048459" s="242"/>
      <c r="GN1048459" s="242"/>
      <c r="GO1048459" s="242"/>
      <c r="GP1048459" s="242"/>
      <c r="GQ1048459" s="242"/>
      <c r="GR1048459" s="242"/>
      <c r="GS1048459" s="242"/>
      <c r="GT1048459" s="242"/>
      <c r="GU1048459" s="242"/>
      <c r="GV1048459" s="242"/>
      <c r="GW1048459" s="242"/>
      <c r="GX1048459" s="242"/>
      <c r="GY1048459" s="242"/>
      <c r="GZ1048459" s="242"/>
      <c r="HA1048459" s="242"/>
      <c r="HB1048459" s="242"/>
      <c r="HC1048459" s="242"/>
      <c r="HD1048459" s="242"/>
      <c r="HE1048459" s="242"/>
      <c r="HF1048459" s="242"/>
      <c r="HG1048459" s="242"/>
      <c r="HH1048459" s="242"/>
      <c r="HI1048459" s="242"/>
      <c r="HJ1048459" s="242"/>
      <c r="HK1048459" s="242"/>
      <c r="HL1048459" s="242"/>
      <c r="HM1048459" s="242"/>
      <c r="HN1048459" s="242"/>
      <c r="HO1048459" s="242"/>
      <c r="HP1048459" s="242"/>
      <c r="HQ1048459" s="242"/>
      <c r="HR1048459" s="242"/>
      <c r="HS1048459" s="242"/>
      <c r="HT1048459" s="242"/>
      <c r="HU1048459" s="242"/>
      <c r="HV1048459" s="242"/>
      <c r="HW1048459" s="242"/>
      <c r="HX1048459" s="242"/>
      <c r="HY1048459" s="242"/>
      <c r="HZ1048459" s="242"/>
      <c r="IA1048459" s="242"/>
      <c r="IB1048459" s="242"/>
      <c r="IC1048459" s="242"/>
      <c r="ID1048459" s="242"/>
      <c r="IE1048459" s="242"/>
      <c r="IF1048459" s="242"/>
      <c r="IG1048459" s="242"/>
      <c r="IH1048459" s="242"/>
      <c r="II1048459" s="242"/>
      <c r="IJ1048459" s="242"/>
      <c r="IK1048459" s="242"/>
      <c r="IL1048459" s="242"/>
      <c r="IM1048459" s="242"/>
      <c r="IN1048459" s="242"/>
      <c r="IO1048459" s="242"/>
      <c r="IP1048459" s="242"/>
      <c r="IQ1048459" s="242"/>
    </row>
    <row r="1048460" spans="1:251" s="243" customFormat="1" ht="12" customHeight="1">
      <c r="A1048460" s="242"/>
      <c r="B1048460" s="242"/>
      <c r="C1048460" s="242"/>
      <c r="D1048460" s="242"/>
      <c r="E1048460" s="242"/>
      <c r="F1048460" s="242"/>
      <c r="G1048460" s="242"/>
      <c r="H1048460" s="242"/>
      <c r="I1048460" s="242"/>
      <c r="J1048460" s="242"/>
      <c r="K1048460" s="242"/>
      <c r="L1048460" s="242"/>
      <c r="M1048460" s="242"/>
      <c r="N1048460" s="242"/>
      <c r="O1048460" s="242"/>
      <c r="P1048460" s="242"/>
      <c r="Q1048460" s="242"/>
      <c r="R1048460" s="242"/>
      <c r="S1048460" s="242"/>
      <c r="T1048460" s="242"/>
      <c r="U1048460" s="242"/>
      <c r="V1048460" s="242"/>
      <c r="W1048460" s="242"/>
      <c r="X1048460" s="242"/>
      <c r="Y1048460" s="242"/>
      <c r="Z1048460" s="242"/>
      <c r="AA1048460" s="242"/>
      <c r="AB1048460" s="242"/>
      <c r="AC1048460" s="242"/>
      <c r="AD1048460" s="242"/>
      <c r="AE1048460" s="242"/>
      <c r="AF1048460" s="242"/>
      <c r="AG1048460" s="242"/>
      <c r="AH1048460" s="242"/>
      <c r="AI1048460" s="242"/>
      <c r="AJ1048460" s="242"/>
      <c r="AK1048460" s="242"/>
      <c r="AL1048460" s="242"/>
      <c r="AM1048460" s="242"/>
      <c r="AN1048460" s="242"/>
      <c r="AO1048460" s="242"/>
      <c r="AP1048460" s="242"/>
      <c r="AQ1048460" s="242"/>
      <c r="AR1048460" s="242"/>
      <c r="AS1048460" s="242"/>
      <c r="AT1048460" s="242"/>
      <c r="AU1048460" s="242"/>
      <c r="AV1048460" s="242"/>
      <c r="AW1048460" s="242"/>
      <c r="AX1048460" s="242"/>
      <c r="AY1048460" s="242"/>
      <c r="AZ1048460" s="242"/>
      <c r="BA1048460" s="242"/>
      <c r="BB1048460" s="242"/>
      <c r="BC1048460" s="242"/>
      <c r="BD1048460" s="242"/>
      <c r="BE1048460" s="242"/>
      <c r="BF1048460" s="242"/>
      <c r="BG1048460" s="242"/>
      <c r="BH1048460" s="242"/>
      <c r="BI1048460" s="242"/>
      <c r="BJ1048460" s="242"/>
      <c r="BK1048460" s="242"/>
      <c r="BL1048460" s="242"/>
      <c r="BM1048460" s="242"/>
      <c r="BN1048460" s="242"/>
      <c r="BO1048460" s="242"/>
      <c r="BP1048460" s="242"/>
      <c r="BQ1048460" s="242"/>
      <c r="BR1048460" s="242"/>
      <c r="BS1048460" s="242"/>
      <c r="BT1048460" s="242"/>
      <c r="BU1048460" s="242"/>
      <c r="BV1048460" s="242"/>
      <c r="BW1048460" s="242"/>
      <c r="BX1048460" s="242"/>
      <c r="BY1048460" s="242"/>
      <c r="BZ1048460" s="242"/>
      <c r="CA1048460" s="242"/>
      <c r="CB1048460" s="242"/>
      <c r="CC1048460" s="242"/>
      <c r="CD1048460" s="242"/>
      <c r="CE1048460" s="242"/>
      <c r="CF1048460" s="242"/>
      <c r="CG1048460" s="242"/>
      <c r="CH1048460" s="242"/>
      <c r="CI1048460" s="242"/>
      <c r="CJ1048460" s="242"/>
      <c r="CK1048460" s="242"/>
      <c r="CL1048460" s="242"/>
      <c r="CM1048460" s="242"/>
      <c r="CN1048460" s="242"/>
      <c r="CO1048460" s="242"/>
      <c r="CP1048460" s="242"/>
      <c r="CQ1048460" s="242"/>
      <c r="CR1048460" s="242"/>
      <c r="CS1048460" s="242"/>
      <c r="CT1048460" s="242"/>
      <c r="CU1048460" s="242"/>
      <c r="CV1048460" s="242"/>
      <c r="CW1048460" s="242"/>
      <c r="CX1048460" s="242"/>
      <c r="CY1048460" s="242"/>
      <c r="CZ1048460" s="242"/>
      <c r="DA1048460" s="242"/>
      <c r="DB1048460" s="242"/>
      <c r="DC1048460" s="242"/>
      <c r="DD1048460" s="242"/>
      <c r="DE1048460" s="242"/>
      <c r="DF1048460" s="242"/>
      <c r="DG1048460" s="242"/>
      <c r="DH1048460" s="242"/>
      <c r="DI1048460" s="242"/>
      <c r="DJ1048460" s="242"/>
      <c r="DK1048460" s="242"/>
      <c r="DL1048460" s="242"/>
      <c r="DM1048460" s="242"/>
      <c r="DN1048460" s="242"/>
      <c r="DO1048460" s="242"/>
      <c r="DP1048460" s="242"/>
      <c r="DQ1048460" s="242"/>
      <c r="DR1048460" s="242"/>
      <c r="DS1048460" s="242"/>
      <c r="DT1048460" s="242"/>
      <c r="DU1048460" s="242"/>
      <c r="DV1048460" s="242"/>
      <c r="DW1048460" s="242"/>
      <c r="DX1048460" s="242"/>
      <c r="DY1048460" s="242"/>
      <c r="DZ1048460" s="242"/>
      <c r="EA1048460" s="242"/>
      <c r="EB1048460" s="242"/>
      <c r="EC1048460" s="242"/>
      <c r="ED1048460" s="242"/>
      <c r="EE1048460" s="242"/>
      <c r="EF1048460" s="242"/>
      <c r="EG1048460" s="242"/>
      <c r="EH1048460" s="242"/>
      <c r="EI1048460" s="242"/>
      <c r="EJ1048460" s="242"/>
      <c r="EK1048460" s="242"/>
      <c r="EL1048460" s="242"/>
      <c r="EM1048460" s="242"/>
      <c r="EN1048460" s="242"/>
      <c r="EO1048460" s="242"/>
      <c r="EP1048460" s="242"/>
      <c r="EQ1048460" s="242"/>
      <c r="ER1048460" s="242"/>
      <c r="ES1048460" s="242"/>
      <c r="ET1048460" s="242"/>
      <c r="EU1048460" s="242"/>
      <c r="EV1048460" s="242"/>
      <c r="EW1048460" s="242"/>
      <c r="EX1048460" s="242"/>
      <c r="EY1048460" s="242"/>
      <c r="EZ1048460" s="242"/>
      <c r="FA1048460" s="242"/>
      <c r="FB1048460" s="242"/>
      <c r="FC1048460" s="242"/>
      <c r="FD1048460" s="242"/>
      <c r="FE1048460" s="242"/>
      <c r="FF1048460" s="242"/>
      <c r="FG1048460" s="242"/>
      <c r="FH1048460" s="242"/>
      <c r="FI1048460" s="242"/>
      <c r="FJ1048460" s="242"/>
      <c r="FK1048460" s="242"/>
      <c r="FL1048460" s="242"/>
      <c r="FM1048460" s="242"/>
      <c r="FN1048460" s="242"/>
      <c r="FO1048460" s="242"/>
      <c r="FP1048460" s="242"/>
      <c r="FQ1048460" s="242"/>
      <c r="FR1048460" s="242"/>
      <c r="FS1048460" s="242"/>
      <c r="FT1048460" s="242"/>
      <c r="FU1048460" s="242"/>
      <c r="FV1048460" s="242"/>
      <c r="FW1048460" s="242"/>
      <c r="FX1048460" s="242"/>
      <c r="FY1048460" s="242"/>
      <c r="FZ1048460" s="242"/>
      <c r="GA1048460" s="242"/>
      <c r="GB1048460" s="242"/>
      <c r="GC1048460" s="242"/>
      <c r="GD1048460" s="242"/>
      <c r="GE1048460" s="242"/>
      <c r="GF1048460" s="242"/>
      <c r="GG1048460" s="242"/>
      <c r="GH1048460" s="242"/>
      <c r="GI1048460" s="242"/>
      <c r="GJ1048460" s="242"/>
      <c r="GK1048460" s="242"/>
      <c r="GL1048460" s="242"/>
      <c r="GM1048460" s="242"/>
      <c r="GN1048460" s="242"/>
      <c r="GO1048460" s="242"/>
      <c r="GP1048460" s="242"/>
      <c r="GQ1048460" s="242"/>
      <c r="GR1048460" s="242"/>
      <c r="GS1048460" s="242"/>
      <c r="GT1048460" s="242"/>
      <c r="GU1048460" s="242"/>
      <c r="GV1048460" s="242"/>
      <c r="GW1048460" s="242"/>
      <c r="GX1048460" s="242"/>
      <c r="GY1048460" s="242"/>
      <c r="GZ1048460" s="242"/>
      <c r="HA1048460" s="242"/>
      <c r="HB1048460" s="242"/>
      <c r="HC1048460" s="242"/>
      <c r="HD1048460" s="242"/>
      <c r="HE1048460" s="242"/>
      <c r="HF1048460" s="242"/>
      <c r="HG1048460" s="242"/>
      <c r="HH1048460" s="242"/>
      <c r="HI1048460" s="242"/>
      <c r="HJ1048460" s="242"/>
      <c r="HK1048460" s="242"/>
      <c r="HL1048460" s="242"/>
      <c r="HM1048460" s="242"/>
      <c r="HN1048460" s="242"/>
      <c r="HO1048460" s="242"/>
      <c r="HP1048460" s="242"/>
      <c r="HQ1048460" s="242"/>
      <c r="HR1048460" s="242"/>
      <c r="HS1048460" s="242"/>
      <c r="HT1048460" s="242"/>
      <c r="HU1048460" s="242"/>
      <c r="HV1048460" s="242"/>
      <c r="HW1048460" s="242"/>
      <c r="HX1048460" s="242"/>
      <c r="HY1048460" s="242"/>
      <c r="HZ1048460" s="242"/>
      <c r="IA1048460" s="242"/>
      <c r="IB1048460" s="242"/>
      <c r="IC1048460" s="242"/>
      <c r="ID1048460" s="242"/>
      <c r="IE1048460" s="242"/>
      <c r="IF1048460" s="242"/>
      <c r="IG1048460" s="242"/>
      <c r="IH1048460" s="242"/>
      <c r="II1048460" s="242"/>
      <c r="IJ1048460" s="242"/>
      <c r="IK1048460" s="242"/>
      <c r="IL1048460" s="242"/>
      <c r="IM1048460" s="242"/>
      <c r="IN1048460" s="242"/>
      <c r="IO1048460" s="242"/>
      <c r="IP1048460" s="242"/>
      <c r="IQ1048460" s="242"/>
    </row>
    <row r="1048461" spans="1:251" s="243" customFormat="1" ht="12" customHeight="1">
      <c r="A1048461" s="242"/>
      <c r="B1048461" s="242"/>
      <c r="C1048461" s="242"/>
      <c r="D1048461" s="242"/>
      <c r="E1048461" s="242"/>
      <c r="F1048461" s="242"/>
      <c r="G1048461" s="242"/>
      <c r="H1048461" s="242"/>
      <c r="I1048461" s="242"/>
      <c r="J1048461" s="242"/>
      <c r="K1048461" s="242"/>
      <c r="L1048461" s="242"/>
      <c r="M1048461" s="242"/>
      <c r="N1048461" s="242"/>
      <c r="O1048461" s="242"/>
      <c r="P1048461" s="242"/>
      <c r="Q1048461" s="242"/>
      <c r="R1048461" s="242"/>
      <c r="S1048461" s="242"/>
      <c r="T1048461" s="242"/>
      <c r="U1048461" s="242"/>
      <c r="V1048461" s="242"/>
      <c r="W1048461" s="242"/>
      <c r="X1048461" s="242"/>
      <c r="Y1048461" s="242"/>
      <c r="Z1048461" s="242"/>
      <c r="AA1048461" s="242"/>
      <c r="AB1048461" s="242"/>
      <c r="AC1048461" s="242"/>
      <c r="AD1048461" s="242"/>
      <c r="AE1048461" s="242"/>
      <c r="AF1048461" s="242"/>
      <c r="AG1048461" s="242"/>
      <c r="AH1048461" s="242"/>
      <c r="AI1048461" s="242"/>
      <c r="AJ1048461" s="242"/>
      <c r="AK1048461" s="242"/>
      <c r="AL1048461" s="242"/>
      <c r="AM1048461" s="242"/>
      <c r="AN1048461" s="242"/>
      <c r="AO1048461" s="242"/>
      <c r="AP1048461" s="242"/>
      <c r="AQ1048461" s="242"/>
      <c r="AR1048461" s="242"/>
      <c r="AS1048461" s="242"/>
      <c r="AT1048461" s="242"/>
      <c r="AU1048461" s="242"/>
      <c r="AV1048461" s="242"/>
      <c r="AW1048461" s="242"/>
      <c r="AX1048461" s="242"/>
      <c r="AY1048461" s="242"/>
      <c r="AZ1048461" s="242"/>
      <c r="BA1048461" s="242"/>
      <c r="BB1048461" s="242"/>
      <c r="BC1048461" s="242"/>
      <c r="BD1048461" s="242"/>
      <c r="BE1048461" s="242"/>
      <c r="BF1048461" s="242"/>
      <c r="BG1048461" s="242"/>
      <c r="BH1048461" s="242"/>
      <c r="BI1048461" s="242"/>
      <c r="BJ1048461" s="242"/>
      <c r="BK1048461" s="242"/>
      <c r="BL1048461" s="242"/>
      <c r="BM1048461" s="242"/>
      <c r="BN1048461" s="242"/>
      <c r="BO1048461" s="242"/>
      <c r="BP1048461" s="242"/>
      <c r="BQ1048461" s="242"/>
      <c r="BR1048461" s="242"/>
      <c r="BS1048461" s="242"/>
      <c r="BT1048461" s="242"/>
      <c r="BU1048461" s="242"/>
      <c r="BV1048461" s="242"/>
      <c r="BW1048461" s="242"/>
      <c r="BX1048461" s="242"/>
      <c r="BY1048461" s="242"/>
      <c r="BZ1048461" s="242"/>
      <c r="CA1048461" s="242"/>
      <c r="CB1048461" s="242"/>
      <c r="CC1048461" s="242"/>
      <c r="CD1048461" s="242"/>
      <c r="CE1048461" s="242"/>
      <c r="CF1048461" s="242"/>
      <c r="CG1048461" s="242"/>
      <c r="CH1048461" s="242"/>
      <c r="CI1048461" s="242"/>
      <c r="CJ1048461" s="242"/>
      <c r="CK1048461" s="242"/>
      <c r="CL1048461" s="242"/>
      <c r="CM1048461" s="242"/>
      <c r="CN1048461" s="242"/>
      <c r="CO1048461" s="242"/>
      <c r="CP1048461" s="242"/>
      <c r="CQ1048461" s="242"/>
      <c r="CR1048461" s="242"/>
      <c r="CS1048461" s="242"/>
      <c r="CT1048461" s="242"/>
      <c r="CU1048461" s="242"/>
      <c r="CV1048461" s="242"/>
      <c r="CW1048461" s="242"/>
      <c r="CX1048461" s="242"/>
      <c r="CY1048461" s="242"/>
      <c r="CZ1048461" s="242"/>
      <c r="DA1048461" s="242"/>
      <c r="DB1048461" s="242"/>
      <c r="DC1048461" s="242"/>
      <c r="DD1048461" s="242"/>
      <c r="DE1048461" s="242"/>
      <c r="DF1048461" s="242"/>
      <c r="DG1048461" s="242"/>
      <c r="DH1048461" s="242"/>
      <c r="DI1048461" s="242"/>
      <c r="DJ1048461" s="242"/>
      <c r="DK1048461" s="242"/>
      <c r="DL1048461" s="242"/>
      <c r="DM1048461" s="242"/>
      <c r="DN1048461" s="242"/>
      <c r="DO1048461" s="242"/>
      <c r="DP1048461" s="242"/>
      <c r="DQ1048461" s="242"/>
      <c r="DR1048461" s="242"/>
      <c r="DS1048461" s="242"/>
      <c r="DT1048461" s="242"/>
      <c r="DU1048461" s="242"/>
      <c r="DV1048461" s="242"/>
      <c r="DW1048461" s="242"/>
      <c r="DX1048461" s="242"/>
      <c r="DY1048461" s="242"/>
      <c r="DZ1048461" s="242"/>
      <c r="EA1048461" s="242"/>
      <c r="EB1048461" s="242"/>
      <c r="EC1048461" s="242"/>
      <c r="ED1048461" s="242"/>
      <c r="EE1048461" s="242"/>
      <c r="EF1048461" s="242"/>
      <c r="EG1048461" s="242"/>
      <c r="EH1048461" s="242"/>
      <c r="EI1048461" s="242"/>
      <c r="EJ1048461" s="242"/>
      <c r="EK1048461" s="242"/>
      <c r="EL1048461" s="242"/>
      <c r="EM1048461" s="242"/>
      <c r="EN1048461" s="242"/>
      <c r="EO1048461" s="242"/>
      <c r="EP1048461" s="242"/>
      <c r="EQ1048461" s="242"/>
      <c r="ER1048461" s="242"/>
      <c r="ES1048461" s="242"/>
      <c r="ET1048461" s="242"/>
      <c r="EU1048461" s="242"/>
      <c r="EV1048461" s="242"/>
      <c r="EW1048461" s="242"/>
      <c r="EX1048461" s="242"/>
      <c r="EY1048461" s="242"/>
      <c r="EZ1048461" s="242"/>
      <c r="FA1048461" s="242"/>
      <c r="FB1048461" s="242"/>
      <c r="FC1048461" s="242"/>
      <c r="FD1048461" s="242"/>
      <c r="FE1048461" s="242"/>
      <c r="FF1048461" s="242"/>
      <c r="FG1048461" s="242"/>
      <c r="FH1048461" s="242"/>
      <c r="FI1048461" s="242"/>
      <c r="FJ1048461" s="242"/>
      <c r="FK1048461" s="242"/>
      <c r="FL1048461" s="242"/>
      <c r="FM1048461" s="242"/>
      <c r="FN1048461" s="242"/>
      <c r="FO1048461" s="242"/>
      <c r="FP1048461" s="242"/>
      <c r="FQ1048461" s="242"/>
      <c r="FR1048461" s="242"/>
      <c r="FS1048461" s="242"/>
      <c r="FT1048461" s="242"/>
      <c r="FU1048461" s="242"/>
      <c r="FV1048461" s="242"/>
      <c r="FW1048461" s="242"/>
      <c r="FX1048461" s="242"/>
      <c r="FY1048461" s="242"/>
      <c r="FZ1048461" s="242"/>
      <c r="GA1048461" s="242"/>
      <c r="GB1048461" s="242"/>
      <c r="GC1048461" s="242"/>
      <c r="GD1048461" s="242"/>
      <c r="GE1048461" s="242"/>
      <c r="GF1048461" s="242"/>
      <c r="GG1048461" s="242"/>
      <c r="GH1048461" s="242"/>
      <c r="GI1048461" s="242"/>
      <c r="GJ1048461" s="242"/>
      <c r="GK1048461" s="242"/>
      <c r="GL1048461" s="242"/>
      <c r="GM1048461" s="242"/>
      <c r="GN1048461" s="242"/>
      <c r="GO1048461" s="242"/>
      <c r="GP1048461" s="242"/>
      <c r="GQ1048461" s="242"/>
      <c r="GR1048461" s="242"/>
      <c r="GS1048461" s="242"/>
      <c r="GT1048461" s="242"/>
      <c r="GU1048461" s="242"/>
      <c r="GV1048461" s="242"/>
      <c r="GW1048461" s="242"/>
      <c r="GX1048461" s="242"/>
      <c r="GY1048461" s="242"/>
      <c r="GZ1048461" s="242"/>
      <c r="HA1048461" s="242"/>
      <c r="HB1048461" s="242"/>
      <c r="HC1048461" s="242"/>
      <c r="HD1048461" s="242"/>
      <c r="HE1048461" s="242"/>
      <c r="HF1048461" s="242"/>
      <c r="HG1048461" s="242"/>
      <c r="HH1048461" s="242"/>
      <c r="HI1048461" s="242"/>
      <c r="HJ1048461" s="242"/>
      <c r="HK1048461" s="242"/>
      <c r="HL1048461" s="242"/>
      <c r="HM1048461" s="242"/>
      <c r="HN1048461" s="242"/>
      <c r="HO1048461" s="242"/>
      <c r="HP1048461" s="242"/>
      <c r="HQ1048461" s="242"/>
      <c r="HR1048461" s="242"/>
      <c r="HS1048461" s="242"/>
      <c r="HT1048461" s="242"/>
      <c r="HU1048461" s="242"/>
      <c r="HV1048461" s="242"/>
      <c r="HW1048461" s="242"/>
      <c r="HX1048461" s="242"/>
      <c r="HY1048461" s="242"/>
      <c r="HZ1048461" s="242"/>
      <c r="IA1048461" s="242"/>
      <c r="IB1048461" s="242"/>
      <c r="IC1048461" s="242"/>
      <c r="ID1048461" s="242"/>
      <c r="IE1048461" s="242"/>
      <c r="IF1048461" s="242"/>
      <c r="IG1048461" s="242"/>
      <c r="IH1048461" s="242"/>
      <c r="II1048461" s="242"/>
      <c r="IJ1048461" s="242"/>
      <c r="IK1048461" s="242"/>
      <c r="IL1048461" s="242"/>
      <c r="IM1048461" s="242"/>
      <c r="IN1048461" s="242"/>
      <c r="IO1048461" s="242"/>
      <c r="IP1048461" s="242"/>
      <c r="IQ1048461" s="242"/>
    </row>
    <row r="1048462" spans="1:251" s="243" customFormat="1" ht="12" customHeight="1">
      <c r="A1048462" s="242"/>
      <c r="B1048462" s="242"/>
      <c r="C1048462" s="242"/>
      <c r="D1048462" s="242"/>
      <c r="E1048462" s="242"/>
      <c r="F1048462" s="242"/>
      <c r="G1048462" s="242"/>
      <c r="H1048462" s="242"/>
      <c r="I1048462" s="242"/>
      <c r="J1048462" s="242"/>
      <c r="K1048462" s="242"/>
      <c r="L1048462" s="242"/>
      <c r="M1048462" s="242"/>
      <c r="N1048462" s="242"/>
      <c r="O1048462" s="242"/>
      <c r="P1048462" s="242"/>
      <c r="Q1048462" s="242"/>
      <c r="R1048462" s="242"/>
      <c r="S1048462" s="242"/>
      <c r="T1048462" s="242"/>
      <c r="U1048462" s="242"/>
      <c r="V1048462" s="242"/>
      <c r="W1048462" s="242"/>
      <c r="X1048462" s="242"/>
      <c r="Y1048462" s="242"/>
      <c r="Z1048462" s="242"/>
      <c r="AA1048462" s="242"/>
      <c r="AB1048462" s="242"/>
      <c r="AC1048462" s="242"/>
      <c r="AD1048462" s="242"/>
      <c r="AE1048462" s="242"/>
      <c r="AF1048462" s="242"/>
      <c r="AG1048462" s="242"/>
      <c r="AH1048462" s="242"/>
      <c r="AI1048462" s="242"/>
      <c r="AJ1048462" s="242"/>
      <c r="AK1048462" s="242"/>
      <c r="AL1048462" s="242"/>
      <c r="AM1048462" s="242"/>
      <c r="AN1048462" s="242"/>
      <c r="AO1048462" s="242"/>
      <c r="AP1048462" s="242"/>
      <c r="AQ1048462" s="242"/>
      <c r="AR1048462" s="242"/>
      <c r="AS1048462" s="242"/>
      <c r="AT1048462" s="242"/>
      <c r="AU1048462" s="242"/>
      <c r="AV1048462" s="242"/>
      <c r="AW1048462" s="242"/>
      <c r="AX1048462" s="242"/>
      <c r="AY1048462" s="242"/>
      <c r="AZ1048462" s="242"/>
      <c r="BA1048462" s="242"/>
      <c r="BB1048462" s="242"/>
      <c r="BC1048462" s="242"/>
      <c r="BD1048462" s="242"/>
      <c r="BE1048462" s="242"/>
      <c r="BF1048462" s="242"/>
      <c r="BG1048462" s="242"/>
      <c r="BH1048462" s="242"/>
      <c r="BI1048462" s="242"/>
      <c r="BJ1048462" s="242"/>
      <c r="BK1048462" s="242"/>
      <c r="BL1048462" s="242"/>
      <c r="BM1048462" s="242"/>
      <c r="BN1048462" s="242"/>
      <c r="BO1048462" s="242"/>
      <c r="BP1048462" s="242"/>
      <c r="BQ1048462" s="242"/>
      <c r="BR1048462" s="242"/>
      <c r="BS1048462" s="242"/>
      <c r="BT1048462" s="242"/>
      <c r="BU1048462" s="242"/>
      <c r="BV1048462" s="242"/>
      <c r="BW1048462" s="242"/>
      <c r="BX1048462" s="242"/>
      <c r="BY1048462" s="242"/>
      <c r="BZ1048462" s="242"/>
      <c r="CA1048462" s="242"/>
      <c r="CB1048462" s="242"/>
      <c r="CC1048462" s="242"/>
      <c r="CD1048462" s="242"/>
      <c r="CE1048462" s="242"/>
      <c r="CF1048462" s="242"/>
      <c r="CG1048462" s="242"/>
      <c r="CH1048462" s="242"/>
      <c r="CI1048462" s="242"/>
      <c r="CJ1048462" s="242"/>
      <c r="CK1048462" s="242"/>
      <c r="CL1048462" s="242"/>
      <c r="CM1048462" s="242"/>
      <c r="CN1048462" s="242"/>
      <c r="CO1048462" s="242"/>
      <c r="CP1048462" s="242"/>
      <c r="CQ1048462" s="242"/>
      <c r="CR1048462" s="242"/>
      <c r="CS1048462" s="242"/>
      <c r="CT1048462" s="242"/>
      <c r="CU1048462" s="242"/>
      <c r="CV1048462" s="242"/>
      <c r="CW1048462" s="242"/>
      <c r="CX1048462" s="242"/>
      <c r="CY1048462" s="242"/>
      <c r="CZ1048462" s="242"/>
      <c r="DA1048462" s="242"/>
      <c r="DB1048462" s="242"/>
      <c r="DC1048462" s="242"/>
      <c r="DD1048462" s="242"/>
      <c r="DE1048462" s="242"/>
      <c r="DF1048462" s="242"/>
      <c r="DG1048462" s="242"/>
      <c r="DH1048462" s="242"/>
      <c r="DI1048462" s="242"/>
      <c r="DJ1048462" s="242"/>
      <c r="DK1048462" s="242"/>
      <c r="DL1048462" s="242"/>
      <c r="DM1048462" s="242"/>
      <c r="DN1048462" s="242"/>
      <c r="DO1048462" s="242"/>
      <c r="DP1048462" s="242"/>
      <c r="DQ1048462" s="242"/>
      <c r="DR1048462" s="242"/>
      <c r="DS1048462" s="242"/>
      <c r="DT1048462" s="242"/>
      <c r="DU1048462" s="242"/>
      <c r="DV1048462" s="242"/>
      <c r="DW1048462" s="242"/>
      <c r="DX1048462" s="242"/>
      <c r="DY1048462" s="242"/>
      <c r="DZ1048462" s="242"/>
      <c r="EA1048462" s="242"/>
      <c r="EB1048462" s="242"/>
      <c r="EC1048462" s="242"/>
      <c r="ED1048462" s="242"/>
      <c r="EE1048462" s="242"/>
      <c r="EF1048462" s="242"/>
      <c r="EG1048462" s="242"/>
      <c r="EH1048462" s="242"/>
      <c r="EI1048462" s="242"/>
      <c r="EJ1048462" s="242"/>
      <c r="EK1048462" s="242"/>
      <c r="EL1048462" s="242"/>
      <c r="EM1048462" s="242"/>
      <c r="EN1048462" s="242"/>
      <c r="EO1048462" s="242"/>
      <c r="EP1048462" s="242"/>
      <c r="EQ1048462" s="242"/>
      <c r="ER1048462" s="242"/>
      <c r="ES1048462" s="242"/>
      <c r="ET1048462" s="242"/>
      <c r="EU1048462" s="242"/>
      <c r="EV1048462" s="242"/>
      <c r="EW1048462" s="242"/>
      <c r="EX1048462" s="242"/>
      <c r="EY1048462" s="242"/>
      <c r="EZ1048462" s="242"/>
      <c r="FA1048462" s="242"/>
      <c r="FB1048462" s="242"/>
      <c r="FC1048462" s="242"/>
      <c r="FD1048462" s="242"/>
      <c r="FE1048462" s="242"/>
      <c r="FF1048462" s="242"/>
      <c r="FG1048462" s="242"/>
      <c r="FH1048462" s="242"/>
      <c r="FI1048462" s="242"/>
      <c r="FJ1048462" s="242"/>
      <c r="FK1048462" s="242"/>
      <c r="FL1048462" s="242"/>
      <c r="FM1048462" s="242"/>
      <c r="FN1048462" s="242"/>
      <c r="FO1048462" s="242"/>
      <c r="FP1048462" s="242"/>
      <c r="FQ1048462" s="242"/>
      <c r="FR1048462" s="242"/>
      <c r="FS1048462" s="242"/>
      <c r="FT1048462" s="242"/>
      <c r="FU1048462" s="242"/>
      <c r="FV1048462" s="242"/>
      <c r="FW1048462" s="242"/>
      <c r="FX1048462" s="242"/>
      <c r="FY1048462" s="242"/>
      <c r="FZ1048462" s="242"/>
      <c r="GA1048462" s="242"/>
      <c r="GB1048462" s="242"/>
      <c r="GC1048462" s="242"/>
      <c r="GD1048462" s="242"/>
      <c r="GE1048462" s="242"/>
      <c r="GF1048462" s="242"/>
      <c r="GG1048462" s="242"/>
      <c r="GH1048462" s="242"/>
      <c r="GI1048462" s="242"/>
      <c r="GJ1048462" s="242"/>
      <c r="GK1048462" s="242"/>
      <c r="GL1048462" s="242"/>
      <c r="GM1048462" s="242"/>
      <c r="GN1048462" s="242"/>
      <c r="GO1048462" s="242"/>
      <c r="GP1048462" s="242"/>
      <c r="GQ1048462" s="242"/>
      <c r="GR1048462" s="242"/>
      <c r="GS1048462" s="242"/>
      <c r="GT1048462" s="242"/>
      <c r="GU1048462" s="242"/>
      <c r="GV1048462" s="242"/>
      <c r="GW1048462" s="242"/>
      <c r="GX1048462" s="242"/>
      <c r="GY1048462" s="242"/>
      <c r="GZ1048462" s="242"/>
      <c r="HA1048462" s="242"/>
      <c r="HB1048462" s="242"/>
      <c r="HC1048462" s="242"/>
      <c r="HD1048462" s="242"/>
      <c r="HE1048462" s="242"/>
      <c r="HF1048462" s="242"/>
      <c r="HG1048462" s="242"/>
      <c r="HH1048462" s="242"/>
      <c r="HI1048462" s="242"/>
      <c r="HJ1048462" s="242"/>
      <c r="HK1048462" s="242"/>
      <c r="HL1048462" s="242"/>
      <c r="HM1048462" s="242"/>
      <c r="HN1048462" s="242"/>
      <c r="HO1048462" s="242"/>
      <c r="HP1048462" s="242"/>
      <c r="HQ1048462" s="242"/>
      <c r="HR1048462" s="242"/>
      <c r="HS1048462" s="242"/>
      <c r="HT1048462" s="242"/>
      <c r="HU1048462" s="242"/>
      <c r="HV1048462" s="242"/>
      <c r="HW1048462" s="242"/>
      <c r="HX1048462" s="242"/>
      <c r="HY1048462" s="242"/>
      <c r="HZ1048462" s="242"/>
      <c r="IA1048462" s="242"/>
      <c r="IB1048462" s="242"/>
      <c r="IC1048462" s="242"/>
      <c r="ID1048462" s="242"/>
      <c r="IE1048462" s="242"/>
      <c r="IF1048462" s="242"/>
      <c r="IG1048462" s="242"/>
      <c r="IH1048462" s="242"/>
      <c r="II1048462" s="242"/>
      <c r="IJ1048462" s="242"/>
      <c r="IK1048462" s="242"/>
      <c r="IL1048462" s="242"/>
      <c r="IM1048462" s="242"/>
      <c r="IN1048462" s="242"/>
      <c r="IO1048462" s="242"/>
      <c r="IP1048462" s="242"/>
      <c r="IQ1048462" s="242"/>
    </row>
    <row r="1048463" spans="1:251" s="243" customFormat="1" ht="12" customHeight="1">
      <c r="A1048463" s="242"/>
      <c r="B1048463" s="242"/>
      <c r="C1048463" s="242"/>
      <c r="D1048463" s="242"/>
      <c r="E1048463" s="242"/>
      <c r="F1048463" s="242"/>
      <c r="G1048463" s="242"/>
      <c r="H1048463" s="242"/>
      <c r="I1048463" s="242"/>
      <c r="J1048463" s="242"/>
      <c r="K1048463" s="242"/>
      <c r="L1048463" s="242"/>
      <c r="M1048463" s="242"/>
      <c r="N1048463" s="242"/>
      <c r="O1048463" s="242"/>
      <c r="P1048463" s="242"/>
      <c r="Q1048463" s="242"/>
      <c r="R1048463" s="242"/>
      <c r="S1048463" s="242"/>
      <c r="T1048463" s="242"/>
      <c r="U1048463" s="242"/>
      <c r="V1048463" s="242"/>
      <c r="W1048463" s="242"/>
      <c r="X1048463" s="242"/>
      <c r="Y1048463" s="242"/>
      <c r="Z1048463" s="242"/>
      <c r="AA1048463" s="242"/>
      <c r="AB1048463" s="242"/>
      <c r="AC1048463" s="242"/>
      <c r="AD1048463" s="242"/>
      <c r="AE1048463" s="242"/>
      <c r="AF1048463" s="242"/>
      <c r="AG1048463" s="242"/>
      <c r="AH1048463" s="242"/>
      <c r="AI1048463" s="242"/>
      <c r="AJ1048463" s="242"/>
      <c r="AK1048463" s="242"/>
      <c r="AL1048463" s="242"/>
      <c r="AM1048463" s="242"/>
      <c r="AN1048463" s="242"/>
      <c r="AO1048463" s="242"/>
      <c r="AP1048463" s="242"/>
      <c r="AQ1048463" s="242"/>
      <c r="AR1048463" s="242"/>
      <c r="AS1048463" s="242"/>
      <c r="AT1048463" s="242"/>
      <c r="AU1048463" s="242"/>
      <c r="AV1048463" s="242"/>
      <c r="AW1048463" s="242"/>
      <c r="AX1048463" s="242"/>
      <c r="AY1048463" s="242"/>
      <c r="AZ1048463" s="242"/>
      <c r="BA1048463" s="242"/>
      <c r="BB1048463" s="242"/>
      <c r="BC1048463" s="242"/>
      <c r="BD1048463" s="242"/>
      <c r="BE1048463" s="242"/>
      <c r="BF1048463" s="242"/>
      <c r="BG1048463" s="242"/>
      <c r="BH1048463" s="242"/>
      <c r="BI1048463" s="242"/>
      <c r="BJ1048463" s="242"/>
      <c r="BK1048463" s="242"/>
      <c r="BL1048463" s="242"/>
      <c r="BM1048463" s="242"/>
      <c r="BN1048463" s="242"/>
      <c r="BO1048463" s="242"/>
      <c r="BP1048463" s="242"/>
      <c r="BQ1048463" s="242"/>
      <c r="BR1048463" s="242"/>
      <c r="BS1048463" s="242"/>
      <c r="BT1048463" s="242"/>
      <c r="BU1048463" s="242"/>
      <c r="BV1048463" s="242"/>
      <c r="BW1048463" s="242"/>
      <c r="BX1048463" s="242"/>
      <c r="BY1048463" s="242"/>
      <c r="BZ1048463" s="242"/>
      <c r="CA1048463" s="242"/>
      <c r="CB1048463" s="242"/>
      <c r="CC1048463" s="242"/>
      <c r="CD1048463" s="242"/>
      <c r="CE1048463" s="242"/>
      <c r="CF1048463" s="242"/>
      <c r="CG1048463" s="242"/>
      <c r="CH1048463" s="242"/>
      <c r="CI1048463" s="242"/>
      <c r="CJ1048463" s="242"/>
      <c r="CK1048463" s="242"/>
      <c r="CL1048463" s="242"/>
      <c r="CM1048463" s="242"/>
      <c r="CN1048463" s="242"/>
      <c r="CO1048463" s="242"/>
      <c r="CP1048463" s="242"/>
      <c r="CQ1048463" s="242"/>
      <c r="CR1048463" s="242"/>
      <c r="CS1048463" s="242"/>
      <c r="CT1048463" s="242"/>
      <c r="CU1048463" s="242"/>
      <c r="CV1048463" s="242"/>
      <c r="CW1048463" s="242"/>
      <c r="CX1048463" s="242"/>
      <c r="CY1048463" s="242"/>
      <c r="CZ1048463" s="242"/>
      <c r="DA1048463" s="242"/>
      <c r="DB1048463" s="242"/>
      <c r="DC1048463" s="242"/>
      <c r="DD1048463" s="242"/>
      <c r="DE1048463" s="242"/>
      <c r="DF1048463" s="242"/>
      <c r="DG1048463" s="242"/>
      <c r="DH1048463" s="242"/>
      <c r="DI1048463" s="242"/>
      <c r="DJ1048463" s="242"/>
      <c r="DK1048463" s="242"/>
      <c r="DL1048463" s="242"/>
      <c r="DM1048463" s="242"/>
      <c r="DN1048463" s="242"/>
      <c r="DO1048463" s="242"/>
      <c r="DP1048463" s="242"/>
      <c r="DQ1048463" s="242"/>
      <c r="DR1048463" s="242"/>
      <c r="DS1048463" s="242"/>
      <c r="DT1048463" s="242"/>
      <c r="DU1048463" s="242"/>
      <c r="DV1048463" s="242"/>
      <c r="DW1048463" s="242"/>
      <c r="DX1048463" s="242"/>
      <c r="DY1048463" s="242"/>
      <c r="DZ1048463" s="242"/>
      <c r="EA1048463" s="242"/>
      <c r="EB1048463" s="242"/>
      <c r="EC1048463" s="242"/>
      <c r="ED1048463" s="242"/>
      <c r="EE1048463" s="242"/>
      <c r="EF1048463" s="242"/>
      <c r="EG1048463" s="242"/>
      <c r="EH1048463" s="242"/>
      <c r="EI1048463" s="242"/>
      <c r="EJ1048463" s="242"/>
      <c r="EK1048463" s="242"/>
      <c r="EL1048463" s="242"/>
      <c r="EM1048463" s="242"/>
      <c r="EN1048463" s="242"/>
      <c r="EO1048463" s="242"/>
      <c r="EP1048463" s="242"/>
      <c r="EQ1048463" s="242"/>
      <c r="ER1048463" s="242"/>
      <c r="ES1048463" s="242"/>
      <c r="ET1048463" s="242"/>
      <c r="EU1048463" s="242"/>
      <c r="EV1048463" s="242"/>
      <c r="EW1048463" s="242"/>
      <c r="EX1048463" s="242"/>
      <c r="EY1048463" s="242"/>
      <c r="EZ1048463" s="242"/>
      <c r="FA1048463" s="242"/>
      <c r="FB1048463" s="242"/>
      <c r="FC1048463" s="242"/>
      <c r="FD1048463" s="242"/>
      <c r="FE1048463" s="242"/>
      <c r="FF1048463" s="242"/>
      <c r="FG1048463" s="242"/>
      <c r="FH1048463" s="242"/>
      <c r="FI1048463" s="242"/>
      <c r="FJ1048463" s="242"/>
      <c r="FK1048463" s="242"/>
      <c r="FL1048463" s="242"/>
      <c r="FM1048463" s="242"/>
      <c r="FN1048463" s="242"/>
      <c r="FO1048463" s="242"/>
      <c r="FP1048463" s="242"/>
      <c r="FQ1048463" s="242"/>
      <c r="FR1048463" s="242"/>
      <c r="FS1048463" s="242"/>
      <c r="FT1048463" s="242"/>
      <c r="FU1048463" s="242"/>
      <c r="FV1048463" s="242"/>
      <c r="FW1048463" s="242"/>
      <c r="FX1048463" s="242"/>
      <c r="FY1048463" s="242"/>
      <c r="FZ1048463" s="242"/>
      <c r="GA1048463" s="242"/>
      <c r="GB1048463" s="242"/>
      <c r="GC1048463" s="242"/>
      <c r="GD1048463" s="242"/>
      <c r="GE1048463" s="242"/>
      <c r="GF1048463" s="242"/>
      <c r="GG1048463" s="242"/>
      <c r="GH1048463" s="242"/>
      <c r="GI1048463" s="242"/>
      <c r="GJ1048463" s="242"/>
      <c r="GK1048463" s="242"/>
      <c r="GL1048463" s="242"/>
      <c r="GM1048463" s="242"/>
      <c r="GN1048463" s="242"/>
      <c r="GO1048463" s="242"/>
      <c r="GP1048463" s="242"/>
      <c r="GQ1048463" s="242"/>
      <c r="GR1048463" s="242"/>
      <c r="GS1048463" s="242"/>
      <c r="GT1048463" s="242"/>
      <c r="GU1048463" s="242"/>
      <c r="GV1048463" s="242"/>
      <c r="GW1048463" s="242"/>
      <c r="GX1048463" s="242"/>
      <c r="GY1048463" s="242"/>
      <c r="GZ1048463" s="242"/>
      <c r="HA1048463" s="242"/>
      <c r="HB1048463" s="242"/>
      <c r="HC1048463" s="242"/>
      <c r="HD1048463" s="242"/>
      <c r="HE1048463" s="242"/>
      <c r="HF1048463" s="242"/>
      <c r="HG1048463" s="242"/>
      <c r="HH1048463" s="242"/>
      <c r="HI1048463" s="242"/>
      <c r="HJ1048463" s="242"/>
      <c r="HK1048463" s="242"/>
      <c r="HL1048463" s="242"/>
      <c r="HM1048463" s="242"/>
      <c r="HN1048463" s="242"/>
      <c r="HO1048463" s="242"/>
      <c r="HP1048463" s="242"/>
      <c r="HQ1048463" s="242"/>
      <c r="HR1048463" s="242"/>
      <c r="HS1048463" s="242"/>
      <c r="HT1048463" s="242"/>
      <c r="HU1048463" s="242"/>
      <c r="HV1048463" s="242"/>
      <c r="HW1048463" s="242"/>
      <c r="HX1048463" s="242"/>
      <c r="HY1048463" s="242"/>
      <c r="HZ1048463" s="242"/>
      <c r="IA1048463" s="242"/>
      <c r="IB1048463" s="242"/>
      <c r="IC1048463" s="242"/>
      <c r="ID1048463" s="242"/>
      <c r="IE1048463" s="242"/>
      <c r="IF1048463" s="242"/>
      <c r="IG1048463" s="242"/>
      <c r="IH1048463" s="242"/>
      <c r="II1048463" s="242"/>
      <c r="IJ1048463" s="242"/>
      <c r="IK1048463" s="242"/>
      <c r="IL1048463" s="242"/>
      <c r="IM1048463" s="242"/>
      <c r="IN1048463" s="242"/>
      <c r="IO1048463" s="242"/>
      <c r="IP1048463" s="242"/>
      <c r="IQ1048463" s="242"/>
    </row>
    <row r="1048464" spans="1:251" s="243" customFormat="1" ht="12" customHeight="1">
      <c r="A1048464" s="242"/>
      <c r="B1048464" s="242"/>
      <c r="C1048464" s="242"/>
      <c r="D1048464" s="242"/>
      <c r="E1048464" s="242"/>
      <c r="F1048464" s="242"/>
      <c r="G1048464" s="242"/>
      <c r="H1048464" s="242"/>
      <c r="I1048464" s="242"/>
      <c r="J1048464" s="242"/>
      <c r="K1048464" s="242"/>
      <c r="L1048464" s="242"/>
      <c r="M1048464" s="242"/>
      <c r="N1048464" s="242"/>
      <c r="O1048464" s="242"/>
      <c r="P1048464" s="242"/>
      <c r="Q1048464" s="242"/>
      <c r="R1048464" s="242"/>
      <c r="S1048464" s="242"/>
      <c r="T1048464" s="242"/>
      <c r="U1048464" s="242"/>
      <c r="V1048464" s="242"/>
      <c r="W1048464" s="242"/>
      <c r="X1048464" s="242"/>
      <c r="Y1048464" s="242"/>
      <c r="Z1048464" s="242"/>
      <c r="AA1048464" s="242"/>
      <c r="AB1048464" s="242"/>
      <c r="AC1048464" s="242"/>
      <c r="AD1048464" s="242"/>
      <c r="AE1048464" s="242"/>
      <c r="AF1048464" s="242"/>
      <c r="AG1048464" s="242"/>
      <c r="AH1048464" s="242"/>
      <c r="AI1048464" s="242"/>
      <c r="AJ1048464" s="242"/>
      <c r="AK1048464" s="242"/>
      <c r="AL1048464" s="242"/>
      <c r="AM1048464" s="242"/>
      <c r="AN1048464" s="242"/>
      <c r="AO1048464" s="242"/>
      <c r="AP1048464" s="242"/>
      <c r="AQ1048464" s="242"/>
      <c r="AR1048464" s="242"/>
      <c r="AS1048464" s="242"/>
      <c r="AT1048464" s="242"/>
      <c r="AU1048464" s="242"/>
      <c r="AV1048464" s="242"/>
      <c r="AW1048464" s="242"/>
      <c r="AX1048464" s="242"/>
      <c r="AY1048464" s="242"/>
      <c r="AZ1048464" s="242"/>
      <c r="BA1048464" s="242"/>
      <c r="BB1048464" s="242"/>
      <c r="BC1048464" s="242"/>
      <c r="BD1048464" s="242"/>
      <c r="BE1048464" s="242"/>
      <c r="BF1048464" s="242"/>
      <c r="BG1048464" s="242"/>
      <c r="BH1048464" s="242"/>
      <c r="BI1048464" s="242"/>
      <c r="BJ1048464" s="242"/>
      <c r="BK1048464" s="242"/>
      <c r="BL1048464" s="242"/>
      <c r="BM1048464" s="242"/>
      <c r="BN1048464" s="242"/>
      <c r="BO1048464" s="242"/>
      <c r="BP1048464" s="242"/>
      <c r="BQ1048464" s="242"/>
      <c r="BR1048464" s="242"/>
      <c r="BS1048464" s="242"/>
      <c r="BT1048464" s="242"/>
      <c r="BU1048464" s="242"/>
      <c r="BV1048464" s="242"/>
      <c r="BW1048464" s="242"/>
      <c r="BX1048464" s="242"/>
      <c r="BY1048464" s="242"/>
      <c r="BZ1048464" s="242"/>
      <c r="CA1048464" s="242"/>
      <c r="CB1048464" s="242"/>
      <c r="CC1048464" s="242"/>
      <c r="CD1048464" s="242"/>
      <c r="CE1048464" s="242"/>
      <c r="CF1048464" s="242"/>
      <c r="CG1048464" s="242"/>
      <c r="CH1048464" s="242"/>
      <c r="CI1048464" s="242"/>
      <c r="CJ1048464" s="242"/>
      <c r="CK1048464" s="242"/>
      <c r="CL1048464" s="242"/>
      <c r="CM1048464" s="242"/>
      <c r="CN1048464" s="242"/>
      <c r="CO1048464" s="242"/>
      <c r="CP1048464" s="242"/>
      <c r="CQ1048464" s="242"/>
      <c r="CR1048464" s="242"/>
      <c r="CS1048464" s="242"/>
      <c r="CT1048464" s="242"/>
      <c r="CU1048464" s="242"/>
      <c r="CV1048464" s="242"/>
      <c r="CW1048464" s="242"/>
      <c r="CX1048464" s="242"/>
      <c r="CY1048464" s="242"/>
      <c r="CZ1048464" s="242"/>
      <c r="DA1048464" s="242"/>
      <c r="DB1048464" s="242"/>
      <c r="DC1048464" s="242"/>
      <c r="DD1048464" s="242"/>
      <c r="DE1048464" s="242"/>
      <c r="DF1048464" s="242"/>
      <c r="DG1048464" s="242"/>
      <c r="DH1048464" s="242"/>
      <c r="DI1048464" s="242"/>
      <c r="DJ1048464" s="242"/>
      <c r="DK1048464" s="242"/>
      <c r="DL1048464" s="242"/>
      <c r="DM1048464" s="242"/>
      <c r="DN1048464" s="242"/>
      <c r="DO1048464" s="242"/>
      <c r="DP1048464" s="242"/>
      <c r="DQ1048464" s="242"/>
      <c r="DR1048464" s="242"/>
      <c r="DS1048464" s="242"/>
      <c r="DT1048464" s="242"/>
      <c r="DU1048464" s="242"/>
      <c r="DV1048464" s="242"/>
      <c r="DW1048464" s="242"/>
      <c r="DX1048464" s="242"/>
      <c r="DY1048464" s="242"/>
      <c r="DZ1048464" s="242"/>
      <c r="EA1048464" s="242"/>
      <c r="EB1048464" s="242"/>
      <c r="EC1048464" s="242"/>
      <c r="ED1048464" s="242"/>
      <c r="EE1048464" s="242"/>
      <c r="EF1048464" s="242"/>
      <c r="EG1048464" s="242"/>
      <c r="EH1048464" s="242"/>
      <c r="EI1048464" s="242"/>
      <c r="EJ1048464" s="242"/>
      <c r="EK1048464" s="242"/>
      <c r="EL1048464" s="242"/>
      <c r="EM1048464" s="242"/>
      <c r="EN1048464" s="242"/>
      <c r="EO1048464" s="242"/>
      <c r="EP1048464" s="242"/>
      <c r="EQ1048464" s="242"/>
      <c r="ER1048464" s="242"/>
      <c r="ES1048464" s="242"/>
      <c r="ET1048464" s="242"/>
      <c r="EU1048464" s="242"/>
      <c r="EV1048464" s="242"/>
      <c r="EW1048464" s="242"/>
      <c r="EX1048464" s="242"/>
      <c r="EY1048464" s="242"/>
      <c r="EZ1048464" s="242"/>
      <c r="FA1048464" s="242"/>
      <c r="FB1048464" s="242"/>
      <c r="FC1048464" s="242"/>
      <c r="FD1048464" s="242"/>
      <c r="FE1048464" s="242"/>
      <c r="FF1048464" s="242"/>
      <c r="FG1048464" s="242"/>
      <c r="FH1048464" s="242"/>
      <c r="FI1048464" s="242"/>
      <c r="FJ1048464" s="242"/>
      <c r="FK1048464" s="242"/>
      <c r="FL1048464" s="242"/>
      <c r="FM1048464" s="242"/>
      <c r="FN1048464" s="242"/>
      <c r="FO1048464" s="242"/>
      <c r="FP1048464" s="242"/>
      <c r="FQ1048464" s="242"/>
      <c r="FR1048464" s="242"/>
      <c r="FS1048464" s="242"/>
      <c r="FT1048464" s="242"/>
      <c r="FU1048464" s="242"/>
      <c r="FV1048464" s="242"/>
      <c r="FW1048464" s="242"/>
      <c r="FX1048464" s="242"/>
      <c r="FY1048464" s="242"/>
      <c r="FZ1048464" s="242"/>
      <c r="GA1048464" s="242"/>
      <c r="GB1048464" s="242"/>
      <c r="GC1048464" s="242"/>
      <c r="GD1048464" s="242"/>
      <c r="GE1048464" s="242"/>
      <c r="GF1048464" s="242"/>
      <c r="GG1048464" s="242"/>
      <c r="GH1048464" s="242"/>
      <c r="GI1048464" s="242"/>
      <c r="GJ1048464" s="242"/>
      <c r="GK1048464" s="242"/>
      <c r="GL1048464" s="242"/>
      <c r="GM1048464" s="242"/>
      <c r="GN1048464" s="242"/>
      <c r="GO1048464" s="242"/>
      <c r="GP1048464" s="242"/>
      <c r="GQ1048464" s="242"/>
      <c r="GR1048464" s="242"/>
      <c r="GS1048464" s="242"/>
      <c r="GT1048464" s="242"/>
      <c r="GU1048464" s="242"/>
      <c r="GV1048464" s="242"/>
      <c r="GW1048464" s="242"/>
      <c r="GX1048464" s="242"/>
      <c r="GY1048464" s="242"/>
      <c r="GZ1048464" s="242"/>
      <c r="HA1048464" s="242"/>
      <c r="HB1048464" s="242"/>
      <c r="HC1048464" s="242"/>
      <c r="HD1048464" s="242"/>
      <c r="HE1048464" s="242"/>
      <c r="HF1048464" s="242"/>
      <c r="HG1048464" s="242"/>
      <c r="HH1048464" s="242"/>
      <c r="HI1048464" s="242"/>
      <c r="HJ1048464" s="242"/>
      <c r="HK1048464" s="242"/>
      <c r="HL1048464" s="242"/>
      <c r="HM1048464" s="242"/>
      <c r="HN1048464" s="242"/>
      <c r="HO1048464" s="242"/>
      <c r="HP1048464" s="242"/>
      <c r="HQ1048464" s="242"/>
      <c r="HR1048464" s="242"/>
      <c r="HS1048464" s="242"/>
      <c r="HT1048464" s="242"/>
      <c r="HU1048464" s="242"/>
      <c r="HV1048464" s="242"/>
      <c r="HW1048464" s="242"/>
      <c r="HX1048464" s="242"/>
      <c r="HY1048464" s="242"/>
      <c r="HZ1048464" s="242"/>
      <c r="IA1048464" s="242"/>
      <c r="IB1048464" s="242"/>
      <c r="IC1048464" s="242"/>
      <c r="ID1048464" s="242"/>
      <c r="IE1048464" s="242"/>
      <c r="IF1048464" s="242"/>
      <c r="IG1048464" s="242"/>
      <c r="IH1048464" s="242"/>
      <c r="II1048464" s="242"/>
      <c r="IJ1048464" s="242"/>
      <c r="IK1048464" s="242"/>
      <c r="IL1048464" s="242"/>
      <c r="IM1048464" s="242"/>
      <c r="IN1048464" s="242"/>
      <c r="IO1048464" s="242"/>
      <c r="IP1048464" s="242"/>
      <c r="IQ1048464" s="242"/>
    </row>
    <row r="1048465" spans="1:251" s="243" customFormat="1" ht="12" customHeight="1">
      <c r="A1048465" s="242"/>
      <c r="B1048465" s="242"/>
      <c r="C1048465" s="242"/>
      <c r="D1048465" s="242"/>
      <c r="E1048465" s="242"/>
      <c r="F1048465" s="242"/>
      <c r="G1048465" s="242"/>
      <c r="H1048465" s="242"/>
      <c r="I1048465" s="242"/>
      <c r="J1048465" s="242"/>
      <c r="K1048465" s="242"/>
      <c r="L1048465" s="242"/>
      <c r="M1048465" s="242"/>
      <c r="N1048465" s="242"/>
      <c r="O1048465" s="242"/>
      <c r="P1048465" s="242"/>
      <c r="Q1048465" s="242"/>
      <c r="R1048465" s="242"/>
      <c r="S1048465" s="242"/>
      <c r="T1048465" s="242"/>
      <c r="U1048465" s="242"/>
      <c r="V1048465" s="242"/>
      <c r="W1048465" s="242"/>
      <c r="X1048465" s="242"/>
      <c r="Y1048465" s="242"/>
      <c r="Z1048465" s="242"/>
      <c r="AA1048465" s="242"/>
      <c r="AB1048465" s="242"/>
      <c r="AC1048465" s="242"/>
      <c r="AD1048465" s="242"/>
      <c r="AE1048465" s="242"/>
      <c r="AF1048465" s="242"/>
      <c r="AG1048465" s="242"/>
      <c r="AH1048465" s="242"/>
      <c r="AI1048465" s="242"/>
      <c r="AJ1048465" s="242"/>
      <c r="AK1048465" s="242"/>
      <c r="AL1048465" s="242"/>
      <c r="AM1048465" s="242"/>
      <c r="AN1048465" s="242"/>
      <c r="AO1048465" s="242"/>
      <c r="AP1048465" s="242"/>
      <c r="AQ1048465" s="242"/>
      <c r="AR1048465" s="242"/>
      <c r="AS1048465" s="242"/>
      <c r="AT1048465" s="242"/>
      <c r="AU1048465" s="242"/>
      <c r="AV1048465" s="242"/>
      <c r="AW1048465" s="242"/>
      <c r="AX1048465" s="242"/>
      <c r="AY1048465" s="242"/>
      <c r="AZ1048465" s="242"/>
      <c r="BA1048465" s="242"/>
      <c r="BB1048465" s="242"/>
      <c r="BC1048465" s="242"/>
      <c r="BD1048465" s="242"/>
      <c r="BE1048465" s="242"/>
      <c r="BF1048465" s="242"/>
      <c r="BG1048465" s="242"/>
      <c r="BH1048465" s="242"/>
      <c r="BI1048465" s="242"/>
      <c r="BJ1048465" s="242"/>
      <c r="BK1048465" s="242"/>
      <c r="BL1048465" s="242"/>
      <c r="BM1048465" s="242"/>
      <c r="BN1048465" s="242"/>
      <c r="BO1048465" s="242"/>
      <c r="BP1048465" s="242"/>
      <c r="BQ1048465" s="242"/>
      <c r="BR1048465" s="242"/>
      <c r="BS1048465" s="242"/>
      <c r="BT1048465" s="242"/>
      <c r="BU1048465" s="242"/>
      <c r="BV1048465" s="242"/>
      <c r="BW1048465" s="242"/>
      <c r="BX1048465" s="242"/>
      <c r="BY1048465" s="242"/>
      <c r="BZ1048465" s="242"/>
      <c r="CA1048465" s="242"/>
      <c r="CB1048465" s="242"/>
      <c r="CC1048465" s="242"/>
      <c r="CD1048465" s="242"/>
      <c r="CE1048465" s="242"/>
      <c r="CF1048465" s="242"/>
      <c r="CG1048465" s="242"/>
      <c r="CH1048465" s="242"/>
      <c r="CI1048465" s="242"/>
      <c r="CJ1048465" s="242"/>
      <c r="CK1048465" s="242"/>
      <c r="CL1048465" s="242"/>
      <c r="CM1048465" s="242"/>
      <c r="CN1048465" s="242"/>
      <c r="CO1048465" s="242"/>
      <c r="CP1048465" s="242"/>
      <c r="CQ1048465" s="242"/>
      <c r="CR1048465" s="242"/>
      <c r="CS1048465" s="242"/>
      <c r="CT1048465" s="242"/>
      <c r="CU1048465" s="242"/>
      <c r="CV1048465" s="242"/>
      <c r="CW1048465" s="242"/>
      <c r="CX1048465" s="242"/>
      <c r="CY1048465" s="242"/>
      <c r="CZ1048465" s="242"/>
      <c r="DA1048465" s="242"/>
      <c r="DB1048465" s="242"/>
      <c r="DC1048465" s="242"/>
      <c r="DD1048465" s="242"/>
      <c r="DE1048465" s="242"/>
      <c r="DF1048465" s="242"/>
      <c r="DG1048465" s="242"/>
      <c r="DH1048465" s="242"/>
      <c r="DI1048465" s="242"/>
      <c r="DJ1048465" s="242"/>
      <c r="DK1048465" s="242"/>
      <c r="DL1048465" s="242"/>
      <c r="DM1048465" s="242"/>
      <c r="DN1048465" s="242"/>
      <c r="DO1048465" s="242"/>
      <c r="DP1048465" s="242"/>
      <c r="DQ1048465" s="242"/>
      <c r="DR1048465" s="242"/>
      <c r="DS1048465" s="242"/>
      <c r="DT1048465" s="242"/>
      <c r="DU1048465" s="242"/>
      <c r="DV1048465" s="242"/>
      <c r="DW1048465" s="242"/>
      <c r="DX1048465" s="242"/>
      <c r="DY1048465" s="242"/>
      <c r="DZ1048465" s="242"/>
      <c r="EA1048465" s="242"/>
      <c r="EB1048465" s="242"/>
      <c r="EC1048465" s="242"/>
      <c r="ED1048465" s="242"/>
      <c r="EE1048465" s="242"/>
      <c r="EF1048465" s="242"/>
      <c r="EG1048465" s="242"/>
      <c r="EH1048465" s="242"/>
      <c r="EI1048465" s="242"/>
      <c r="EJ1048465" s="242"/>
      <c r="EK1048465" s="242"/>
      <c r="EL1048465" s="242"/>
      <c r="EM1048465" s="242"/>
      <c r="EN1048465" s="242"/>
      <c r="EO1048465" s="242"/>
      <c r="EP1048465" s="242"/>
      <c r="EQ1048465" s="242"/>
      <c r="ER1048465" s="242"/>
      <c r="ES1048465" s="242"/>
      <c r="ET1048465" s="242"/>
      <c r="EU1048465" s="242"/>
      <c r="EV1048465" s="242"/>
      <c r="EW1048465" s="242"/>
      <c r="EX1048465" s="242"/>
      <c r="EY1048465" s="242"/>
      <c r="EZ1048465" s="242"/>
      <c r="FA1048465" s="242"/>
      <c r="FB1048465" s="242"/>
      <c r="FC1048465" s="242"/>
      <c r="FD1048465" s="242"/>
      <c r="FE1048465" s="242"/>
      <c r="FF1048465" s="242"/>
      <c r="FG1048465" s="242"/>
      <c r="FH1048465" s="242"/>
      <c r="FI1048465" s="242"/>
      <c r="FJ1048465" s="242"/>
      <c r="FK1048465" s="242"/>
      <c r="FL1048465" s="242"/>
      <c r="FM1048465" s="242"/>
      <c r="FN1048465" s="242"/>
      <c r="FO1048465" s="242"/>
      <c r="FP1048465" s="242"/>
      <c r="FQ1048465" s="242"/>
      <c r="FR1048465" s="242"/>
      <c r="FS1048465" s="242"/>
      <c r="FT1048465" s="242"/>
      <c r="FU1048465" s="242"/>
      <c r="FV1048465" s="242"/>
      <c r="FW1048465" s="242"/>
      <c r="FX1048465" s="242"/>
      <c r="FY1048465" s="242"/>
      <c r="FZ1048465" s="242"/>
      <c r="GA1048465" s="242"/>
      <c r="GB1048465" s="242"/>
      <c r="GC1048465" s="242"/>
      <c r="GD1048465" s="242"/>
      <c r="GE1048465" s="242"/>
      <c r="GF1048465" s="242"/>
      <c r="GG1048465" s="242"/>
      <c r="GH1048465" s="242"/>
      <c r="GI1048465" s="242"/>
      <c r="GJ1048465" s="242"/>
      <c r="GK1048465" s="242"/>
      <c r="GL1048465" s="242"/>
      <c r="GM1048465" s="242"/>
      <c r="GN1048465" s="242"/>
      <c r="GO1048465" s="242"/>
      <c r="GP1048465" s="242"/>
      <c r="GQ1048465" s="242"/>
      <c r="GR1048465" s="242"/>
      <c r="GS1048465" s="242"/>
      <c r="GT1048465" s="242"/>
      <c r="GU1048465" s="242"/>
      <c r="GV1048465" s="242"/>
      <c r="GW1048465" s="242"/>
      <c r="GX1048465" s="242"/>
      <c r="GY1048465" s="242"/>
      <c r="GZ1048465" s="242"/>
      <c r="HA1048465" s="242"/>
      <c r="HB1048465" s="242"/>
      <c r="HC1048465" s="242"/>
      <c r="HD1048465" s="242"/>
      <c r="HE1048465" s="242"/>
      <c r="HF1048465" s="242"/>
      <c r="HG1048465" s="242"/>
      <c r="HH1048465" s="242"/>
      <c r="HI1048465" s="242"/>
      <c r="HJ1048465" s="242"/>
      <c r="HK1048465" s="242"/>
      <c r="HL1048465" s="242"/>
      <c r="HM1048465" s="242"/>
      <c r="HN1048465" s="242"/>
      <c r="HO1048465" s="242"/>
      <c r="HP1048465" s="242"/>
      <c r="HQ1048465" s="242"/>
      <c r="HR1048465" s="242"/>
      <c r="HS1048465" s="242"/>
      <c r="HT1048465" s="242"/>
      <c r="HU1048465" s="242"/>
      <c r="HV1048465" s="242"/>
      <c r="HW1048465" s="242"/>
      <c r="HX1048465" s="242"/>
      <c r="HY1048465" s="242"/>
      <c r="HZ1048465" s="242"/>
      <c r="IA1048465" s="242"/>
      <c r="IB1048465" s="242"/>
      <c r="IC1048465" s="242"/>
      <c r="ID1048465" s="242"/>
      <c r="IE1048465" s="242"/>
      <c r="IF1048465" s="242"/>
      <c r="IG1048465" s="242"/>
      <c r="IH1048465" s="242"/>
      <c r="II1048465" s="242"/>
      <c r="IJ1048465" s="242"/>
      <c r="IK1048465" s="242"/>
      <c r="IL1048465" s="242"/>
      <c r="IM1048465" s="242"/>
      <c r="IN1048465" s="242"/>
      <c r="IO1048465" s="242"/>
      <c r="IP1048465" s="242"/>
      <c r="IQ1048465" s="242"/>
    </row>
    <row r="1048466" spans="1:251" s="243" customFormat="1" ht="12" customHeight="1">
      <c r="A1048466" s="242"/>
      <c r="B1048466" s="242"/>
      <c r="C1048466" s="242"/>
      <c r="D1048466" s="242"/>
      <c r="E1048466" s="242"/>
      <c r="F1048466" s="242"/>
      <c r="G1048466" s="242"/>
      <c r="H1048466" s="242"/>
      <c r="I1048466" s="242"/>
      <c r="J1048466" s="242"/>
      <c r="K1048466" s="242"/>
      <c r="L1048466" s="242"/>
      <c r="M1048466" s="242"/>
      <c r="N1048466" s="242"/>
      <c r="O1048466" s="242"/>
      <c r="P1048466" s="242"/>
      <c r="Q1048466" s="242"/>
      <c r="R1048466" s="242"/>
      <c r="S1048466" s="242"/>
      <c r="T1048466" s="242"/>
      <c r="U1048466" s="242"/>
      <c r="V1048466" s="242"/>
      <c r="W1048466" s="242"/>
      <c r="X1048466" s="242"/>
      <c r="Y1048466" s="242"/>
      <c r="Z1048466" s="242"/>
      <c r="AA1048466" s="242"/>
      <c r="AB1048466" s="242"/>
      <c r="AC1048466" s="242"/>
      <c r="AD1048466" s="242"/>
      <c r="AE1048466" s="242"/>
      <c r="AF1048466" s="242"/>
      <c r="AG1048466" s="242"/>
      <c r="AH1048466" s="242"/>
      <c r="AI1048466" s="242"/>
      <c r="AJ1048466" s="242"/>
      <c r="AK1048466" s="242"/>
      <c r="AL1048466" s="242"/>
      <c r="AM1048466" s="242"/>
      <c r="AN1048466" s="242"/>
      <c r="AO1048466" s="242"/>
      <c r="AP1048466" s="242"/>
      <c r="AQ1048466" s="242"/>
      <c r="AR1048466" s="242"/>
      <c r="AS1048466" s="242"/>
      <c r="AT1048466" s="242"/>
      <c r="AU1048466" s="242"/>
      <c r="AV1048466" s="242"/>
      <c r="AW1048466" s="242"/>
      <c r="AX1048466" s="242"/>
      <c r="AY1048466" s="242"/>
      <c r="AZ1048466" s="242"/>
      <c r="BA1048466" s="242"/>
      <c r="BB1048466" s="242"/>
      <c r="BC1048466" s="242"/>
      <c r="BD1048466" s="242"/>
      <c r="BE1048466" s="242"/>
      <c r="BF1048466" s="242"/>
      <c r="BG1048466" s="242"/>
      <c r="BH1048466" s="242"/>
      <c r="BI1048466" s="242"/>
      <c r="BJ1048466" s="242"/>
      <c r="BK1048466" s="242"/>
      <c r="BL1048466" s="242"/>
      <c r="BM1048466" s="242"/>
      <c r="BN1048466" s="242"/>
      <c r="BO1048466" s="242"/>
      <c r="BP1048466" s="242"/>
      <c r="BQ1048466" s="242"/>
      <c r="BR1048466" s="242"/>
      <c r="BS1048466" s="242"/>
      <c r="BT1048466" s="242"/>
      <c r="BU1048466" s="242"/>
      <c r="BV1048466" s="242"/>
      <c r="BW1048466" s="242"/>
      <c r="BX1048466" s="242"/>
      <c r="BY1048466" s="242"/>
      <c r="BZ1048466" s="242"/>
      <c r="CA1048466" s="242"/>
      <c r="CB1048466" s="242"/>
      <c r="CC1048466" s="242"/>
      <c r="CD1048466" s="242"/>
      <c r="CE1048466" s="242"/>
      <c r="CF1048466" s="242"/>
      <c r="CG1048466" s="242"/>
      <c r="CH1048466" s="242"/>
      <c r="CI1048466" s="242"/>
      <c r="CJ1048466" s="242"/>
      <c r="CK1048466" s="242"/>
      <c r="CL1048466" s="242"/>
      <c r="CM1048466" s="242"/>
      <c r="CN1048466" s="242"/>
      <c r="CO1048466" s="242"/>
      <c r="CP1048466" s="242"/>
      <c r="CQ1048466" s="242"/>
      <c r="CR1048466" s="242"/>
      <c r="CS1048466" s="242"/>
      <c r="CT1048466" s="242"/>
      <c r="CU1048466" s="242"/>
      <c r="CV1048466" s="242"/>
      <c r="CW1048466" s="242"/>
      <c r="CX1048466" s="242"/>
      <c r="CY1048466" s="242"/>
      <c r="CZ1048466" s="242"/>
      <c r="DA1048466" s="242"/>
      <c r="DB1048466" s="242"/>
      <c r="DC1048466" s="242"/>
      <c r="DD1048466" s="242"/>
      <c r="DE1048466" s="242"/>
      <c r="DF1048466" s="242"/>
      <c r="DG1048466" s="242"/>
      <c r="DH1048466" s="242"/>
      <c r="DI1048466" s="242"/>
      <c r="DJ1048466" s="242"/>
      <c r="DK1048466" s="242"/>
      <c r="DL1048466" s="242"/>
      <c r="DM1048466" s="242"/>
      <c r="DN1048466" s="242"/>
      <c r="DO1048466" s="242"/>
      <c r="DP1048466" s="242"/>
      <c r="DQ1048466" s="242"/>
      <c r="DR1048466" s="242"/>
      <c r="DS1048466" s="242"/>
      <c r="DT1048466" s="242"/>
      <c r="DU1048466" s="242"/>
      <c r="DV1048466" s="242"/>
      <c r="DW1048466" s="242"/>
      <c r="DX1048466" s="242"/>
      <c r="DY1048466" s="242"/>
      <c r="DZ1048466" s="242"/>
      <c r="EA1048466" s="242"/>
      <c r="EB1048466" s="242"/>
      <c r="EC1048466" s="242"/>
      <c r="ED1048466" s="242"/>
      <c r="EE1048466" s="242"/>
      <c r="EF1048466" s="242"/>
      <c r="EG1048466" s="242"/>
      <c r="EH1048466" s="242"/>
      <c r="EI1048466" s="242"/>
      <c r="EJ1048466" s="242"/>
      <c r="EK1048466" s="242"/>
      <c r="EL1048466" s="242"/>
      <c r="EM1048466" s="242"/>
      <c r="EN1048466" s="242"/>
      <c r="EO1048466" s="242"/>
      <c r="EP1048466" s="242"/>
      <c r="EQ1048466" s="242"/>
      <c r="ER1048466" s="242"/>
      <c r="ES1048466" s="242"/>
      <c r="ET1048466" s="242"/>
      <c r="EU1048466" s="242"/>
      <c r="EV1048466" s="242"/>
      <c r="EW1048466" s="242"/>
      <c r="EX1048466" s="242"/>
      <c r="EY1048466" s="242"/>
      <c r="EZ1048466" s="242"/>
      <c r="FA1048466" s="242"/>
      <c r="FB1048466" s="242"/>
      <c r="FC1048466" s="242"/>
      <c r="FD1048466" s="242"/>
      <c r="FE1048466" s="242"/>
      <c r="FF1048466" s="242"/>
      <c r="FG1048466" s="242"/>
      <c r="FH1048466" s="242"/>
      <c r="FI1048466" s="242"/>
      <c r="FJ1048466" s="242"/>
      <c r="FK1048466" s="242"/>
      <c r="FL1048466" s="242"/>
      <c r="FM1048466" s="242"/>
      <c r="FN1048466" s="242"/>
      <c r="FO1048466" s="242"/>
      <c r="FP1048466" s="242"/>
      <c r="FQ1048466" s="242"/>
      <c r="FR1048466" s="242"/>
      <c r="FS1048466" s="242"/>
      <c r="FT1048466" s="242"/>
      <c r="FU1048466" s="242"/>
      <c r="FV1048466" s="242"/>
      <c r="FW1048466" s="242"/>
      <c r="FX1048466" s="242"/>
      <c r="FY1048466" s="242"/>
      <c r="FZ1048466" s="242"/>
      <c r="GA1048466" s="242"/>
      <c r="GB1048466" s="242"/>
      <c r="GC1048466" s="242"/>
      <c r="GD1048466" s="242"/>
      <c r="GE1048466" s="242"/>
      <c r="GF1048466" s="242"/>
      <c r="GG1048466" s="242"/>
      <c r="GH1048466" s="242"/>
      <c r="GI1048466" s="242"/>
      <c r="GJ1048466" s="242"/>
      <c r="GK1048466" s="242"/>
      <c r="GL1048466" s="242"/>
      <c r="GM1048466" s="242"/>
      <c r="GN1048466" s="242"/>
      <c r="GO1048466" s="242"/>
      <c r="GP1048466" s="242"/>
      <c r="GQ1048466" s="242"/>
      <c r="GR1048466" s="242"/>
      <c r="GS1048466" s="242"/>
      <c r="GT1048466" s="242"/>
      <c r="GU1048466" s="242"/>
      <c r="GV1048466" s="242"/>
      <c r="GW1048466" s="242"/>
      <c r="GX1048466" s="242"/>
      <c r="GY1048466" s="242"/>
      <c r="GZ1048466" s="242"/>
      <c r="HA1048466" s="242"/>
      <c r="HB1048466" s="242"/>
      <c r="HC1048466" s="242"/>
      <c r="HD1048466" s="242"/>
      <c r="HE1048466" s="242"/>
      <c r="HF1048466" s="242"/>
      <c r="HG1048466" s="242"/>
      <c r="HH1048466" s="242"/>
      <c r="HI1048466" s="242"/>
      <c r="HJ1048466" s="242"/>
      <c r="HK1048466" s="242"/>
      <c r="HL1048466" s="242"/>
      <c r="HM1048466" s="242"/>
      <c r="HN1048466" s="242"/>
      <c r="HO1048466" s="242"/>
      <c r="HP1048466" s="242"/>
      <c r="HQ1048466" s="242"/>
      <c r="HR1048466" s="242"/>
      <c r="HS1048466" s="242"/>
      <c r="HT1048466" s="242"/>
      <c r="HU1048466" s="242"/>
      <c r="HV1048466" s="242"/>
      <c r="HW1048466" s="242"/>
      <c r="HX1048466" s="242"/>
      <c r="HY1048466" s="242"/>
      <c r="HZ1048466" s="242"/>
      <c r="IA1048466" s="242"/>
      <c r="IB1048466" s="242"/>
      <c r="IC1048466" s="242"/>
      <c r="ID1048466" s="242"/>
      <c r="IE1048466" s="242"/>
      <c r="IF1048466" s="242"/>
      <c r="IG1048466" s="242"/>
      <c r="IH1048466" s="242"/>
      <c r="II1048466" s="242"/>
      <c r="IJ1048466" s="242"/>
      <c r="IK1048466" s="242"/>
      <c r="IL1048466" s="242"/>
      <c r="IM1048466" s="242"/>
      <c r="IN1048466" s="242"/>
      <c r="IO1048466" s="242"/>
      <c r="IP1048466" s="242"/>
      <c r="IQ1048466" s="242"/>
    </row>
    <row r="1048467" spans="1:251" s="243" customFormat="1" ht="12" customHeight="1">
      <c r="A1048467" s="242"/>
      <c r="B1048467" s="242"/>
      <c r="C1048467" s="242"/>
      <c r="D1048467" s="242"/>
      <c r="E1048467" s="242"/>
      <c r="F1048467" s="242"/>
      <c r="G1048467" s="242"/>
      <c r="H1048467" s="242"/>
      <c r="I1048467" s="242"/>
      <c r="J1048467" s="242"/>
      <c r="K1048467" s="242"/>
      <c r="L1048467" s="242"/>
      <c r="M1048467" s="242"/>
      <c r="N1048467" s="242"/>
      <c r="O1048467" s="242"/>
      <c r="P1048467" s="242"/>
      <c r="Q1048467" s="242"/>
      <c r="R1048467" s="242"/>
      <c r="S1048467" s="242"/>
      <c r="T1048467" s="242"/>
      <c r="U1048467" s="242"/>
      <c r="V1048467" s="242"/>
      <c r="W1048467" s="242"/>
      <c r="X1048467" s="242"/>
      <c r="Y1048467" s="242"/>
      <c r="Z1048467" s="242"/>
      <c r="AA1048467" s="242"/>
      <c r="AB1048467" s="242"/>
      <c r="AC1048467" s="242"/>
      <c r="AD1048467" s="242"/>
      <c r="AE1048467" s="242"/>
      <c r="AF1048467" s="242"/>
      <c r="AG1048467" s="242"/>
      <c r="AH1048467" s="242"/>
      <c r="AI1048467" s="242"/>
      <c r="AJ1048467" s="242"/>
      <c r="AK1048467" s="242"/>
      <c r="AL1048467" s="242"/>
      <c r="AM1048467" s="242"/>
      <c r="AN1048467" s="242"/>
      <c r="AO1048467" s="242"/>
      <c r="AP1048467" s="242"/>
      <c r="AQ1048467" s="242"/>
      <c r="AR1048467" s="242"/>
      <c r="AS1048467" s="242"/>
      <c r="AT1048467" s="242"/>
      <c r="AU1048467" s="242"/>
      <c r="AV1048467" s="242"/>
      <c r="AW1048467" s="242"/>
      <c r="AX1048467" s="242"/>
      <c r="AY1048467" s="242"/>
      <c r="AZ1048467" s="242"/>
      <c r="BA1048467" s="242"/>
      <c r="BB1048467" s="242"/>
      <c r="BC1048467" s="242"/>
      <c r="BD1048467" s="242"/>
      <c r="BE1048467" s="242"/>
      <c r="BF1048467" s="242"/>
      <c r="BG1048467" s="242"/>
      <c r="BH1048467" s="242"/>
      <c r="BI1048467" s="242"/>
      <c r="BJ1048467" s="242"/>
      <c r="BK1048467" s="242"/>
      <c r="BL1048467" s="242"/>
      <c r="BM1048467" s="242"/>
      <c r="BN1048467" s="242"/>
      <c r="BO1048467" s="242"/>
      <c r="BP1048467" s="242"/>
      <c r="BQ1048467" s="242"/>
      <c r="BR1048467" s="242"/>
      <c r="BS1048467" s="242"/>
      <c r="BT1048467" s="242"/>
      <c r="BU1048467" s="242"/>
      <c r="BV1048467" s="242"/>
      <c r="BW1048467" s="242"/>
      <c r="BX1048467" s="242"/>
      <c r="BY1048467" s="242"/>
      <c r="BZ1048467" s="242"/>
      <c r="CA1048467" s="242"/>
      <c r="CB1048467" s="242"/>
      <c r="CC1048467" s="242"/>
      <c r="CD1048467" s="242"/>
      <c r="CE1048467" s="242"/>
      <c r="CF1048467" s="242"/>
      <c r="CG1048467" s="242"/>
      <c r="CH1048467" s="242"/>
      <c r="CI1048467" s="242"/>
      <c r="CJ1048467" s="242"/>
      <c r="CK1048467" s="242"/>
      <c r="CL1048467" s="242"/>
      <c r="CM1048467" s="242"/>
      <c r="CN1048467" s="242"/>
      <c r="CO1048467" s="242"/>
      <c r="CP1048467" s="242"/>
      <c r="CQ1048467" s="242"/>
      <c r="CR1048467" s="242"/>
      <c r="CS1048467" s="242"/>
      <c r="CT1048467" s="242"/>
      <c r="CU1048467" s="242"/>
      <c r="CV1048467" s="242"/>
      <c r="CW1048467" s="242"/>
      <c r="CX1048467" s="242"/>
      <c r="CY1048467" s="242"/>
      <c r="CZ1048467" s="242"/>
      <c r="DA1048467" s="242"/>
      <c r="DB1048467" s="242"/>
      <c r="DC1048467" s="242"/>
      <c r="DD1048467" s="242"/>
      <c r="DE1048467" s="242"/>
      <c r="DF1048467" s="242"/>
      <c r="DG1048467" s="242"/>
      <c r="DH1048467" s="242"/>
      <c r="DI1048467" s="242"/>
      <c r="DJ1048467" s="242"/>
      <c r="DK1048467" s="242"/>
      <c r="DL1048467" s="242"/>
      <c r="DM1048467" s="242"/>
      <c r="DN1048467" s="242"/>
      <c r="DO1048467" s="242"/>
      <c r="DP1048467" s="242"/>
      <c r="DQ1048467" s="242"/>
      <c r="DR1048467" s="242"/>
      <c r="DS1048467" s="242"/>
      <c r="DT1048467" s="242"/>
      <c r="DU1048467" s="242"/>
      <c r="DV1048467" s="242"/>
      <c r="DW1048467" s="242"/>
      <c r="DX1048467" s="242"/>
      <c r="DY1048467" s="242"/>
      <c r="DZ1048467" s="242"/>
      <c r="EA1048467" s="242"/>
      <c r="EB1048467" s="242"/>
      <c r="EC1048467" s="242"/>
      <c r="ED1048467" s="242"/>
      <c r="EE1048467" s="242"/>
      <c r="EF1048467" s="242"/>
      <c r="EG1048467" s="242"/>
      <c r="EH1048467" s="242"/>
      <c r="EI1048467" s="242"/>
      <c r="EJ1048467" s="242"/>
      <c r="EK1048467" s="242"/>
      <c r="EL1048467" s="242"/>
      <c r="EM1048467" s="242"/>
      <c r="EN1048467" s="242"/>
      <c r="EO1048467" s="242"/>
      <c r="EP1048467" s="242"/>
      <c r="EQ1048467" s="242"/>
      <c r="ER1048467" s="242"/>
      <c r="ES1048467" s="242"/>
      <c r="ET1048467" s="242"/>
      <c r="EU1048467" s="242"/>
      <c r="EV1048467" s="242"/>
      <c r="EW1048467" s="242"/>
      <c r="EX1048467" s="242"/>
      <c r="EY1048467" s="242"/>
      <c r="EZ1048467" s="242"/>
      <c r="FA1048467" s="242"/>
      <c r="FB1048467" s="242"/>
      <c r="FC1048467" s="242"/>
      <c r="FD1048467" s="242"/>
      <c r="FE1048467" s="242"/>
      <c r="FF1048467" s="242"/>
      <c r="FG1048467" s="242"/>
      <c r="FH1048467" s="242"/>
      <c r="FI1048467" s="242"/>
      <c r="FJ1048467" s="242"/>
      <c r="FK1048467" s="242"/>
      <c r="FL1048467" s="242"/>
      <c r="FM1048467" s="242"/>
      <c r="FN1048467" s="242"/>
      <c r="FO1048467" s="242"/>
      <c r="FP1048467" s="242"/>
      <c r="FQ1048467" s="242"/>
      <c r="FR1048467" s="242"/>
      <c r="FS1048467" s="242"/>
      <c r="FT1048467" s="242"/>
      <c r="FU1048467" s="242"/>
      <c r="FV1048467" s="242"/>
      <c r="FW1048467" s="242"/>
      <c r="FX1048467" s="242"/>
      <c r="FY1048467" s="242"/>
      <c r="FZ1048467" s="242"/>
      <c r="GA1048467" s="242"/>
      <c r="GB1048467" s="242"/>
      <c r="GC1048467" s="242"/>
      <c r="GD1048467" s="242"/>
      <c r="GE1048467" s="242"/>
      <c r="GF1048467" s="242"/>
      <c r="GG1048467" s="242"/>
      <c r="GH1048467" s="242"/>
      <c r="GI1048467" s="242"/>
      <c r="GJ1048467" s="242"/>
      <c r="GK1048467" s="242"/>
      <c r="GL1048467" s="242"/>
      <c r="GM1048467" s="242"/>
      <c r="GN1048467" s="242"/>
      <c r="GO1048467" s="242"/>
      <c r="GP1048467" s="242"/>
      <c r="GQ1048467" s="242"/>
      <c r="GR1048467" s="242"/>
      <c r="GS1048467" s="242"/>
      <c r="GT1048467" s="242"/>
      <c r="GU1048467" s="242"/>
      <c r="GV1048467" s="242"/>
      <c r="GW1048467" s="242"/>
      <c r="GX1048467" s="242"/>
      <c r="GY1048467" s="242"/>
      <c r="GZ1048467" s="242"/>
      <c r="HA1048467" s="242"/>
      <c r="HB1048467" s="242"/>
      <c r="HC1048467" s="242"/>
      <c r="HD1048467" s="242"/>
      <c r="HE1048467" s="242"/>
      <c r="HF1048467" s="242"/>
      <c r="HG1048467" s="242"/>
      <c r="HH1048467" s="242"/>
      <c r="HI1048467" s="242"/>
      <c r="HJ1048467" s="242"/>
      <c r="HK1048467" s="242"/>
      <c r="HL1048467" s="242"/>
      <c r="HM1048467" s="242"/>
      <c r="HN1048467" s="242"/>
      <c r="HO1048467" s="242"/>
      <c r="HP1048467" s="242"/>
      <c r="HQ1048467" s="242"/>
      <c r="HR1048467" s="242"/>
      <c r="HS1048467" s="242"/>
      <c r="HT1048467" s="242"/>
      <c r="HU1048467" s="242"/>
      <c r="HV1048467" s="242"/>
      <c r="HW1048467" s="242"/>
      <c r="HX1048467" s="242"/>
      <c r="HY1048467" s="242"/>
      <c r="HZ1048467" s="242"/>
      <c r="IA1048467" s="242"/>
      <c r="IB1048467" s="242"/>
      <c r="IC1048467" s="242"/>
      <c r="ID1048467" s="242"/>
      <c r="IE1048467" s="242"/>
      <c r="IF1048467" s="242"/>
      <c r="IG1048467" s="242"/>
      <c r="IH1048467" s="242"/>
      <c r="II1048467" s="242"/>
      <c r="IJ1048467" s="242"/>
      <c r="IK1048467" s="242"/>
      <c r="IL1048467" s="242"/>
      <c r="IM1048467" s="242"/>
      <c r="IN1048467" s="242"/>
      <c r="IO1048467" s="242"/>
      <c r="IP1048467" s="242"/>
      <c r="IQ1048467" s="242"/>
    </row>
    <row r="1048468" spans="1:251" s="243" customFormat="1" ht="12" customHeight="1">
      <c r="A1048468" s="242"/>
      <c r="B1048468" s="242"/>
      <c r="C1048468" s="242"/>
      <c r="D1048468" s="242"/>
      <c r="E1048468" s="242"/>
      <c r="F1048468" s="242"/>
      <c r="G1048468" s="242"/>
      <c r="H1048468" s="242"/>
      <c r="I1048468" s="242"/>
      <c r="J1048468" s="242"/>
      <c r="K1048468" s="242"/>
      <c r="L1048468" s="242"/>
      <c r="M1048468" s="242"/>
      <c r="N1048468" s="242"/>
      <c r="O1048468" s="242"/>
      <c r="P1048468" s="242"/>
      <c r="Q1048468" s="242"/>
      <c r="R1048468" s="242"/>
      <c r="S1048468" s="242"/>
      <c r="T1048468" s="242"/>
      <c r="U1048468" s="242"/>
      <c r="V1048468" s="242"/>
      <c r="W1048468" s="242"/>
      <c r="X1048468" s="242"/>
      <c r="Y1048468" s="242"/>
      <c r="Z1048468" s="242"/>
      <c r="AA1048468" s="242"/>
      <c r="AB1048468" s="242"/>
      <c r="AC1048468" s="242"/>
      <c r="AD1048468" s="242"/>
      <c r="AE1048468" s="242"/>
      <c r="AF1048468" s="242"/>
      <c r="AG1048468" s="242"/>
      <c r="AH1048468" s="242"/>
      <c r="AI1048468" s="242"/>
      <c r="AJ1048468" s="242"/>
      <c r="AK1048468" s="242"/>
      <c r="AL1048468" s="242"/>
      <c r="AM1048468" s="242"/>
      <c r="AN1048468" s="242"/>
      <c r="AO1048468" s="242"/>
      <c r="AP1048468" s="242"/>
      <c r="AQ1048468" s="242"/>
      <c r="AR1048468" s="242"/>
      <c r="AS1048468" s="242"/>
      <c r="AT1048468" s="242"/>
      <c r="AU1048468" s="242"/>
      <c r="AV1048468" s="242"/>
      <c r="AW1048468" s="242"/>
      <c r="AX1048468" s="242"/>
      <c r="AY1048468" s="242"/>
      <c r="AZ1048468" s="242"/>
      <c r="BA1048468" s="242"/>
      <c r="BB1048468" s="242"/>
      <c r="BC1048468" s="242"/>
      <c r="BD1048468" s="242"/>
      <c r="BE1048468" s="242"/>
      <c r="BF1048468" s="242"/>
      <c r="BG1048468" s="242"/>
      <c r="BH1048468" s="242"/>
      <c r="BI1048468" s="242"/>
      <c r="BJ1048468" s="242"/>
      <c r="BK1048468" s="242"/>
      <c r="BL1048468" s="242"/>
      <c r="BM1048468" s="242"/>
      <c r="BN1048468" s="242"/>
      <c r="BO1048468" s="242"/>
      <c r="BP1048468" s="242"/>
      <c r="BQ1048468" s="242"/>
      <c r="BR1048468" s="242"/>
      <c r="BS1048468" s="242"/>
      <c r="BT1048468" s="242"/>
      <c r="BU1048468" s="242"/>
      <c r="BV1048468" s="242"/>
      <c r="BW1048468" s="242"/>
      <c r="BX1048468" s="242"/>
      <c r="BY1048468" s="242"/>
      <c r="BZ1048468" s="242"/>
      <c r="CA1048468" s="242"/>
      <c r="CB1048468" s="242"/>
      <c r="CC1048468" s="242"/>
      <c r="CD1048468" s="242"/>
      <c r="CE1048468" s="242"/>
      <c r="CF1048468" s="242"/>
      <c r="CG1048468" s="242"/>
      <c r="CH1048468" s="242"/>
      <c r="CI1048468" s="242"/>
      <c r="CJ1048468" s="242"/>
      <c r="CK1048468" s="242"/>
      <c r="CL1048468" s="242"/>
      <c r="CM1048468" s="242"/>
      <c r="CN1048468" s="242"/>
      <c r="CO1048468" s="242"/>
      <c r="CP1048468" s="242"/>
      <c r="CQ1048468" s="242"/>
      <c r="CR1048468" s="242"/>
      <c r="CS1048468" s="242"/>
      <c r="CT1048468" s="242"/>
      <c r="CU1048468" s="242"/>
      <c r="CV1048468" s="242"/>
      <c r="CW1048468" s="242"/>
      <c r="CX1048468" s="242"/>
      <c r="CY1048468" s="242"/>
      <c r="CZ1048468" s="242"/>
      <c r="DA1048468" s="242"/>
      <c r="DB1048468" s="242"/>
      <c r="DC1048468" s="242"/>
      <c r="DD1048468" s="242"/>
      <c r="DE1048468" s="242"/>
      <c r="DF1048468" s="242"/>
      <c r="DG1048468" s="242"/>
      <c r="DH1048468" s="242"/>
      <c r="DI1048468" s="242"/>
      <c r="DJ1048468" s="242"/>
      <c r="DK1048468" s="242"/>
      <c r="DL1048468" s="242"/>
      <c r="DM1048468" s="242"/>
      <c r="DN1048468" s="242"/>
      <c r="DO1048468" s="242"/>
      <c r="DP1048468" s="242"/>
      <c r="DQ1048468" s="242"/>
      <c r="DR1048468" s="242"/>
      <c r="DS1048468" s="242"/>
      <c r="DT1048468" s="242"/>
      <c r="DU1048468" s="242"/>
      <c r="DV1048468" s="242"/>
      <c r="DW1048468" s="242"/>
      <c r="DX1048468" s="242"/>
      <c r="DY1048468" s="242"/>
      <c r="DZ1048468" s="242"/>
      <c r="EA1048468" s="242"/>
      <c r="EB1048468" s="242"/>
      <c r="EC1048468" s="242"/>
      <c r="ED1048468" s="242"/>
      <c r="EE1048468" s="242"/>
      <c r="EF1048468" s="242"/>
      <c r="EG1048468" s="242"/>
      <c r="EH1048468" s="242"/>
      <c r="EI1048468" s="242"/>
      <c r="EJ1048468" s="242"/>
      <c r="EK1048468" s="242"/>
      <c r="EL1048468" s="242"/>
      <c r="EM1048468" s="242"/>
      <c r="EN1048468" s="242"/>
      <c r="EO1048468" s="242"/>
      <c r="EP1048468" s="242"/>
      <c r="EQ1048468" s="242"/>
      <c r="ER1048468" s="242"/>
      <c r="ES1048468" s="242"/>
      <c r="ET1048468" s="242"/>
      <c r="EU1048468" s="242"/>
      <c r="EV1048468" s="242"/>
      <c r="EW1048468" s="242"/>
      <c r="EX1048468" s="242"/>
      <c r="EY1048468" s="242"/>
      <c r="EZ1048468" s="242"/>
      <c r="FA1048468" s="242"/>
      <c r="FB1048468" s="242"/>
      <c r="FC1048468" s="242"/>
      <c r="FD1048468" s="242"/>
      <c r="FE1048468" s="242"/>
      <c r="FF1048468" s="242"/>
      <c r="FG1048468" s="242"/>
      <c r="FH1048468" s="242"/>
      <c r="FI1048468" s="242"/>
      <c r="FJ1048468" s="242"/>
      <c r="FK1048468" s="242"/>
      <c r="FL1048468" s="242"/>
      <c r="FM1048468" s="242"/>
      <c r="FN1048468" s="242"/>
      <c r="FO1048468" s="242"/>
      <c r="FP1048468" s="242"/>
      <c r="FQ1048468" s="242"/>
      <c r="FR1048468" s="242"/>
      <c r="FS1048468" s="242"/>
      <c r="FT1048468" s="242"/>
      <c r="FU1048468" s="242"/>
      <c r="FV1048468" s="242"/>
      <c r="FW1048468" s="242"/>
      <c r="FX1048468" s="242"/>
      <c r="FY1048468" s="242"/>
      <c r="FZ1048468" s="242"/>
      <c r="GA1048468" s="242"/>
      <c r="GB1048468" s="242"/>
      <c r="GC1048468" s="242"/>
      <c r="GD1048468" s="242"/>
      <c r="GE1048468" s="242"/>
      <c r="GF1048468" s="242"/>
      <c r="GG1048468" s="242"/>
      <c r="GH1048468" s="242"/>
      <c r="GI1048468" s="242"/>
      <c r="GJ1048468" s="242"/>
      <c r="GK1048468" s="242"/>
      <c r="GL1048468" s="242"/>
      <c r="GM1048468" s="242"/>
      <c r="GN1048468" s="242"/>
      <c r="GO1048468" s="242"/>
      <c r="GP1048468" s="242"/>
      <c r="GQ1048468" s="242"/>
      <c r="GR1048468" s="242"/>
      <c r="GS1048468" s="242"/>
      <c r="GT1048468" s="242"/>
      <c r="GU1048468" s="242"/>
      <c r="GV1048468" s="242"/>
      <c r="GW1048468" s="242"/>
      <c r="GX1048468" s="242"/>
      <c r="GY1048468" s="242"/>
      <c r="GZ1048468" s="242"/>
      <c r="HA1048468" s="242"/>
      <c r="HB1048468" s="242"/>
      <c r="HC1048468" s="242"/>
      <c r="HD1048468" s="242"/>
      <c r="HE1048468" s="242"/>
      <c r="HF1048468" s="242"/>
      <c r="HG1048468" s="242"/>
      <c r="HH1048468" s="242"/>
      <c r="HI1048468" s="242"/>
      <c r="HJ1048468" s="242"/>
      <c r="HK1048468" s="242"/>
      <c r="HL1048468" s="242"/>
      <c r="HM1048468" s="242"/>
      <c r="HN1048468" s="242"/>
      <c r="HO1048468" s="242"/>
      <c r="HP1048468" s="242"/>
      <c r="HQ1048468" s="242"/>
      <c r="HR1048468" s="242"/>
      <c r="HS1048468" s="242"/>
      <c r="HT1048468" s="242"/>
      <c r="HU1048468" s="242"/>
      <c r="HV1048468" s="242"/>
      <c r="HW1048468" s="242"/>
      <c r="HX1048468" s="242"/>
      <c r="HY1048468" s="242"/>
      <c r="HZ1048468" s="242"/>
      <c r="IA1048468" s="242"/>
      <c r="IB1048468" s="242"/>
      <c r="IC1048468" s="242"/>
      <c r="ID1048468" s="242"/>
      <c r="IE1048468" s="242"/>
      <c r="IF1048468" s="242"/>
      <c r="IG1048468" s="242"/>
      <c r="IH1048468" s="242"/>
      <c r="II1048468" s="242"/>
      <c r="IJ1048468" s="242"/>
      <c r="IK1048468" s="242"/>
      <c r="IL1048468" s="242"/>
      <c r="IM1048468" s="242"/>
      <c r="IN1048468" s="242"/>
      <c r="IO1048468" s="242"/>
      <c r="IP1048468" s="242"/>
      <c r="IQ1048468" s="242"/>
    </row>
    <row r="1048469" spans="1:251" s="243" customFormat="1" ht="12" customHeight="1">
      <c r="A1048469" s="242"/>
      <c r="B1048469" s="242"/>
      <c r="C1048469" s="242"/>
      <c r="D1048469" s="242"/>
      <c r="E1048469" s="242"/>
      <c r="F1048469" s="242"/>
      <c r="G1048469" s="242"/>
      <c r="H1048469" s="242"/>
      <c r="I1048469" s="242"/>
      <c r="J1048469" s="242"/>
      <c r="K1048469" s="242"/>
      <c r="L1048469" s="242"/>
      <c r="M1048469" s="242"/>
      <c r="N1048469" s="242"/>
      <c r="O1048469" s="242"/>
      <c r="P1048469" s="242"/>
      <c r="Q1048469" s="242"/>
      <c r="R1048469" s="242"/>
      <c r="S1048469" s="242"/>
      <c r="T1048469" s="242"/>
      <c r="U1048469" s="242"/>
      <c r="V1048469" s="242"/>
      <c r="W1048469" s="242"/>
      <c r="X1048469" s="242"/>
      <c r="Y1048469" s="242"/>
      <c r="Z1048469" s="242"/>
      <c r="AA1048469" s="242"/>
      <c r="AB1048469" s="242"/>
      <c r="AC1048469" s="242"/>
      <c r="AD1048469" s="242"/>
      <c r="AE1048469" s="242"/>
      <c r="AF1048469" s="242"/>
      <c r="AG1048469" s="242"/>
      <c r="AH1048469" s="242"/>
      <c r="AI1048469" s="242"/>
      <c r="AJ1048469" s="242"/>
      <c r="AK1048469" s="242"/>
      <c r="AL1048469" s="242"/>
      <c r="AM1048469" s="242"/>
      <c r="AN1048469" s="242"/>
      <c r="AO1048469" s="242"/>
      <c r="AP1048469" s="242"/>
      <c r="AQ1048469" s="242"/>
      <c r="AR1048469" s="242"/>
      <c r="AS1048469" s="242"/>
      <c r="AT1048469" s="242"/>
      <c r="AU1048469" s="242"/>
      <c r="AV1048469" s="242"/>
      <c r="AW1048469" s="242"/>
      <c r="AX1048469" s="242"/>
      <c r="AY1048469" s="242"/>
      <c r="AZ1048469" s="242"/>
      <c r="BA1048469" s="242"/>
      <c r="BB1048469" s="242"/>
      <c r="BC1048469" s="242"/>
      <c r="BD1048469" s="242"/>
      <c r="BE1048469" s="242"/>
      <c r="BF1048469" s="242"/>
      <c r="BG1048469" s="242"/>
      <c r="BH1048469" s="242"/>
      <c r="BI1048469" s="242"/>
      <c r="BJ1048469" s="242"/>
      <c r="BK1048469" s="242"/>
      <c r="BL1048469" s="242"/>
      <c r="BM1048469" s="242"/>
      <c r="BN1048469" s="242"/>
      <c r="BO1048469" s="242"/>
      <c r="BP1048469" s="242"/>
      <c r="BQ1048469" s="242"/>
      <c r="BR1048469" s="242"/>
      <c r="BS1048469" s="242"/>
      <c r="BT1048469" s="242"/>
      <c r="BU1048469" s="242"/>
      <c r="BV1048469" s="242"/>
      <c r="BW1048469" s="242"/>
      <c r="BX1048469" s="242"/>
      <c r="BY1048469" s="242"/>
      <c r="BZ1048469" s="242"/>
      <c r="CA1048469" s="242"/>
      <c r="CB1048469" s="242"/>
      <c r="CC1048469" s="242"/>
      <c r="CD1048469" s="242"/>
      <c r="CE1048469" s="242"/>
      <c r="CF1048469" s="242"/>
      <c r="CG1048469" s="242"/>
      <c r="CH1048469" s="242"/>
      <c r="CI1048469" s="242"/>
      <c r="CJ1048469" s="242"/>
      <c r="CK1048469" s="242"/>
      <c r="CL1048469" s="242"/>
      <c r="CM1048469" s="242"/>
      <c r="CN1048469" s="242"/>
      <c r="CO1048469" s="242"/>
      <c r="CP1048469" s="242"/>
      <c r="CQ1048469" s="242"/>
      <c r="CR1048469" s="242"/>
      <c r="CS1048469" s="242"/>
      <c r="CT1048469" s="242"/>
      <c r="CU1048469" s="242"/>
      <c r="CV1048469" s="242"/>
      <c r="CW1048469" s="242"/>
      <c r="CX1048469" s="242"/>
      <c r="CY1048469" s="242"/>
      <c r="CZ1048469" s="242"/>
      <c r="DA1048469" s="242"/>
      <c r="DB1048469" s="242"/>
      <c r="DC1048469" s="242"/>
      <c r="DD1048469" s="242"/>
      <c r="DE1048469" s="242"/>
      <c r="DF1048469" s="242"/>
      <c r="DG1048469" s="242"/>
      <c r="DH1048469" s="242"/>
      <c r="DI1048469" s="242"/>
      <c r="DJ1048469" s="242"/>
      <c r="DK1048469" s="242"/>
      <c r="DL1048469" s="242"/>
      <c r="DM1048469" s="242"/>
      <c r="DN1048469" s="242"/>
      <c r="DO1048469" s="242"/>
      <c r="DP1048469" s="242"/>
      <c r="DQ1048469" s="242"/>
      <c r="DR1048469" s="242"/>
      <c r="DS1048469" s="242"/>
      <c r="DT1048469" s="242"/>
      <c r="DU1048469" s="242"/>
      <c r="DV1048469" s="242"/>
      <c r="DW1048469" s="242"/>
      <c r="DX1048469" s="242"/>
      <c r="DY1048469" s="242"/>
      <c r="DZ1048469" s="242"/>
      <c r="EA1048469" s="242"/>
      <c r="EB1048469" s="242"/>
      <c r="EC1048469" s="242"/>
      <c r="ED1048469" s="242"/>
      <c r="EE1048469" s="242"/>
      <c r="EF1048469" s="242"/>
      <c r="EG1048469" s="242"/>
      <c r="EH1048469" s="242"/>
      <c r="EI1048469" s="242"/>
      <c r="EJ1048469" s="242"/>
      <c r="EK1048469" s="242"/>
      <c r="EL1048469" s="242"/>
      <c r="EM1048469" s="242"/>
      <c r="EN1048469" s="242"/>
      <c r="EO1048469" s="242"/>
      <c r="EP1048469" s="242"/>
      <c r="EQ1048469" s="242"/>
      <c r="ER1048469" s="242"/>
      <c r="ES1048469" s="242"/>
      <c r="ET1048469" s="242"/>
      <c r="EU1048469" s="242"/>
      <c r="EV1048469" s="242"/>
      <c r="EW1048469" s="242"/>
      <c r="EX1048469" s="242"/>
      <c r="EY1048469" s="242"/>
      <c r="EZ1048469" s="242"/>
      <c r="FA1048469" s="242"/>
      <c r="FB1048469" s="242"/>
      <c r="FC1048469" s="242"/>
      <c r="FD1048469" s="242"/>
      <c r="FE1048469" s="242"/>
      <c r="FF1048469" s="242"/>
      <c r="FG1048469" s="242"/>
      <c r="FH1048469" s="242"/>
      <c r="FI1048469" s="242"/>
      <c r="FJ1048469" s="242"/>
      <c r="FK1048469" s="242"/>
      <c r="FL1048469" s="242"/>
      <c r="FM1048469" s="242"/>
      <c r="FN1048469" s="242"/>
      <c r="FO1048469" s="242"/>
      <c r="FP1048469" s="242"/>
      <c r="FQ1048469" s="242"/>
      <c r="FR1048469" s="242"/>
      <c r="FS1048469" s="242"/>
      <c r="FT1048469" s="242"/>
      <c r="FU1048469" s="242"/>
      <c r="FV1048469" s="242"/>
      <c r="FW1048469" s="242"/>
      <c r="FX1048469" s="242"/>
      <c r="FY1048469" s="242"/>
      <c r="FZ1048469" s="242"/>
      <c r="GA1048469" s="242"/>
      <c r="GB1048469" s="242"/>
      <c r="GC1048469" s="242"/>
      <c r="GD1048469" s="242"/>
      <c r="GE1048469" s="242"/>
      <c r="GF1048469" s="242"/>
      <c r="GG1048469" s="242"/>
      <c r="GH1048469" s="242"/>
      <c r="GI1048469" s="242"/>
      <c r="GJ1048469" s="242"/>
      <c r="GK1048469" s="242"/>
      <c r="GL1048469" s="242"/>
      <c r="GM1048469" s="242"/>
      <c r="GN1048469" s="242"/>
      <c r="GO1048469" s="242"/>
      <c r="GP1048469" s="242"/>
      <c r="GQ1048469" s="242"/>
      <c r="GR1048469" s="242"/>
      <c r="GS1048469" s="242"/>
      <c r="GT1048469" s="242"/>
      <c r="GU1048469" s="242"/>
      <c r="GV1048469" s="242"/>
      <c r="GW1048469" s="242"/>
      <c r="GX1048469" s="242"/>
      <c r="GY1048469" s="242"/>
      <c r="GZ1048469" s="242"/>
      <c r="HA1048469" s="242"/>
      <c r="HB1048469" s="242"/>
      <c r="HC1048469" s="242"/>
      <c r="HD1048469" s="242"/>
      <c r="HE1048469" s="242"/>
      <c r="HF1048469" s="242"/>
      <c r="HG1048469" s="242"/>
      <c r="HH1048469" s="242"/>
      <c r="HI1048469" s="242"/>
      <c r="HJ1048469" s="242"/>
      <c r="HK1048469" s="242"/>
      <c r="HL1048469" s="242"/>
      <c r="HM1048469" s="242"/>
      <c r="HN1048469" s="242"/>
      <c r="HO1048469" s="242"/>
      <c r="HP1048469" s="242"/>
      <c r="HQ1048469" s="242"/>
      <c r="HR1048469" s="242"/>
      <c r="HS1048469" s="242"/>
      <c r="HT1048469" s="242"/>
      <c r="HU1048469" s="242"/>
      <c r="HV1048469" s="242"/>
      <c r="HW1048469" s="242"/>
      <c r="HX1048469" s="242"/>
      <c r="HY1048469" s="242"/>
      <c r="HZ1048469" s="242"/>
      <c r="IA1048469" s="242"/>
      <c r="IB1048469" s="242"/>
      <c r="IC1048469" s="242"/>
      <c r="ID1048469" s="242"/>
      <c r="IE1048469" s="242"/>
      <c r="IF1048469" s="242"/>
      <c r="IG1048469" s="242"/>
      <c r="IH1048469" s="242"/>
      <c r="II1048469" s="242"/>
      <c r="IJ1048469" s="242"/>
      <c r="IK1048469" s="242"/>
      <c r="IL1048469" s="242"/>
      <c r="IM1048469" s="242"/>
      <c r="IN1048469" s="242"/>
      <c r="IO1048469" s="242"/>
      <c r="IP1048469" s="242"/>
      <c r="IQ1048469" s="242"/>
    </row>
    <row r="1048470" spans="1:251" s="243" customFormat="1" ht="12" customHeight="1">
      <c r="A1048470" s="242"/>
      <c r="B1048470" s="242"/>
      <c r="C1048470" s="242"/>
      <c r="D1048470" s="242"/>
      <c r="E1048470" s="242"/>
      <c r="F1048470" s="242"/>
      <c r="G1048470" s="242"/>
      <c r="H1048470" s="242"/>
      <c r="I1048470" s="242"/>
      <c r="J1048470" s="242"/>
      <c r="K1048470" s="242"/>
      <c r="L1048470" s="242"/>
      <c r="M1048470" s="242"/>
      <c r="N1048470" s="242"/>
      <c r="O1048470" s="242"/>
      <c r="P1048470" s="242"/>
      <c r="Q1048470" s="242"/>
      <c r="R1048470" s="242"/>
      <c r="S1048470" s="242"/>
      <c r="T1048470" s="242"/>
      <c r="U1048470" s="242"/>
      <c r="V1048470" s="242"/>
      <c r="W1048470" s="242"/>
      <c r="X1048470" s="242"/>
      <c r="Y1048470" s="242"/>
      <c r="Z1048470" s="242"/>
      <c r="AA1048470" s="242"/>
      <c r="AB1048470" s="242"/>
      <c r="AC1048470" s="242"/>
      <c r="AD1048470" s="242"/>
      <c r="AE1048470" s="242"/>
      <c r="AF1048470" s="242"/>
      <c r="AG1048470" s="242"/>
      <c r="AH1048470" s="242"/>
      <c r="AI1048470" s="242"/>
      <c r="AJ1048470" s="242"/>
      <c r="AK1048470" s="242"/>
      <c r="AL1048470" s="242"/>
      <c r="AM1048470" s="242"/>
      <c r="AN1048470" s="242"/>
      <c r="AO1048470" s="242"/>
      <c r="AP1048470" s="242"/>
      <c r="AQ1048470" s="242"/>
      <c r="AR1048470" s="242"/>
      <c r="AS1048470" s="242"/>
      <c r="AT1048470" s="242"/>
      <c r="AU1048470" s="242"/>
      <c r="AV1048470" s="242"/>
      <c r="AW1048470" s="242"/>
      <c r="AX1048470" s="242"/>
      <c r="AY1048470" s="242"/>
      <c r="AZ1048470" s="242"/>
      <c r="BA1048470" s="242"/>
      <c r="BB1048470" s="242"/>
      <c r="BC1048470" s="242"/>
      <c r="BD1048470" s="242"/>
      <c r="BE1048470" s="242"/>
      <c r="BF1048470" s="242"/>
      <c r="BG1048470" s="242"/>
      <c r="BH1048470" s="242"/>
      <c r="BI1048470" s="242"/>
      <c r="BJ1048470" s="242"/>
      <c r="BK1048470" s="242"/>
      <c r="BL1048470" s="242"/>
      <c r="BM1048470" s="242"/>
      <c r="BN1048470" s="242"/>
      <c r="BO1048470" s="242"/>
      <c r="BP1048470" s="242"/>
      <c r="BQ1048470" s="242"/>
      <c r="BR1048470" s="242"/>
      <c r="BS1048470" s="242"/>
      <c r="BT1048470" s="242"/>
      <c r="BU1048470" s="242"/>
      <c r="BV1048470" s="242"/>
      <c r="BW1048470" s="242"/>
      <c r="BX1048470" s="242"/>
      <c r="BY1048470" s="242"/>
      <c r="BZ1048470" s="242"/>
      <c r="CA1048470" s="242"/>
      <c r="CB1048470" s="242"/>
      <c r="CC1048470" s="242"/>
      <c r="CD1048470" s="242"/>
      <c r="CE1048470" s="242"/>
      <c r="CF1048470" s="242"/>
      <c r="CG1048470" s="242"/>
      <c r="CH1048470" s="242"/>
      <c r="CI1048470" s="242"/>
      <c r="CJ1048470" s="242"/>
      <c r="CK1048470" s="242"/>
      <c r="CL1048470" s="242"/>
      <c r="CM1048470" s="242"/>
      <c r="CN1048470" s="242"/>
      <c r="CO1048470" s="242"/>
      <c r="CP1048470" s="242"/>
      <c r="CQ1048470" s="242"/>
      <c r="CR1048470" s="242"/>
      <c r="CS1048470" s="242"/>
      <c r="CT1048470" s="242"/>
      <c r="CU1048470" s="242"/>
      <c r="CV1048470" s="242"/>
      <c r="CW1048470" s="242"/>
      <c r="CX1048470" s="242"/>
      <c r="CY1048470" s="242"/>
      <c r="CZ1048470" s="242"/>
      <c r="DA1048470" s="242"/>
      <c r="DB1048470" s="242"/>
      <c r="DC1048470" s="242"/>
      <c r="DD1048470" s="242"/>
      <c r="DE1048470" s="242"/>
      <c r="DF1048470" s="242"/>
      <c r="DG1048470" s="242"/>
      <c r="DH1048470" s="242"/>
      <c r="DI1048470" s="242"/>
      <c r="DJ1048470" s="242"/>
      <c r="DK1048470" s="242"/>
      <c r="DL1048470" s="242"/>
      <c r="DM1048470" s="242"/>
      <c r="DN1048470" s="242"/>
      <c r="DO1048470" s="242"/>
      <c r="DP1048470" s="242"/>
      <c r="DQ1048470" s="242"/>
      <c r="DR1048470" s="242"/>
      <c r="DS1048470" s="242"/>
      <c r="DT1048470" s="242"/>
      <c r="DU1048470" s="242"/>
      <c r="DV1048470" s="242"/>
      <c r="DW1048470" s="242"/>
      <c r="DX1048470" s="242"/>
      <c r="DY1048470" s="242"/>
      <c r="DZ1048470" s="242"/>
      <c r="EA1048470" s="242"/>
      <c r="EB1048470" s="242"/>
      <c r="EC1048470" s="242"/>
      <c r="ED1048470" s="242"/>
      <c r="EE1048470" s="242"/>
      <c r="EF1048470" s="242"/>
      <c r="EG1048470" s="242"/>
      <c r="EH1048470" s="242"/>
      <c r="EI1048470" s="242"/>
      <c r="EJ1048470" s="242"/>
      <c r="EK1048470" s="242"/>
      <c r="EL1048470" s="242"/>
      <c r="EM1048470" s="242"/>
      <c r="EN1048470" s="242"/>
      <c r="EO1048470" s="242"/>
      <c r="EP1048470" s="242"/>
      <c r="EQ1048470" s="242"/>
      <c r="ER1048470" s="242"/>
      <c r="ES1048470" s="242"/>
      <c r="ET1048470" s="242"/>
      <c r="EU1048470" s="242"/>
      <c r="EV1048470" s="242"/>
      <c r="EW1048470" s="242"/>
      <c r="EX1048470" s="242"/>
      <c r="EY1048470" s="242"/>
      <c r="EZ1048470" s="242"/>
      <c r="FA1048470" s="242"/>
      <c r="FB1048470" s="242"/>
      <c r="FC1048470" s="242"/>
      <c r="FD1048470" s="242"/>
      <c r="FE1048470" s="242"/>
      <c r="FF1048470" s="242"/>
      <c r="FG1048470" s="242"/>
      <c r="FH1048470" s="242"/>
      <c r="FI1048470" s="242"/>
      <c r="FJ1048470" s="242"/>
      <c r="FK1048470" s="242"/>
      <c r="FL1048470" s="242"/>
      <c r="FM1048470" s="242"/>
      <c r="FN1048470" s="242"/>
      <c r="FO1048470" s="242"/>
      <c r="FP1048470" s="242"/>
      <c r="FQ1048470" s="242"/>
      <c r="FR1048470" s="242"/>
      <c r="FS1048470" s="242"/>
      <c r="FT1048470" s="242"/>
      <c r="FU1048470" s="242"/>
      <c r="FV1048470" s="242"/>
      <c r="FW1048470" s="242"/>
      <c r="FX1048470" s="242"/>
      <c r="FY1048470" s="242"/>
      <c r="FZ1048470" s="242"/>
      <c r="GA1048470" s="242"/>
      <c r="GB1048470" s="242"/>
      <c r="GC1048470" s="242"/>
      <c r="GD1048470" s="242"/>
      <c r="GE1048470" s="242"/>
      <c r="GF1048470" s="242"/>
      <c r="GG1048470" s="242"/>
      <c r="GH1048470" s="242"/>
      <c r="GI1048470" s="242"/>
      <c r="GJ1048470" s="242"/>
      <c r="GK1048470" s="242"/>
      <c r="GL1048470" s="242"/>
      <c r="GM1048470" s="242"/>
      <c r="GN1048470" s="242"/>
      <c r="GO1048470" s="242"/>
      <c r="GP1048470" s="242"/>
      <c r="GQ1048470" s="242"/>
      <c r="GR1048470" s="242"/>
      <c r="GS1048470" s="242"/>
      <c r="GT1048470" s="242"/>
      <c r="GU1048470" s="242"/>
      <c r="GV1048470" s="242"/>
      <c r="GW1048470" s="242"/>
      <c r="GX1048470" s="242"/>
      <c r="GY1048470" s="242"/>
      <c r="GZ1048470" s="242"/>
      <c r="HA1048470" s="242"/>
      <c r="HB1048470" s="242"/>
      <c r="HC1048470" s="242"/>
      <c r="HD1048470" s="242"/>
      <c r="HE1048470" s="242"/>
      <c r="HF1048470" s="242"/>
      <c r="HG1048470" s="242"/>
      <c r="HH1048470" s="242"/>
      <c r="HI1048470" s="242"/>
      <c r="HJ1048470" s="242"/>
      <c r="HK1048470" s="242"/>
      <c r="HL1048470" s="242"/>
      <c r="HM1048470" s="242"/>
      <c r="HN1048470" s="242"/>
      <c r="HO1048470" s="242"/>
      <c r="HP1048470" s="242"/>
      <c r="HQ1048470" s="242"/>
      <c r="HR1048470" s="242"/>
      <c r="HS1048470" s="242"/>
      <c r="HT1048470" s="242"/>
      <c r="HU1048470" s="242"/>
      <c r="HV1048470" s="242"/>
      <c r="HW1048470" s="242"/>
      <c r="HX1048470" s="242"/>
      <c r="HY1048470" s="242"/>
      <c r="HZ1048470" s="242"/>
      <c r="IA1048470" s="242"/>
      <c r="IB1048470" s="242"/>
      <c r="IC1048470" s="242"/>
      <c r="ID1048470" s="242"/>
      <c r="IE1048470" s="242"/>
      <c r="IF1048470" s="242"/>
      <c r="IG1048470" s="242"/>
      <c r="IH1048470" s="242"/>
      <c r="II1048470" s="242"/>
      <c r="IJ1048470" s="242"/>
      <c r="IK1048470" s="242"/>
      <c r="IL1048470" s="242"/>
      <c r="IM1048470" s="242"/>
      <c r="IN1048470" s="242"/>
      <c r="IO1048470" s="242"/>
      <c r="IP1048470" s="242"/>
      <c r="IQ1048470" s="242"/>
    </row>
    <row r="1048471" spans="1:251" s="243" customFormat="1" ht="12" customHeight="1">
      <c r="A1048471" s="242"/>
      <c r="B1048471" s="242"/>
      <c r="C1048471" s="242"/>
      <c r="D1048471" s="242"/>
      <c r="E1048471" s="242"/>
      <c r="F1048471" s="242"/>
      <c r="G1048471" s="242"/>
      <c r="H1048471" s="242"/>
      <c r="I1048471" s="242"/>
      <c r="J1048471" s="242"/>
      <c r="K1048471" s="242"/>
      <c r="L1048471" s="242"/>
      <c r="M1048471" s="242"/>
      <c r="N1048471" s="242"/>
      <c r="O1048471" s="242"/>
      <c r="P1048471" s="242"/>
      <c r="Q1048471" s="242"/>
      <c r="R1048471" s="242"/>
      <c r="S1048471" s="242"/>
      <c r="T1048471" s="242"/>
      <c r="U1048471" s="242"/>
      <c r="V1048471" s="242"/>
      <c r="W1048471" s="242"/>
      <c r="X1048471" s="242"/>
      <c r="Y1048471" s="242"/>
      <c r="Z1048471" s="242"/>
      <c r="AA1048471" s="242"/>
      <c r="AB1048471" s="242"/>
      <c r="AC1048471" s="242"/>
      <c r="AD1048471" s="242"/>
      <c r="AE1048471" s="242"/>
      <c r="AF1048471" s="242"/>
      <c r="AG1048471" s="242"/>
      <c r="AH1048471" s="242"/>
      <c r="AI1048471" s="242"/>
      <c r="AJ1048471" s="242"/>
      <c r="AK1048471" s="242"/>
      <c r="AL1048471" s="242"/>
      <c r="AM1048471" s="242"/>
      <c r="AN1048471" s="242"/>
      <c r="AO1048471" s="242"/>
      <c r="AP1048471" s="242"/>
      <c r="AQ1048471" s="242"/>
      <c r="AR1048471" s="242"/>
      <c r="AS1048471" s="242"/>
      <c r="AT1048471" s="242"/>
      <c r="AU1048471" s="242"/>
      <c r="AV1048471" s="242"/>
      <c r="AW1048471" s="242"/>
      <c r="AX1048471" s="242"/>
      <c r="AY1048471" s="242"/>
      <c r="AZ1048471" s="242"/>
      <c r="BA1048471" s="242"/>
      <c r="BB1048471" s="242"/>
      <c r="BC1048471" s="242"/>
      <c r="BD1048471" s="242"/>
      <c r="BE1048471" s="242"/>
      <c r="BF1048471" s="242"/>
      <c r="BG1048471" s="242"/>
      <c r="BH1048471" s="242"/>
      <c r="BI1048471" s="242"/>
      <c r="BJ1048471" s="242"/>
      <c r="BK1048471" s="242"/>
      <c r="BL1048471" s="242"/>
      <c r="BM1048471" s="242"/>
      <c r="BN1048471" s="242"/>
      <c r="BO1048471" s="242"/>
      <c r="BP1048471" s="242"/>
      <c r="BQ1048471" s="242"/>
      <c r="BR1048471" s="242"/>
      <c r="BS1048471" s="242"/>
      <c r="BT1048471" s="242"/>
      <c r="BU1048471" s="242"/>
      <c r="BV1048471" s="242"/>
      <c r="BW1048471" s="242"/>
      <c r="BX1048471" s="242"/>
      <c r="BY1048471" s="242"/>
      <c r="BZ1048471" s="242"/>
      <c r="CA1048471" s="242"/>
      <c r="CB1048471" s="242"/>
      <c r="CC1048471" s="242"/>
      <c r="CD1048471" s="242"/>
      <c r="CE1048471" s="242"/>
      <c r="CF1048471" s="242"/>
      <c r="CG1048471" s="242"/>
      <c r="CH1048471" s="242"/>
      <c r="CI1048471" s="242"/>
      <c r="CJ1048471" s="242"/>
      <c r="CK1048471" s="242"/>
      <c r="CL1048471" s="242"/>
      <c r="CM1048471" s="242"/>
      <c r="CN1048471" s="242"/>
      <c r="CO1048471" s="242"/>
      <c r="CP1048471" s="242"/>
      <c r="CQ1048471" s="242"/>
      <c r="CR1048471" s="242"/>
      <c r="CS1048471" s="242"/>
      <c r="CT1048471" s="242"/>
      <c r="CU1048471" s="242"/>
      <c r="CV1048471" s="242"/>
      <c r="CW1048471" s="242"/>
      <c r="CX1048471" s="242"/>
      <c r="CY1048471" s="242"/>
      <c r="CZ1048471" s="242"/>
      <c r="DA1048471" s="242"/>
      <c r="DB1048471" s="242"/>
      <c r="DC1048471" s="242"/>
      <c r="DD1048471" s="242"/>
      <c r="DE1048471" s="242"/>
      <c r="DF1048471" s="242"/>
      <c r="DG1048471" s="242"/>
      <c r="DH1048471" s="242"/>
      <c r="DI1048471" s="242"/>
      <c r="DJ1048471" s="242"/>
      <c r="DK1048471" s="242"/>
      <c r="DL1048471" s="242"/>
      <c r="DM1048471" s="242"/>
      <c r="DN1048471" s="242"/>
      <c r="DO1048471" s="242"/>
      <c r="DP1048471" s="242"/>
      <c r="DQ1048471" s="242"/>
      <c r="DR1048471" s="242"/>
      <c r="DS1048471" s="242"/>
      <c r="DT1048471" s="242"/>
      <c r="DU1048471" s="242"/>
      <c r="DV1048471" s="242"/>
      <c r="DW1048471" s="242"/>
      <c r="DX1048471" s="242"/>
      <c r="DY1048471" s="242"/>
      <c r="DZ1048471" s="242"/>
      <c r="EA1048471" s="242"/>
      <c r="EB1048471" s="242"/>
      <c r="EC1048471" s="242"/>
      <c r="ED1048471" s="242"/>
      <c r="EE1048471" s="242"/>
      <c r="EF1048471" s="242"/>
      <c r="EG1048471" s="242"/>
      <c r="EH1048471" s="242"/>
      <c r="EI1048471" s="242"/>
      <c r="EJ1048471" s="242"/>
      <c r="EK1048471" s="242"/>
      <c r="EL1048471" s="242"/>
      <c r="EM1048471" s="242"/>
      <c r="EN1048471" s="242"/>
      <c r="EO1048471" s="242"/>
      <c r="EP1048471" s="242"/>
      <c r="EQ1048471" s="242"/>
      <c r="ER1048471" s="242"/>
      <c r="ES1048471" s="242"/>
      <c r="ET1048471" s="242"/>
      <c r="EU1048471" s="242"/>
      <c r="EV1048471" s="242"/>
      <c r="EW1048471" s="242"/>
      <c r="EX1048471" s="242"/>
      <c r="EY1048471" s="242"/>
      <c r="EZ1048471" s="242"/>
      <c r="FA1048471" s="242"/>
      <c r="FB1048471" s="242"/>
      <c r="FC1048471" s="242"/>
      <c r="FD1048471" s="242"/>
      <c r="FE1048471" s="242"/>
      <c r="FF1048471" s="242"/>
      <c r="FG1048471" s="242"/>
      <c r="FH1048471" s="242"/>
      <c r="FI1048471" s="242"/>
      <c r="FJ1048471" s="242"/>
      <c r="FK1048471" s="242"/>
      <c r="FL1048471" s="242"/>
      <c r="FM1048471" s="242"/>
      <c r="FN1048471" s="242"/>
      <c r="FO1048471" s="242"/>
      <c r="FP1048471" s="242"/>
      <c r="FQ1048471" s="242"/>
      <c r="FR1048471" s="242"/>
      <c r="FS1048471" s="242"/>
      <c r="FT1048471" s="242"/>
      <c r="FU1048471" s="242"/>
      <c r="FV1048471" s="242"/>
      <c r="FW1048471" s="242"/>
      <c r="FX1048471" s="242"/>
      <c r="FY1048471" s="242"/>
      <c r="FZ1048471" s="242"/>
      <c r="GA1048471" s="242"/>
      <c r="GB1048471" s="242"/>
      <c r="GC1048471" s="242"/>
      <c r="GD1048471" s="242"/>
      <c r="GE1048471" s="242"/>
      <c r="GF1048471" s="242"/>
      <c r="GG1048471" s="242"/>
      <c r="GH1048471" s="242"/>
      <c r="GI1048471" s="242"/>
      <c r="GJ1048471" s="242"/>
      <c r="GK1048471" s="242"/>
      <c r="GL1048471" s="242"/>
      <c r="GM1048471" s="242"/>
      <c r="GN1048471" s="242"/>
      <c r="GO1048471" s="242"/>
      <c r="GP1048471" s="242"/>
      <c r="GQ1048471" s="242"/>
      <c r="GR1048471" s="242"/>
      <c r="GS1048471" s="242"/>
      <c r="GT1048471" s="242"/>
      <c r="GU1048471" s="242"/>
      <c r="GV1048471" s="242"/>
      <c r="GW1048471" s="242"/>
      <c r="GX1048471" s="242"/>
      <c r="GY1048471" s="242"/>
      <c r="GZ1048471" s="242"/>
      <c r="HA1048471" s="242"/>
      <c r="HB1048471" s="242"/>
      <c r="HC1048471" s="242"/>
      <c r="HD1048471" s="242"/>
      <c r="HE1048471" s="242"/>
      <c r="HF1048471" s="242"/>
      <c r="HG1048471" s="242"/>
      <c r="HH1048471" s="242"/>
      <c r="HI1048471" s="242"/>
      <c r="HJ1048471" s="242"/>
      <c r="HK1048471" s="242"/>
      <c r="HL1048471" s="242"/>
      <c r="HM1048471" s="242"/>
      <c r="HN1048471" s="242"/>
      <c r="HO1048471" s="242"/>
      <c r="HP1048471" s="242"/>
      <c r="HQ1048471" s="242"/>
      <c r="HR1048471" s="242"/>
      <c r="HS1048471" s="242"/>
      <c r="HT1048471" s="242"/>
      <c r="HU1048471" s="242"/>
      <c r="HV1048471" s="242"/>
      <c r="HW1048471" s="242"/>
      <c r="HX1048471" s="242"/>
      <c r="HY1048471" s="242"/>
      <c r="HZ1048471" s="242"/>
      <c r="IA1048471" s="242"/>
      <c r="IB1048471" s="242"/>
      <c r="IC1048471" s="242"/>
      <c r="ID1048471" s="242"/>
      <c r="IE1048471" s="242"/>
      <c r="IF1048471" s="242"/>
      <c r="IG1048471" s="242"/>
      <c r="IH1048471" s="242"/>
      <c r="II1048471" s="242"/>
      <c r="IJ1048471" s="242"/>
      <c r="IK1048471" s="242"/>
      <c r="IL1048471" s="242"/>
      <c r="IM1048471" s="242"/>
      <c r="IN1048471" s="242"/>
      <c r="IO1048471" s="242"/>
      <c r="IP1048471" s="242"/>
      <c r="IQ1048471" s="242"/>
    </row>
    <row r="1048472" spans="1:251" s="243" customFormat="1" ht="12" customHeight="1">
      <c r="A1048472" s="242"/>
      <c r="B1048472" s="242"/>
      <c r="C1048472" s="242"/>
      <c r="D1048472" s="242"/>
      <c r="E1048472" s="242"/>
      <c r="F1048472" s="242"/>
      <c r="G1048472" s="242"/>
      <c r="H1048472" s="242"/>
      <c r="I1048472" s="242"/>
      <c r="J1048472" s="242"/>
      <c r="K1048472" s="242"/>
      <c r="L1048472" s="242"/>
      <c r="M1048472" s="242"/>
      <c r="N1048472" s="242"/>
      <c r="O1048472" s="242"/>
      <c r="P1048472" s="242"/>
      <c r="Q1048472" s="242"/>
      <c r="R1048472" s="242"/>
      <c r="S1048472" s="242"/>
      <c r="T1048472" s="242"/>
      <c r="U1048472" s="242"/>
      <c r="V1048472" s="242"/>
      <c r="W1048472" s="242"/>
      <c r="X1048472" s="242"/>
      <c r="Y1048472" s="242"/>
      <c r="Z1048472" s="242"/>
      <c r="AA1048472" s="242"/>
      <c r="AB1048472" s="242"/>
      <c r="AC1048472" s="242"/>
      <c r="AD1048472" s="242"/>
      <c r="AE1048472" s="242"/>
      <c r="AF1048472" s="242"/>
      <c r="AG1048472" s="242"/>
      <c r="AH1048472" s="242"/>
      <c r="AI1048472" s="242"/>
      <c r="AJ1048472" s="242"/>
      <c r="AK1048472" s="242"/>
      <c r="AL1048472" s="242"/>
      <c r="AM1048472" s="242"/>
      <c r="AN1048472" s="242"/>
      <c r="AO1048472" s="242"/>
      <c r="AP1048472" s="242"/>
      <c r="AQ1048472" s="242"/>
      <c r="AR1048472" s="242"/>
      <c r="AS1048472" s="242"/>
      <c r="AT1048472" s="242"/>
      <c r="AU1048472" s="242"/>
      <c r="AV1048472" s="242"/>
      <c r="AW1048472" s="242"/>
      <c r="AX1048472" s="242"/>
      <c r="AY1048472" s="242"/>
      <c r="AZ1048472" s="242"/>
      <c r="BA1048472" s="242"/>
      <c r="BB1048472" s="242"/>
      <c r="BC1048472" s="242"/>
      <c r="BD1048472" s="242"/>
      <c r="BE1048472" s="242"/>
      <c r="BF1048472" s="242"/>
      <c r="BG1048472" s="242"/>
      <c r="BH1048472" s="242"/>
      <c r="BI1048472" s="242"/>
      <c r="BJ1048472" s="242"/>
      <c r="BK1048472" s="242"/>
      <c r="BL1048472" s="242"/>
      <c r="BM1048472" s="242"/>
      <c r="BN1048472" s="242"/>
      <c r="BO1048472" s="242"/>
      <c r="BP1048472" s="242"/>
      <c r="BQ1048472" s="242"/>
      <c r="BR1048472" s="242"/>
      <c r="BS1048472" s="242"/>
      <c r="BT1048472" s="242"/>
      <c r="BU1048472" s="242"/>
      <c r="BV1048472" s="242"/>
      <c r="BW1048472" s="242"/>
      <c r="BX1048472" s="242"/>
      <c r="BY1048472" s="242"/>
      <c r="BZ1048472" s="242"/>
      <c r="CA1048472" s="242"/>
      <c r="CB1048472" s="242"/>
      <c r="CC1048472" s="242"/>
      <c r="CD1048472" s="242"/>
      <c r="CE1048472" s="242"/>
      <c r="CF1048472" s="242"/>
      <c r="CG1048472" s="242"/>
      <c r="CH1048472" s="242"/>
      <c r="CI1048472" s="242"/>
      <c r="CJ1048472" s="242"/>
      <c r="CK1048472" s="242"/>
      <c r="CL1048472" s="242"/>
      <c r="CM1048472" s="242"/>
      <c r="CN1048472" s="242"/>
      <c r="CO1048472" s="242"/>
      <c r="CP1048472" s="242"/>
      <c r="CQ1048472" s="242"/>
      <c r="CR1048472" s="242"/>
      <c r="CS1048472" s="242"/>
      <c r="CT1048472" s="242"/>
      <c r="CU1048472" s="242"/>
      <c r="CV1048472" s="242"/>
      <c r="CW1048472" s="242"/>
      <c r="CX1048472" s="242"/>
      <c r="CY1048472" s="242"/>
      <c r="CZ1048472" s="242"/>
      <c r="DA1048472" s="242"/>
      <c r="DB1048472" s="242"/>
      <c r="DC1048472" s="242"/>
      <c r="DD1048472" s="242"/>
      <c r="DE1048472" s="242"/>
      <c r="DF1048472" s="242"/>
      <c r="DG1048472" s="242"/>
      <c r="DH1048472" s="242"/>
      <c r="DI1048472" s="242"/>
      <c r="DJ1048472" s="242"/>
      <c r="DK1048472" s="242"/>
      <c r="DL1048472" s="242"/>
      <c r="DM1048472" s="242"/>
      <c r="DN1048472" s="242"/>
      <c r="DO1048472" s="242"/>
      <c r="DP1048472" s="242"/>
      <c r="DQ1048472" s="242"/>
      <c r="DR1048472" s="242"/>
      <c r="DS1048472" s="242"/>
      <c r="DT1048472" s="242"/>
      <c r="DU1048472" s="242"/>
      <c r="DV1048472" s="242"/>
      <c r="DW1048472" s="242"/>
      <c r="DX1048472" s="242"/>
      <c r="DY1048472" s="242"/>
      <c r="DZ1048472" s="242"/>
      <c r="EA1048472" s="242"/>
      <c r="EB1048472" s="242"/>
      <c r="EC1048472" s="242"/>
      <c r="ED1048472" s="242"/>
      <c r="EE1048472" s="242"/>
      <c r="EF1048472" s="242"/>
      <c r="EG1048472" s="242"/>
      <c r="EH1048472" s="242"/>
      <c r="EI1048472" s="242"/>
      <c r="EJ1048472" s="242"/>
      <c r="EK1048472" s="242"/>
      <c r="EL1048472" s="242"/>
      <c r="EM1048472" s="242"/>
      <c r="EN1048472" s="242"/>
      <c r="EO1048472" s="242"/>
      <c r="EP1048472" s="242"/>
      <c r="EQ1048472" s="242"/>
      <c r="ER1048472" s="242"/>
      <c r="ES1048472" s="242"/>
      <c r="ET1048472" s="242"/>
      <c r="EU1048472" s="242"/>
      <c r="EV1048472" s="242"/>
      <c r="EW1048472" s="242"/>
      <c r="EX1048472" s="242"/>
      <c r="EY1048472" s="242"/>
      <c r="EZ1048472" s="242"/>
      <c r="FA1048472" s="242"/>
      <c r="FB1048472" s="242"/>
      <c r="FC1048472" s="242"/>
      <c r="FD1048472" s="242"/>
      <c r="FE1048472" s="242"/>
      <c r="FF1048472" s="242"/>
      <c r="FG1048472" s="242"/>
      <c r="FH1048472" s="242"/>
      <c r="FI1048472" s="242"/>
      <c r="FJ1048472" s="242"/>
      <c r="FK1048472" s="242"/>
      <c r="FL1048472" s="242"/>
      <c r="FM1048472" s="242"/>
      <c r="FN1048472" s="242"/>
      <c r="FO1048472" s="242"/>
      <c r="FP1048472" s="242"/>
      <c r="FQ1048472" s="242"/>
      <c r="FR1048472" s="242"/>
      <c r="FS1048472" s="242"/>
      <c r="FT1048472" s="242"/>
      <c r="FU1048472" s="242"/>
      <c r="FV1048472" s="242"/>
      <c r="FW1048472" s="242"/>
      <c r="FX1048472" s="242"/>
      <c r="FY1048472" s="242"/>
      <c r="FZ1048472" s="242"/>
      <c r="GA1048472" s="242"/>
      <c r="GB1048472" s="242"/>
      <c r="GC1048472" s="242"/>
      <c r="GD1048472" s="242"/>
      <c r="GE1048472" s="242"/>
      <c r="GF1048472" s="242"/>
      <c r="GG1048472" s="242"/>
      <c r="GH1048472" s="242"/>
      <c r="GI1048472" s="242"/>
      <c r="GJ1048472" s="242"/>
      <c r="GK1048472" s="242"/>
      <c r="GL1048472" s="242"/>
      <c r="GM1048472" s="242"/>
      <c r="GN1048472" s="242"/>
      <c r="GO1048472" s="242"/>
      <c r="GP1048472" s="242"/>
      <c r="GQ1048472" s="242"/>
      <c r="GR1048472" s="242"/>
      <c r="GS1048472" s="242"/>
      <c r="GT1048472" s="242"/>
      <c r="GU1048472" s="242"/>
      <c r="GV1048472" s="242"/>
      <c r="GW1048472" s="242"/>
      <c r="GX1048472" s="242"/>
      <c r="GY1048472" s="242"/>
      <c r="GZ1048472" s="242"/>
      <c r="HA1048472" s="242"/>
      <c r="HB1048472" s="242"/>
      <c r="HC1048472" s="242"/>
      <c r="HD1048472" s="242"/>
      <c r="HE1048472" s="242"/>
      <c r="HF1048472" s="242"/>
      <c r="HG1048472" s="242"/>
      <c r="HH1048472" s="242"/>
      <c r="HI1048472" s="242"/>
      <c r="HJ1048472" s="242"/>
      <c r="HK1048472" s="242"/>
      <c r="HL1048472" s="242"/>
      <c r="HM1048472" s="242"/>
      <c r="HN1048472" s="242"/>
      <c r="HO1048472" s="242"/>
      <c r="HP1048472" s="242"/>
      <c r="HQ1048472" s="242"/>
      <c r="HR1048472" s="242"/>
      <c r="HS1048472" s="242"/>
      <c r="HT1048472" s="242"/>
      <c r="HU1048472" s="242"/>
      <c r="HV1048472" s="242"/>
      <c r="HW1048472" s="242"/>
      <c r="HX1048472" s="242"/>
      <c r="HY1048472" s="242"/>
      <c r="HZ1048472" s="242"/>
      <c r="IA1048472" s="242"/>
      <c r="IB1048472" s="242"/>
      <c r="IC1048472" s="242"/>
      <c r="ID1048472" s="242"/>
      <c r="IE1048472" s="242"/>
      <c r="IF1048472" s="242"/>
      <c r="IG1048472" s="242"/>
      <c r="IH1048472" s="242"/>
      <c r="II1048472" s="242"/>
      <c r="IJ1048472" s="242"/>
      <c r="IK1048472" s="242"/>
      <c r="IL1048472" s="242"/>
      <c r="IM1048472" s="242"/>
      <c r="IN1048472" s="242"/>
      <c r="IO1048472" s="242"/>
      <c r="IP1048472" s="242"/>
      <c r="IQ1048472" s="242"/>
    </row>
    <row r="1048473" spans="1:251" s="243" customFormat="1" ht="12" customHeight="1">
      <c r="A1048473" s="242"/>
      <c r="B1048473" s="242"/>
      <c r="C1048473" s="242"/>
      <c r="D1048473" s="242"/>
      <c r="E1048473" s="242"/>
      <c r="F1048473" s="242"/>
      <c r="G1048473" s="242"/>
      <c r="H1048473" s="242"/>
      <c r="I1048473" s="242"/>
      <c r="J1048473" s="242"/>
      <c r="K1048473" s="242"/>
      <c r="L1048473" s="242"/>
      <c r="M1048473" s="242"/>
      <c r="N1048473" s="242"/>
      <c r="O1048473" s="242"/>
      <c r="P1048473" s="242"/>
      <c r="Q1048473" s="242"/>
      <c r="R1048473" s="242"/>
      <c r="S1048473" s="242"/>
      <c r="T1048473" s="242"/>
      <c r="U1048473" s="242"/>
      <c r="V1048473" s="242"/>
      <c r="W1048473" s="242"/>
      <c r="X1048473" s="242"/>
      <c r="Y1048473" s="242"/>
      <c r="Z1048473" s="242"/>
      <c r="AA1048473" s="242"/>
      <c r="AB1048473" s="242"/>
      <c r="AC1048473" s="242"/>
      <c r="AD1048473" s="242"/>
      <c r="AE1048473" s="242"/>
      <c r="AF1048473" s="242"/>
      <c r="AG1048473" s="242"/>
      <c r="AH1048473" s="242"/>
      <c r="AI1048473" s="242"/>
      <c r="AJ1048473" s="242"/>
      <c r="AK1048473" s="242"/>
      <c r="AL1048473" s="242"/>
      <c r="AM1048473" s="242"/>
      <c r="AN1048473" s="242"/>
      <c r="AO1048473" s="242"/>
      <c r="AP1048473" s="242"/>
      <c r="AQ1048473" s="242"/>
      <c r="AR1048473" s="242"/>
      <c r="AS1048473" s="242"/>
      <c r="AT1048473" s="242"/>
      <c r="AU1048473" s="242"/>
      <c r="AV1048473" s="242"/>
      <c r="AW1048473" s="242"/>
      <c r="AX1048473" s="242"/>
      <c r="AY1048473" s="242"/>
      <c r="AZ1048473" s="242"/>
      <c r="BA1048473" s="242"/>
      <c r="BB1048473" s="242"/>
      <c r="BC1048473" s="242"/>
      <c r="BD1048473" s="242"/>
      <c r="BE1048473" s="242"/>
      <c r="BF1048473" s="242"/>
      <c r="BG1048473" s="242"/>
      <c r="BH1048473" s="242"/>
      <c r="BI1048473" s="242"/>
      <c r="BJ1048473" s="242"/>
      <c r="BK1048473" s="242"/>
      <c r="BL1048473" s="242"/>
      <c r="BM1048473" s="242"/>
      <c r="BN1048473" s="242"/>
      <c r="BO1048473" s="242"/>
      <c r="BP1048473" s="242"/>
      <c r="BQ1048473" s="242"/>
      <c r="BR1048473" s="242"/>
      <c r="BS1048473" s="242"/>
      <c r="BT1048473" s="242"/>
      <c r="BU1048473" s="242"/>
      <c r="BV1048473" s="242"/>
      <c r="BW1048473" s="242"/>
      <c r="BX1048473" s="242"/>
      <c r="BY1048473" s="242"/>
      <c r="BZ1048473" s="242"/>
      <c r="CA1048473" s="242"/>
      <c r="CB1048473" s="242"/>
      <c r="CC1048473" s="242"/>
      <c r="CD1048473" s="242"/>
      <c r="CE1048473" s="242"/>
      <c r="CF1048473" s="242"/>
      <c r="CG1048473" s="242"/>
      <c r="CH1048473" s="242"/>
      <c r="CI1048473" s="242"/>
      <c r="CJ1048473" s="242"/>
      <c r="CK1048473" s="242"/>
      <c r="CL1048473" s="242"/>
      <c r="CM1048473" s="242"/>
      <c r="CN1048473" s="242"/>
      <c r="CO1048473" s="242"/>
      <c r="CP1048473" s="242"/>
      <c r="CQ1048473" s="242"/>
      <c r="CR1048473" s="242"/>
      <c r="CS1048473" s="242"/>
      <c r="CT1048473" s="242"/>
      <c r="CU1048473" s="242"/>
      <c r="CV1048473" s="242"/>
      <c r="CW1048473" s="242"/>
      <c r="CX1048473" s="242"/>
      <c r="CY1048473" s="242"/>
      <c r="CZ1048473" s="242"/>
      <c r="DA1048473" s="242"/>
      <c r="DB1048473" s="242"/>
      <c r="DC1048473" s="242"/>
      <c r="DD1048473" s="242"/>
      <c r="DE1048473" s="242"/>
      <c r="DF1048473" s="242"/>
      <c r="DG1048473" s="242"/>
      <c r="DH1048473" s="242"/>
      <c r="DI1048473" s="242"/>
      <c r="DJ1048473" s="242"/>
      <c r="DK1048473" s="242"/>
      <c r="DL1048473" s="242"/>
      <c r="DM1048473" s="242"/>
      <c r="DN1048473" s="242"/>
      <c r="DO1048473" s="242"/>
      <c r="DP1048473" s="242"/>
      <c r="DQ1048473" s="242"/>
      <c r="DR1048473" s="242"/>
      <c r="DS1048473" s="242"/>
      <c r="DT1048473" s="242"/>
      <c r="DU1048473" s="242"/>
      <c r="DV1048473" s="242"/>
      <c r="DW1048473" s="242"/>
      <c r="DX1048473" s="242"/>
      <c r="DY1048473" s="242"/>
      <c r="DZ1048473" s="242"/>
      <c r="EA1048473" s="242"/>
      <c r="EB1048473" s="242"/>
      <c r="EC1048473" s="242"/>
      <c r="ED1048473" s="242"/>
      <c r="EE1048473" s="242"/>
      <c r="EF1048473" s="242"/>
      <c r="EG1048473" s="242"/>
      <c r="EH1048473" s="242"/>
      <c r="EI1048473" s="242"/>
      <c r="EJ1048473" s="242"/>
      <c r="EK1048473" s="242"/>
      <c r="EL1048473" s="242"/>
      <c r="EM1048473" s="242"/>
      <c r="EN1048473" s="242"/>
      <c r="EO1048473" s="242"/>
      <c r="EP1048473" s="242"/>
      <c r="EQ1048473" s="242"/>
      <c r="ER1048473" s="242"/>
      <c r="ES1048473" s="242"/>
      <c r="ET1048473" s="242"/>
      <c r="EU1048473" s="242"/>
      <c r="EV1048473" s="242"/>
      <c r="EW1048473" s="242"/>
      <c r="EX1048473" s="242"/>
      <c r="EY1048473" s="242"/>
      <c r="EZ1048473" s="242"/>
      <c r="FA1048473" s="242"/>
      <c r="FB1048473" s="242"/>
      <c r="FC1048473" s="242"/>
      <c r="FD1048473" s="242"/>
      <c r="FE1048473" s="242"/>
      <c r="FF1048473" s="242"/>
      <c r="FG1048473" s="242"/>
      <c r="FH1048473" s="242"/>
      <c r="FI1048473" s="242"/>
      <c r="FJ1048473" s="242"/>
      <c r="FK1048473" s="242"/>
      <c r="FL1048473" s="242"/>
      <c r="FM1048473" s="242"/>
      <c r="FN1048473" s="242"/>
      <c r="FO1048473" s="242"/>
      <c r="FP1048473" s="242"/>
      <c r="FQ1048473" s="242"/>
      <c r="FR1048473" s="242"/>
      <c r="FS1048473" s="242"/>
      <c r="FT1048473" s="242"/>
      <c r="FU1048473" s="242"/>
      <c r="FV1048473" s="242"/>
      <c r="FW1048473" s="242"/>
      <c r="FX1048473" s="242"/>
      <c r="FY1048473" s="242"/>
      <c r="FZ1048473" s="242"/>
      <c r="GA1048473" s="242"/>
      <c r="GB1048473" s="242"/>
      <c r="GC1048473" s="242"/>
      <c r="GD1048473" s="242"/>
      <c r="GE1048473" s="242"/>
      <c r="GF1048473" s="242"/>
      <c r="GG1048473" s="242"/>
      <c r="GH1048473" s="242"/>
      <c r="GI1048473" s="242"/>
      <c r="GJ1048473" s="242"/>
      <c r="GK1048473" s="242"/>
      <c r="GL1048473" s="242"/>
      <c r="GM1048473" s="242"/>
      <c r="GN1048473" s="242"/>
      <c r="GO1048473" s="242"/>
      <c r="GP1048473" s="242"/>
      <c r="GQ1048473" s="242"/>
      <c r="GR1048473" s="242"/>
      <c r="GS1048473" s="242"/>
      <c r="GT1048473" s="242"/>
      <c r="GU1048473" s="242"/>
      <c r="GV1048473" s="242"/>
      <c r="GW1048473" s="242"/>
      <c r="GX1048473" s="242"/>
      <c r="GY1048473" s="242"/>
      <c r="GZ1048473" s="242"/>
      <c r="HA1048473" s="242"/>
      <c r="HB1048473" s="242"/>
      <c r="HC1048473" s="242"/>
      <c r="HD1048473" s="242"/>
      <c r="HE1048473" s="242"/>
      <c r="HF1048473" s="242"/>
      <c r="HG1048473" s="242"/>
      <c r="HH1048473" s="242"/>
      <c r="HI1048473" s="242"/>
      <c r="HJ1048473" s="242"/>
      <c r="HK1048473" s="242"/>
      <c r="HL1048473" s="242"/>
      <c r="HM1048473" s="242"/>
      <c r="HN1048473" s="242"/>
      <c r="HO1048473" s="242"/>
      <c r="HP1048473" s="242"/>
      <c r="HQ1048473" s="242"/>
      <c r="HR1048473" s="242"/>
      <c r="HS1048473" s="242"/>
      <c r="HT1048473" s="242"/>
      <c r="HU1048473" s="242"/>
      <c r="HV1048473" s="242"/>
      <c r="HW1048473" s="242"/>
      <c r="HX1048473" s="242"/>
      <c r="HY1048473" s="242"/>
      <c r="HZ1048473" s="242"/>
      <c r="IA1048473" s="242"/>
      <c r="IB1048473" s="242"/>
      <c r="IC1048473" s="242"/>
      <c r="ID1048473" s="242"/>
      <c r="IE1048473" s="242"/>
      <c r="IF1048473" s="242"/>
      <c r="IG1048473" s="242"/>
      <c r="IH1048473" s="242"/>
      <c r="II1048473" s="242"/>
      <c r="IJ1048473" s="242"/>
      <c r="IK1048473" s="242"/>
      <c r="IL1048473" s="242"/>
      <c r="IM1048473" s="242"/>
      <c r="IN1048473" s="242"/>
      <c r="IO1048473" s="242"/>
      <c r="IP1048473" s="242"/>
      <c r="IQ1048473" s="242"/>
    </row>
    <row r="1048474" spans="1:251" s="243" customFormat="1" ht="12" customHeight="1">
      <c r="A1048474" s="242"/>
      <c r="B1048474" s="242"/>
      <c r="C1048474" s="242"/>
      <c r="D1048474" s="242"/>
      <c r="E1048474" s="242"/>
      <c r="F1048474" s="242"/>
      <c r="G1048474" s="242"/>
      <c r="H1048474" s="242"/>
      <c r="I1048474" s="242"/>
      <c r="J1048474" s="242"/>
      <c r="K1048474" s="242"/>
      <c r="L1048474" s="242"/>
      <c r="M1048474" s="242"/>
      <c r="N1048474" s="242"/>
      <c r="O1048474" s="242"/>
      <c r="P1048474" s="242"/>
      <c r="Q1048474" s="242"/>
      <c r="R1048474" s="242"/>
      <c r="S1048474" s="242"/>
      <c r="T1048474" s="242"/>
      <c r="U1048474" s="242"/>
      <c r="V1048474" s="242"/>
      <c r="W1048474" s="242"/>
      <c r="X1048474" s="242"/>
      <c r="Y1048474" s="242"/>
      <c r="Z1048474" s="242"/>
      <c r="AA1048474" s="242"/>
      <c r="AB1048474" s="242"/>
      <c r="AC1048474" s="242"/>
      <c r="AD1048474" s="242"/>
      <c r="AE1048474" s="242"/>
      <c r="AF1048474" s="242"/>
      <c r="AG1048474" s="242"/>
      <c r="AH1048474" s="242"/>
      <c r="AI1048474" s="242"/>
      <c r="AJ1048474" s="242"/>
      <c r="AK1048474" s="242"/>
      <c r="AL1048474" s="242"/>
      <c r="AM1048474" s="242"/>
      <c r="AN1048474" s="242"/>
      <c r="AO1048474" s="242"/>
      <c r="AP1048474" s="242"/>
      <c r="AQ1048474" s="242"/>
      <c r="AR1048474" s="242"/>
      <c r="AS1048474" s="242"/>
      <c r="AT1048474" s="242"/>
      <c r="AU1048474" s="242"/>
      <c r="AV1048474" s="242"/>
      <c r="AW1048474" s="242"/>
      <c r="AX1048474" s="242"/>
      <c r="AY1048474" s="242"/>
      <c r="AZ1048474" s="242"/>
      <c r="BA1048474" s="242"/>
      <c r="BB1048474" s="242"/>
      <c r="BC1048474" s="242"/>
      <c r="BD1048474" s="242"/>
      <c r="BE1048474" s="242"/>
      <c r="BF1048474" s="242"/>
      <c r="BG1048474" s="242"/>
      <c r="BH1048474" s="242"/>
      <c r="BI1048474" s="242"/>
      <c r="BJ1048474" s="242"/>
      <c r="BK1048474" s="242"/>
      <c r="BL1048474" s="242"/>
      <c r="BM1048474" s="242"/>
      <c r="BN1048474" s="242"/>
      <c r="BO1048474" s="242"/>
      <c r="BP1048474" s="242"/>
      <c r="BQ1048474" s="242"/>
      <c r="BR1048474" s="242"/>
      <c r="BS1048474" s="242"/>
      <c r="BT1048474" s="242"/>
      <c r="BU1048474" s="242"/>
      <c r="BV1048474" s="242"/>
      <c r="BW1048474" s="242"/>
      <c r="BX1048474" s="242"/>
      <c r="BY1048474" s="242"/>
      <c r="BZ1048474" s="242"/>
      <c r="CA1048474" s="242"/>
      <c r="CB1048474" s="242"/>
      <c r="CC1048474" s="242"/>
      <c r="CD1048474" s="242"/>
      <c r="CE1048474" s="242"/>
      <c r="CF1048474" s="242"/>
      <c r="CG1048474" s="242"/>
      <c r="CH1048474" s="242"/>
      <c r="CI1048474" s="242"/>
      <c r="CJ1048474" s="242"/>
      <c r="CK1048474" s="242"/>
      <c r="CL1048474" s="242"/>
      <c r="CM1048474" s="242"/>
      <c r="CN1048474" s="242"/>
      <c r="CO1048474" s="242"/>
      <c r="CP1048474" s="242"/>
      <c r="CQ1048474" s="242"/>
      <c r="CR1048474" s="242"/>
      <c r="CS1048474" s="242"/>
      <c r="CT1048474" s="242"/>
      <c r="CU1048474" s="242"/>
      <c r="CV1048474" s="242"/>
      <c r="CW1048474" s="242"/>
      <c r="CX1048474" s="242"/>
      <c r="CY1048474" s="242"/>
      <c r="CZ1048474" s="242"/>
      <c r="DA1048474" s="242"/>
      <c r="DB1048474" s="242"/>
      <c r="DC1048474" s="242"/>
      <c r="DD1048474" s="242"/>
      <c r="DE1048474" s="242"/>
      <c r="DF1048474" s="242"/>
      <c r="DG1048474" s="242"/>
      <c r="DH1048474" s="242"/>
      <c r="DI1048474" s="242"/>
      <c r="DJ1048474" s="242"/>
      <c r="DK1048474" s="242"/>
      <c r="DL1048474" s="242"/>
      <c r="DM1048474" s="242"/>
      <c r="DN1048474" s="242"/>
      <c r="DO1048474" s="242"/>
      <c r="DP1048474" s="242"/>
      <c r="DQ1048474" s="242"/>
      <c r="DR1048474" s="242"/>
      <c r="DS1048474" s="242"/>
      <c r="DT1048474" s="242"/>
      <c r="DU1048474" s="242"/>
      <c r="DV1048474" s="242"/>
      <c r="DW1048474" s="242"/>
      <c r="DX1048474" s="242"/>
      <c r="DY1048474" s="242"/>
      <c r="DZ1048474" s="242"/>
      <c r="EA1048474" s="242"/>
      <c r="EB1048474" s="242"/>
      <c r="EC1048474" s="242"/>
      <c r="ED1048474" s="242"/>
      <c r="EE1048474" s="242"/>
      <c r="EF1048474" s="242"/>
      <c r="EG1048474" s="242"/>
      <c r="EH1048474" s="242"/>
      <c r="EI1048474" s="242"/>
      <c r="EJ1048474" s="242"/>
      <c r="EK1048474" s="242"/>
      <c r="EL1048474" s="242"/>
      <c r="EM1048474" s="242"/>
      <c r="EN1048474" s="242"/>
      <c r="EO1048474" s="242"/>
      <c r="EP1048474" s="242"/>
      <c r="EQ1048474" s="242"/>
      <c r="ER1048474" s="242"/>
      <c r="ES1048474" s="242"/>
      <c r="ET1048474" s="242"/>
      <c r="EU1048474" s="242"/>
      <c r="EV1048474" s="242"/>
      <c r="EW1048474" s="242"/>
      <c r="EX1048474" s="242"/>
      <c r="EY1048474" s="242"/>
      <c r="EZ1048474" s="242"/>
      <c r="FA1048474" s="242"/>
      <c r="FB1048474" s="242"/>
      <c r="FC1048474" s="242"/>
      <c r="FD1048474" s="242"/>
      <c r="FE1048474" s="242"/>
      <c r="FF1048474" s="242"/>
      <c r="FG1048474" s="242"/>
      <c r="FH1048474" s="242"/>
      <c r="FI1048474" s="242"/>
      <c r="FJ1048474" s="242"/>
      <c r="FK1048474" s="242"/>
      <c r="FL1048474" s="242"/>
      <c r="FM1048474" s="242"/>
      <c r="FN1048474" s="242"/>
      <c r="FO1048474" s="242"/>
      <c r="FP1048474" s="242"/>
      <c r="FQ1048474" s="242"/>
      <c r="FR1048474" s="242"/>
      <c r="FS1048474" s="242"/>
      <c r="FT1048474" s="242"/>
      <c r="FU1048474" s="242"/>
      <c r="FV1048474" s="242"/>
      <c r="FW1048474" s="242"/>
      <c r="FX1048474" s="242"/>
      <c r="FY1048474" s="242"/>
      <c r="FZ1048474" s="242"/>
      <c r="GA1048474" s="242"/>
      <c r="GB1048474" s="242"/>
      <c r="GC1048474" s="242"/>
      <c r="GD1048474" s="242"/>
      <c r="GE1048474" s="242"/>
      <c r="GF1048474" s="242"/>
      <c r="GG1048474" s="242"/>
      <c r="GH1048474" s="242"/>
      <c r="GI1048474" s="242"/>
      <c r="GJ1048474" s="242"/>
      <c r="GK1048474" s="242"/>
      <c r="GL1048474" s="242"/>
      <c r="GM1048474" s="242"/>
      <c r="GN1048474" s="242"/>
      <c r="GO1048474" s="242"/>
      <c r="GP1048474" s="242"/>
      <c r="GQ1048474" s="242"/>
      <c r="GR1048474" s="242"/>
      <c r="GS1048474" s="242"/>
      <c r="GT1048474" s="242"/>
      <c r="GU1048474" s="242"/>
      <c r="GV1048474" s="242"/>
      <c r="GW1048474" s="242"/>
      <c r="GX1048474" s="242"/>
      <c r="GY1048474" s="242"/>
      <c r="GZ1048474" s="242"/>
      <c r="HA1048474" s="242"/>
      <c r="HB1048474" s="242"/>
      <c r="HC1048474" s="242"/>
      <c r="HD1048474" s="242"/>
      <c r="HE1048474" s="242"/>
      <c r="HF1048474" s="242"/>
      <c r="HG1048474" s="242"/>
      <c r="HH1048474" s="242"/>
      <c r="HI1048474" s="242"/>
      <c r="HJ1048474" s="242"/>
      <c r="HK1048474" s="242"/>
      <c r="HL1048474" s="242"/>
      <c r="HM1048474" s="242"/>
      <c r="HN1048474" s="242"/>
      <c r="HO1048474" s="242"/>
      <c r="HP1048474" s="242"/>
      <c r="HQ1048474" s="242"/>
      <c r="HR1048474" s="242"/>
      <c r="HS1048474" s="242"/>
      <c r="HT1048474" s="242"/>
      <c r="HU1048474" s="242"/>
      <c r="HV1048474" s="242"/>
      <c r="HW1048474" s="242"/>
      <c r="HX1048474" s="242"/>
      <c r="HY1048474" s="242"/>
      <c r="HZ1048474" s="242"/>
      <c r="IA1048474" s="242"/>
      <c r="IB1048474" s="242"/>
      <c r="IC1048474" s="242"/>
      <c r="ID1048474" s="242"/>
      <c r="IE1048474" s="242"/>
      <c r="IF1048474" s="242"/>
      <c r="IG1048474" s="242"/>
      <c r="IH1048474" s="242"/>
      <c r="II1048474" s="242"/>
      <c r="IJ1048474" s="242"/>
      <c r="IK1048474" s="242"/>
      <c r="IL1048474" s="242"/>
      <c r="IM1048474" s="242"/>
      <c r="IN1048474" s="242"/>
      <c r="IO1048474" s="242"/>
      <c r="IP1048474" s="242"/>
      <c r="IQ1048474" s="242"/>
    </row>
    <row r="1048475" spans="1:251" s="243" customFormat="1" ht="12" customHeight="1">
      <c r="A1048475" s="242"/>
      <c r="B1048475" s="242"/>
      <c r="C1048475" s="242"/>
      <c r="D1048475" s="242"/>
      <c r="E1048475" s="242"/>
      <c r="F1048475" s="242"/>
      <c r="G1048475" s="242"/>
      <c r="H1048475" s="242"/>
      <c r="I1048475" s="242"/>
      <c r="J1048475" s="242"/>
      <c r="K1048475" s="242"/>
      <c r="L1048475" s="242"/>
      <c r="M1048475" s="242"/>
      <c r="N1048475" s="242"/>
      <c r="O1048475" s="242"/>
      <c r="P1048475" s="242"/>
      <c r="Q1048475" s="242"/>
      <c r="R1048475" s="242"/>
      <c r="S1048475" s="242"/>
      <c r="T1048475" s="242"/>
      <c r="U1048475" s="242"/>
      <c r="V1048475" s="242"/>
      <c r="W1048475" s="242"/>
      <c r="X1048475" s="242"/>
      <c r="Y1048475" s="242"/>
      <c r="Z1048475" s="242"/>
      <c r="AA1048475" s="242"/>
      <c r="AB1048475" s="242"/>
      <c r="AC1048475" s="242"/>
      <c r="AD1048475" s="242"/>
      <c r="AE1048475" s="242"/>
      <c r="AF1048475" s="242"/>
      <c r="AG1048475" s="242"/>
      <c r="AH1048475" s="242"/>
      <c r="AI1048475" s="242"/>
      <c r="AJ1048475" s="242"/>
      <c r="AK1048475" s="242"/>
      <c r="AL1048475" s="242"/>
      <c r="AM1048475" s="242"/>
      <c r="AN1048475" s="242"/>
      <c r="AO1048475" s="242"/>
      <c r="AP1048475" s="242"/>
      <c r="AQ1048475" s="242"/>
      <c r="AR1048475" s="242"/>
      <c r="AS1048475" s="242"/>
      <c r="AT1048475" s="242"/>
      <c r="AU1048475" s="242"/>
      <c r="AV1048475" s="242"/>
      <c r="AW1048475" s="242"/>
      <c r="AX1048475" s="242"/>
      <c r="AY1048475" s="242"/>
      <c r="AZ1048475" s="242"/>
      <c r="BA1048475" s="242"/>
      <c r="BB1048475" s="242"/>
      <c r="BC1048475" s="242"/>
      <c r="BD1048475" s="242"/>
      <c r="BE1048475" s="242"/>
      <c r="BF1048475" s="242"/>
      <c r="BG1048475" s="242"/>
      <c r="BH1048475" s="242"/>
      <c r="BI1048475" s="242"/>
      <c r="BJ1048475" s="242"/>
      <c r="BK1048475" s="242"/>
      <c r="BL1048475" s="242"/>
      <c r="BM1048475" s="242"/>
      <c r="BN1048475" s="242"/>
      <c r="BO1048475" s="242"/>
      <c r="BP1048475" s="242"/>
      <c r="BQ1048475" s="242"/>
      <c r="BR1048475" s="242"/>
      <c r="BS1048475" s="242"/>
      <c r="BT1048475" s="242"/>
      <c r="BU1048475" s="242"/>
      <c r="BV1048475" s="242"/>
      <c r="BW1048475" s="242"/>
      <c r="BX1048475" s="242"/>
      <c r="BY1048475" s="242"/>
      <c r="BZ1048475" s="242"/>
      <c r="CA1048475" s="242"/>
      <c r="CB1048475" s="242"/>
      <c r="CC1048475" s="242"/>
      <c r="CD1048475" s="242"/>
      <c r="CE1048475" s="242"/>
      <c r="CF1048475" s="242"/>
      <c r="CG1048475" s="242"/>
      <c r="CH1048475" s="242"/>
      <c r="CI1048475" s="242"/>
      <c r="CJ1048475" s="242"/>
      <c r="CK1048475" s="242"/>
      <c r="CL1048475" s="242"/>
      <c r="CM1048475" s="242"/>
      <c r="CN1048475" s="242"/>
      <c r="CO1048475" s="242"/>
      <c r="CP1048475" s="242"/>
      <c r="CQ1048475" s="242"/>
      <c r="CR1048475" s="242"/>
      <c r="CS1048475" s="242"/>
      <c r="CT1048475" s="242"/>
      <c r="CU1048475" s="242"/>
      <c r="CV1048475" s="242"/>
      <c r="CW1048475" s="242"/>
      <c r="CX1048475" s="242"/>
      <c r="CY1048475" s="242"/>
      <c r="CZ1048475" s="242"/>
      <c r="DA1048475" s="242"/>
      <c r="DB1048475" s="242"/>
      <c r="DC1048475" s="242"/>
      <c r="DD1048475" s="242"/>
      <c r="DE1048475" s="242"/>
      <c r="DF1048475" s="242"/>
      <c r="DG1048475" s="242"/>
      <c r="DH1048475" s="242"/>
      <c r="DI1048475" s="242"/>
      <c r="DJ1048475" s="242"/>
      <c r="DK1048475" s="242"/>
      <c r="DL1048475" s="242"/>
      <c r="DM1048475" s="242"/>
      <c r="DN1048475" s="242"/>
      <c r="DO1048475" s="242"/>
      <c r="DP1048475" s="242"/>
      <c r="DQ1048475" s="242"/>
      <c r="DR1048475" s="242"/>
      <c r="DS1048475" s="242"/>
      <c r="DT1048475" s="242"/>
      <c r="DU1048475" s="242"/>
      <c r="DV1048475" s="242"/>
      <c r="DW1048475" s="242"/>
      <c r="DX1048475" s="242"/>
      <c r="DY1048475" s="242"/>
      <c r="DZ1048475" s="242"/>
      <c r="EA1048475" s="242"/>
      <c r="EB1048475" s="242"/>
      <c r="EC1048475" s="242"/>
      <c r="ED1048475" s="242"/>
      <c r="EE1048475" s="242"/>
      <c r="EF1048475" s="242"/>
      <c r="EG1048475" s="242"/>
      <c r="EH1048475" s="242"/>
      <c r="EI1048475" s="242"/>
      <c r="EJ1048475" s="242"/>
      <c r="EK1048475" s="242"/>
      <c r="EL1048475" s="242"/>
      <c r="EM1048475" s="242"/>
      <c r="EN1048475" s="242"/>
      <c r="EO1048475" s="242"/>
      <c r="EP1048475" s="242"/>
      <c r="EQ1048475" s="242"/>
      <c r="ER1048475" s="242"/>
      <c r="ES1048475" s="242"/>
      <c r="ET1048475" s="242"/>
      <c r="EU1048475" s="242"/>
      <c r="EV1048475" s="242"/>
      <c r="EW1048475" s="242"/>
      <c r="EX1048475" s="242"/>
      <c r="EY1048475" s="242"/>
      <c r="EZ1048475" s="242"/>
      <c r="FA1048475" s="242"/>
      <c r="FB1048475" s="242"/>
      <c r="FC1048475" s="242"/>
      <c r="FD1048475" s="242"/>
      <c r="FE1048475" s="242"/>
      <c r="FF1048475" s="242"/>
      <c r="FG1048475" s="242"/>
      <c r="FH1048475" s="242"/>
      <c r="FI1048475" s="242"/>
      <c r="FJ1048475" s="242"/>
      <c r="FK1048475" s="242"/>
      <c r="FL1048475" s="242"/>
      <c r="FM1048475" s="242"/>
      <c r="FN1048475" s="242"/>
      <c r="FO1048475" s="242"/>
      <c r="FP1048475" s="242"/>
      <c r="FQ1048475" s="242"/>
      <c r="FR1048475" s="242"/>
      <c r="FS1048475" s="242"/>
      <c r="FT1048475" s="242"/>
      <c r="FU1048475" s="242"/>
      <c r="FV1048475" s="242"/>
      <c r="FW1048475" s="242"/>
      <c r="FX1048475" s="242"/>
      <c r="FY1048475" s="242"/>
      <c r="FZ1048475" s="242"/>
      <c r="GA1048475" s="242"/>
      <c r="GB1048475" s="242"/>
      <c r="GC1048475" s="242"/>
      <c r="GD1048475" s="242"/>
      <c r="GE1048475" s="242"/>
      <c r="GF1048475" s="242"/>
      <c r="GG1048475" s="242"/>
      <c r="GH1048475" s="242"/>
      <c r="GI1048475" s="242"/>
      <c r="GJ1048475" s="242"/>
      <c r="GK1048475" s="242"/>
      <c r="GL1048475" s="242"/>
      <c r="GM1048475" s="242"/>
      <c r="GN1048475" s="242"/>
      <c r="GO1048475" s="242"/>
      <c r="GP1048475" s="242"/>
      <c r="GQ1048475" s="242"/>
      <c r="GR1048475" s="242"/>
      <c r="GS1048475" s="242"/>
      <c r="GT1048475" s="242"/>
      <c r="GU1048475" s="242"/>
      <c r="GV1048475" s="242"/>
      <c r="GW1048475" s="242"/>
      <c r="GX1048475" s="242"/>
      <c r="GY1048475" s="242"/>
      <c r="GZ1048475" s="242"/>
      <c r="HA1048475" s="242"/>
      <c r="HB1048475" s="242"/>
      <c r="HC1048475" s="242"/>
      <c r="HD1048475" s="242"/>
      <c r="HE1048475" s="242"/>
      <c r="HF1048475" s="242"/>
      <c r="HG1048475" s="242"/>
      <c r="HH1048475" s="242"/>
      <c r="HI1048475" s="242"/>
      <c r="HJ1048475" s="242"/>
      <c r="HK1048475" s="242"/>
      <c r="HL1048475" s="242"/>
      <c r="HM1048475" s="242"/>
      <c r="HN1048475" s="242"/>
      <c r="HO1048475" s="242"/>
      <c r="HP1048475" s="242"/>
      <c r="HQ1048475" s="242"/>
      <c r="HR1048475" s="242"/>
      <c r="HS1048475" s="242"/>
      <c r="HT1048475" s="242"/>
      <c r="HU1048475" s="242"/>
      <c r="HV1048475" s="242"/>
      <c r="HW1048475" s="242"/>
      <c r="HX1048475" s="242"/>
      <c r="HY1048475" s="242"/>
      <c r="HZ1048475" s="242"/>
      <c r="IA1048475" s="242"/>
      <c r="IB1048475" s="242"/>
      <c r="IC1048475" s="242"/>
      <c r="ID1048475" s="242"/>
      <c r="IE1048475" s="242"/>
      <c r="IF1048475" s="242"/>
      <c r="IG1048475" s="242"/>
      <c r="IH1048475" s="242"/>
      <c r="II1048475" s="242"/>
      <c r="IJ1048475" s="242"/>
      <c r="IK1048475" s="242"/>
      <c r="IL1048475" s="242"/>
      <c r="IM1048475" s="242"/>
      <c r="IN1048475" s="242"/>
      <c r="IO1048475" s="242"/>
      <c r="IP1048475" s="242"/>
      <c r="IQ1048475" s="242"/>
    </row>
    <row r="1048476" spans="1:251" s="243" customFormat="1" ht="12" customHeight="1">
      <c r="A1048476" s="242"/>
      <c r="B1048476" s="242"/>
      <c r="C1048476" s="242"/>
      <c r="D1048476" s="242"/>
      <c r="E1048476" s="242"/>
      <c r="F1048476" s="242"/>
      <c r="G1048476" s="242"/>
      <c r="H1048476" s="242"/>
      <c r="I1048476" s="242"/>
      <c r="J1048476" s="242"/>
      <c r="K1048476" s="242"/>
      <c r="L1048476" s="242"/>
      <c r="M1048476" s="242"/>
      <c r="N1048476" s="242"/>
      <c r="O1048476" s="242"/>
      <c r="P1048476" s="242"/>
      <c r="Q1048476" s="242"/>
      <c r="R1048476" s="242"/>
      <c r="S1048476" s="242"/>
      <c r="T1048476" s="242"/>
      <c r="U1048476" s="242"/>
      <c r="V1048476" s="242"/>
      <c r="W1048476" s="242"/>
      <c r="X1048476" s="242"/>
      <c r="Y1048476" s="242"/>
      <c r="Z1048476" s="242"/>
      <c r="AA1048476" s="242"/>
      <c r="AB1048476" s="242"/>
      <c r="AC1048476" s="242"/>
      <c r="AD1048476" s="242"/>
      <c r="AE1048476" s="242"/>
      <c r="AF1048476" s="242"/>
      <c r="AG1048476" s="242"/>
      <c r="AH1048476" s="242"/>
      <c r="AI1048476" s="242"/>
      <c r="AJ1048476" s="242"/>
      <c r="AK1048476" s="242"/>
      <c r="AL1048476" s="242"/>
      <c r="AM1048476" s="242"/>
      <c r="AN1048476" s="242"/>
      <c r="AO1048476" s="242"/>
      <c r="AP1048476" s="242"/>
      <c r="AQ1048476" s="242"/>
      <c r="AR1048476" s="242"/>
      <c r="AS1048476" s="242"/>
      <c r="AT1048476" s="242"/>
      <c r="AU1048476" s="242"/>
      <c r="AV1048476" s="242"/>
      <c r="AW1048476" s="242"/>
      <c r="AX1048476" s="242"/>
      <c r="AY1048476" s="242"/>
      <c r="AZ1048476" s="242"/>
      <c r="BA1048476" s="242"/>
      <c r="BB1048476" s="242"/>
      <c r="BC1048476" s="242"/>
      <c r="BD1048476" s="242"/>
      <c r="BE1048476" s="242"/>
      <c r="BF1048476" s="242"/>
      <c r="BG1048476" s="242"/>
      <c r="BH1048476" s="242"/>
      <c r="BI1048476" s="242"/>
      <c r="BJ1048476" s="242"/>
      <c r="BK1048476" s="242"/>
      <c r="BL1048476" s="242"/>
      <c r="BM1048476" s="242"/>
      <c r="BN1048476" s="242"/>
      <c r="BO1048476" s="242"/>
      <c r="BP1048476" s="242"/>
      <c r="BQ1048476" s="242"/>
      <c r="BR1048476" s="242"/>
      <c r="BS1048476" s="242"/>
      <c r="BT1048476" s="242"/>
      <c r="BU1048476" s="242"/>
      <c r="BV1048476" s="242"/>
      <c r="BW1048476" s="242"/>
      <c r="BX1048476" s="242"/>
      <c r="BY1048476" s="242"/>
      <c r="BZ1048476" s="242"/>
      <c r="CA1048476" s="242"/>
      <c r="CB1048476" s="242"/>
      <c r="CC1048476" s="242"/>
      <c r="CD1048476" s="242"/>
      <c r="CE1048476" s="242"/>
      <c r="CF1048476" s="242"/>
      <c r="CG1048476" s="242"/>
      <c r="CH1048476" s="242"/>
      <c r="CI1048476" s="242"/>
      <c r="CJ1048476" s="242"/>
      <c r="CK1048476" s="242"/>
      <c r="CL1048476" s="242"/>
      <c r="CM1048476" s="242"/>
      <c r="CN1048476" s="242"/>
      <c r="CO1048476" s="242"/>
      <c r="CP1048476" s="242"/>
      <c r="CQ1048476" s="242"/>
      <c r="CR1048476" s="242"/>
      <c r="CS1048476" s="242"/>
      <c r="CT1048476" s="242"/>
      <c r="CU1048476" s="242"/>
      <c r="CV1048476" s="242"/>
      <c r="CW1048476" s="242"/>
      <c r="CX1048476" s="242"/>
      <c r="CY1048476" s="242"/>
      <c r="CZ1048476" s="242"/>
      <c r="DA1048476" s="242"/>
      <c r="DB1048476" s="242"/>
      <c r="DC1048476" s="242"/>
      <c r="DD1048476" s="242"/>
      <c r="DE1048476" s="242"/>
      <c r="DF1048476" s="242"/>
      <c r="DG1048476" s="242"/>
      <c r="DH1048476" s="242"/>
      <c r="DI1048476" s="242"/>
      <c r="DJ1048476" s="242"/>
      <c r="DK1048476" s="242"/>
      <c r="DL1048476" s="242"/>
      <c r="DM1048476" s="242"/>
      <c r="DN1048476" s="242"/>
      <c r="DO1048476" s="242"/>
      <c r="DP1048476" s="242"/>
      <c r="DQ1048476" s="242"/>
      <c r="DR1048476" s="242"/>
      <c r="DS1048476" s="242"/>
      <c r="DT1048476" s="242"/>
      <c r="DU1048476" s="242"/>
      <c r="DV1048476" s="242"/>
      <c r="DW1048476" s="242"/>
      <c r="DX1048476" s="242"/>
      <c r="DY1048476" s="242"/>
      <c r="DZ1048476" s="242"/>
      <c r="EA1048476" s="242"/>
      <c r="EB1048476" s="242"/>
      <c r="EC1048476" s="242"/>
      <c r="ED1048476" s="242"/>
      <c r="EE1048476" s="242"/>
      <c r="EF1048476" s="242"/>
      <c r="EG1048476" s="242"/>
      <c r="EH1048476" s="242"/>
      <c r="EI1048476" s="242"/>
      <c r="EJ1048476" s="242"/>
      <c r="EK1048476" s="242"/>
      <c r="EL1048476" s="242"/>
      <c r="EM1048476" s="242"/>
      <c r="EN1048476" s="242"/>
      <c r="EO1048476" s="242"/>
      <c r="EP1048476" s="242"/>
      <c r="EQ1048476" s="242"/>
      <c r="ER1048476" s="242"/>
      <c r="ES1048476" s="242"/>
      <c r="ET1048476" s="242"/>
      <c r="EU1048476" s="242"/>
      <c r="EV1048476" s="242"/>
      <c r="EW1048476" s="242"/>
      <c r="EX1048476" s="242"/>
      <c r="EY1048476" s="242"/>
      <c r="EZ1048476" s="242"/>
      <c r="FA1048476" s="242"/>
      <c r="FB1048476" s="242"/>
      <c r="FC1048476" s="242"/>
      <c r="FD1048476" s="242"/>
      <c r="FE1048476" s="242"/>
      <c r="FF1048476" s="242"/>
      <c r="FG1048476" s="242"/>
      <c r="FH1048476" s="242"/>
      <c r="FI1048476" s="242"/>
      <c r="FJ1048476" s="242"/>
      <c r="FK1048476" s="242"/>
      <c r="FL1048476" s="242"/>
      <c r="FM1048476" s="242"/>
      <c r="FN1048476" s="242"/>
      <c r="FO1048476" s="242"/>
      <c r="FP1048476" s="242"/>
      <c r="FQ1048476" s="242"/>
      <c r="FR1048476" s="242"/>
      <c r="FS1048476" s="242"/>
      <c r="FT1048476" s="242"/>
      <c r="FU1048476" s="242"/>
      <c r="FV1048476" s="242"/>
      <c r="FW1048476" s="242"/>
      <c r="FX1048476" s="242"/>
      <c r="FY1048476" s="242"/>
      <c r="FZ1048476" s="242"/>
      <c r="GA1048476" s="242"/>
      <c r="GB1048476" s="242"/>
      <c r="GC1048476" s="242"/>
      <c r="GD1048476" s="242"/>
      <c r="GE1048476" s="242"/>
      <c r="GF1048476" s="242"/>
      <c r="GG1048476" s="242"/>
      <c r="GH1048476" s="242"/>
      <c r="GI1048476" s="242"/>
      <c r="GJ1048476" s="242"/>
      <c r="GK1048476" s="242"/>
      <c r="GL1048476" s="242"/>
      <c r="GM1048476" s="242"/>
      <c r="GN1048476" s="242"/>
      <c r="GO1048476" s="242"/>
      <c r="GP1048476" s="242"/>
      <c r="GQ1048476" s="242"/>
      <c r="GR1048476" s="242"/>
      <c r="GS1048476" s="242"/>
      <c r="GT1048476" s="242"/>
      <c r="GU1048476" s="242"/>
      <c r="GV1048476" s="242"/>
      <c r="GW1048476" s="242"/>
      <c r="GX1048476" s="242"/>
      <c r="GY1048476" s="242"/>
      <c r="GZ1048476" s="242"/>
      <c r="HA1048476" s="242"/>
      <c r="HB1048476" s="242"/>
      <c r="HC1048476" s="242"/>
      <c r="HD1048476" s="242"/>
      <c r="HE1048476" s="242"/>
      <c r="HF1048476" s="242"/>
      <c r="HG1048476" s="242"/>
      <c r="HH1048476" s="242"/>
      <c r="HI1048476" s="242"/>
      <c r="HJ1048476" s="242"/>
      <c r="HK1048476" s="242"/>
      <c r="HL1048476" s="242"/>
      <c r="HM1048476" s="242"/>
      <c r="HN1048476" s="242"/>
      <c r="HO1048476" s="242"/>
      <c r="HP1048476" s="242"/>
      <c r="HQ1048476" s="242"/>
      <c r="HR1048476" s="242"/>
      <c r="HS1048476" s="242"/>
      <c r="HT1048476" s="242"/>
      <c r="HU1048476" s="242"/>
      <c r="HV1048476" s="242"/>
      <c r="HW1048476" s="242"/>
      <c r="HX1048476" s="242"/>
      <c r="HY1048476" s="242"/>
      <c r="HZ1048476" s="242"/>
      <c r="IA1048476" s="242"/>
      <c r="IB1048476" s="242"/>
      <c r="IC1048476" s="242"/>
      <c r="ID1048476" s="242"/>
      <c r="IE1048476" s="242"/>
      <c r="IF1048476" s="242"/>
      <c r="IG1048476" s="242"/>
      <c r="IH1048476" s="242"/>
      <c r="II1048476" s="242"/>
      <c r="IJ1048476" s="242"/>
      <c r="IK1048476" s="242"/>
      <c r="IL1048476" s="242"/>
      <c r="IM1048476" s="242"/>
      <c r="IN1048476" s="242"/>
      <c r="IO1048476" s="242"/>
      <c r="IP1048476" s="242"/>
      <c r="IQ1048476" s="242"/>
    </row>
    <row r="1048477" spans="1:251" s="243" customFormat="1" ht="12" customHeight="1">
      <c r="A1048477" s="242"/>
      <c r="B1048477" s="242"/>
      <c r="C1048477" s="242"/>
      <c r="D1048477" s="242"/>
      <c r="E1048477" s="242"/>
      <c r="F1048477" s="242"/>
      <c r="G1048477" s="242"/>
      <c r="H1048477" s="242"/>
      <c r="I1048477" s="242"/>
      <c r="J1048477" s="242"/>
      <c r="K1048477" s="242"/>
      <c r="L1048477" s="242"/>
      <c r="M1048477" s="242"/>
      <c r="N1048477" s="242"/>
      <c r="O1048477" s="242"/>
      <c r="P1048477" s="242"/>
      <c r="Q1048477" s="242"/>
      <c r="R1048477" s="242"/>
      <c r="S1048477" s="242"/>
      <c r="T1048477" s="242"/>
      <c r="U1048477" s="242"/>
      <c r="V1048477" s="242"/>
      <c r="W1048477" s="242"/>
      <c r="X1048477" s="242"/>
      <c r="Y1048477" s="242"/>
      <c r="Z1048477" s="242"/>
      <c r="AA1048477" s="242"/>
      <c r="AB1048477" s="242"/>
      <c r="AC1048477" s="242"/>
      <c r="AD1048477" s="242"/>
      <c r="AE1048477" s="242"/>
      <c r="AF1048477" s="242"/>
      <c r="AG1048477" s="242"/>
      <c r="AH1048477" s="242"/>
      <c r="AI1048477" s="242"/>
      <c r="AJ1048477" s="242"/>
      <c r="AK1048477" s="242"/>
      <c r="AL1048477" s="242"/>
      <c r="AM1048477" s="242"/>
      <c r="AN1048477" s="242"/>
      <c r="AO1048477" s="242"/>
      <c r="AP1048477" s="242"/>
      <c r="AQ1048477" s="242"/>
      <c r="AR1048477" s="242"/>
      <c r="AS1048477" s="242"/>
      <c r="AT1048477" s="242"/>
      <c r="AU1048477" s="242"/>
      <c r="AV1048477" s="242"/>
      <c r="AW1048477" s="242"/>
      <c r="AX1048477" s="242"/>
      <c r="AY1048477" s="242"/>
      <c r="AZ1048477" s="242"/>
      <c r="BA1048477" s="242"/>
      <c r="BB1048477" s="242"/>
      <c r="BC1048477" s="242"/>
      <c r="BD1048477" s="242"/>
      <c r="BE1048477" s="242"/>
      <c r="BF1048477" s="242"/>
      <c r="BG1048477" s="242"/>
      <c r="BH1048477" s="242"/>
      <c r="BI1048477" s="242"/>
      <c r="BJ1048477" s="242"/>
      <c r="BK1048477" s="242"/>
      <c r="BL1048477" s="242"/>
      <c r="BM1048477" s="242"/>
      <c r="BN1048477" s="242"/>
      <c r="BO1048477" s="242"/>
      <c r="BP1048477" s="242"/>
      <c r="BQ1048477" s="242"/>
      <c r="BR1048477" s="242"/>
      <c r="BS1048477" s="242"/>
      <c r="BT1048477" s="242"/>
      <c r="BU1048477" s="242"/>
      <c r="BV1048477" s="242"/>
      <c r="BW1048477" s="242"/>
      <c r="BX1048477" s="242"/>
      <c r="BY1048477" s="242"/>
      <c r="BZ1048477" s="242"/>
      <c r="CA1048477" s="242"/>
      <c r="CB1048477" s="242"/>
      <c r="CC1048477" s="242"/>
      <c r="CD1048477" s="242"/>
      <c r="CE1048477" s="242"/>
      <c r="CF1048477" s="242"/>
      <c r="CG1048477" s="242"/>
      <c r="CH1048477" s="242"/>
      <c r="CI1048477" s="242"/>
      <c r="CJ1048477" s="242"/>
      <c r="CK1048477" s="242"/>
      <c r="CL1048477" s="242"/>
      <c r="CM1048477" s="242"/>
      <c r="CN1048477" s="242"/>
      <c r="CO1048477" s="242"/>
      <c r="CP1048477" s="242"/>
      <c r="CQ1048477" s="242"/>
      <c r="CR1048477" s="242"/>
      <c r="CS1048477" s="242"/>
      <c r="CT1048477" s="242"/>
      <c r="CU1048477" s="242"/>
      <c r="CV1048477" s="242"/>
      <c r="CW1048477" s="242"/>
      <c r="CX1048477" s="242"/>
      <c r="CY1048477" s="242"/>
      <c r="CZ1048477" s="242"/>
      <c r="DA1048477" s="242"/>
      <c r="DB1048477" s="242"/>
      <c r="DC1048477" s="242"/>
      <c r="DD1048477" s="242"/>
      <c r="DE1048477" s="242"/>
      <c r="DF1048477" s="242"/>
      <c r="DG1048477" s="242"/>
      <c r="DH1048477" s="242"/>
      <c r="DI1048477" s="242"/>
      <c r="DJ1048477" s="242"/>
      <c r="DK1048477" s="242"/>
      <c r="DL1048477" s="242"/>
      <c r="DM1048477" s="242"/>
      <c r="DN1048477" s="242"/>
      <c r="DO1048477" s="242"/>
      <c r="DP1048477" s="242"/>
      <c r="DQ1048477" s="242"/>
      <c r="DR1048477" s="242"/>
      <c r="DS1048477" s="242"/>
      <c r="DT1048477" s="242"/>
      <c r="DU1048477" s="242"/>
      <c r="DV1048477" s="242"/>
      <c r="DW1048477" s="242"/>
      <c r="DX1048477" s="242"/>
      <c r="DY1048477" s="242"/>
      <c r="DZ1048477" s="242"/>
      <c r="EA1048477" s="242"/>
      <c r="EB1048477" s="242"/>
      <c r="EC1048477" s="242"/>
      <c r="ED1048477" s="242"/>
      <c r="EE1048477" s="242"/>
      <c r="EF1048477" s="242"/>
      <c r="EG1048477" s="242"/>
      <c r="EH1048477" s="242"/>
      <c r="EI1048477" s="242"/>
      <c r="EJ1048477" s="242"/>
      <c r="EK1048477" s="242"/>
      <c r="EL1048477" s="242"/>
      <c r="EM1048477" s="242"/>
      <c r="EN1048477" s="242"/>
      <c r="EO1048477" s="242"/>
      <c r="EP1048477" s="242"/>
      <c r="EQ1048477" s="242"/>
      <c r="ER1048477" s="242"/>
      <c r="ES1048477" s="242"/>
      <c r="ET1048477" s="242"/>
      <c r="EU1048477" s="242"/>
      <c r="EV1048477" s="242"/>
      <c r="EW1048477" s="242"/>
      <c r="EX1048477" s="242"/>
      <c r="EY1048477" s="242"/>
      <c r="EZ1048477" s="242"/>
      <c r="FA1048477" s="242"/>
      <c r="FB1048477" s="242"/>
      <c r="FC1048477" s="242"/>
      <c r="FD1048477" s="242"/>
      <c r="FE1048477" s="242"/>
      <c r="FF1048477" s="242"/>
      <c r="FG1048477" s="242"/>
      <c r="FH1048477" s="242"/>
      <c r="FI1048477" s="242"/>
      <c r="FJ1048477" s="242"/>
      <c r="FK1048477" s="242"/>
      <c r="FL1048477" s="242"/>
      <c r="FM1048477" s="242"/>
      <c r="FN1048477" s="242"/>
      <c r="FO1048477" s="242"/>
      <c r="FP1048477" s="242"/>
      <c r="FQ1048477" s="242"/>
      <c r="FR1048477" s="242"/>
      <c r="FS1048477" s="242"/>
      <c r="FT1048477" s="242"/>
      <c r="FU1048477" s="242"/>
      <c r="FV1048477" s="242"/>
      <c r="FW1048477" s="242"/>
      <c r="FX1048477" s="242"/>
      <c r="FY1048477" s="242"/>
      <c r="FZ1048477" s="242"/>
      <c r="GA1048477" s="242"/>
      <c r="GB1048477" s="242"/>
      <c r="GC1048477" s="242"/>
      <c r="GD1048477" s="242"/>
      <c r="GE1048477" s="242"/>
      <c r="GF1048477" s="242"/>
      <c r="GG1048477" s="242"/>
      <c r="GH1048477" s="242"/>
      <c r="GI1048477" s="242"/>
      <c r="GJ1048477" s="242"/>
      <c r="GK1048477" s="242"/>
      <c r="GL1048477" s="242"/>
      <c r="GM1048477" s="242"/>
      <c r="GN1048477" s="242"/>
      <c r="GO1048477" s="242"/>
      <c r="GP1048477" s="242"/>
      <c r="GQ1048477" s="242"/>
      <c r="GR1048477" s="242"/>
      <c r="GS1048477" s="242"/>
      <c r="GT1048477" s="242"/>
      <c r="GU1048477" s="242"/>
      <c r="GV1048477" s="242"/>
      <c r="GW1048477" s="242"/>
      <c r="GX1048477" s="242"/>
      <c r="GY1048477" s="242"/>
      <c r="GZ1048477" s="242"/>
      <c r="HA1048477" s="242"/>
      <c r="HB1048477" s="242"/>
      <c r="HC1048477" s="242"/>
      <c r="HD1048477" s="242"/>
      <c r="HE1048477" s="242"/>
      <c r="HF1048477" s="242"/>
      <c r="HG1048477" s="242"/>
      <c r="HH1048477" s="242"/>
      <c r="HI1048477" s="242"/>
      <c r="HJ1048477" s="242"/>
      <c r="HK1048477" s="242"/>
      <c r="HL1048477" s="242"/>
      <c r="HM1048477" s="242"/>
      <c r="HN1048477" s="242"/>
      <c r="HO1048477" s="242"/>
      <c r="HP1048477" s="242"/>
      <c r="HQ1048477" s="242"/>
      <c r="HR1048477" s="242"/>
      <c r="HS1048477" s="242"/>
      <c r="HT1048477" s="242"/>
      <c r="HU1048477" s="242"/>
      <c r="HV1048477" s="242"/>
      <c r="HW1048477" s="242"/>
      <c r="HX1048477" s="242"/>
      <c r="HY1048477" s="242"/>
      <c r="HZ1048477" s="242"/>
      <c r="IA1048477" s="242"/>
      <c r="IB1048477" s="242"/>
      <c r="IC1048477" s="242"/>
      <c r="ID1048477" s="242"/>
      <c r="IE1048477" s="242"/>
      <c r="IF1048477" s="242"/>
      <c r="IG1048477" s="242"/>
      <c r="IH1048477" s="242"/>
      <c r="II1048477" s="242"/>
      <c r="IJ1048477" s="242"/>
      <c r="IK1048477" s="242"/>
      <c r="IL1048477" s="242"/>
      <c r="IM1048477" s="242"/>
      <c r="IN1048477" s="242"/>
      <c r="IO1048477" s="242"/>
      <c r="IP1048477" s="242"/>
      <c r="IQ1048477" s="242"/>
    </row>
    <row r="1048478" spans="1:251" s="243" customFormat="1" ht="12" customHeight="1">
      <c r="A1048478" s="242"/>
      <c r="B1048478" s="242"/>
      <c r="C1048478" s="242"/>
      <c r="D1048478" s="242"/>
      <c r="E1048478" s="242"/>
      <c r="F1048478" s="242"/>
      <c r="G1048478" s="242"/>
      <c r="H1048478" s="242"/>
      <c r="I1048478" s="242"/>
      <c r="J1048478" s="242"/>
      <c r="K1048478" s="242"/>
      <c r="L1048478" s="242"/>
      <c r="M1048478" s="242"/>
      <c r="N1048478" s="242"/>
      <c r="O1048478" s="242"/>
      <c r="P1048478" s="242"/>
      <c r="Q1048478" s="242"/>
      <c r="R1048478" s="242"/>
      <c r="S1048478" s="242"/>
      <c r="T1048478" s="242"/>
      <c r="U1048478" s="242"/>
      <c r="V1048478" s="242"/>
      <c r="W1048478" s="242"/>
      <c r="X1048478" s="242"/>
      <c r="Y1048478" s="242"/>
      <c r="Z1048478" s="242"/>
      <c r="AA1048478" s="242"/>
      <c r="AB1048478" s="242"/>
      <c r="AC1048478" s="242"/>
      <c r="AD1048478" s="242"/>
      <c r="AE1048478" s="242"/>
      <c r="AF1048478" s="242"/>
      <c r="AG1048478" s="242"/>
      <c r="AH1048478" s="242"/>
      <c r="AI1048478" s="242"/>
      <c r="AJ1048478" s="242"/>
      <c r="AK1048478" s="242"/>
      <c r="AL1048478" s="242"/>
      <c r="AM1048478" s="242"/>
      <c r="AN1048478" s="242"/>
      <c r="AO1048478" s="242"/>
      <c r="AP1048478" s="242"/>
      <c r="AQ1048478" s="242"/>
      <c r="AR1048478" s="242"/>
      <c r="AS1048478" s="242"/>
      <c r="AT1048478" s="242"/>
      <c r="AU1048478" s="242"/>
      <c r="AV1048478" s="242"/>
      <c r="AW1048478" s="242"/>
      <c r="AX1048478" s="242"/>
      <c r="AY1048478" s="242"/>
      <c r="AZ1048478" s="242"/>
      <c r="BA1048478" s="242"/>
      <c r="BB1048478" s="242"/>
      <c r="BC1048478" s="242"/>
      <c r="BD1048478" s="242"/>
      <c r="BE1048478" s="242"/>
      <c r="BF1048478" s="242"/>
      <c r="BG1048478" s="242"/>
      <c r="BH1048478" s="242"/>
      <c r="BI1048478" s="242"/>
      <c r="BJ1048478" s="242"/>
      <c r="BK1048478" s="242"/>
      <c r="BL1048478" s="242"/>
      <c r="BM1048478" s="242"/>
      <c r="BN1048478" s="242"/>
      <c r="BO1048478" s="242"/>
      <c r="BP1048478" s="242"/>
      <c r="BQ1048478" s="242"/>
      <c r="BR1048478" s="242"/>
      <c r="BS1048478" s="242"/>
      <c r="BT1048478" s="242"/>
      <c r="BU1048478" s="242"/>
      <c r="BV1048478" s="242"/>
      <c r="BW1048478" s="242"/>
      <c r="BX1048478" s="242"/>
      <c r="BY1048478" s="242"/>
      <c r="BZ1048478" s="242"/>
      <c r="CA1048478" s="242"/>
      <c r="CB1048478" s="242"/>
      <c r="CC1048478" s="242"/>
      <c r="CD1048478" s="242"/>
      <c r="CE1048478" s="242"/>
      <c r="CF1048478" s="242"/>
      <c r="CG1048478" s="242"/>
      <c r="CH1048478" s="242"/>
      <c r="CI1048478" s="242"/>
      <c r="CJ1048478" s="242"/>
      <c r="CK1048478" s="242"/>
      <c r="CL1048478" s="242"/>
      <c r="CM1048478" s="242"/>
      <c r="CN1048478" s="242"/>
      <c r="CO1048478" s="242"/>
      <c r="CP1048478" s="242"/>
      <c r="CQ1048478" s="242"/>
      <c r="CR1048478" s="242"/>
      <c r="CS1048478" s="242"/>
      <c r="CT1048478" s="242"/>
      <c r="CU1048478" s="242"/>
      <c r="CV1048478" s="242"/>
      <c r="CW1048478" s="242"/>
      <c r="CX1048478" s="242"/>
      <c r="CY1048478" s="242"/>
      <c r="CZ1048478" s="242"/>
      <c r="DA1048478" s="242"/>
      <c r="DB1048478" s="242"/>
      <c r="DC1048478" s="242"/>
      <c r="DD1048478" s="242"/>
      <c r="DE1048478" s="242"/>
      <c r="DF1048478" s="242"/>
      <c r="DG1048478" s="242"/>
      <c r="DH1048478" s="242"/>
      <c r="DI1048478" s="242"/>
      <c r="DJ1048478" s="242"/>
      <c r="DK1048478" s="242"/>
      <c r="DL1048478" s="242"/>
      <c r="DM1048478" s="242"/>
      <c r="DN1048478" s="242"/>
      <c r="DO1048478" s="242"/>
      <c r="DP1048478" s="242"/>
      <c r="DQ1048478" s="242"/>
      <c r="DR1048478" s="242"/>
      <c r="DS1048478" s="242"/>
      <c r="DT1048478" s="242"/>
      <c r="DU1048478" s="242"/>
      <c r="DV1048478" s="242"/>
      <c r="DW1048478" s="242"/>
      <c r="DX1048478" s="242"/>
      <c r="DY1048478" s="242"/>
      <c r="DZ1048478" s="242"/>
      <c r="EA1048478" s="242"/>
      <c r="EB1048478" s="242"/>
      <c r="EC1048478" s="242"/>
      <c r="ED1048478" s="242"/>
      <c r="EE1048478" s="242"/>
      <c r="EF1048478" s="242"/>
      <c r="EG1048478" s="242"/>
      <c r="EH1048478" s="242"/>
      <c r="EI1048478" s="242"/>
      <c r="EJ1048478" s="242"/>
      <c r="EK1048478" s="242"/>
      <c r="EL1048478" s="242"/>
      <c r="EM1048478" s="242"/>
      <c r="EN1048478" s="242"/>
      <c r="EO1048478" s="242"/>
      <c r="EP1048478" s="242"/>
      <c r="EQ1048478" s="242"/>
      <c r="ER1048478" s="242"/>
      <c r="ES1048478" s="242"/>
      <c r="ET1048478" s="242"/>
      <c r="EU1048478" s="242"/>
      <c r="EV1048478" s="242"/>
      <c r="EW1048478" s="242"/>
      <c r="EX1048478" s="242"/>
      <c r="EY1048478" s="242"/>
      <c r="EZ1048478" s="242"/>
      <c r="FA1048478" s="242"/>
      <c r="FB1048478" s="242"/>
      <c r="FC1048478" s="242"/>
      <c r="FD1048478" s="242"/>
      <c r="FE1048478" s="242"/>
      <c r="FF1048478" s="242"/>
      <c r="FG1048478" s="242"/>
      <c r="FH1048478" s="242"/>
      <c r="FI1048478" s="242"/>
      <c r="FJ1048478" s="242"/>
      <c r="FK1048478" s="242"/>
      <c r="FL1048478" s="242"/>
      <c r="FM1048478" s="242"/>
      <c r="FN1048478" s="242"/>
      <c r="FO1048478" s="242"/>
      <c r="FP1048478" s="242"/>
      <c r="FQ1048478" s="242"/>
      <c r="FR1048478" s="242"/>
      <c r="FS1048478" s="242"/>
      <c r="FT1048478" s="242"/>
      <c r="FU1048478" s="242"/>
      <c r="FV1048478" s="242"/>
      <c r="FW1048478" s="242"/>
      <c r="FX1048478" s="242"/>
      <c r="FY1048478" s="242"/>
      <c r="FZ1048478" s="242"/>
      <c r="GA1048478" s="242"/>
      <c r="GB1048478" s="242"/>
      <c r="GC1048478" s="242"/>
      <c r="GD1048478" s="242"/>
      <c r="GE1048478" s="242"/>
      <c r="GF1048478" s="242"/>
      <c r="GG1048478" s="242"/>
      <c r="GH1048478" s="242"/>
      <c r="GI1048478" s="242"/>
      <c r="GJ1048478" s="242"/>
      <c r="GK1048478" s="242"/>
      <c r="GL1048478" s="242"/>
      <c r="GM1048478" s="242"/>
      <c r="GN1048478" s="242"/>
      <c r="GO1048478" s="242"/>
      <c r="GP1048478" s="242"/>
      <c r="GQ1048478" s="242"/>
      <c r="GR1048478" s="242"/>
      <c r="GS1048478" s="242"/>
      <c r="GT1048478" s="242"/>
      <c r="GU1048478" s="242"/>
      <c r="GV1048478" s="242"/>
      <c r="GW1048478" s="242"/>
      <c r="GX1048478" s="242"/>
      <c r="GY1048478" s="242"/>
      <c r="GZ1048478" s="242"/>
      <c r="HA1048478" s="242"/>
      <c r="HB1048478" s="242"/>
      <c r="HC1048478" s="242"/>
      <c r="HD1048478" s="242"/>
      <c r="HE1048478" s="242"/>
      <c r="HF1048478" s="242"/>
      <c r="HG1048478" s="242"/>
      <c r="HH1048478" s="242"/>
      <c r="HI1048478" s="242"/>
      <c r="HJ1048478" s="242"/>
      <c r="HK1048478" s="242"/>
      <c r="HL1048478" s="242"/>
      <c r="HM1048478" s="242"/>
      <c r="HN1048478" s="242"/>
      <c r="HO1048478" s="242"/>
      <c r="HP1048478" s="242"/>
      <c r="HQ1048478" s="242"/>
      <c r="HR1048478" s="242"/>
      <c r="HS1048478" s="242"/>
      <c r="HT1048478" s="242"/>
      <c r="HU1048478" s="242"/>
      <c r="HV1048478" s="242"/>
      <c r="HW1048478" s="242"/>
      <c r="HX1048478" s="242"/>
      <c r="HY1048478" s="242"/>
      <c r="HZ1048478" s="242"/>
      <c r="IA1048478" s="242"/>
      <c r="IB1048478" s="242"/>
      <c r="IC1048478" s="242"/>
      <c r="ID1048478" s="242"/>
      <c r="IE1048478" s="242"/>
      <c r="IF1048478" s="242"/>
      <c r="IG1048478" s="242"/>
      <c r="IH1048478" s="242"/>
      <c r="II1048478" s="242"/>
      <c r="IJ1048478" s="242"/>
      <c r="IK1048478" s="242"/>
      <c r="IL1048478" s="242"/>
      <c r="IM1048478" s="242"/>
      <c r="IN1048478" s="242"/>
      <c r="IO1048478" s="242"/>
      <c r="IP1048478" s="242"/>
      <c r="IQ1048478" s="242"/>
    </row>
    <row r="1048479" spans="1:251" s="243" customFormat="1" ht="12" customHeight="1">
      <c r="A1048479" s="242"/>
      <c r="B1048479" s="242"/>
      <c r="C1048479" s="242"/>
      <c r="D1048479" s="242"/>
      <c r="E1048479" s="242"/>
      <c r="F1048479" s="242"/>
      <c r="G1048479" s="242"/>
      <c r="H1048479" s="242"/>
      <c r="I1048479" s="242"/>
      <c r="J1048479" s="242"/>
      <c r="K1048479" s="242"/>
      <c r="L1048479" s="242"/>
      <c r="M1048479" s="242"/>
      <c r="N1048479" s="242"/>
      <c r="O1048479" s="242"/>
      <c r="P1048479" s="242"/>
      <c r="Q1048479" s="242"/>
      <c r="R1048479" s="242"/>
      <c r="S1048479" s="242"/>
      <c r="T1048479" s="242"/>
      <c r="U1048479" s="242"/>
      <c r="V1048479" s="242"/>
      <c r="W1048479" s="242"/>
      <c r="X1048479" s="242"/>
      <c r="Y1048479" s="242"/>
      <c r="Z1048479" s="242"/>
      <c r="AA1048479" s="242"/>
      <c r="AB1048479" s="242"/>
      <c r="AC1048479" s="242"/>
      <c r="AD1048479" s="242"/>
      <c r="AE1048479" s="242"/>
      <c r="AF1048479" s="242"/>
      <c r="AG1048479" s="242"/>
      <c r="AH1048479" s="242"/>
      <c r="AI1048479" s="242"/>
      <c r="AJ1048479" s="242"/>
      <c r="AK1048479" s="242"/>
      <c r="AL1048479" s="242"/>
      <c r="AM1048479" s="242"/>
      <c r="AN1048479" s="242"/>
      <c r="AO1048479" s="242"/>
      <c r="AP1048479" s="242"/>
      <c r="AQ1048479" s="242"/>
      <c r="AR1048479" s="242"/>
      <c r="AS1048479" s="242"/>
      <c r="AT1048479" s="242"/>
      <c r="AU1048479" s="242"/>
      <c r="AV1048479" s="242"/>
      <c r="AW1048479" s="242"/>
      <c r="AX1048479" s="242"/>
      <c r="AY1048479" s="242"/>
      <c r="AZ1048479" s="242"/>
      <c r="BA1048479" s="242"/>
      <c r="BB1048479" s="242"/>
      <c r="BC1048479" s="242"/>
      <c r="BD1048479" s="242"/>
      <c r="BE1048479" s="242"/>
      <c r="BF1048479" s="242"/>
      <c r="BG1048479" s="242"/>
      <c r="BH1048479" s="242"/>
      <c r="BI1048479" s="242"/>
      <c r="BJ1048479" s="242"/>
      <c r="BK1048479" s="242"/>
      <c r="BL1048479" s="242"/>
      <c r="BM1048479" s="242"/>
      <c r="BN1048479" s="242"/>
      <c r="BO1048479" s="242"/>
      <c r="BP1048479" s="242"/>
      <c r="BQ1048479" s="242"/>
      <c r="BR1048479" s="242"/>
      <c r="BS1048479" s="242"/>
      <c r="BT1048479" s="242"/>
      <c r="BU1048479" s="242"/>
      <c r="BV1048479" s="242"/>
      <c r="BW1048479" s="242"/>
      <c r="BX1048479" s="242"/>
      <c r="BY1048479" s="242"/>
      <c r="BZ1048479" s="242"/>
      <c r="CA1048479" s="242"/>
      <c r="CB1048479" s="242"/>
      <c r="CC1048479" s="242"/>
      <c r="CD1048479" s="242"/>
      <c r="CE1048479" s="242"/>
      <c r="CF1048479" s="242"/>
      <c r="CG1048479" s="242"/>
      <c r="CH1048479" s="242"/>
      <c r="CI1048479" s="242"/>
      <c r="CJ1048479" s="242"/>
      <c r="CK1048479" s="242"/>
      <c r="CL1048479" s="242"/>
      <c r="CM1048479" s="242"/>
      <c r="CN1048479" s="242"/>
      <c r="CO1048479" s="242"/>
      <c r="CP1048479" s="242"/>
      <c r="CQ1048479" s="242"/>
      <c r="CR1048479" s="242"/>
      <c r="CS1048479" s="242"/>
      <c r="CT1048479" s="242"/>
      <c r="CU1048479" s="242"/>
      <c r="CV1048479" s="242"/>
      <c r="CW1048479" s="242"/>
      <c r="CX1048479" s="242"/>
      <c r="CY1048479" s="242"/>
      <c r="CZ1048479" s="242"/>
      <c r="DA1048479" s="242"/>
      <c r="DB1048479" s="242"/>
      <c r="DC1048479" s="242"/>
      <c r="DD1048479" s="242"/>
      <c r="DE1048479" s="242"/>
      <c r="DF1048479" s="242"/>
      <c r="DG1048479" s="242"/>
      <c r="DH1048479" s="242"/>
      <c r="DI1048479" s="242"/>
      <c r="DJ1048479" s="242"/>
      <c r="DK1048479" s="242"/>
      <c r="DL1048479" s="242"/>
      <c r="DM1048479" s="242"/>
      <c r="DN1048479" s="242"/>
      <c r="DO1048479" s="242"/>
      <c r="DP1048479" s="242"/>
      <c r="DQ1048479" s="242"/>
      <c r="DR1048479" s="242"/>
      <c r="DS1048479" s="242"/>
      <c r="DT1048479" s="242"/>
      <c r="DU1048479" s="242"/>
      <c r="DV1048479" s="242"/>
      <c r="DW1048479" s="242"/>
      <c r="DX1048479" s="242"/>
      <c r="DY1048479" s="242"/>
      <c r="DZ1048479" s="242"/>
      <c r="EA1048479" s="242"/>
      <c r="EB1048479" s="242"/>
      <c r="EC1048479" s="242"/>
      <c r="ED1048479" s="242"/>
      <c r="EE1048479" s="242"/>
      <c r="EF1048479" s="242"/>
      <c r="EG1048479" s="242"/>
      <c r="EH1048479" s="242"/>
      <c r="EI1048479" s="242"/>
      <c r="EJ1048479" s="242"/>
      <c r="EK1048479" s="242"/>
      <c r="EL1048479" s="242"/>
      <c r="EM1048479" s="242"/>
      <c r="EN1048479" s="242"/>
      <c r="EO1048479" s="242"/>
      <c r="EP1048479" s="242"/>
      <c r="EQ1048479" s="242"/>
      <c r="ER1048479" s="242"/>
      <c r="ES1048479" s="242"/>
      <c r="ET1048479" s="242"/>
      <c r="EU1048479" s="242"/>
      <c r="EV1048479" s="242"/>
      <c r="EW1048479" s="242"/>
      <c r="EX1048479" s="242"/>
      <c r="EY1048479" s="242"/>
      <c r="EZ1048479" s="242"/>
      <c r="FA1048479" s="242"/>
      <c r="FB1048479" s="242"/>
      <c r="FC1048479" s="242"/>
      <c r="FD1048479" s="242"/>
      <c r="FE1048479" s="242"/>
      <c r="FF1048479" s="242"/>
      <c r="FG1048479" s="242"/>
      <c r="FH1048479" s="242"/>
      <c r="FI1048479" s="242"/>
      <c r="FJ1048479" s="242"/>
      <c r="FK1048479" s="242"/>
      <c r="FL1048479" s="242"/>
      <c r="FM1048479" s="242"/>
      <c r="FN1048479" s="242"/>
      <c r="FO1048479" s="242"/>
      <c r="FP1048479" s="242"/>
      <c r="FQ1048479" s="242"/>
      <c r="FR1048479" s="242"/>
      <c r="FS1048479" s="242"/>
      <c r="FT1048479" s="242"/>
      <c r="FU1048479" s="242"/>
      <c r="FV1048479" s="242"/>
      <c r="FW1048479" s="242"/>
      <c r="FX1048479" s="242"/>
      <c r="FY1048479" s="242"/>
      <c r="FZ1048479" s="242"/>
      <c r="GA1048479" s="242"/>
      <c r="GB1048479" s="242"/>
      <c r="GC1048479" s="242"/>
      <c r="GD1048479" s="242"/>
      <c r="GE1048479" s="242"/>
      <c r="GF1048479" s="242"/>
      <c r="GG1048479" s="242"/>
      <c r="GH1048479" s="242"/>
      <c r="GI1048479" s="242"/>
      <c r="GJ1048479" s="242"/>
      <c r="GK1048479" s="242"/>
      <c r="GL1048479" s="242"/>
      <c r="GM1048479" s="242"/>
      <c r="GN1048479" s="242"/>
      <c r="GO1048479" s="242"/>
      <c r="GP1048479" s="242"/>
      <c r="GQ1048479" s="242"/>
      <c r="GR1048479" s="242"/>
      <c r="GS1048479" s="242"/>
      <c r="GT1048479" s="242"/>
      <c r="GU1048479" s="242"/>
      <c r="GV1048479" s="242"/>
      <c r="GW1048479" s="242"/>
      <c r="GX1048479" s="242"/>
      <c r="GY1048479" s="242"/>
      <c r="GZ1048479" s="242"/>
      <c r="HA1048479" s="242"/>
      <c r="HB1048479" s="242"/>
      <c r="HC1048479" s="242"/>
      <c r="HD1048479" s="242"/>
      <c r="HE1048479" s="242"/>
      <c r="HF1048479" s="242"/>
      <c r="HG1048479" s="242"/>
      <c r="HH1048479" s="242"/>
      <c r="HI1048479" s="242"/>
      <c r="HJ1048479" s="242"/>
      <c r="HK1048479" s="242"/>
      <c r="HL1048479" s="242"/>
      <c r="HM1048479" s="242"/>
      <c r="HN1048479" s="242"/>
      <c r="HO1048479" s="242"/>
      <c r="HP1048479" s="242"/>
      <c r="HQ1048479" s="242"/>
      <c r="HR1048479" s="242"/>
      <c r="HS1048479" s="242"/>
      <c r="HT1048479" s="242"/>
      <c r="HU1048479" s="242"/>
      <c r="HV1048479" s="242"/>
      <c r="HW1048479" s="242"/>
      <c r="HX1048479" s="242"/>
      <c r="HY1048479" s="242"/>
      <c r="HZ1048479" s="242"/>
      <c r="IA1048479" s="242"/>
      <c r="IB1048479" s="242"/>
      <c r="IC1048479" s="242"/>
      <c r="ID1048479" s="242"/>
      <c r="IE1048479" s="242"/>
      <c r="IF1048479" s="242"/>
      <c r="IG1048479" s="242"/>
      <c r="IH1048479" s="242"/>
      <c r="II1048479" s="242"/>
      <c r="IJ1048479" s="242"/>
      <c r="IK1048479" s="242"/>
      <c r="IL1048479" s="242"/>
      <c r="IM1048479" s="242"/>
      <c r="IN1048479" s="242"/>
      <c r="IO1048479" s="242"/>
      <c r="IP1048479" s="242"/>
      <c r="IQ1048479" s="242"/>
    </row>
    <row r="1048480" spans="1:251" s="243" customFormat="1" ht="12" customHeight="1">
      <c r="A1048480" s="242"/>
      <c r="B1048480" s="242"/>
      <c r="C1048480" s="242"/>
      <c r="D1048480" s="242"/>
      <c r="E1048480" s="242"/>
      <c r="F1048480" s="242"/>
      <c r="G1048480" s="242"/>
      <c r="H1048480" s="242"/>
      <c r="I1048480" s="242"/>
      <c r="J1048480" s="242"/>
      <c r="K1048480" s="242"/>
      <c r="L1048480" s="242"/>
      <c r="M1048480" s="242"/>
      <c r="N1048480" s="242"/>
      <c r="O1048480" s="242"/>
      <c r="P1048480" s="242"/>
      <c r="Q1048480" s="242"/>
      <c r="R1048480" s="242"/>
      <c r="S1048480" s="242"/>
      <c r="T1048480" s="242"/>
      <c r="U1048480" s="242"/>
      <c r="V1048480" s="242"/>
      <c r="W1048480" s="242"/>
      <c r="X1048480" s="242"/>
      <c r="Y1048480" s="242"/>
      <c r="Z1048480" s="242"/>
      <c r="AA1048480" s="242"/>
      <c r="AB1048480" s="242"/>
      <c r="AC1048480" s="242"/>
      <c r="AD1048480" s="242"/>
      <c r="AE1048480" s="242"/>
      <c r="AF1048480" s="242"/>
      <c r="AG1048480" s="242"/>
      <c r="AH1048480" s="242"/>
      <c r="AI1048480" s="242"/>
      <c r="AJ1048480" s="242"/>
      <c r="AK1048480" s="242"/>
      <c r="AL1048480" s="242"/>
      <c r="AM1048480" s="242"/>
      <c r="AN1048480" s="242"/>
      <c r="AO1048480" s="242"/>
      <c r="AP1048480" s="242"/>
      <c r="AQ1048480" s="242"/>
      <c r="AR1048480" s="242"/>
      <c r="AS1048480" s="242"/>
      <c r="AT1048480" s="242"/>
      <c r="AU1048480" s="242"/>
      <c r="AV1048480" s="242"/>
      <c r="AW1048480" s="242"/>
      <c r="AX1048480" s="242"/>
      <c r="AY1048480" s="242"/>
      <c r="AZ1048480" s="242"/>
      <c r="BA1048480" s="242"/>
      <c r="BB1048480" s="242"/>
      <c r="BC1048480" s="242"/>
      <c r="BD1048480" s="242"/>
      <c r="BE1048480" s="242"/>
      <c r="BF1048480" s="242"/>
      <c r="BG1048480" s="242"/>
      <c r="BH1048480" s="242"/>
      <c r="BI1048480" s="242"/>
      <c r="BJ1048480" s="242"/>
      <c r="BK1048480" s="242"/>
      <c r="BL1048480" s="242"/>
      <c r="BM1048480" s="242"/>
      <c r="BN1048480" s="242"/>
      <c r="BO1048480" s="242"/>
      <c r="BP1048480" s="242"/>
      <c r="BQ1048480" s="242"/>
      <c r="BR1048480" s="242"/>
      <c r="BS1048480" s="242"/>
      <c r="BT1048480" s="242"/>
      <c r="BU1048480" s="242"/>
      <c r="BV1048480" s="242"/>
      <c r="BW1048480" s="242"/>
      <c r="BX1048480" s="242"/>
      <c r="BY1048480" s="242"/>
      <c r="BZ1048480" s="242"/>
      <c r="CA1048480" s="242"/>
      <c r="CB1048480" s="242"/>
      <c r="CC1048480" s="242"/>
      <c r="CD1048480" s="242"/>
      <c r="CE1048480" s="242"/>
      <c r="CF1048480" s="242"/>
      <c r="CG1048480" s="242"/>
      <c r="CH1048480" s="242"/>
      <c r="CI1048480" s="242"/>
      <c r="CJ1048480" s="242"/>
      <c r="CK1048480" s="242"/>
      <c r="CL1048480" s="242"/>
      <c r="CM1048480" s="242"/>
      <c r="CN1048480" s="242"/>
      <c r="CO1048480" s="242"/>
      <c r="CP1048480" s="242"/>
      <c r="CQ1048480" s="242"/>
      <c r="CR1048480" s="242"/>
      <c r="CS1048480" s="242"/>
      <c r="CT1048480" s="242"/>
      <c r="CU1048480" s="242"/>
      <c r="CV1048480" s="242"/>
      <c r="CW1048480" s="242"/>
      <c r="CX1048480" s="242"/>
      <c r="CY1048480" s="242"/>
      <c r="CZ1048480" s="242"/>
      <c r="DA1048480" s="242"/>
      <c r="DB1048480" s="242"/>
      <c r="DC1048480" s="242"/>
      <c r="DD1048480" s="242"/>
      <c r="DE1048480" s="242"/>
      <c r="DF1048480" s="242"/>
      <c r="DG1048480" s="242"/>
      <c r="DH1048480" s="242"/>
      <c r="DI1048480" s="242"/>
      <c r="DJ1048480" s="242"/>
      <c r="DK1048480" s="242"/>
      <c r="DL1048480" s="242"/>
      <c r="DM1048480" s="242"/>
      <c r="DN1048480" s="242"/>
      <c r="DO1048480" s="242"/>
      <c r="DP1048480" s="242"/>
      <c r="DQ1048480" s="242"/>
      <c r="DR1048480" s="242"/>
      <c r="DS1048480" s="242"/>
      <c r="DT1048480" s="242"/>
      <c r="DU1048480" s="242"/>
      <c r="DV1048480" s="242"/>
      <c r="DW1048480" s="242"/>
      <c r="DX1048480" s="242"/>
      <c r="DY1048480" s="242"/>
      <c r="DZ1048480" s="242"/>
      <c r="EA1048480" s="242"/>
      <c r="EB1048480" s="242"/>
      <c r="EC1048480" s="242"/>
      <c r="ED1048480" s="242"/>
      <c r="EE1048480" s="242"/>
      <c r="EF1048480" s="242"/>
      <c r="EG1048480" s="242"/>
      <c r="EH1048480" s="242"/>
      <c r="EI1048480" s="242"/>
      <c r="EJ1048480" s="242"/>
      <c r="EK1048480" s="242"/>
      <c r="EL1048480" s="242"/>
      <c r="EM1048480" s="242"/>
      <c r="EN1048480" s="242"/>
      <c r="EO1048480" s="242"/>
      <c r="EP1048480" s="242"/>
      <c r="EQ1048480" s="242"/>
      <c r="ER1048480" s="242"/>
      <c r="ES1048480" s="242"/>
      <c r="ET1048480" s="242"/>
      <c r="EU1048480" s="242"/>
      <c r="EV1048480" s="242"/>
      <c r="EW1048480" s="242"/>
      <c r="EX1048480" s="242"/>
      <c r="EY1048480" s="242"/>
      <c r="EZ1048480" s="242"/>
      <c r="FA1048480" s="242"/>
      <c r="FB1048480" s="242"/>
      <c r="FC1048480" s="242"/>
      <c r="FD1048480" s="242"/>
      <c r="FE1048480" s="242"/>
      <c r="FF1048480" s="242"/>
      <c r="FG1048480" s="242"/>
      <c r="FH1048480" s="242"/>
      <c r="FI1048480" s="242"/>
      <c r="FJ1048480" s="242"/>
      <c r="FK1048480" s="242"/>
      <c r="FL1048480" s="242"/>
      <c r="FM1048480" s="242"/>
      <c r="FN1048480" s="242"/>
      <c r="FO1048480" s="242"/>
      <c r="FP1048480" s="242"/>
      <c r="FQ1048480" s="242"/>
      <c r="FR1048480" s="242"/>
      <c r="FS1048480" s="242"/>
      <c r="FT1048480" s="242"/>
      <c r="FU1048480" s="242"/>
      <c r="FV1048480" s="242"/>
      <c r="FW1048480" s="242"/>
      <c r="FX1048480" s="242"/>
      <c r="FY1048480" s="242"/>
      <c r="FZ1048480" s="242"/>
      <c r="GA1048480" s="242"/>
      <c r="GB1048480" s="242"/>
      <c r="GC1048480" s="242"/>
      <c r="GD1048480" s="242"/>
      <c r="GE1048480" s="242"/>
      <c r="GF1048480" s="242"/>
      <c r="GG1048480" s="242"/>
      <c r="GH1048480" s="242"/>
      <c r="GI1048480" s="242"/>
      <c r="GJ1048480" s="242"/>
      <c r="GK1048480" s="242"/>
      <c r="GL1048480" s="242"/>
      <c r="GM1048480" s="242"/>
      <c r="GN1048480" s="242"/>
      <c r="GO1048480" s="242"/>
      <c r="GP1048480" s="242"/>
      <c r="GQ1048480" s="242"/>
      <c r="GR1048480" s="242"/>
      <c r="GS1048480" s="242"/>
      <c r="GT1048480" s="242"/>
      <c r="GU1048480" s="242"/>
      <c r="GV1048480" s="242"/>
      <c r="GW1048480" s="242"/>
      <c r="GX1048480" s="242"/>
      <c r="GY1048480" s="242"/>
      <c r="GZ1048480" s="242"/>
      <c r="HA1048480" s="242"/>
      <c r="HB1048480" s="242"/>
      <c r="HC1048480" s="242"/>
      <c r="HD1048480" s="242"/>
      <c r="HE1048480" s="242"/>
      <c r="HF1048480" s="242"/>
      <c r="HG1048480" s="242"/>
      <c r="HH1048480" s="242"/>
      <c r="HI1048480" s="242"/>
      <c r="HJ1048480" s="242"/>
      <c r="HK1048480" s="242"/>
      <c r="HL1048480" s="242"/>
      <c r="HM1048480" s="242"/>
      <c r="HN1048480" s="242"/>
      <c r="HO1048480" s="242"/>
      <c r="HP1048480" s="242"/>
      <c r="HQ1048480" s="242"/>
      <c r="HR1048480" s="242"/>
      <c r="HS1048480" s="242"/>
      <c r="HT1048480" s="242"/>
      <c r="HU1048480" s="242"/>
      <c r="HV1048480" s="242"/>
      <c r="HW1048480" s="242"/>
      <c r="HX1048480" s="242"/>
      <c r="HY1048480" s="242"/>
      <c r="HZ1048480" s="242"/>
      <c r="IA1048480" s="242"/>
      <c r="IB1048480" s="242"/>
      <c r="IC1048480" s="242"/>
      <c r="ID1048480" s="242"/>
      <c r="IE1048480" s="242"/>
      <c r="IF1048480" s="242"/>
      <c r="IG1048480" s="242"/>
      <c r="IH1048480" s="242"/>
      <c r="II1048480" s="242"/>
      <c r="IJ1048480" s="242"/>
      <c r="IK1048480" s="242"/>
      <c r="IL1048480" s="242"/>
      <c r="IM1048480" s="242"/>
      <c r="IN1048480" s="242"/>
      <c r="IO1048480" s="242"/>
      <c r="IP1048480" s="242"/>
      <c r="IQ1048480" s="242"/>
    </row>
    <row r="1048481" spans="1:251" s="243" customFormat="1" ht="12" customHeight="1">
      <c r="A1048481" s="242"/>
      <c r="B1048481" s="242"/>
      <c r="C1048481" s="242"/>
      <c r="D1048481" s="242"/>
      <c r="E1048481" s="242"/>
      <c r="F1048481" s="242"/>
      <c r="G1048481" s="242"/>
      <c r="H1048481" s="242"/>
      <c r="I1048481" s="242"/>
      <c r="J1048481" s="242"/>
      <c r="K1048481" s="242"/>
      <c r="L1048481" s="242"/>
      <c r="M1048481" s="242"/>
      <c r="N1048481" s="242"/>
      <c r="O1048481" s="242"/>
      <c r="P1048481" s="242"/>
      <c r="Q1048481" s="242"/>
      <c r="R1048481" s="242"/>
      <c r="S1048481" s="242"/>
      <c r="T1048481" s="242"/>
      <c r="U1048481" s="242"/>
      <c r="V1048481" s="242"/>
      <c r="W1048481" s="242"/>
      <c r="X1048481" s="242"/>
      <c r="Y1048481" s="242"/>
      <c r="Z1048481" s="242"/>
      <c r="AA1048481" s="242"/>
      <c r="AB1048481" s="242"/>
      <c r="AC1048481" s="242"/>
      <c r="AD1048481" s="242"/>
      <c r="AE1048481" s="242"/>
      <c r="AF1048481" s="242"/>
      <c r="AG1048481" s="242"/>
      <c r="AH1048481" s="242"/>
      <c r="AI1048481" s="242"/>
      <c r="AJ1048481" s="242"/>
      <c r="AK1048481" s="242"/>
      <c r="AL1048481" s="242"/>
      <c r="AM1048481" s="242"/>
      <c r="AN1048481" s="242"/>
      <c r="AO1048481" s="242"/>
      <c r="AP1048481" s="242"/>
      <c r="AQ1048481" s="242"/>
      <c r="AR1048481" s="242"/>
      <c r="AS1048481" s="242"/>
      <c r="AT1048481" s="242"/>
      <c r="AU1048481" s="242"/>
      <c r="AV1048481" s="242"/>
      <c r="AW1048481" s="242"/>
      <c r="AX1048481" s="242"/>
      <c r="AY1048481" s="242"/>
      <c r="AZ1048481" s="242"/>
      <c r="BA1048481" s="242"/>
      <c r="BB1048481" s="242"/>
      <c r="BC1048481" s="242"/>
      <c r="BD1048481" s="242"/>
      <c r="BE1048481" s="242"/>
      <c r="BF1048481" s="242"/>
      <c r="BG1048481" s="242"/>
      <c r="BH1048481" s="242"/>
      <c r="BI1048481" s="242"/>
      <c r="BJ1048481" s="242"/>
      <c r="BK1048481" s="242"/>
      <c r="BL1048481" s="242"/>
      <c r="BM1048481" s="242"/>
      <c r="BN1048481" s="242"/>
      <c r="BO1048481" s="242"/>
      <c r="BP1048481" s="242"/>
      <c r="BQ1048481" s="242"/>
      <c r="BR1048481" s="242"/>
      <c r="BS1048481" s="242"/>
      <c r="BT1048481" s="242"/>
      <c r="BU1048481" s="242"/>
      <c r="BV1048481" s="242"/>
      <c r="BW1048481" s="242"/>
      <c r="BX1048481" s="242"/>
      <c r="BY1048481" s="242"/>
      <c r="BZ1048481" s="242"/>
      <c r="CA1048481" s="242"/>
      <c r="CB1048481" s="242"/>
      <c r="CC1048481" s="242"/>
      <c r="CD1048481" s="242"/>
      <c r="CE1048481" s="242"/>
      <c r="CF1048481" s="242"/>
      <c r="CG1048481" s="242"/>
      <c r="CH1048481" s="242"/>
      <c r="CI1048481" s="242"/>
      <c r="CJ1048481" s="242"/>
      <c r="CK1048481" s="242"/>
      <c r="CL1048481" s="242"/>
      <c r="CM1048481" s="242"/>
      <c r="CN1048481" s="242"/>
      <c r="CO1048481" s="242"/>
      <c r="CP1048481" s="242"/>
      <c r="CQ1048481" s="242"/>
      <c r="CR1048481" s="242"/>
      <c r="CS1048481" s="242"/>
      <c r="CT1048481" s="242"/>
      <c r="CU1048481" s="242"/>
      <c r="CV1048481" s="242"/>
      <c r="CW1048481" s="242"/>
      <c r="CX1048481" s="242"/>
      <c r="CY1048481" s="242"/>
      <c r="CZ1048481" s="242"/>
      <c r="DA1048481" s="242"/>
      <c r="DB1048481" s="242"/>
      <c r="DC1048481" s="242"/>
      <c r="DD1048481" s="242"/>
      <c r="DE1048481" s="242"/>
      <c r="DF1048481" s="242"/>
      <c r="DG1048481" s="242"/>
      <c r="DH1048481" s="242"/>
      <c r="DI1048481" s="242"/>
      <c r="DJ1048481" s="242"/>
      <c r="DK1048481" s="242"/>
      <c r="DL1048481" s="242"/>
      <c r="DM1048481" s="242"/>
      <c r="DN1048481" s="242"/>
      <c r="DO1048481" s="242"/>
      <c r="DP1048481" s="242"/>
      <c r="DQ1048481" s="242"/>
      <c r="DR1048481" s="242"/>
      <c r="DS1048481" s="242"/>
      <c r="DT1048481" s="242"/>
      <c r="DU1048481" s="242"/>
      <c r="DV1048481" s="242"/>
      <c r="DW1048481" s="242"/>
      <c r="DX1048481" s="242"/>
      <c r="DY1048481" s="242"/>
      <c r="DZ1048481" s="242"/>
      <c r="EA1048481" s="242"/>
      <c r="EB1048481" s="242"/>
      <c r="EC1048481" s="242"/>
      <c r="ED1048481" s="242"/>
      <c r="EE1048481" s="242"/>
      <c r="EF1048481" s="242"/>
      <c r="EG1048481" s="242"/>
      <c r="EH1048481" s="242"/>
      <c r="EI1048481" s="242"/>
      <c r="EJ1048481" s="242"/>
      <c r="EK1048481" s="242"/>
      <c r="EL1048481" s="242"/>
      <c r="EM1048481" s="242"/>
      <c r="EN1048481" s="242"/>
      <c r="EO1048481" s="242"/>
      <c r="EP1048481" s="242"/>
      <c r="EQ1048481" s="242"/>
      <c r="ER1048481" s="242"/>
      <c r="ES1048481" s="242"/>
      <c r="ET1048481" s="242"/>
      <c r="EU1048481" s="242"/>
      <c r="EV1048481" s="242"/>
      <c r="EW1048481" s="242"/>
      <c r="EX1048481" s="242"/>
      <c r="EY1048481" s="242"/>
      <c r="EZ1048481" s="242"/>
      <c r="FA1048481" s="242"/>
      <c r="FB1048481" s="242"/>
      <c r="FC1048481" s="242"/>
      <c r="FD1048481" s="242"/>
      <c r="FE1048481" s="242"/>
      <c r="FF1048481" s="242"/>
      <c r="FG1048481" s="242"/>
      <c r="FH1048481" s="242"/>
      <c r="FI1048481" s="242"/>
      <c r="FJ1048481" s="242"/>
      <c r="FK1048481" s="242"/>
      <c r="FL1048481" s="242"/>
      <c r="FM1048481" s="242"/>
      <c r="FN1048481" s="242"/>
      <c r="FO1048481" s="242"/>
      <c r="FP1048481" s="242"/>
      <c r="FQ1048481" s="242"/>
      <c r="FR1048481" s="242"/>
      <c r="FS1048481" s="242"/>
      <c r="FT1048481" s="242"/>
      <c r="FU1048481" s="242"/>
      <c r="FV1048481" s="242"/>
      <c r="FW1048481" s="242"/>
      <c r="FX1048481" s="242"/>
      <c r="FY1048481" s="242"/>
      <c r="FZ1048481" s="242"/>
      <c r="GA1048481" s="242"/>
      <c r="GB1048481" s="242"/>
      <c r="GC1048481" s="242"/>
      <c r="GD1048481" s="242"/>
      <c r="GE1048481" s="242"/>
      <c r="GF1048481" s="242"/>
      <c r="GG1048481" s="242"/>
      <c r="GH1048481" s="242"/>
      <c r="GI1048481" s="242"/>
      <c r="GJ1048481" s="242"/>
      <c r="GK1048481" s="242"/>
      <c r="GL1048481" s="242"/>
      <c r="GM1048481" s="242"/>
      <c r="GN1048481" s="242"/>
      <c r="GO1048481" s="242"/>
      <c r="GP1048481" s="242"/>
      <c r="GQ1048481" s="242"/>
      <c r="GR1048481" s="242"/>
      <c r="GS1048481" s="242"/>
      <c r="GT1048481" s="242"/>
      <c r="GU1048481" s="242"/>
      <c r="GV1048481" s="242"/>
      <c r="GW1048481" s="242"/>
      <c r="GX1048481" s="242"/>
      <c r="GY1048481" s="242"/>
      <c r="GZ1048481" s="242"/>
      <c r="HA1048481" s="242"/>
      <c r="HB1048481" s="242"/>
      <c r="HC1048481" s="242"/>
      <c r="HD1048481" s="242"/>
      <c r="HE1048481" s="242"/>
      <c r="HF1048481" s="242"/>
      <c r="HG1048481" s="242"/>
      <c r="HH1048481" s="242"/>
      <c r="HI1048481" s="242"/>
      <c r="HJ1048481" s="242"/>
      <c r="HK1048481" s="242"/>
      <c r="HL1048481" s="242"/>
      <c r="HM1048481" s="242"/>
      <c r="HN1048481" s="242"/>
      <c r="HO1048481" s="242"/>
      <c r="HP1048481" s="242"/>
      <c r="HQ1048481" s="242"/>
      <c r="HR1048481" s="242"/>
      <c r="HS1048481" s="242"/>
      <c r="HT1048481" s="242"/>
      <c r="HU1048481" s="242"/>
      <c r="HV1048481" s="242"/>
      <c r="HW1048481" s="242"/>
      <c r="HX1048481" s="242"/>
      <c r="HY1048481" s="242"/>
      <c r="HZ1048481" s="242"/>
      <c r="IA1048481" s="242"/>
      <c r="IB1048481" s="242"/>
      <c r="IC1048481" s="242"/>
      <c r="ID1048481" s="242"/>
      <c r="IE1048481" s="242"/>
      <c r="IF1048481" s="242"/>
      <c r="IG1048481" s="242"/>
      <c r="IH1048481" s="242"/>
      <c r="II1048481" s="242"/>
      <c r="IJ1048481" s="242"/>
      <c r="IK1048481" s="242"/>
      <c r="IL1048481" s="242"/>
      <c r="IM1048481" s="242"/>
      <c r="IN1048481" s="242"/>
      <c r="IO1048481" s="242"/>
      <c r="IP1048481" s="242"/>
      <c r="IQ1048481" s="242"/>
    </row>
    <row r="1048482" spans="1:251" s="243" customFormat="1" ht="12" customHeight="1">
      <c r="A1048482" s="242"/>
      <c r="B1048482" s="242"/>
      <c r="C1048482" s="242"/>
      <c r="D1048482" s="242"/>
      <c r="E1048482" s="242"/>
      <c r="F1048482" s="242"/>
      <c r="G1048482" s="242"/>
      <c r="H1048482" s="242"/>
      <c r="I1048482" s="242"/>
      <c r="J1048482" s="242"/>
      <c r="K1048482" s="242"/>
      <c r="L1048482" s="242"/>
      <c r="M1048482" s="242"/>
      <c r="N1048482" s="242"/>
      <c r="O1048482" s="242"/>
      <c r="P1048482" s="242"/>
      <c r="Q1048482" s="242"/>
      <c r="R1048482" s="242"/>
      <c r="S1048482" s="242"/>
      <c r="T1048482" s="242"/>
      <c r="U1048482" s="242"/>
      <c r="V1048482" s="242"/>
      <c r="W1048482" s="242"/>
      <c r="X1048482" s="242"/>
      <c r="Y1048482" s="242"/>
      <c r="Z1048482" s="242"/>
      <c r="AA1048482" s="242"/>
      <c r="AB1048482" s="242"/>
      <c r="AC1048482" s="242"/>
      <c r="AD1048482" s="242"/>
      <c r="AE1048482" s="242"/>
      <c r="AF1048482" s="242"/>
      <c r="AG1048482" s="242"/>
      <c r="AH1048482" s="242"/>
      <c r="AI1048482" s="242"/>
      <c r="AJ1048482" s="242"/>
      <c r="AK1048482" s="242"/>
      <c r="AL1048482" s="242"/>
      <c r="AM1048482" s="242"/>
      <c r="AN1048482" s="242"/>
      <c r="AO1048482" s="242"/>
      <c r="AP1048482" s="242"/>
      <c r="AQ1048482" s="242"/>
      <c r="AR1048482" s="242"/>
      <c r="AS1048482" s="242"/>
      <c r="AT1048482" s="242"/>
      <c r="AU1048482" s="242"/>
      <c r="AV1048482" s="242"/>
      <c r="AW1048482" s="242"/>
      <c r="AX1048482" s="242"/>
      <c r="AY1048482" s="242"/>
      <c r="AZ1048482" s="242"/>
      <c r="BA1048482" s="242"/>
      <c r="BB1048482" s="242"/>
      <c r="BC1048482" s="242"/>
      <c r="BD1048482" s="242"/>
      <c r="BE1048482" s="242"/>
      <c r="BF1048482" s="242"/>
      <c r="BG1048482" s="242"/>
      <c r="BH1048482" s="242"/>
      <c r="BI1048482" s="242"/>
      <c r="BJ1048482" s="242"/>
      <c r="BK1048482" s="242"/>
      <c r="BL1048482" s="242"/>
      <c r="BM1048482" s="242"/>
      <c r="BN1048482" s="242"/>
      <c r="BO1048482" s="242"/>
      <c r="BP1048482" s="242"/>
      <c r="BQ1048482" s="242"/>
      <c r="BR1048482" s="242"/>
      <c r="BS1048482" s="242"/>
      <c r="BT1048482" s="242"/>
      <c r="BU1048482" s="242"/>
      <c r="BV1048482" s="242"/>
      <c r="BW1048482" s="242"/>
      <c r="BX1048482" s="242"/>
      <c r="BY1048482" s="242"/>
      <c r="BZ1048482" s="242"/>
      <c r="CA1048482" s="242"/>
      <c r="CB1048482" s="242"/>
      <c r="CC1048482" s="242"/>
      <c r="CD1048482" s="242"/>
      <c r="CE1048482" s="242"/>
      <c r="CF1048482" s="242"/>
      <c r="CG1048482" s="242"/>
      <c r="CH1048482" s="242"/>
      <c r="CI1048482" s="242"/>
      <c r="CJ1048482" s="242"/>
      <c r="CK1048482" s="242"/>
      <c r="CL1048482" s="242"/>
      <c r="CM1048482" s="242"/>
      <c r="CN1048482" s="242"/>
      <c r="CO1048482" s="242"/>
      <c r="CP1048482" s="242"/>
      <c r="CQ1048482" s="242"/>
      <c r="CR1048482" s="242"/>
      <c r="CS1048482" s="242"/>
      <c r="CT1048482" s="242"/>
      <c r="CU1048482" s="242"/>
      <c r="CV1048482" s="242"/>
      <c r="CW1048482" s="242"/>
      <c r="CX1048482" s="242"/>
      <c r="CY1048482" s="242"/>
      <c r="CZ1048482" s="242"/>
      <c r="DA1048482" s="242"/>
      <c r="DB1048482" s="242"/>
      <c r="DC1048482" s="242"/>
      <c r="DD1048482" s="242"/>
      <c r="DE1048482" s="242"/>
      <c r="DF1048482" s="242"/>
      <c r="DG1048482" s="242"/>
      <c r="DH1048482" s="242"/>
      <c r="DI1048482" s="242"/>
      <c r="DJ1048482" s="242"/>
      <c r="DK1048482" s="242"/>
      <c r="DL1048482" s="242"/>
      <c r="DM1048482" s="242"/>
      <c r="DN1048482" s="242"/>
      <c r="DO1048482" s="242"/>
      <c r="DP1048482" s="242"/>
      <c r="DQ1048482" s="242"/>
      <c r="DR1048482" s="242"/>
      <c r="DS1048482" s="242"/>
      <c r="DT1048482" s="242"/>
      <c r="DU1048482" s="242"/>
      <c r="DV1048482" s="242"/>
      <c r="DW1048482" s="242"/>
      <c r="DX1048482" s="242"/>
      <c r="DY1048482" s="242"/>
      <c r="DZ1048482" s="242"/>
      <c r="EA1048482" s="242"/>
      <c r="EB1048482" s="242"/>
      <c r="EC1048482" s="242"/>
      <c r="ED1048482" s="242"/>
      <c r="EE1048482" s="242"/>
      <c r="EF1048482" s="242"/>
      <c r="EG1048482" s="242"/>
      <c r="EH1048482" s="242"/>
      <c r="EI1048482" s="242"/>
      <c r="EJ1048482" s="242"/>
      <c r="EK1048482" s="242"/>
      <c r="EL1048482" s="242"/>
      <c r="EM1048482" s="242"/>
      <c r="EN1048482" s="242"/>
      <c r="EO1048482" s="242"/>
      <c r="EP1048482" s="242"/>
      <c r="EQ1048482" s="242"/>
      <c r="ER1048482" s="242"/>
      <c r="ES1048482" s="242"/>
      <c r="ET1048482" s="242"/>
      <c r="EU1048482" s="242"/>
      <c r="EV1048482" s="242"/>
      <c r="EW1048482" s="242"/>
      <c r="EX1048482" s="242"/>
      <c r="EY1048482" s="242"/>
      <c r="EZ1048482" s="242"/>
      <c r="FA1048482" s="242"/>
      <c r="FB1048482" s="242"/>
      <c r="FC1048482" s="242"/>
      <c r="FD1048482" s="242"/>
      <c r="FE1048482" s="242"/>
      <c r="FF1048482" s="242"/>
      <c r="FG1048482" s="242"/>
      <c r="FH1048482" s="242"/>
      <c r="FI1048482" s="242"/>
      <c r="FJ1048482" s="242"/>
      <c r="FK1048482" s="242"/>
      <c r="FL1048482" s="242"/>
      <c r="FM1048482" s="242"/>
      <c r="FN1048482" s="242"/>
      <c r="FO1048482" s="242"/>
      <c r="FP1048482" s="242"/>
      <c r="FQ1048482" s="242"/>
      <c r="FR1048482" s="242"/>
      <c r="FS1048482" s="242"/>
      <c r="FT1048482" s="242"/>
      <c r="FU1048482" s="242"/>
      <c r="FV1048482" s="242"/>
      <c r="FW1048482" s="242"/>
      <c r="FX1048482" s="242"/>
      <c r="FY1048482" s="242"/>
      <c r="FZ1048482" s="242"/>
      <c r="GA1048482" s="242"/>
      <c r="GB1048482" s="242"/>
      <c r="GC1048482" s="242"/>
      <c r="GD1048482" s="242"/>
      <c r="GE1048482" s="242"/>
      <c r="GF1048482" s="242"/>
      <c r="GG1048482" s="242"/>
      <c r="GH1048482" s="242"/>
      <c r="GI1048482" s="242"/>
      <c r="GJ1048482" s="242"/>
      <c r="GK1048482" s="242"/>
      <c r="GL1048482" s="242"/>
      <c r="GM1048482" s="242"/>
      <c r="GN1048482" s="242"/>
      <c r="GO1048482" s="242"/>
      <c r="GP1048482" s="242"/>
      <c r="GQ1048482" s="242"/>
      <c r="GR1048482" s="242"/>
      <c r="GS1048482" s="242"/>
      <c r="GT1048482" s="242"/>
      <c r="GU1048482" s="242"/>
      <c r="GV1048482" s="242"/>
      <c r="GW1048482" s="242"/>
      <c r="GX1048482" s="242"/>
      <c r="GY1048482" s="242"/>
      <c r="GZ1048482" s="242"/>
      <c r="HA1048482" s="242"/>
      <c r="HB1048482" s="242"/>
      <c r="HC1048482" s="242"/>
      <c r="HD1048482" s="242"/>
      <c r="HE1048482" s="242"/>
      <c r="HF1048482" s="242"/>
      <c r="HG1048482" s="242"/>
      <c r="HH1048482" s="242"/>
      <c r="HI1048482" s="242"/>
      <c r="HJ1048482" s="242"/>
      <c r="HK1048482" s="242"/>
      <c r="HL1048482" s="242"/>
      <c r="HM1048482" s="242"/>
      <c r="HN1048482" s="242"/>
      <c r="HO1048482" s="242"/>
      <c r="HP1048482" s="242"/>
      <c r="HQ1048482" s="242"/>
      <c r="HR1048482" s="242"/>
      <c r="HS1048482" s="242"/>
      <c r="HT1048482" s="242"/>
      <c r="HU1048482" s="242"/>
      <c r="HV1048482" s="242"/>
      <c r="HW1048482" s="242"/>
      <c r="HX1048482" s="242"/>
      <c r="HY1048482" s="242"/>
      <c r="HZ1048482" s="242"/>
      <c r="IA1048482" s="242"/>
      <c r="IB1048482" s="242"/>
      <c r="IC1048482" s="242"/>
      <c r="ID1048482" s="242"/>
      <c r="IE1048482" s="242"/>
      <c r="IF1048482" s="242"/>
      <c r="IG1048482" s="242"/>
      <c r="IH1048482" s="242"/>
      <c r="II1048482" s="242"/>
      <c r="IJ1048482" s="242"/>
      <c r="IK1048482" s="242"/>
      <c r="IL1048482" s="242"/>
      <c r="IM1048482" s="242"/>
      <c r="IN1048482" s="242"/>
      <c r="IO1048482" s="242"/>
      <c r="IP1048482" s="242"/>
      <c r="IQ1048482" s="242"/>
    </row>
    <row r="1048483" spans="1:251" s="243" customFormat="1" ht="12" customHeight="1">
      <c r="A1048483" s="242"/>
      <c r="B1048483" s="242"/>
      <c r="C1048483" s="242"/>
      <c r="D1048483" s="242"/>
      <c r="E1048483" s="242"/>
      <c r="F1048483" s="242"/>
      <c r="G1048483" s="242"/>
      <c r="H1048483" s="242"/>
      <c r="I1048483" s="242"/>
      <c r="J1048483" s="242"/>
      <c r="K1048483" s="242"/>
      <c r="L1048483" s="242"/>
      <c r="M1048483" s="242"/>
      <c r="N1048483" s="242"/>
      <c r="O1048483" s="242"/>
      <c r="P1048483" s="242"/>
      <c r="Q1048483" s="242"/>
      <c r="R1048483" s="242"/>
      <c r="S1048483" s="242"/>
      <c r="T1048483" s="242"/>
      <c r="U1048483" s="242"/>
      <c r="V1048483" s="242"/>
      <c r="W1048483" s="242"/>
      <c r="X1048483" s="242"/>
      <c r="Y1048483" s="242"/>
      <c r="Z1048483" s="242"/>
      <c r="AA1048483" s="242"/>
      <c r="AB1048483" s="242"/>
      <c r="AC1048483" s="242"/>
      <c r="AD1048483" s="242"/>
      <c r="AE1048483" s="242"/>
      <c r="AF1048483" s="242"/>
      <c r="AG1048483" s="242"/>
      <c r="AH1048483" s="242"/>
      <c r="AI1048483" s="242"/>
      <c r="AJ1048483" s="242"/>
      <c r="AK1048483" s="242"/>
      <c r="AL1048483" s="242"/>
      <c r="AM1048483" s="242"/>
      <c r="AN1048483" s="242"/>
      <c r="AO1048483" s="242"/>
      <c r="AP1048483" s="242"/>
      <c r="AQ1048483" s="242"/>
      <c r="AR1048483" s="242"/>
      <c r="AS1048483" s="242"/>
      <c r="AT1048483" s="242"/>
      <c r="AU1048483" s="242"/>
      <c r="AV1048483" s="242"/>
      <c r="AW1048483" s="242"/>
      <c r="AX1048483" s="242"/>
      <c r="AY1048483" s="242"/>
      <c r="AZ1048483" s="242"/>
      <c r="BA1048483" s="242"/>
      <c r="BB1048483" s="242"/>
      <c r="BC1048483" s="242"/>
      <c r="BD1048483" s="242"/>
      <c r="BE1048483" s="242"/>
      <c r="BF1048483" s="242"/>
      <c r="BG1048483" s="242"/>
      <c r="BH1048483" s="242"/>
      <c r="BI1048483" s="242"/>
      <c r="BJ1048483" s="242"/>
      <c r="BK1048483" s="242"/>
      <c r="BL1048483" s="242"/>
      <c r="BM1048483" s="242"/>
      <c r="BN1048483" s="242"/>
      <c r="BO1048483" s="242"/>
      <c r="BP1048483" s="242"/>
      <c r="BQ1048483" s="242"/>
      <c r="BR1048483" s="242"/>
      <c r="BS1048483" s="242"/>
      <c r="BT1048483" s="242"/>
      <c r="BU1048483" s="242"/>
      <c r="BV1048483" s="242"/>
      <c r="BW1048483" s="242"/>
      <c r="BX1048483" s="242"/>
      <c r="BY1048483" s="242"/>
      <c r="BZ1048483" s="242"/>
      <c r="CA1048483" s="242"/>
      <c r="CB1048483" s="242"/>
      <c r="CC1048483" s="242"/>
      <c r="CD1048483" s="242"/>
      <c r="CE1048483" s="242"/>
      <c r="CF1048483" s="242"/>
      <c r="CG1048483" s="242"/>
      <c r="CH1048483" s="242"/>
      <c r="CI1048483" s="242"/>
      <c r="CJ1048483" s="242"/>
      <c r="CK1048483" s="242"/>
      <c r="CL1048483" s="242"/>
      <c r="CM1048483" s="242"/>
      <c r="CN1048483" s="242"/>
      <c r="CO1048483" s="242"/>
      <c r="CP1048483" s="242"/>
      <c r="CQ1048483" s="242"/>
      <c r="CR1048483" s="242"/>
      <c r="CS1048483" s="242"/>
      <c r="CT1048483" s="242"/>
      <c r="CU1048483" s="242"/>
      <c r="CV1048483" s="242"/>
      <c r="CW1048483" s="242"/>
      <c r="CX1048483" s="242"/>
      <c r="CY1048483" s="242"/>
      <c r="CZ1048483" s="242"/>
      <c r="DA1048483" s="242"/>
      <c r="DB1048483" s="242"/>
      <c r="DC1048483" s="242"/>
      <c r="DD1048483" s="242"/>
      <c r="DE1048483" s="242"/>
      <c r="DF1048483" s="242"/>
      <c r="DG1048483" s="242"/>
      <c r="DH1048483" s="242"/>
      <c r="DI1048483" s="242"/>
      <c r="DJ1048483" s="242"/>
      <c r="DK1048483" s="242"/>
      <c r="DL1048483" s="242"/>
      <c r="DM1048483" s="242"/>
      <c r="DN1048483" s="242"/>
      <c r="DO1048483" s="242"/>
      <c r="DP1048483" s="242"/>
      <c r="DQ1048483" s="242"/>
      <c r="DR1048483" s="242"/>
      <c r="DS1048483" s="242"/>
      <c r="DT1048483" s="242"/>
      <c r="DU1048483" s="242"/>
      <c r="DV1048483" s="242"/>
      <c r="DW1048483" s="242"/>
      <c r="DX1048483" s="242"/>
      <c r="DY1048483" s="242"/>
      <c r="DZ1048483" s="242"/>
      <c r="EA1048483" s="242"/>
      <c r="EB1048483" s="242"/>
      <c r="EC1048483" s="242"/>
      <c r="ED1048483" s="242"/>
      <c r="EE1048483" s="242"/>
      <c r="EF1048483" s="242"/>
      <c r="EG1048483" s="242"/>
      <c r="EH1048483" s="242"/>
      <c r="EI1048483" s="242"/>
      <c r="EJ1048483" s="242"/>
      <c r="EK1048483" s="242"/>
      <c r="EL1048483" s="242"/>
      <c r="EM1048483" s="242"/>
      <c r="EN1048483" s="242"/>
      <c r="EO1048483" s="242"/>
      <c r="EP1048483" s="242"/>
      <c r="EQ1048483" s="242"/>
      <c r="ER1048483" s="242"/>
      <c r="ES1048483" s="242"/>
      <c r="ET1048483" s="242"/>
      <c r="EU1048483" s="242"/>
      <c r="EV1048483" s="242"/>
      <c r="EW1048483" s="242"/>
      <c r="EX1048483" s="242"/>
      <c r="EY1048483" s="242"/>
      <c r="EZ1048483" s="242"/>
      <c r="FA1048483" s="242"/>
      <c r="FB1048483" s="242"/>
      <c r="FC1048483" s="242"/>
      <c r="FD1048483" s="242"/>
      <c r="FE1048483" s="242"/>
      <c r="FF1048483" s="242"/>
      <c r="FG1048483" s="242"/>
      <c r="FH1048483" s="242"/>
      <c r="FI1048483" s="242"/>
      <c r="FJ1048483" s="242"/>
      <c r="FK1048483" s="242"/>
      <c r="FL1048483" s="242"/>
      <c r="FM1048483" s="242"/>
      <c r="FN1048483" s="242"/>
      <c r="FO1048483" s="242"/>
      <c r="FP1048483" s="242"/>
      <c r="FQ1048483" s="242"/>
      <c r="FR1048483" s="242"/>
      <c r="FS1048483" s="242"/>
      <c r="FT1048483" s="242"/>
      <c r="FU1048483" s="242"/>
      <c r="FV1048483" s="242"/>
      <c r="FW1048483" s="242"/>
      <c r="FX1048483" s="242"/>
      <c r="FY1048483" s="242"/>
      <c r="FZ1048483" s="242"/>
      <c r="GA1048483" s="242"/>
      <c r="GB1048483" s="242"/>
      <c r="GC1048483" s="242"/>
      <c r="GD1048483" s="242"/>
      <c r="GE1048483" s="242"/>
      <c r="GF1048483" s="242"/>
      <c r="GG1048483" s="242"/>
      <c r="GH1048483" s="242"/>
      <c r="GI1048483" s="242"/>
      <c r="GJ1048483" s="242"/>
      <c r="GK1048483" s="242"/>
      <c r="GL1048483" s="242"/>
      <c r="GM1048483" s="242"/>
      <c r="GN1048483" s="242"/>
      <c r="GO1048483" s="242"/>
      <c r="GP1048483" s="242"/>
      <c r="GQ1048483" s="242"/>
      <c r="GR1048483" s="242"/>
      <c r="GS1048483" s="242"/>
      <c r="GT1048483" s="242"/>
      <c r="GU1048483" s="242"/>
      <c r="GV1048483" s="242"/>
      <c r="GW1048483" s="242"/>
      <c r="GX1048483" s="242"/>
      <c r="GY1048483" s="242"/>
      <c r="GZ1048483" s="242"/>
      <c r="HA1048483" s="242"/>
      <c r="HB1048483" s="242"/>
      <c r="HC1048483" s="242"/>
      <c r="HD1048483" s="242"/>
      <c r="HE1048483" s="242"/>
      <c r="HF1048483" s="242"/>
      <c r="HG1048483" s="242"/>
      <c r="HH1048483" s="242"/>
      <c r="HI1048483" s="242"/>
      <c r="HJ1048483" s="242"/>
      <c r="HK1048483" s="242"/>
      <c r="HL1048483" s="242"/>
      <c r="HM1048483" s="242"/>
      <c r="HN1048483" s="242"/>
      <c r="HO1048483" s="242"/>
      <c r="HP1048483" s="242"/>
      <c r="HQ1048483" s="242"/>
      <c r="HR1048483" s="242"/>
      <c r="HS1048483" s="242"/>
      <c r="HT1048483" s="242"/>
      <c r="HU1048483" s="242"/>
      <c r="HV1048483" s="242"/>
      <c r="HW1048483" s="242"/>
      <c r="HX1048483" s="242"/>
      <c r="HY1048483" s="242"/>
      <c r="HZ1048483" s="242"/>
      <c r="IA1048483" s="242"/>
      <c r="IB1048483" s="242"/>
      <c r="IC1048483" s="242"/>
      <c r="ID1048483" s="242"/>
      <c r="IE1048483" s="242"/>
      <c r="IF1048483" s="242"/>
      <c r="IG1048483" s="242"/>
      <c r="IH1048483" s="242"/>
      <c r="II1048483" s="242"/>
      <c r="IJ1048483" s="242"/>
      <c r="IK1048483" s="242"/>
      <c r="IL1048483" s="242"/>
      <c r="IM1048483" s="242"/>
      <c r="IN1048483" s="242"/>
      <c r="IO1048483" s="242"/>
      <c r="IP1048483" s="242"/>
      <c r="IQ1048483" s="242"/>
    </row>
    <row r="1048484" spans="1:251" s="243" customFormat="1" ht="12" customHeight="1">
      <c r="A1048484" s="242"/>
      <c r="B1048484" s="242"/>
      <c r="C1048484" s="242"/>
      <c r="D1048484" s="242"/>
      <c r="E1048484" s="242"/>
      <c r="F1048484" s="242"/>
      <c r="G1048484" s="242"/>
      <c r="H1048484" s="242"/>
      <c r="I1048484" s="242"/>
      <c r="J1048484" s="242"/>
      <c r="K1048484" s="242"/>
      <c r="L1048484" s="242"/>
      <c r="M1048484" s="242"/>
      <c r="N1048484" s="242"/>
      <c r="O1048484" s="242"/>
      <c r="P1048484" s="242"/>
      <c r="Q1048484" s="242"/>
      <c r="R1048484" s="242"/>
      <c r="S1048484" s="242"/>
      <c r="T1048484" s="242"/>
      <c r="U1048484" s="242"/>
      <c r="V1048484" s="242"/>
      <c r="W1048484" s="242"/>
      <c r="X1048484" s="242"/>
      <c r="Y1048484" s="242"/>
      <c r="Z1048484" s="242"/>
      <c r="AA1048484" s="242"/>
      <c r="AB1048484" s="242"/>
      <c r="AC1048484" s="242"/>
      <c r="AD1048484" s="242"/>
      <c r="AE1048484" s="242"/>
      <c r="AF1048484" s="242"/>
      <c r="AG1048484" s="242"/>
      <c r="AH1048484" s="242"/>
      <c r="AI1048484" s="242"/>
      <c r="AJ1048484" s="242"/>
      <c r="AK1048484" s="242"/>
      <c r="AL1048484" s="242"/>
      <c r="AM1048484" s="242"/>
      <c r="AN1048484" s="242"/>
      <c r="AO1048484" s="242"/>
      <c r="AP1048484" s="242"/>
      <c r="AQ1048484" s="242"/>
      <c r="AR1048484" s="242"/>
      <c r="AS1048484" s="242"/>
      <c r="AT1048484" s="242"/>
      <c r="AU1048484" s="242"/>
      <c r="AV1048484" s="242"/>
      <c r="AW1048484" s="242"/>
      <c r="AX1048484" s="242"/>
      <c r="AY1048484" s="242"/>
      <c r="AZ1048484" s="242"/>
      <c r="BA1048484" s="242"/>
      <c r="BB1048484" s="242"/>
      <c r="BC1048484" s="242"/>
      <c r="BD1048484" s="242"/>
      <c r="BE1048484" s="242"/>
      <c r="BF1048484" s="242"/>
      <c r="BG1048484" s="242"/>
      <c r="BH1048484" s="242"/>
      <c r="BI1048484" s="242"/>
      <c r="BJ1048484" s="242"/>
      <c r="BK1048484" s="242"/>
      <c r="BL1048484" s="242"/>
      <c r="BM1048484" s="242"/>
      <c r="BN1048484" s="242"/>
      <c r="BO1048484" s="242"/>
      <c r="BP1048484" s="242"/>
      <c r="BQ1048484" s="242"/>
      <c r="BR1048484" s="242"/>
      <c r="BS1048484" s="242"/>
      <c r="BT1048484" s="242"/>
      <c r="BU1048484" s="242"/>
      <c r="BV1048484" s="242"/>
      <c r="BW1048484" s="242"/>
      <c r="BX1048484" s="242"/>
      <c r="BY1048484" s="242"/>
      <c r="BZ1048484" s="242"/>
      <c r="CA1048484" s="242"/>
      <c r="CB1048484" s="242"/>
      <c r="CC1048484" s="242"/>
      <c r="CD1048484" s="242"/>
      <c r="CE1048484" s="242"/>
      <c r="CF1048484" s="242"/>
      <c r="CG1048484" s="242"/>
      <c r="CH1048484" s="242"/>
      <c r="CI1048484" s="242"/>
      <c r="CJ1048484" s="242"/>
      <c r="CK1048484" s="242"/>
      <c r="CL1048484" s="242"/>
      <c r="CM1048484" s="242"/>
      <c r="CN1048484" s="242"/>
      <c r="CO1048484" s="242"/>
      <c r="CP1048484" s="242"/>
      <c r="CQ1048484" s="242"/>
      <c r="CR1048484" s="242"/>
      <c r="CS1048484" s="242"/>
      <c r="CT1048484" s="242"/>
      <c r="CU1048484" s="242"/>
      <c r="CV1048484" s="242"/>
      <c r="CW1048484" s="242"/>
      <c r="CX1048484" s="242"/>
      <c r="CY1048484" s="242"/>
      <c r="CZ1048484" s="242"/>
      <c r="DA1048484" s="242"/>
      <c r="DB1048484" s="242"/>
      <c r="DC1048484" s="242"/>
      <c r="DD1048484" s="242"/>
      <c r="DE1048484" s="242"/>
      <c r="DF1048484" s="242"/>
      <c r="DG1048484" s="242"/>
      <c r="DH1048484" s="242"/>
      <c r="DI1048484" s="242"/>
      <c r="DJ1048484" s="242"/>
      <c r="DK1048484" s="242"/>
      <c r="DL1048484" s="242"/>
      <c r="DM1048484" s="242"/>
      <c r="DN1048484" s="242"/>
      <c r="DO1048484" s="242"/>
      <c r="DP1048484" s="242"/>
      <c r="DQ1048484" s="242"/>
      <c r="DR1048484" s="242"/>
      <c r="DS1048484" s="242"/>
      <c r="DT1048484" s="242"/>
      <c r="DU1048484" s="242"/>
      <c r="DV1048484" s="242"/>
      <c r="DW1048484" s="242"/>
      <c r="DX1048484" s="242"/>
      <c r="DY1048484" s="242"/>
      <c r="DZ1048484" s="242"/>
      <c r="EA1048484" s="242"/>
      <c r="EB1048484" s="242"/>
      <c r="EC1048484" s="242"/>
      <c r="ED1048484" s="242"/>
      <c r="EE1048484" s="242"/>
      <c r="EF1048484" s="242"/>
      <c r="EG1048484" s="242"/>
      <c r="EH1048484" s="242"/>
      <c r="EI1048484" s="242"/>
      <c r="EJ1048484" s="242"/>
      <c r="EK1048484" s="242"/>
      <c r="EL1048484" s="242"/>
      <c r="EM1048484" s="242"/>
      <c r="EN1048484" s="242"/>
      <c r="EO1048484" s="242"/>
      <c r="EP1048484" s="242"/>
      <c r="EQ1048484" s="242"/>
      <c r="ER1048484" s="242"/>
      <c r="ES1048484" s="242"/>
      <c r="ET1048484" s="242"/>
      <c r="EU1048484" s="242"/>
      <c r="EV1048484" s="242"/>
      <c r="EW1048484" s="242"/>
      <c r="EX1048484" s="242"/>
      <c r="EY1048484" s="242"/>
      <c r="EZ1048484" s="242"/>
      <c r="FA1048484" s="242"/>
      <c r="FB1048484" s="242"/>
      <c r="FC1048484" s="242"/>
      <c r="FD1048484" s="242"/>
      <c r="FE1048484" s="242"/>
      <c r="FF1048484" s="242"/>
      <c r="FG1048484" s="242"/>
      <c r="FH1048484" s="242"/>
      <c r="FI1048484" s="242"/>
      <c r="FJ1048484" s="242"/>
      <c r="FK1048484" s="242"/>
      <c r="FL1048484" s="242"/>
      <c r="FM1048484" s="242"/>
      <c r="FN1048484" s="242"/>
      <c r="FO1048484" s="242"/>
      <c r="FP1048484" s="242"/>
      <c r="FQ1048484" s="242"/>
      <c r="FR1048484" s="242"/>
      <c r="FS1048484" s="242"/>
      <c r="FT1048484" s="242"/>
      <c r="FU1048484" s="242"/>
      <c r="FV1048484" s="242"/>
      <c r="FW1048484" s="242"/>
      <c r="FX1048484" s="242"/>
      <c r="FY1048484" s="242"/>
      <c r="FZ1048484" s="242"/>
      <c r="GA1048484" s="242"/>
      <c r="GB1048484" s="242"/>
      <c r="GC1048484" s="242"/>
      <c r="GD1048484" s="242"/>
      <c r="GE1048484" s="242"/>
      <c r="GF1048484" s="242"/>
      <c r="GG1048484" s="242"/>
      <c r="GH1048484" s="242"/>
      <c r="GI1048484" s="242"/>
      <c r="GJ1048484" s="242"/>
      <c r="GK1048484" s="242"/>
      <c r="GL1048484" s="242"/>
      <c r="GM1048484" s="242"/>
      <c r="GN1048484" s="242"/>
      <c r="GO1048484" s="242"/>
      <c r="GP1048484" s="242"/>
      <c r="GQ1048484" s="242"/>
      <c r="GR1048484" s="242"/>
      <c r="GS1048484" s="242"/>
      <c r="GT1048484" s="242"/>
      <c r="GU1048484" s="242"/>
      <c r="GV1048484" s="242"/>
      <c r="GW1048484" s="242"/>
      <c r="GX1048484" s="242"/>
      <c r="GY1048484" s="242"/>
      <c r="GZ1048484" s="242"/>
      <c r="HA1048484" s="242"/>
      <c r="HB1048484" s="242"/>
      <c r="HC1048484" s="242"/>
      <c r="HD1048484" s="242"/>
      <c r="HE1048484" s="242"/>
      <c r="HF1048484" s="242"/>
      <c r="HG1048484" s="242"/>
      <c r="HH1048484" s="242"/>
      <c r="HI1048484" s="242"/>
      <c r="HJ1048484" s="242"/>
      <c r="HK1048484" s="242"/>
      <c r="HL1048484" s="242"/>
      <c r="HM1048484" s="242"/>
      <c r="HN1048484" s="242"/>
      <c r="HO1048484" s="242"/>
      <c r="HP1048484" s="242"/>
      <c r="HQ1048484" s="242"/>
      <c r="HR1048484" s="242"/>
      <c r="HS1048484" s="242"/>
      <c r="HT1048484" s="242"/>
      <c r="HU1048484" s="242"/>
      <c r="HV1048484" s="242"/>
      <c r="HW1048484" s="242"/>
      <c r="HX1048484" s="242"/>
      <c r="HY1048484" s="242"/>
      <c r="HZ1048484" s="242"/>
      <c r="IA1048484" s="242"/>
      <c r="IB1048484" s="242"/>
      <c r="IC1048484" s="242"/>
      <c r="ID1048484" s="242"/>
      <c r="IE1048484" s="242"/>
      <c r="IF1048484" s="242"/>
      <c r="IG1048484" s="242"/>
      <c r="IH1048484" s="242"/>
      <c r="II1048484" s="242"/>
      <c r="IJ1048484" s="242"/>
      <c r="IK1048484" s="242"/>
      <c r="IL1048484" s="242"/>
      <c r="IM1048484" s="242"/>
      <c r="IN1048484" s="242"/>
      <c r="IO1048484" s="242"/>
      <c r="IP1048484" s="242"/>
      <c r="IQ1048484" s="242"/>
    </row>
    <row r="1048485" spans="1:251" s="243" customFormat="1" ht="12" customHeight="1">
      <c r="A1048485" s="242"/>
      <c r="B1048485" s="242"/>
      <c r="C1048485" s="242"/>
      <c r="D1048485" s="242"/>
      <c r="E1048485" s="242"/>
      <c r="F1048485" s="242"/>
      <c r="G1048485" s="242"/>
      <c r="H1048485" s="242"/>
      <c r="I1048485" s="242"/>
      <c r="J1048485" s="242"/>
      <c r="K1048485" s="242"/>
      <c r="L1048485" s="242"/>
      <c r="M1048485" s="242"/>
      <c r="N1048485" s="242"/>
      <c r="O1048485" s="242"/>
      <c r="P1048485" s="242"/>
      <c r="Q1048485" s="242"/>
      <c r="R1048485" s="242"/>
      <c r="S1048485" s="242"/>
      <c r="T1048485" s="242"/>
      <c r="U1048485" s="242"/>
      <c r="V1048485" s="242"/>
      <c r="W1048485" s="242"/>
      <c r="X1048485" s="242"/>
      <c r="Y1048485" s="242"/>
      <c r="Z1048485" s="242"/>
      <c r="AA1048485" s="242"/>
      <c r="AB1048485" s="242"/>
      <c r="AC1048485" s="242"/>
      <c r="AD1048485" s="242"/>
      <c r="AE1048485" s="242"/>
      <c r="AF1048485" s="242"/>
      <c r="AG1048485" s="242"/>
      <c r="AH1048485" s="242"/>
      <c r="AI1048485" s="242"/>
      <c r="AJ1048485" s="242"/>
      <c r="AK1048485" s="242"/>
      <c r="AL1048485" s="242"/>
      <c r="AM1048485" s="242"/>
      <c r="AN1048485" s="242"/>
      <c r="AO1048485" s="242"/>
      <c r="AP1048485" s="242"/>
      <c r="AQ1048485" s="242"/>
      <c r="AR1048485" s="242"/>
      <c r="AS1048485" s="242"/>
      <c r="AT1048485" s="242"/>
      <c r="AU1048485" s="242"/>
      <c r="AV1048485" s="242"/>
      <c r="AW1048485" s="242"/>
      <c r="AX1048485" s="242"/>
      <c r="AY1048485" s="242"/>
      <c r="AZ1048485" s="242"/>
      <c r="BA1048485" s="242"/>
      <c r="BB1048485" s="242"/>
      <c r="BC1048485" s="242"/>
      <c r="BD1048485" s="242"/>
      <c r="BE1048485" s="242"/>
      <c r="BF1048485" s="242"/>
      <c r="BG1048485" s="242"/>
      <c r="BH1048485" s="242"/>
      <c r="BI1048485" s="242"/>
      <c r="BJ1048485" s="242"/>
      <c r="BK1048485" s="242"/>
      <c r="BL1048485" s="242"/>
      <c r="BM1048485" s="242"/>
      <c r="BN1048485" s="242"/>
      <c r="BO1048485" s="242"/>
      <c r="BP1048485" s="242"/>
      <c r="BQ1048485" s="242"/>
      <c r="BR1048485" s="242"/>
      <c r="BS1048485" s="242"/>
      <c r="BT1048485" s="242"/>
      <c r="BU1048485" s="242"/>
      <c r="BV1048485" s="242"/>
      <c r="BW1048485" s="242"/>
      <c r="BX1048485" s="242"/>
      <c r="BY1048485" s="242"/>
      <c r="BZ1048485" s="242"/>
      <c r="CA1048485" s="242"/>
      <c r="CB1048485" s="242"/>
      <c r="CC1048485" s="242"/>
      <c r="CD1048485" s="242"/>
      <c r="CE1048485" s="242"/>
      <c r="CF1048485" s="242"/>
      <c r="CG1048485" s="242"/>
      <c r="CH1048485" s="242"/>
      <c r="CI1048485" s="242"/>
      <c r="CJ1048485" s="242"/>
      <c r="CK1048485" s="242"/>
      <c r="CL1048485" s="242"/>
      <c r="CM1048485" s="242"/>
      <c r="CN1048485" s="242"/>
      <c r="CO1048485" s="242"/>
      <c r="CP1048485" s="242"/>
      <c r="CQ1048485" s="242"/>
      <c r="CR1048485" s="242"/>
      <c r="CS1048485" s="242"/>
      <c r="CT1048485" s="242"/>
      <c r="CU1048485" s="242"/>
      <c r="CV1048485" s="242"/>
      <c r="CW1048485" s="242"/>
      <c r="CX1048485" s="242"/>
      <c r="CY1048485" s="242"/>
      <c r="CZ1048485" s="242"/>
      <c r="DA1048485" s="242"/>
      <c r="DB1048485" s="242"/>
      <c r="DC1048485" s="242"/>
      <c r="DD1048485" s="242"/>
      <c r="DE1048485" s="242"/>
      <c r="DF1048485" s="242"/>
      <c r="DG1048485" s="242"/>
      <c r="DH1048485" s="242"/>
      <c r="DI1048485" s="242"/>
      <c r="DJ1048485" s="242"/>
      <c r="DK1048485" s="242"/>
      <c r="DL1048485" s="242"/>
      <c r="DM1048485" s="242"/>
      <c r="DN1048485" s="242"/>
      <c r="DO1048485" s="242"/>
      <c r="DP1048485" s="242"/>
      <c r="DQ1048485" s="242"/>
      <c r="DR1048485" s="242"/>
      <c r="DS1048485" s="242"/>
      <c r="DT1048485" s="242"/>
      <c r="DU1048485" s="242"/>
      <c r="DV1048485" s="242"/>
      <c r="DW1048485" s="242"/>
      <c r="DX1048485" s="242"/>
      <c r="DY1048485" s="242"/>
      <c r="DZ1048485" s="242"/>
      <c r="EA1048485" s="242"/>
      <c r="EB1048485" s="242"/>
      <c r="EC1048485" s="242"/>
      <c r="ED1048485" s="242"/>
      <c r="EE1048485" s="242"/>
      <c r="EF1048485" s="242"/>
      <c r="EG1048485" s="242"/>
      <c r="EH1048485" s="242"/>
      <c r="EI1048485" s="242"/>
      <c r="EJ1048485" s="242"/>
      <c r="EK1048485" s="242"/>
      <c r="EL1048485" s="242"/>
      <c r="EM1048485" s="242"/>
      <c r="EN1048485" s="242"/>
      <c r="EO1048485" s="242"/>
      <c r="EP1048485" s="242"/>
      <c r="EQ1048485" s="242"/>
      <c r="ER1048485" s="242"/>
      <c r="ES1048485" s="242"/>
      <c r="ET1048485" s="242"/>
      <c r="EU1048485" s="242"/>
      <c r="EV1048485" s="242"/>
      <c r="EW1048485" s="242"/>
      <c r="EX1048485" s="242"/>
      <c r="EY1048485" s="242"/>
      <c r="EZ1048485" s="242"/>
      <c r="FA1048485" s="242"/>
      <c r="FB1048485" s="242"/>
      <c r="FC1048485" s="242"/>
      <c r="FD1048485" s="242"/>
      <c r="FE1048485" s="242"/>
      <c r="FF1048485" s="242"/>
      <c r="FG1048485" s="242"/>
      <c r="FH1048485" s="242"/>
      <c r="FI1048485" s="242"/>
      <c r="FJ1048485" s="242"/>
      <c r="FK1048485" s="242"/>
      <c r="FL1048485" s="242"/>
      <c r="FM1048485" s="242"/>
      <c r="FN1048485" s="242"/>
      <c r="FO1048485" s="242"/>
      <c r="FP1048485" s="242"/>
      <c r="FQ1048485" s="242"/>
      <c r="FR1048485" s="242"/>
      <c r="FS1048485" s="242"/>
      <c r="FT1048485" s="242"/>
      <c r="FU1048485" s="242"/>
      <c r="FV1048485" s="242"/>
      <c r="FW1048485" s="242"/>
      <c r="FX1048485" s="242"/>
      <c r="FY1048485" s="242"/>
      <c r="FZ1048485" s="242"/>
      <c r="GA1048485" s="242"/>
      <c r="GB1048485" s="242"/>
      <c r="GC1048485" s="242"/>
      <c r="GD1048485" s="242"/>
      <c r="GE1048485" s="242"/>
      <c r="GF1048485" s="242"/>
      <c r="GG1048485" s="242"/>
      <c r="GH1048485" s="242"/>
      <c r="GI1048485" s="242"/>
      <c r="GJ1048485" s="242"/>
      <c r="GK1048485" s="242"/>
      <c r="GL1048485" s="242"/>
      <c r="GM1048485" s="242"/>
      <c r="GN1048485" s="242"/>
      <c r="GO1048485" s="242"/>
      <c r="GP1048485" s="242"/>
      <c r="GQ1048485" s="242"/>
      <c r="GR1048485" s="242"/>
      <c r="GS1048485" s="242"/>
      <c r="GT1048485" s="242"/>
      <c r="GU1048485" s="242"/>
      <c r="GV1048485" s="242"/>
      <c r="GW1048485" s="242"/>
      <c r="GX1048485" s="242"/>
      <c r="GY1048485" s="242"/>
      <c r="GZ1048485" s="242"/>
      <c r="HA1048485" s="242"/>
      <c r="HB1048485" s="242"/>
      <c r="HC1048485" s="242"/>
      <c r="HD1048485" s="242"/>
      <c r="HE1048485" s="242"/>
      <c r="HF1048485" s="242"/>
      <c r="HG1048485" s="242"/>
      <c r="HH1048485" s="242"/>
      <c r="HI1048485" s="242"/>
      <c r="HJ1048485" s="242"/>
      <c r="HK1048485" s="242"/>
      <c r="HL1048485" s="242"/>
      <c r="HM1048485" s="242"/>
      <c r="HN1048485" s="242"/>
      <c r="HO1048485" s="242"/>
      <c r="HP1048485" s="242"/>
      <c r="HQ1048485" s="242"/>
      <c r="HR1048485" s="242"/>
      <c r="HS1048485" s="242"/>
      <c r="HT1048485" s="242"/>
      <c r="HU1048485" s="242"/>
      <c r="HV1048485" s="242"/>
      <c r="HW1048485" s="242"/>
      <c r="HX1048485" s="242"/>
      <c r="HY1048485" s="242"/>
      <c r="HZ1048485" s="242"/>
      <c r="IA1048485" s="242"/>
      <c r="IB1048485" s="242"/>
      <c r="IC1048485" s="242"/>
      <c r="ID1048485" s="242"/>
      <c r="IE1048485" s="242"/>
      <c r="IF1048485" s="242"/>
      <c r="IG1048485" s="242"/>
      <c r="IH1048485" s="242"/>
      <c r="II1048485" s="242"/>
      <c r="IJ1048485" s="242"/>
      <c r="IK1048485" s="242"/>
      <c r="IL1048485" s="242"/>
      <c r="IM1048485" s="242"/>
      <c r="IN1048485" s="242"/>
      <c r="IO1048485" s="242"/>
      <c r="IP1048485" s="242"/>
      <c r="IQ1048485" s="242"/>
    </row>
    <row r="1048486" spans="1:251" s="243" customFormat="1" ht="12" customHeight="1">
      <c r="A1048486" s="242"/>
      <c r="B1048486" s="242"/>
      <c r="C1048486" s="242"/>
      <c r="D1048486" s="242"/>
      <c r="E1048486" s="242"/>
      <c r="F1048486" s="242"/>
      <c r="G1048486" s="242"/>
      <c r="H1048486" s="242"/>
      <c r="I1048486" s="242"/>
      <c r="J1048486" s="242"/>
      <c r="K1048486" s="242"/>
      <c r="L1048486" s="242"/>
      <c r="M1048486" s="242"/>
      <c r="N1048486" s="242"/>
      <c r="O1048486" s="242"/>
      <c r="P1048486" s="242"/>
      <c r="Q1048486" s="242"/>
      <c r="R1048486" s="242"/>
      <c r="S1048486" s="242"/>
      <c r="T1048486" s="242"/>
      <c r="U1048486" s="242"/>
      <c r="V1048486" s="242"/>
      <c r="W1048486" s="242"/>
      <c r="X1048486" s="242"/>
      <c r="Y1048486" s="242"/>
      <c r="Z1048486" s="242"/>
      <c r="AA1048486" s="242"/>
      <c r="AB1048486" s="242"/>
      <c r="AC1048486" s="242"/>
      <c r="AD1048486" s="242"/>
      <c r="AE1048486" s="242"/>
      <c r="AF1048486" s="242"/>
      <c r="AG1048486" s="242"/>
      <c r="AH1048486" s="242"/>
      <c r="AI1048486" s="242"/>
      <c r="AJ1048486" s="242"/>
      <c r="AK1048486" s="242"/>
      <c r="AL1048486" s="242"/>
      <c r="AM1048486" s="242"/>
      <c r="AN1048486" s="242"/>
      <c r="AO1048486" s="242"/>
      <c r="AP1048486" s="242"/>
      <c r="AQ1048486" s="242"/>
      <c r="AR1048486" s="242"/>
      <c r="AS1048486" s="242"/>
      <c r="AT1048486" s="242"/>
      <c r="AU1048486" s="242"/>
      <c r="AV1048486" s="242"/>
      <c r="AW1048486" s="242"/>
      <c r="AX1048486" s="242"/>
      <c r="AY1048486" s="242"/>
      <c r="AZ1048486" s="242"/>
      <c r="BA1048486" s="242"/>
      <c r="BB1048486" s="242"/>
      <c r="BC1048486" s="242"/>
      <c r="BD1048486" s="242"/>
      <c r="BE1048486" s="242"/>
      <c r="BF1048486" s="242"/>
      <c r="BG1048486" s="242"/>
      <c r="BH1048486" s="242"/>
      <c r="BI1048486" s="242"/>
      <c r="BJ1048486" s="242"/>
      <c r="BK1048486" s="242"/>
      <c r="BL1048486" s="242"/>
      <c r="BM1048486" s="242"/>
      <c r="BN1048486" s="242"/>
      <c r="BO1048486" s="242"/>
      <c r="BP1048486" s="242"/>
      <c r="BQ1048486" s="242"/>
      <c r="BR1048486" s="242"/>
      <c r="BS1048486" s="242"/>
      <c r="BT1048486" s="242"/>
      <c r="BU1048486" s="242"/>
      <c r="BV1048486" s="242"/>
      <c r="BW1048486" s="242"/>
      <c r="BX1048486" s="242"/>
      <c r="BY1048486" s="242"/>
      <c r="BZ1048486" s="242"/>
      <c r="CA1048486" s="242"/>
      <c r="CB1048486" s="242"/>
      <c r="CC1048486" s="242"/>
      <c r="CD1048486" s="242"/>
      <c r="CE1048486" s="242"/>
      <c r="CF1048486" s="242"/>
      <c r="CG1048486" s="242"/>
      <c r="CH1048486" s="242"/>
      <c r="CI1048486" s="242"/>
      <c r="CJ1048486" s="242"/>
      <c r="CK1048486" s="242"/>
      <c r="CL1048486" s="242"/>
      <c r="CM1048486" s="242"/>
      <c r="CN1048486" s="242"/>
      <c r="CO1048486" s="242"/>
      <c r="CP1048486" s="242"/>
      <c r="CQ1048486" s="242"/>
      <c r="CR1048486" s="242"/>
      <c r="CS1048486" s="242"/>
      <c r="CT1048486" s="242"/>
      <c r="CU1048486" s="242"/>
      <c r="CV1048486" s="242"/>
      <c r="CW1048486" s="242"/>
      <c r="CX1048486" s="242"/>
      <c r="CY1048486" s="242"/>
      <c r="CZ1048486" s="242"/>
      <c r="DA1048486" s="242"/>
      <c r="DB1048486" s="242"/>
      <c r="DC1048486" s="242"/>
      <c r="DD1048486" s="242"/>
      <c r="DE1048486" s="242"/>
      <c r="DF1048486" s="242"/>
      <c r="DG1048486" s="242"/>
      <c r="DH1048486" s="242"/>
      <c r="DI1048486" s="242"/>
      <c r="DJ1048486" s="242"/>
      <c r="DK1048486" s="242"/>
      <c r="DL1048486" s="242"/>
      <c r="DM1048486" s="242"/>
      <c r="DN1048486" s="242"/>
      <c r="DO1048486" s="242"/>
      <c r="DP1048486" s="242"/>
      <c r="DQ1048486" s="242"/>
      <c r="DR1048486" s="242"/>
      <c r="DS1048486" s="242"/>
      <c r="DT1048486" s="242"/>
      <c r="DU1048486" s="242"/>
      <c r="DV1048486" s="242"/>
      <c r="DW1048486" s="242"/>
      <c r="DX1048486" s="242"/>
      <c r="DY1048486" s="242"/>
      <c r="DZ1048486" s="242"/>
      <c r="EA1048486" s="242"/>
      <c r="EB1048486" s="242"/>
      <c r="EC1048486" s="242"/>
      <c r="ED1048486" s="242"/>
      <c r="EE1048486" s="242"/>
      <c r="EF1048486" s="242"/>
      <c r="EG1048486" s="242"/>
      <c r="EH1048486" s="242"/>
      <c r="EI1048486" s="242"/>
      <c r="EJ1048486" s="242"/>
      <c r="EK1048486" s="242"/>
      <c r="EL1048486" s="242"/>
      <c r="EM1048486" s="242"/>
      <c r="EN1048486" s="242"/>
      <c r="EO1048486" s="242"/>
      <c r="EP1048486" s="242"/>
      <c r="EQ1048486" s="242"/>
      <c r="ER1048486" s="242"/>
      <c r="ES1048486" s="242"/>
      <c r="ET1048486" s="242"/>
      <c r="EU1048486" s="242"/>
      <c r="EV1048486" s="242"/>
      <c r="EW1048486" s="242"/>
      <c r="EX1048486" s="242"/>
      <c r="EY1048486" s="242"/>
      <c r="EZ1048486" s="242"/>
      <c r="FA1048486" s="242"/>
      <c r="FB1048486" s="242"/>
      <c r="FC1048486" s="242"/>
      <c r="FD1048486" s="242"/>
      <c r="FE1048486" s="242"/>
      <c r="FF1048486" s="242"/>
      <c r="FG1048486" s="242"/>
      <c r="FH1048486" s="242"/>
      <c r="FI1048486" s="242"/>
      <c r="FJ1048486" s="242"/>
      <c r="FK1048486" s="242"/>
      <c r="FL1048486" s="242"/>
      <c r="FM1048486" s="242"/>
      <c r="FN1048486" s="242"/>
      <c r="FO1048486" s="242"/>
      <c r="FP1048486" s="242"/>
      <c r="FQ1048486" s="242"/>
      <c r="FR1048486" s="242"/>
      <c r="FS1048486" s="242"/>
      <c r="FT1048486" s="242"/>
      <c r="FU1048486" s="242"/>
      <c r="FV1048486" s="242"/>
      <c r="FW1048486" s="242"/>
      <c r="FX1048486" s="242"/>
      <c r="FY1048486" s="242"/>
      <c r="FZ1048486" s="242"/>
      <c r="GA1048486" s="242"/>
      <c r="GB1048486" s="242"/>
      <c r="GC1048486" s="242"/>
      <c r="GD1048486" s="242"/>
      <c r="GE1048486" s="242"/>
      <c r="GF1048486" s="242"/>
      <c r="GG1048486" s="242"/>
      <c r="GH1048486" s="242"/>
      <c r="GI1048486" s="242"/>
      <c r="GJ1048486" s="242"/>
      <c r="GK1048486" s="242"/>
      <c r="GL1048486" s="242"/>
      <c r="GM1048486" s="242"/>
      <c r="GN1048486" s="242"/>
      <c r="GO1048486" s="242"/>
      <c r="GP1048486" s="242"/>
      <c r="GQ1048486" s="242"/>
      <c r="GR1048486" s="242"/>
      <c r="GS1048486" s="242"/>
      <c r="GT1048486" s="242"/>
      <c r="GU1048486" s="242"/>
      <c r="GV1048486" s="242"/>
      <c r="GW1048486" s="242"/>
      <c r="GX1048486" s="242"/>
      <c r="GY1048486" s="242"/>
      <c r="GZ1048486" s="242"/>
      <c r="HA1048486" s="242"/>
      <c r="HB1048486" s="242"/>
      <c r="HC1048486" s="242"/>
      <c r="HD1048486" s="242"/>
      <c r="HE1048486" s="242"/>
      <c r="HF1048486" s="242"/>
      <c r="HG1048486" s="242"/>
      <c r="HH1048486" s="242"/>
      <c r="HI1048486" s="242"/>
      <c r="HJ1048486" s="242"/>
      <c r="HK1048486" s="242"/>
      <c r="HL1048486" s="242"/>
      <c r="HM1048486" s="242"/>
      <c r="HN1048486" s="242"/>
      <c r="HO1048486" s="242"/>
      <c r="HP1048486" s="242"/>
      <c r="HQ1048486" s="242"/>
      <c r="HR1048486" s="242"/>
      <c r="HS1048486" s="242"/>
      <c r="HT1048486" s="242"/>
      <c r="HU1048486" s="242"/>
      <c r="HV1048486" s="242"/>
      <c r="HW1048486" s="242"/>
      <c r="HX1048486" s="242"/>
      <c r="HY1048486" s="242"/>
      <c r="HZ1048486" s="242"/>
      <c r="IA1048486" s="242"/>
      <c r="IB1048486" s="242"/>
      <c r="IC1048486" s="242"/>
      <c r="ID1048486" s="242"/>
      <c r="IE1048486" s="242"/>
      <c r="IF1048486" s="242"/>
      <c r="IG1048486" s="242"/>
      <c r="IH1048486" s="242"/>
      <c r="II1048486" s="242"/>
      <c r="IJ1048486" s="242"/>
      <c r="IK1048486" s="242"/>
      <c r="IL1048486" s="242"/>
      <c r="IM1048486" s="242"/>
      <c r="IN1048486" s="242"/>
      <c r="IO1048486" s="242"/>
      <c r="IP1048486" s="242"/>
      <c r="IQ1048486" s="242"/>
    </row>
    <row r="1048487" spans="1:251" s="243" customFormat="1" ht="12" customHeight="1">
      <c r="A1048487" s="242"/>
      <c r="B1048487" s="242"/>
      <c r="C1048487" s="242"/>
      <c r="D1048487" s="242"/>
      <c r="E1048487" s="242"/>
      <c r="F1048487" s="242"/>
      <c r="G1048487" s="242"/>
      <c r="H1048487" s="242"/>
      <c r="I1048487" s="242"/>
      <c r="J1048487" s="242"/>
      <c r="K1048487" s="242"/>
      <c r="L1048487" s="242"/>
      <c r="M1048487" s="242"/>
      <c r="N1048487" s="242"/>
      <c r="O1048487" s="242"/>
      <c r="P1048487" s="242"/>
      <c r="Q1048487" s="242"/>
      <c r="R1048487" s="242"/>
      <c r="S1048487" s="242"/>
      <c r="T1048487" s="242"/>
      <c r="U1048487" s="242"/>
      <c r="V1048487" s="242"/>
      <c r="W1048487" s="242"/>
      <c r="X1048487" s="242"/>
      <c r="Y1048487" s="242"/>
      <c r="Z1048487" s="242"/>
      <c r="AA1048487" s="242"/>
      <c r="AB1048487" s="242"/>
      <c r="AC1048487" s="242"/>
      <c r="AD1048487" s="242"/>
      <c r="AE1048487" s="242"/>
      <c r="AF1048487" s="242"/>
      <c r="AG1048487" s="242"/>
      <c r="AH1048487" s="242"/>
      <c r="AI1048487" s="242"/>
      <c r="AJ1048487" s="242"/>
      <c r="AK1048487" s="242"/>
      <c r="AL1048487" s="242"/>
      <c r="AM1048487" s="242"/>
      <c r="AN1048487" s="242"/>
      <c r="AO1048487" s="242"/>
      <c r="AP1048487" s="242"/>
      <c r="AQ1048487" s="242"/>
      <c r="AR1048487" s="242"/>
      <c r="AS1048487" s="242"/>
      <c r="AT1048487" s="242"/>
      <c r="AU1048487" s="242"/>
      <c r="AV1048487" s="242"/>
      <c r="AW1048487" s="242"/>
      <c r="AX1048487" s="242"/>
      <c r="AY1048487" s="242"/>
      <c r="AZ1048487" s="242"/>
      <c r="BA1048487" s="242"/>
      <c r="BB1048487" s="242"/>
      <c r="BC1048487" s="242"/>
      <c r="BD1048487" s="242"/>
      <c r="BE1048487" s="242"/>
      <c r="BF1048487" s="242"/>
      <c r="BG1048487" s="242"/>
      <c r="BH1048487" s="242"/>
      <c r="BI1048487" s="242"/>
      <c r="BJ1048487" s="242"/>
      <c r="BK1048487" s="242"/>
      <c r="BL1048487" s="242"/>
      <c r="BM1048487" s="242"/>
      <c r="BN1048487" s="242"/>
      <c r="BO1048487" s="242"/>
      <c r="BP1048487" s="242"/>
      <c r="BQ1048487" s="242"/>
      <c r="BR1048487" s="242"/>
      <c r="BS1048487" s="242"/>
      <c r="BT1048487" s="242"/>
      <c r="BU1048487" s="242"/>
      <c r="BV1048487" s="242"/>
      <c r="BW1048487" s="242"/>
      <c r="BX1048487" s="242"/>
      <c r="BY1048487" s="242"/>
      <c r="BZ1048487" s="242"/>
      <c r="CA1048487" s="242"/>
      <c r="CB1048487" s="242"/>
      <c r="CC1048487" s="242"/>
      <c r="CD1048487" s="242"/>
      <c r="CE1048487" s="242"/>
      <c r="CF1048487" s="242"/>
      <c r="CG1048487" s="242"/>
      <c r="CH1048487" s="242"/>
      <c r="CI1048487" s="242"/>
      <c r="CJ1048487" s="242"/>
      <c r="CK1048487" s="242"/>
      <c r="CL1048487" s="242"/>
      <c r="CM1048487" s="242"/>
      <c r="CN1048487" s="242"/>
      <c r="CO1048487" s="242"/>
      <c r="CP1048487" s="242"/>
      <c r="CQ1048487" s="242"/>
      <c r="CR1048487" s="242"/>
      <c r="CS1048487" s="242"/>
      <c r="CT1048487" s="242"/>
      <c r="CU1048487" s="242"/>
      <c r="CV1048487" s="242"/>
      <c r="CW1048487" s="242"/>
      <c r="CX1048487" s="242"/>
      <c r="CY1048487" s="242"/>
      <c r="CZ1048487" s="242"/>
      <c r="DA1048487" s="242"/>
      <c r="DB1048487" s="242"/>
      <c r="DC1048487" s="242"/>
      <c r="DD1048487" s="242"/>
      <c r="DE1048487" s="242"/>
      <c r="DF1048487" s="242"/>
      <c r="DG1048487" s="242"/>
      <c r="DH1048487" s="242"/>
      <c r="DI1048487" s="242"/>
      <c r="DJ1048487" s="242"/>
      <c r="DK1048487" s="242"/>
      <c r="DL1048487" s="242"/>
      <c r="DM1048487" s="242"/>
      <c r="DN1048487" s="242"/>
      <c r="DO1048487" s="242"/>
      <c r="DP1048487" s="242"/>
      <c r="DQ1048487" s="242"/>
      <c r="DR1048487" s="242"/>
      <c r="DS1048487" s="242"/>
      <c r="DT1048487" s="242"/>
      <c r="DU1048487" s="242"/>
      <c r="DV1048487" s="242"/>
      <c r="DW1048487" s="242"/>
      <c r="DX1048487" s="242"/>
      <c r="DY1048487" s="242"/>
      <c r="DZ1048487" s="242"/>
      <c r="EA1048487" s="242"/>
      <c r="EB1048487" s="242"/>
      <c r="EC1048487" s="242"/>
      <c r="ED1048487" s="242"/>
      <c r="EE1048487" s="242"/>
      <c r="EF1048487" s="242"/>
      <c r="EG1048487" s="242"/>
      <c r="EH1048487" s="242"/>
      <c r="EI1048487" s="242"/>
      <c r="EJ1048487" s="242"/>
      <c r="EK1048487" s="242"/>
      <c r="EL1048487" s="242"/>
      <c r="EM1048487" s="242"/>
      <c r="EN1048487" s="242"/>
      <c r="EO1048487" s="242"/>
      <c r="EP1048487" s="242"/>
      <c r="EQ1048487" s="242"/>
      <c r="ER1048487" s="242"/>
      <c r="ES1048487" s="242"/>
      <c r="ET1048487" s="242"/>
      <c r="EU1048487" s="242"/>
      <c r="EV1048487" s="242"/>
      <c r="EW1048487" s="242"/>
      <c r="EX1048487" s="242"/>
      <c r="EY1048487" s="242"/>
      <c r="EZ1048487" s="242"/>
      <c r="FA1048487" s="242"/>
      <c r="FB1048487" s="242"/>
      <c r="FC1048487" s="242"/>
      <c r="FD1048487" s="242"/>
      <c r="FE1048487" s="242"/>
      <c r="FF1048487" s="242"/>
      <c r="FG1048487" s="242"/>
      <c r="FH1048487" s="242"/>
      <c r="FI1048487" s="242"/>
      <c r="FJ1048487" s="242"/>
      <c r="FK1048487" s="242"/>
      <c r="FL1048487" s="242"/>
      <c r="FM1048487" s="242"/>
      <c r="FN1048487" s="242"/>
      <c r="FO1048487" s="242"/>
      <c r="FP1048487" s="242"/>
      <c r="FQ1048487" s="242"/>
      <c r="FR1048487" s="242"/>
      <c r="FS1048487" s="242"/>
      <c r="FT1048487" s="242"/>
      <c r="FU1048487" s="242"/>
      <c r="FV1048487" s="242"/>
      <c r="FW1048487" s="242"/>
      <c r="FX1048487" s="242"/>
      <c r="FY1048487" s="242"/>
      <c r="FZ1048487" s="242"/>
      <c r="GA1048487" s="242"/>
      <c r="GB1048487" s="242"/>
      <c r="GC1048487" s="242"/>
      <c r="GD1048487" s="242"/>
      <c r="GE1048487" s="242"/>
      <c r="GF1048487" s="242"/>
      <c r="GG1048487" s="242"/>
      <c r="GH1048487" s="242"/>
      <c r="GI1048487" s="242"/>
      <c r="GJ1048487" s="242"/>
      <c r="GK1048487" s="242"/>
      <c r="GL1048487" s="242"/>
      <c r="GM1048487" s="242"/>
      <c r="GN1048487" s="242"/>
      <c r="GO1048487" s="242"/>
      <c r="GP1048487" s="242"/>
      <c r="GQ1048487" s="242"/>
      <c r="GR1048487" s="242"/>
      <c r="GS1048487" s="242"/>
      <c r="GT1048487" s="242"/>
      <c r="GU1048487" s="242"/>
      <c r="GV1048487" s="242"/>
      <c r="GW1048487" s="242"/>
      <c r="GX1048487" s="242"/>
      <c r="GY1048487" s="242"/>
      <c r="GZ1048487" s="242"/>
      <c r="HA1048487" s="242"/>
      <c r="HB1048487" s="242"/>
      <c r="HC1048487" s="242"/>
      <c r="HD1048487" s="242"/>
      <c r="HE1048487" s="242"/>
      <c r="HF1048487" s="242"/>
      <c r="HG1048487" s="242"/>
      <c r="HH1048487" s="242"/>
      <c r="HI1048487" s="242"/>
      <c r="HJ1048487" s="242"/>
      <c r="HK1048487" s="242"/>
      <c r="HL1048487" s="242"/>
      <c r="HM1048487" s="242"/>
      <c r="HN1048487" s="242"/>
      <c r="HO1048487" s="242"/>
      <c r="HP1048487" s="242"/>
      <c r="HQ1048487" s="242"/>
      <c r="HR1048487" s="242"/>
      <c r="HS1048487" s="242"/>
      <c r="HT1048487" s="242"/>
      <c r="HU1048487" s="242"/>
      <c r="HV1048487" s="242"/>
      <c r="HW1048487" s="242"/>
      <c r="HX1048487" s="242"/>
      <c r="HY1048487" s="242"/>
      <c r="HZ1048487" s="242"/>
      <c r="IA1048487" s="242"/>
      <c r="IB1048487" s="242"/>
      <c r="IC1048487" s="242"/>
      <c r="ID1048487" s="242"/>
      <c r="IE1048487" s="242"/>
      <c r="IF1048487" s="242"/>
      <c r="IG1048487" s="242"/>
      <c r="IH1048487" s="242"/>
      <c r="II1048487" s="242"/>
      <c r="IJ1048487" s="242"/>
      <c r="IK1048487" s="242"/>
      <c r="IL1048487" s="242"/>
      <c r="IM1048487" s="242"/>
      <c r="IN1048487" s="242"/>
      <c r="IO1048487" s="242"/>
      <c r="IP1048487" s="242"/>
      <c r="IQ1048487" s="242"/>
    </row>
    <row r="1048488" spans="1:251" s="243" customFormat="1" ht="12" customHeight="1">
      <c r="A1048488" s="242"/>
      <c r="B1048488" s="242"/>
      <c r="C1048488" s="242"/>
      <c r="D1048488" s="242"/>
      <c r="E1048488" s="242"/>
      <c r="F1048488" s="242"/>
      <c r="G1048488" s="242"/>
      <c r="H1048488" s="242"/>
      <c r="I1048488" s="242"/>
      <c r="J1048488" s="242"/>
      <c r="K1048488" s="242"/>
      <c r="L1048488" s="242"/>
      <c r="M1048488" s="242"/>
      <c r="N1048488" s="242"/>
      <c r="O1048488" s="242"/>
      <c r="P1048488" s="242"/>
      <c r="Q1048488" s="242"/>
      <c r="R1048488" s="242"/>
      <c r="S1048488" s="242"/>
      <c r="T1048488" s="242"/>
      <c r="U1048488" s="242"/>
      <c r="V1048488" s="242"/>
      <c r="W1048488" s="242"/>
      <c r="X1048488" s="242"/>
      <c r="Y1048488" s="242"/>
      <c r="Z1048488" s="242"/>
      <c r="AA1048488" s="242"/>
      <c r="AB1048488" s="242"/>
      <c r="AC1048488" s="242"/>
      <c r="AD1048488" s="242"/>
      <c r="AE1048488" s="242"/>
      <c r="AF1048488" s="242"/>
      <c r="AG1048488" s="242"/>
      <c r="AH1048488" s="242"/>
      <c r="AI1048488" s="242"/>
      <c r="AJ1048488" s="242"/>
      <c r="AK1048488" s="242"/>
      <c r="AL1048488" s="242"/>
      <c r="AM1048488" s="242"/>
      <c r="AN1048488" s="242"/>
      <c r="AO1048488" s="242"/>
      <c r="AP1048488" s="242"/>
      <c r="AQ1048488" s="242"/>
      <c r="AR1048488" s="242"/>
      <c r="AS1048488" s="242"/>
      <c r="AT1048488" s="242"/>
      <c r="AU1048488" s="242"/>
      <c r="AV1048488" s="242"/>
      <c r="AW1048488" s="242"/>
      <c r="AX1048488" s="242"/>
      <c r="AY1048488" s="242"/>
      <c r="AZ1048488" s="242"/>
      <c r="BA1048488" s="242"/>
      <c r="BB1048488" s="242"/>
      <c r="BC1048488" s="242"/>
      <c r="BD1048488" s="242"/>
      <c r="BE1048488" s="242"/>
      <c r="BF1048488" s="242"/>
      <c r="BG1048488" s="242"/>
      <c r="BH1048488" s="242"/>
      <c r="BI1048488" s="242"/>
      <c r="BJ1048488" s="242"/>
      <c r="BK1048488" s="242"/>
      <c r="BL1048488" s="242"/>
      <c r="BM1048488" s="242"/>
      <c r="BN1048488" s="242"/>
      <c r="BO1048488" s="242"/>
      <c r="BP1048488" s="242"/>
      <c r="BQ1048488" s="242"/>
      <c r="BR1048488" s="242"/>
      <c r="BS1048488" s="242"/>
      <c r="BT1048488" s="242"/>
      <c r="BU1048488" s="242"/>
      <c r="BV1048488" s="242"/>
      <c r="BW1048488" s="242"/>
      <c r="BX1048488" s="242"/>
      <c r="BY1048488" s="242"/>
      <c r="BZ1048488" s="242"/>
      <c r="CA1048488" s="242"/>
      <c r="CB1048488" s="242"/>
      <c r="CC1048488" s="242"/>
      <c r="CD1048488" s="242"/>
      <c r="CE1048488" s="242"/>
      <c r="CF1048488" s="242"/>
      <c r="CG1048488" s="242"/>
      <c r="CH1048488" s="242"/>
      <c r="CI1048488" s="242"/>
      <c r="CJ1048488" s="242"/>
      <c r="CK1048488" s="242"/>
      <c r="CL1048488" s="242"/>
      <c r="CM1048488" s="242"/>
      <c r="CN1048488" s="242"/>
      <c r="CO1048488" s="242"/>
      <c r="CP1048488" s="242"/>
      <c r="CQ1048488" s="242"/>
      <c r="CR1048488" s="242"/>
      <c r="CS1048488" s="242"/>
      <c r="CT1048488" s="242"/>
      <c r="CU1048488" s="242"/>
      <c r="CV1048488" s="242"/>
      <c r="CW1048488" s="242"/>
      <c r="CX1048488" s="242"/>
      <c r="CY1048488" s="242"/>
      <c r="CZ1048488" s="242"/>
      <c r="DA1048488" s="242"/>
      <c r="DB1048488" s="242"/>
      <c r="DC1048488" s="242"/>
      <c r="DD1048488" s="242"/>
      <c r="DE1048488" s="242"/>
      <c r="DF1048488" s="242"/>
      <c r="DG1048488" s="242"/>
      <c r="DH1048488" s="242"/>
      <c r="DI1048488" s="242"/>
      <c r="DJ1048488" s="242"/>
      <c r="DK1048488" s="242"/>
      <c r="DL1048488" s="242"/>
      <c r="DM1048488" s="242"/>
      <c r="DN1048488" s="242"/>
      <c r="DO1048488" s="242"/>
      <c r="DP1048488" s="242"/>
      <c r="DQ1048488" s="242"/>
      <c r="DR1048488" s="242"/>
      <c r="DS1048488" s="242"/>
      <c r="DT1048488" s="242"/>
      <c r="DU1048488" s="242"/>
      <c r="DV1048488" s="242"/>
      <c r="DW1048488" s="242"/>
      <c r="DX1048488" s="242"/>
      <c r="DY1048488" s="242"/>
      <c r="DZ1048488" s="242"/>
      <c r="EA1048488" s="242"/>
      <c r="EB1048488" s="242"/>
      <c r="EC1048488" s="242"/>
      <c r="ED1048488" s="242"/>
      <c r="EE1048488" s="242"/>
      <c r="EF1048488" s="242"/>
      <c r="EG1048488" s="242"/>
      <c r="EH1048488" s="242"/>
      <c r="EI1048488" s="242"/>
      <c r="EJ1048488" s="242"/>
      <c r="EK1048488" s="242"/>
      <c r="EL1048488" s="242"/>
      <c r="EM1048488" s="242"/>
      <c r="EN1048488" s="242"/>
      <c r="EO1048488" s="242"/>
      <c r="EP1048488" s="242"/>
      <c r="EQ1048488" s="242"/>
      <c r="ER1048488" s="242"/>
      <c r="ES1048488" s="242"/>
      <c r="ET1048488" s="242"/>
      <c r="EU1048488" s="242"/>
      <c r="EV1048488" s="242"/>
      <c r="EW1048488" s="242"/>
      <c r="EX1048488" s="242"/>
      <c r="EY1048488" s="242"/>
      <c r="EZ1048488" s="242"/>
      <c r="FA1048488" s="242"/>
      <c r="FB1048488" s="242"/>
      <c r="FC1048488" s="242"/>
      <c r="FD1048488" s="242"/>
      <c r="FE1048488" s="242"/>
      <c r="FF1048488" s="242"/>
      <c r="FG1048488" s="242"/>
      <c r="FH1048488" s="242"/>
      <c r="FI1048488" s="242"/>
      <c r="FJ1048488" s="242"/>
      <c r="FK1048488" s="242"/>
      <c r="FL1048488" s="242"/>
      <c r="FM1048488" s="242"/>
      <c r="FN1048488" s="242"/>
      <c r="FO1048488" s="242"/>
      <c r="FP1048488" s="242"/>
      <c r="FQ1048488" s="242"/>
      <c r="FR1048488" s="242"/>
      <c r="FS1048488" s="242"/>
      <c r="FT1048488" s="242"/>
      <c r="FU1048488" s="242"/>
      <c r="FV1048488" s="242"/>
      <c r="FW1048488" s="242"/>
      <c r="FX1048488" s="242"/>
      <c r="FY1048488" s="242"/>
      <c r="FZ1048488" s="242"/>
      <c r="GA1048488" s="242"/>
      <c r="GB1048488" s="242"/>
      <c r="GC1048488" s="242"/>
      <c r="GD1048488" s="242"/>
      <c r="GE1048488" s="242"/>
      <c r="GF1048488" s="242"/>
      <c r="GG1048488" s="242"/>
      <c r="GH1048488" s="242"/>
      <c r="GI1048488" s="242"/>
      <c r="GJ1048488" s="242"/>
      <c r="GK1048488" s="242"/>
      <c r="GL1048488" s="242"/>
      <c r="GM1048488" s="242"/>
      <c r="GN1048488" s="242"/>
      <c r="GO1048488" s="242"/>
      <c r="GP1048488" s="242"/>
      <c r="GQ1048488" s="242"/>
      <c r="GR1048488" s="242"/>
      <c r="GS1048488" s="242"/>
      <c r="GT1048488" s="242"/>
      <c r="GU1048488" s="242"/>
      <c r="GV1048488" s="242"/>
      <c r="GW1048488" s="242"/>
      <c r="GX1048488" s="242"/>
      <c r="GY1048488" s="242"/>
      <c r="GZ1048488" s="242"/>
      <c r="HA1048488" s="242"/>
      <c r="HB1048488" s="242"/>
      <c r="HC1048488" s="242"/>
      <c r="HD1048488" s="242"/>
      <c r="HE1048488" s="242"/>
      <c r="HF1048488" s="242"/>
      <c r="HG1048488" s="242"/>
      <c r="HH1048488" s="242"/>
      <c r="HI1048488" s="242"/>
      <c r="HJ1048488" s="242"/>
      <c r="HK1048488" s="242"/>
      <c r="HL1048488" s="242"/>
      <c r="HM1048488" s="242"/>
      <c r="HN1048488" s="242"/>
      <c r="HO1048488" s="242"/>
      <c r="HP1048488" s="242"/>
      <c r="HQ1048488" s="242"/>
      <c r="HR1048488" s="242"/>
      <c r="HS1048488" s="242"/>
      <c r="HT1048488" s="242"/>
      <c r="HU1048488" s="242"/>
      <c r="HV1048488" s="242"/>
      <c r="HW1048488" s="242"/>
      <c r="HX1048488" s="242"/>
      <c r="HY1048488" s="242"/>
      <c r="HZ1048488" s="242"/>
      <c r="IA1048488" s="242"/>
      <c r="IB1048488" s="242"/>
      <c r="IC1048488" s="242"/>
      <c r="ID1048488" s="242"/>
      <c r="IE1048488" s="242"/>
      <c r="IF1048488" s="242"/>
      <c r="IG1048488" s="242"/>
      <c r="IH1048488" s="242"/>
      <c r="II1048488" s="242"/>
      <c r="IJ1048488" s="242"/>
      <c r="IK1048488" s="242"/>
      <c r="IL1048488" s="242"/>
      <c r="IM1048488" s="242"/>
      <c r="IN1048488" s="242"/>
      <c r="IO1048488" s="242"/>
      <c r="IP1048488" s="242"/>
      <c r="IQ1048488" s="242"/>
    </row>
    <row r="1048489" spans="1:251" s="243" customFormat="1" ht="12" customHeight="1">
      <c r="A1048489" s="242"/>
      <c r="B1048489" s="242"/>
      <c r="C1048489" s="242"/>
      <c r="D1048489" s="242"/>
      <c r="E1048489" s="242"/>
      <c r="F1048489" s="242"/>
      <c r="G1048489" s="242"/>
      <c r="H1048489" s="242"/>
      <c r="I1048489" s="242"/>
      <c r="J1048489" s="242"/>
      <c r="K1048489" s="242"/>
      <c r="L1048489" s="242"/>
      <c r="M1048489" s="242"/>
      <c r="N1048489" s="242"/>
      <c r="O1048489" s="242"/>
      <c r="P1048489" s="242"/>
      <c r="Q1048489" s="242"/>
      <c r="R1048489" s="242"/>
      <c r="S1048489" s="242"/>
      <c r="T1048489" s="242"/>
      <c r="U1048489" s="242"/>
      <c r="V1048489" s="242"/>
      <c r="W1048489" s="242"/>
      <c r="X1048489" s="242"/>
      <c r="Y1048489" s="242"/>
      <c r="Z1048489" s="242"/>
      <c r="AA1048489" s="242"/>
      <c r="AB1048489" s="242"/>
      <c r="AC1048489" s="242"/>
      <c r="AD1048489" s="242"/>
      <c r="AE1048489" s="242"/>
      <c r="AF1048489" s="242"/>
      <c r="AG1048489" s="242"/>
      <c r="AH1048489" s="242"/>
      <c r="AI1048489" s="242"/>
      <c r="AJ1048489" s="242"/>
      <c r="AK1048489" s="242"/>
      <c r="AL1048489" s="242"/>
      <c r="AM1048489" s="242"/>
      <c r="AN1048489" s="242"/>
      <c r="AO1048489" s="242"/>
      <c r="AP1048489" s="242"/>
      <c r="AQ1048489" s="242"/>
      <c r="AR1048489" s="242"/>
      <c r="AS1048489" s="242"/>
      <c r="AT1048489" s="242"/>
      <c r="AU1048489" s="242"/>
      <c r="AV1048489" s="242"/>
      <c r="AW1048489" s="242"/>
      <c r="AX1048489" s="242"/>
      <c r="AY1048489" s="242"/>
      <c r="AZ1048489" s="242"/>
      <c r="BA1048489" s="242"/>
      <c r="BB1048489" s="242"/>
      <c r="BC1048489" s="242"/>
      <c r="BD1048489" s="242"/>
      <c r="BE1048489" s="242"/>
      <c r="BF1048489" s="242"/>
      <c r="BG1048489" s="242"/>
      <c r="BH1048489" s="242"/>
      <c r="BI1048489" s="242"/>
      <c r="BJ1048489" s="242"/>
      <c r="BK1048489" s="242"/>
      <c r="BL1048489" s="242"/>
      <c r="BM1048489" s="242"/>
      <c r="BN1048489" s="242"/>
      <c r="BO1048489" s="242"/>
      <c r="BP1048489" s="242"/>
      <c r="BQ1048489" s="242"/>
      <c r="BR1048489" s="242"/>
      <c r="BS1048489" s="242"/>
      <c r="BT1048489" s="242"/>
      <c r="BU1048489" s="242"/>
      <c r="BV1048489" s="242"/>
      <c r="BW1048489" s="242"/>
      <c r="BX1048489" s="242"/>
      <c r="BY1048489" s="242"/>
      <c r="BZ1048489" s="242"/>
      <c r="CA1048489" s="242"/>
      <c r="CB1048489" s="242"/>
      <c r="CC1048489" s="242"/>
      <c r="CD1048489" s="242"/>
      <c r="CE1048489" s="242"/>
      <c r="CF1048489" s="242"/>
      <c r="CG1048489" s="242"/>
      <c r="CH1048489" s="242"/>
      <c r="CI1048489" s="242"/>
      <c r="CJ1048489" s="242"/>
      <c r="CK1048489" s="242"/>
      <c r="CL1048489" s="242"/>
      <c r="CM1048489" s="242"/>
      <c r="CN1048489" s="242"/>
      <c r="CO1048489" s="242"/>
      <c r="CP1048489" s="242"/>
      <c r="CQ1048489" s="242"/>
      <c r="CR1048489" s="242"/>
      <c r="CS1048489" s="242"/>
      <c r="CT1048489" s="242"/>
      <c r="CU1048489" s="242"/>
      <c r="CV1048489" s="242"/>
      <c r="CW1048489" s="242"/>
      <c r="CX1048489" s="242"/>
      <c r="CY1048489" s="242"/>
      <c r="CZ1048489" s="242"/>
      <c r="DA1048489" s="242"/>
      <c r="DB1048489" s="242"/>
      <c r="DC1048489" s="242"/>
      <c r="DD1048489" s="242"/>
      <c r="DE1048489" s="242"/>
      <c r="DF1048489" s="242"/>
      <c r="DG1048489" s="242"/>
      <c r="DH1048489" s="242"/>
      <c r="DI1048489" s="242"/>
      <c r="DJ1048489" s="242"/>
      <c r="DK1048489" s="242"/>
      <c r="DL1048489" s="242"/>
      <c r="DM1048489" s="242"/>
      <c r="DN1048489" s="242"/>
      <c r="DO1048489" s="242"/>
      <c r="DP1048489" s="242"/>
      <c r="DQ1048489" s="242"/>
      <c r="DR1048489" s="242"/>
      <c r="DS1048489" s="242"/>
      <c r="DT1048489" s="242"/>
      <c r="DU1048489" s="242"/>
      <c r="DV1048489" s="242"/>
      <c r="DW1048489" s="242"/>
      <c r="DX1048489" s="242"/>
      <c r="DY1048489" s="242"/>
      <c r="DZ1048489" s="242"/>
      <c r="EA1048489" s="242"/>
      <c r="EB1048489" s="242"/>
      <c r="EC1048489" s="242"/>
      <c r="ED1048489" s="242"/>
      <c r="EE1048489" s="242"/>
      <c r="EF1048489" s="242"/>
      <c r="EG1048489" s="242"/>
      <c r="EH1048489" s="242"/>
      <c r="EI1048489" s="242"/>
      <c r="EJ1048489" s="242"/>
      <c r="EK1048489" s="242"/>
      <c r="EL1048489" s="242"/>
      <c r="EM1048489" s="242"/>
      <c r="EN1048489" s="242"/>
      <c r="EO1048489" s="242"/>
      <c r="EP1048489" s="242"/>
      <c r="EQ1048489" s="242"/>
      <c r="ER1048489" s="242"/>
      <c r="ES1048489" s="242"/>
      <c r="ET1048489" s="242"/>
      <c r="EU1048489" s="242"/>
      <c r="EV1048489" s="242"/>
      <c r="EW1048489" s="242"/>
      <c r="EX1048489" s="242"/>
      <c r="EY1048489" s="242"/>
      <c r="EZ1048489" s="242"/>
      <c r="FA1048489" s="242"/>
      <c r="FB1048489" s="242"/>
      <c r="FC1048489" s="242"/>
      <c r="FD1048489" s="242"/>
      <c r="FE1048489" s="242"/>
      <c r="FF1048489" s="242"/>
      <c r="FG1048489" s="242"/>
      <c r="FH1048489" s="242"/>
      <c r="FI1048489" s="242"/>
      <c r="FJ1048489" s="242"/>
      <c r="FK1048489" s="242"/>
      <c r="FL1048489" s="242"/>
      <c r="FM1048489" s="242"/>
      <c r="FN1048489" s="242"/>
      <c r="FO1048489" s="242"/>
      <c r="FP1048489" s="242"/>
      <c r="FQ1048489" s="242"/>
      <c r="FR1048489" s="242"/>
      <c r="FS1048489" s="242"/>
      <c r="FT1048489" s="242"/>
      <c r="FU1048489" s="242"/>
      <c r="FV1048489" s="242"/>
      <c r="FW1048489" s="242"/>
      <c r="FX1048489" s="242"/>
      <c r="FY1048489" s="242"/>
      <c r="FZ1048489" s="242"/>
      <c r="GA1048489" s="242"/>
      <c r="GB1048489" s="242"/>
      <c r="GC1048489" s="242"/>
      <c r="GD1048489" s="242"/>
      <c r="GE1048489" s="242"/>
      <c r="GF1048489" s="242"/>
      <c r="GG1048489" s="242"/>
      <c r="GH1048489" s="242"/>
      <c r="GI1048489" s="242"/>
      <c r="GJ1048489" s="242"/>
      <c r="GK1048489" s="242"/>
      <c r="GL1048489" s="242"/>
      <c r="GM1048489" s="242"/>
      <c r="GN1048489" s="242"/>
      <c r="GO1048489" s="242"/>
      <c r="GP1048489" s="242"/>
      <c r="GQ1048489" s="242"/>
      <c r="GR1048489" s="242"/>
      <c r="GS1048489" s="242"/>
      <c r="GT1048489" s="242"/>
      <c r="GU1048489" s="242"/>
      <c r="GV1048489" s="242"/>
      <c r="GW1048489" s="242"/>
      <c r="GX1048489" s="242"/>
      <c r="GY1048489" s="242"/>
      <c r="GZ1048489" s="242"/>
      <c r="HA1048489" s="242"/>
      <c r="HB1048489" s="242"/>
      <c r="HC1048489" s="242"/>
      <c r="HD1048489" s="242"/>
      <c r="HE1048489" s="242"/>
      <c r="HF1048489" s="242"/>
      <c r="HG1048489" s="242"/>
      <c r="HH1048489" s="242"/>
      <c r="HI1048489" s="242"/>
      <c r="HJ1048489" s="242"/>
      <c r="HK1048489" s="242"/>
      <c r="HL1048489" s="242"/>
      <c r="HM1048489" s="242"/>
      <c r="HN1048489" s="242"/>
      <c r="HO1048489" s="242"/>
      <c r="HP1048489" s="242"/>
      <c r="HQ1048489" s="242"/>
      <c r="HR1048489" s="242"/>
      <c r="HS1048489" s="242"/>
      <c r="HT1048489" s="242"/>
      <c r="HU1048489" s="242"/>
      <c r="HV1048489" s="242"/>
      <c r="HW1048489" s="242"/>
      <c r="HX1048489" s="242"/>
      <c r="HY1048489" s="242"/>
      <c r="HZ1048489" s="242"/>
      <c r="IA1048489" s="242"/>
      <c r="IB1048489" s="242"/>
      <c r="IC1048489" s="242"/>
      <c r="ID1048489" s="242"/>
      <c r="IE1048489" s="242"/>
      <c r="IF1048489" s="242"/>
      <c r="IG1048489" s="242"/>
      <c r="IH1048489" s="242"/>
      <c r="II1048489" s="242"/>
      <c r="IJ1048489" s="242"/>
      <c r="IK1048489" s="242"/>
      <c r="IL1048489" s="242"/>
      <c r="IM1048489" s="242"/>
      <c r="IN1048489" s="242"/>
      <c r="IO1048489" s="242"/>
      <c r="IP1048489" s="242"/>
      <c r="IQ1048489" s="242"/>
    </row>
    <row r="1048490" spans="1:251" s="243" customFormat="1" ht="12" customHeight="1">
      <c r="A1048490" s="242"/>
      <c r="B1048490" s="242"/>
      <c r="C1048490" s="242"/>
      <c r="D1048490" s="242"/>
      <c r="E1048490" s="242"/>
      <c r="F1048490" s="242"/>
      <c r="G1048490" s="242"/>
      <c r="H1048490" s="242"/>
      <c r="I1048490" s="242"/>
      <c r="J1048490" s="242"/>
      <c r="K1048490" s="242"/>
      <c r="L1048490" s="242"/>
      <c r="M1048490" s="242"/>
      <c r="N1048490" s="242"/>
      <c r="O1048490" s="242"/>
      <c r="P1048490" s="242"/>
      <c r="Q1048490" s="242"/>
      <c r="R1048490" s="242"/>
      <c r="S1048490" s="242"/>
      <c r="T1048490" s="242"/>
      <c r="U1048490" s="242"/>
      <c r="V1048490" s="242"/>
      <c r="W1048490" s="242"/>
      <c r="X1048490" s="242"/>
      <c r="Y1048490" s="242"/>
      <c r="Z1048490" s="242"/>
      <c r="AA1048490" s="242"/>
      <c r="AB1048490" s="242"/>
      <c r="AC1048490" s="242"/>
      <c r="AD1048490" s="242"/>
      <c r="AE1048490" s="242"/>
      <c r="AF1048490" s="242"/>
      <c r="AG1048490" s="242"/>
      <c r="AH1048490" s="242"/>
      <c r="AI1048490" s="242"/>
      <c r="AJ1048490" s="242"/>
      <c r="AK1048490" s="242"/>
      <c r="AL1048490" s="242"/>
      <c r="AM1048490" s="242"/>
      <c r="AN1048490" s="242"/>
      <c r="AO1048490" s="242"/>
      <c r="AP1048490" s="242"/>
      <c r="AQ1048490" s="242"/>
      <c r="AR1048490" s="242"/>
      <c r="AS1048490" s="242"/>
      <c r="AT1048490" s="242"/>
      <c r="AU1048490" s="242"/>
      <c r="AV1048490" s="242"/>
      <c r="AW1048490" s="242"/>
      <c r="AX1048490" s="242"/>
      <c r="AY1048490" s="242"/>
      <c r="AZ1048490" s="242"/>
      <c r="BA1048490" s="242"/>
      <c r="BB1048490" s="242"/>
      <c r="BC1048490" s="242"/>
      <c r="BD1048490" s="242"/>
      <c r="BE1048490" s="242"/>
      <c r="BF1048490" s="242"/>
      <c r="BG1048490" s="242"/>
      <c r="BH1048490" s="242"/>
      <c r="BI1048490" s="242"/>
      <c r="BJ1048490" s="242"/>
      <c r="BK1048490" s="242"/>
      <c r="BL1048490" s="242"/>
      <c r="BM1048490" s="242"/>
      <c r="BN1048490" s="242"/>
      <c r="BO1048490" s="242"/>
      <c r="BP1048490" s="242"/>
      <c r="BQ1048490" s="242"/>
      <c r="BR1048490" s="242"/>
      <c r="BS1048490" s="242"/>
      <c r="BT1048490" s="242"/>
      <c r="BU1048490" s="242"/>
      <c r="BV1048490" s="242"/>
      <c r="BW1048490" s="242"/>
      <c r="BX1048490" s="242"/>
      <c r="BY1048490" s="242"/>
      <c r="BZ1048490" s="242"/>
      <c r="CA1048490" s="242"/>
      <c r="CB1048490" s="242"/>
      <c r="CC1048490" s="242"/>
      <c r="CD1048490" s="242"/>
      <c r="CE1048490" s="242"/>
      <c r="CF1048490" s="242"/>
      <c r="CG1048490" s="242"/>
      <c r="CH1048490" s="242"/>
      <c r="CI1048490" s="242"/>
      <c r="CJ1048490" s="242"/>
      <c r="CK1048490" s="242"/>
      <c r="CL1048490" s="242"/>
      <c r="CM1048490" s="242"/>
      <c r="CN1048490" s="242"/>
      <c r="CO1048490" s="242"/>
      <c r="CP1048490" s="242"/>
      <c r="CQ1048490" s="242"/>
      <c r="CR1048490" s="242"/>
      <c r="CS1048490" s="242"/>
      <c r="CT1048490" s="242"/>
      <c r="CU1048490" s="242"/>
      <c r="CV1048490" s="242"/>
      <c r="CW1048490" s="242"/>
      <c r="CX1048490" s="242"/>
      <c r="CY1048490" s="242"/>
      <c r="CZ1048490" s="242"/>
      <c r="DA1048490" s="242"/>
      <c r="DB1048490" s="242"/>
      <c r="DC1048490" s="242"/>
      <c r="DD1048490" s="242"/>
      <c r="DE1048490" s="242"/>
      <c r="DF1048490" s="242"/>
      <c r="DG1048490" s="242"/>
      <c r="DH1048490" s="242"/>
      <c r="DI1048490" s="242"/>
      <c r="DJ1048490" s="242"/>
      <c r="DK1048490" s="242"/>
      <c r="DL1048490" s="242"/>
      <c r="DM1048490" s="242"/>
      <c r="DN1048490" s="242"/>
      <c r="DO1048490" s="242"/>
      <c r="DP1048490" s="242"/>
      <c r="DQ1048490" s="242"/>
      <c r="DR1048490" s="242"/>
      <c r="DS1048490" s="242"/>
      <c r="DT1048490" s="242"/>
      <c r="DU1048490" s="242"/>
      <c r="DV1048490" s="242"/>
      <c r="DW1048490" s="242"/>
      <c r="DX1048490" s="242"/>
      <c r="DY1048490" s="242"/>
      <c r="DZ1048490" s="242"/>
      <c r="EA1048490" s="242"/>
      <c r="EB1048490" s="242"/>
      <c r="EC1048490" s="242"/>
      <c r="ED1048490" s="242"/>
      <c r="EE1048490" s="242"/>
      <c r="EF1048490" s="242"/>
      <c r="EG1048490" s="242"/>
      <c r="EH1048490" s="242"/>
      <c r="EI1048490" s="242"/>
      <c r="EJ1048490" s="242"/>
      <c r="EK1048490" s="242"/>
      <c r="EL1048490" s="242"/>
      <c r="EM1048490" s="242"/>
      <c r="EN1048490" s="242"/>
      <c r="EO1048490" s="242"/>
      <c r="EP1048490" s="242"/>
      <c r="EQ1048490" s="242"/>
      <c r="ER1048490" s="242"/>
      <c r="ES1048490" s="242"/>
      <c r="ET1048490" s="242"/>
      <c r="EU1048490" s="242"/>
      <c r="EV1048490" s="242"/>
      <c r="EW1048490" s="242"/>
      <c r="EX1048490" s="242"/>
      <c r="EY1048490" s="242"/>
      <c r="EZ1048490" s="242"/>
      <c r="FA1048490" s="242"/>
      <c r="FB1048490" s="242"/>
      <c r="FC1048490" s="242"/>
      <c r="FD1048490" s="242"/>
      <c r="FE1048490" s="242"/>
      <c r="FF1048490" s="242"/>
      <c r="FG1048490" s="242"/>
      <c r="FH1048490" s="242"/>
      <c r="FI1048490" s="242"/>
      <c r="FJ1048490" s="242"/>
      <c r="FK1048490" s="242"/>
      <c r="FL1048490" s="242"/>
      <c r="FM1048490" s="242"/>
      <c r="FN1048490" s="242"/>
      <c r="FO1048490" s="242"/>
      <c r="FP1048490" s="242"/>
      <c r="FQ1048490" s="242"/>
      <c r="FR1048490" s="242"/>
      <c r="FS1048490" s="242"/>
      <c r="FT1048490" s="242"/>
      <c r="FU1048490" s="242"/>
      <c r="FV1048490" s="242"/>
      <c r="FW1048490" s="242"/>
      <c r="FX1048490" s="242"/>
      <c r="FY1048490" s="242"/>
      <c r="FZ1048490" s="242"/>
      <c r="GA1048490" s="242"/>
      <c r="GB1048490" s="242"/>
      <c r="GC1048490" s="242"/>
      <c r="GD1048490" s="242"/>
      <c r="GE1048490" s="242"/>
      <c r="GF1048490" s="242"/>
      <c r="GG1048490" s="242"/>
      <c r="GH1048490" s="242"/>
      <c r="GI1048490" s="242"/>
      <c r="GJ1048490" s="242"/>
      <c r="GK1048490" s="242"/>
      <c r="GL1048490" s="242"/>
      <c r="GM1048490" s="242"/>
      <c r="GN1048490" s="242"/>
      <c r="GO1048490" s="242"/>
      <c r="GP1048490" s="242"/>
      <c r="GQ1048490" s="242"/>
      <c r="GR1048490" s="242"/>
      <c r="GS1048490" s="242"/>
      <c r="GT1048490" s="242"/>
      <c r="GU1048490" s="242"/>
      <c r="GV1048490" s="242"/>
      <c r="GW1048490" s="242"/>
      <c r="GX1048490" s="242"/>
      <c r="GY1048490" s="242"/>
      <c r="GZ1048490" s="242"/>
      <c r="HA1048490" s="242"/>
      <c r="HB1048490" s="242"/>
      <c r="HC1048490" s="242"/>
      <c r="HD1048490" s="242"/>
      <c r="HE1048490" s="242"/>
      <c r="HF1048490" s="242"/>
      <c r="HG1048490" s="242"/>
      <c r="HH1048490" s="242"/>
      <c r="HI1048490" s="242"/>
      <c r="HJ1048490" s="242"/>
      <c r="HK1048490" s="242"/>
      <c r="HL1048490" s="242"/>
      <c r="HM1048490" s="242"/>
      <c r="HN1048490" s="242"/>
      <c r="HO1048490" s="242"/>
      <c r="HP1048490" s="242"/>
      <c r="HQ1048490" s="242"/>
      <c r="HR1048490" s="242"/>
      <c r="HS1048490" s="242"/>
      <c r="HT1048490" s="242"/>
      <c r="HU1048490" s="242"/>
      <c r="HV1048490" s="242"/>
      <c r="HW1048490" s="242"/>
      <c r="HX1048490" s="242"/>
      <c r="HY1048490" s="242"/>
      <c r="HZ1048490" s="242"/>
      <c r="IA1048490" s="242"/>
      <c r="IB1048490" s="242"/>
      <c r="IC1048490" s="242"/>
      <c r="ID1048490" s="242"/>
      <c r="IE1048490" s="242"/>
      <c r="IF1048490" s="242"/>
      <c r="IG1048490" s="242"/>
      <c r="IH1048490" s="242"/>
      <c r="II1048490" s="242"/>
      <c r="IJ1048490" s="242"/>
      <c r="IK1048490" s="242"/>
      <c r="IL1048490" s="242"/>
      <c r="IM1048490" s="242"/>
      <c r="IN1048490" s="242"/>
      <c r="IO1048490" s="242"/>
      <c r="IP1048490" s="242"/>
      <c r="IQ1048490" s="242"/>
    </row>
    <row r="1048491" spans="1:251" s="243" customFormat="1" ht="12" customHeight="1">
      <c r="A1048491" s="242"/>
      <c r="B1048491" s="242"/>
      <c r="C1048491" s="242"/>
      <c r="D1048491" s="242"/>
      <c r="E1048491" s="242"/>
      <c r="F1048491" s="242"/>
      <c r="G1048491" s="242"/>
      <c r="H1048491" s="242"/>
      <c r="I1048491" s="242"/>
      <c r="J1048491" s="242"/>
      <c r="K1048491" s="242"/>
      <c r="L1048491" s="242"/>
      <c r="M1048491" s="242"/>
      <c r="N1048491" s="242"/>
      <c r="O1048491" s="242"/>
      <c r="P1048491" s="242"/>
      <c r="Q1048491" s="242"/>
      <c r="R1048491" s="242"/>
      <c r="S1048491" s="242"/>
      <c r="T1048491" s="242"/>
      <c r="U1048491" s="242"/>
      <c r="V1048491" s="242"/>
      <c r="W1048491" s="242"/>
      <c r="X1048491" s="242"/>
      <c r="Y1048491" s="242"/>
      <c r="Z1048491" s="242"/>
      <c r="AA1048491" s="242"/>
      <c r="AB1048491" s="242"/>
      <c r="AC1048491" s="242"/>
      <c r="AD1048491" s="242"/>
      <c r="AE1048491" s="242"/>
      <c r="AF1048491" s="242"/>
      <c r="AG1048491" s="242"/>
      <c r="AH1048491" s="242"/>
      <c r="AI1048491" s="242"/>
      <c r="AJ1048491" s="242"/>
      <c r="AK1048491" s="242"/>
      <c r="AL1048491" s="242"/>
      <c r="AM1048491" s="242"/>
      <c r="AN1048491" s="242"/>
      <c r="AO1048491" s="242"/>
      <c r="AP1048491" s="242"/>
      <c r="AQ1048491" s="242"/>
      <c r="AR1048491" s="242"/>
      <c r="AS1048491" s="242"/>
      <c r="AT1048491" s="242"/>
      <c r="AU1048491" s="242"/>
      <c r="AV1048491" s="242"/>
      <c r="AW1048491" s="242"/>
      <c r="AX1048491" s="242"/>
      <c r="AY1048491" s="242"/>
      <c r="AZ1048491" s="242"/>
      <c r="BA1048491" s="242"/>
      <c r="BB1048491" s="242"/>
      <c r="BC1048491" s="242"/>
      <c r="BD1048491" s="242"/>
      <c r="BE1048491" s="242"/>
      <c r="BF1048491" s="242"/>
      <c r="BG1048491" s="242"/>
      <c r="BH1048491" s="242"/>
      <c r="BI1048491" s="242"/>
      <c r="BJ1048491" s="242"/>
      <c r="BK1048491" s="242"/>
      <c r="BL1048491" s="242"/>
      <c r="BM1048491" s="242"/>
      <c r="BN1048491" s="242"/>
      <c r="BO1048491" s="242"/>
      <c r="BP1048491" s="242"/>
      <c r="BQ1048491" s="242"/>
      <c r="BR1048491" s="242"/>
      <c r="BS1048491" s="242"/>
      <c r="BT1048491" s="242"/>
      <c r="BU1048491" s="242"/>
      <c r="BV1048491" s="242"/>
      <c r="BW1048491" s="242"/>
      <c r="BX1048491" s="242"/>
      <c r="BY1048491" s="242"/>
      <c r="BZ1048491" s="242"/>
      <c r="CA1048491" s="242"/>
      <c r="CB1048491" s="242"/>
      <c r="CC1048491" s="242"/>
      <c r="CD1048491" s="242"/>
      <c r="CE1048491" s="242"/>
      <c r="CF1048491" s="242"/>
      <c r="CG1048491" s="242"/>
      <c r="CH1048491" s="242"/>
      <c r="CI1048491" s="242"/>
      <c r="CJ1048491" s="242"/>
      <c r="CK1048491" s="242"/>
      <c r="CL1048491" s="242"/>
      <c r="CM1048491" s="242"/>
      <c r="CN1048491" s="242"/>
      <c r="CO1048491" s="242"/>
      <c r="CP1048491" s="242"/>
      <c r="CQ1048491" s="242"/>
      <c r="CR1048491" s="242"/>
      <c r="CS1048491" s="242"/>
      <c r="CT1048491" s="242"/>
      <c r="CU1048491" s="242"/>
      <c r="CV1048491" s="242"/>
      <c r="CW1048491" s="242"/>
      <c r="CX1048491" s="242"/>
      <c r="CY1048491" s="242"/>
      <c r="CZ1048491" s="242"/>
      <c r="DA1048491" s="242"/>
      <c r="DB1048491" s="242"/>
      <c r="DC1048491" s="242"/>
      <c r="DD1048491" s="242"/>
      <c r="DE1048491" s="242"/>
      <c r="DF1048491" s="242"/>
      <c r="DG1048491" s="242"/>
      <c r="DH1048491" s="242"/>
      <c r="DI1048491" s="242"/>
      <c r="DJ1048491" s="242"/>
      <c r="DK1048491" s="242"/>
      <c r="DL1048491" s="242"/>
      <c r="DM1048491" s="242"/>
      <c r="DN1048491" s="242"/>
      <c r="DO1048491" s="242"/>
      <c r="DP1048491" s="242"/>
      <c r="DQ1048491" s="242"/>
      <c r="DR1048491" s="242"/>
      <c r="DS1048491" s="242"/>
      <c r="DT1048491" s="242"/>
      <c r="DU1048491" s="242"/>
      <c r="DV1048491" s="242"/>
      <c r="DW1048491" s="242"/>
      <c r="DX1048491" s="242"/>
      <c r="DY1048491" s="242"/>
      <c r="DZ1048491" s="242"/>
      <c r="EA1048491" s="242"/>
      <c r="EB1048491" s="242"/>
      <c r="EC1048491" s="242"/>
      <c r="ED1048491" s="242"/>
      <c r="EE1048491" s="242"/>
      <c r="EF1048491" s="242"/>
      <c r="EG1048491" s="242"/>
      <c r="EH1048491" s="242"/>
      <c r="EI1048491" s="242"/>
      <c r="EJ1048491" s="242"/>
      <c r="EK1048491" s="242"/>
      <c r="EL1048491" s="242"/>
      <c r="EM1048491" s="242"/>
      <c r="EN1048491" s="242"/>
      <c r="EO1048491" s="242"/>
      <c r="EP1048491" s="242"/>
      <c r="EQ1048491" s="242"/>
      <c r="ER1048491" s="242"/>
      <c r="ES1048491" s="242"/>
      <c r="ET1048491" s="242"/>
      <c r="EU1048491" s="242"/>
      <c r="EV1048491" s="242"/>
      <c r="EW1048491" s="242"/>
      <c r="EX1048491" s="242"/>
      <c r="EY1048491" s="242"/>
      <c r="EZ1048491" s="242"/>
      <c r="FA1048491" s="242"/>
      <c r="FB1048491" s="242"/>
      <c r="FC1048491" s="242"/>
      <c r="FD1048491" s="242"/>
      <c r="FE1048491" s="242"/>
      <c r="FF1048491" s="242"/>
      <c r="FG1048491" s="242"/>
      <c r="FH1048491" s="242"/>
      <c r="FI1048491" s="242"/>
      <c r="FJ1048491" s="242"/>
      <c r="FK1048491" s="242"/>
      <c r="FL1048491" s="242"/>
      <c r="FM1048491" s="242"/>
      <c r="FN1048491" s="242"/>
      <c r="FO1048491" s="242"/>
      <c r="FP1048491" s="242"/>
      <c r="FQ1048491" s="242"/>
      <c r="FR1048491" s="242"/>
      <c r="FS1048491" s="242"/>
      <c r="FT1048491" s="242"/>
      <c r="FU1048491" s="242"/>
      <c r="FV1048491" s="242"/>
      <c r="FW1048491" s="242"/>
      <c r="FX1048491" s="242"/>
      <c r="FY1048491" s="242"/>
      <c r="FZ1048491" s="242"/>
      <c r="GA1048491" s="242"/>
      <c r="GB1048491" s="242"/>
      <c r="GC1048491" s="242"/>
      <c r="GD1048491" s="242"/>
      <c r="GE1048491" s="242"/>
      <c r="GF1048491" s="242"/>
      <c r="GG1048491" s="242"/>
      <c r="GH1048491" s="242"/>
      <c r="GI1048491" s="242"/>
      <c r="GJ1048491" s="242"/>
      <c r="GK1048491" s="242"/>
      <c r="GL1048491" s="242"/>
      <c r="GM1048491" s="242"/>
      <c r="GN1048491" s="242"/>
      <c r="GO1048491" s="242"/>
      <c r="GP1048491" s="242"/>
      <c r="GQ1048491" s="242"/>
      <c r="GR1048491" s="242"/>
      <c r="GS1048491" s="242"/>
      <c r="GT1048491" s="242"/>
      <c r="GU1048491" s="242"/>
      <c r="GV1048491" s="242"/>
      <c r="GW1048491" s="242"/>
      <c r="GX1048491" s="242"/>
      <c r="GY1048491" s="242"/>
      <c r="GZ1048491" s="242"/>
      <c r="HA1048491" s="242"/>
      <c r="HB1048491" s="242"/>
      <c r="HC1048491" s="242"/>
      <c r="HD1048491" s="242"/>
      <c r="HE1048491" s="242"/>
      <c r="HF1048491" s="242"/>
      <c r="HG1048491" s="242"/>
      <c r="HH1048491" s="242"/>
      <c r="HI1048491" s="242"/>
      <c r="HJ1048491" s="242"/>
      <c r="HK1048491" s="242"/>
      <c r="HL1048491" s="242"/>
      <c r="HM1048491" s="242"/>
      <c r="HN1048491" s="242"/>
      <c r="HO1048491" s="242"/>
      <c r="HP1048491" s="242"/>
      <c r="HQ1048491" s="242"/>
      <c r="HR1048491" s="242"/>
      <c r="HS1048491" s="242"/>
      <c r="HT1048491" s="242"/>
      <c r="HU1048491" s="242"/>
      <c r="HV1048491" s="242"/>
      <c r="HW1048491" s="242"/>
      <c r="HX1048491" s="242"/>
      <c r="HY1048491" s="242"/>
      <c r="HZ1048491" s="242"/>
      <c r="IA1048491" s="242"/>
      <c r="IB1048491" s="242"/>
      <c r="IC1048491" s="242"/>
      <c r="ID1048491" s="242"/>
      <c r="IE1048491" s="242"/>
      <c r="IF1048491" s="242"/>
      <c r="IG1048491" s="242"/>
      <c r="IH1048491" s="242"/>
      <c r="II1048491" s="242"/>
      <c r="IJ1048491" s="242"/>
      <c r="IK1048491" s="242"/>
      <c r="IL1048491" s="242"/>
      <c r="IM1048491" s="242"/>
      <c r="IN1048491" s="242"/>
      <c r="IO1048491" s="242"/>
      <c r="IP1048491" s="242"/>
      <c r="IQ1048491" s="242"/>
    </row>
    <row r="1048492" spans="1:251" s="243" customFormat="1" ht="12" customHeight="1">
      <c r="A1048492" s="242"/>
      <c r="B1048492" s="242"/>
      <c r="C1048492" s="242"/>
      <c r="D1048492" s="242"/>
      <c r="E1048492" s="242"/>
      <c r="F1048492" s="242"/>
      <c r="G1048492" s="242"/>
      <c r="H1048492" s="242"/>
      <c r="I1048492" s="242"/>
      <c r="J1048492" s="242"/>
      <c r="K1048492" s="242"/>
      <c r="L1048492" s="242"/>
      <c r="M1048492" s="242"/>
      <c r="N1048492" s="242"/>
      <c r="O1048492" s="242"/>
      <c r="P1048492" s="242"/>
      <c r="Q1048492" s="242"/>
      <c r="R1048492" s="242"/>
      <c r="S1048492" s="242"/>
      <c r="T1048492" s="242"/>
      <c r="U1048492" s="242"/>
      <c r="V1048492" s="242"/>
      <c r="W1048492" s="242"/>
      <c r="X1048492" s="242"/>
      <c r="Y1048492" s="242"/>
      <c r="Z1048492" s="242"/>
      <c r="AA1048492" s="242"/>
      <c r="AB1048492" s="242"/>
      <c r="AC1048492" s="242"/>
      <c r="AD1048492" s="242"/>
      <c r="AE1048492" s="242"/>
      <c r="AF1048492" s="242"/>
      <c r="AG1048492" s="242"/>
      <c r="AH1048492" s="242"/>
      <c r="AI1048492" s="242"/>
      <c r="AJ1048492" s="242"/>
      <c r="AK1048492" s="242"/>
      <c r="AL1048492" s="242"/>
      <c r="AM1048492" s="242"/>
      <c r="AN1048492" s="242"/>
      <c r="AO1048492" s="242"/>
      <c r="AP1048492" s="242"/>
      <c r="AQ1048492" s="242"/>
      <c r="AR1048492" s="242"/>
      <c r="AS1048492" s="242"/>
      <c r="AT1048492" s="242"/>
      <c r="AU1048492" s="242"/>
      <c r="AV1048492" s="242"/>
      <c r="AW1048492" s="242"/>
      <c r="AX1048492" s="242"/>
      <c r="AY1048492" s="242"/>
      <c r="AZ1048492" s="242"/>
      <c r="BA1048492" s="242"/>
      <c r="BB1048492" s="242"/>
      <c r="BC1048492" s="242"/>
      <c r="BD1048492" s="242"/>
      <c r="BE1048492" s="242"/>
      <c r="BF1048492" s="242"/>
      <c r="BG1048492" s="242"/>
      <c r="BH1048492" s="242"/>
      <c r="BI1048492" s="242"/>
      <c r="BJ1048492" s="242"/>
      <c r="BK1048492" s="242"/>
      <c r="BL1048492" s="242"/>
      <c r="BM1048492" s="242"/>
      <c r="BN1048492" s="242"/>
      <c r="BO1048492" s="242"/>
      <c r="BP1048492" s="242"/>
      <c r="BQ1048492" s="242"/>
      <c r="BR1048492" s="242"/>
      <c r="BS1048492" s="242"/>
      <c r="BT1048492" s="242"/>
      <c r="BU1048492" s="242"/>
      <c r="BV1048492" s="242"/>
      <c r="BW1048492" s="242"/>
      <c r="BX1048492" s="242"/>
      <c r="BY1048492" s="242"/>
      <c r="BZ1048492" s="242"/>
      <c r="CA1048492" s="242"/>
      <c r="CB1048492" s="242"/>
      <c r="CC1048492" s="242"/>
      <c r="CD1048492" s="242"/>
      <c r="CE1048492" s="242"/>
      <c r="CF1048492" s="242"/>
      <c r="CG1048492" s="242"/>
      <c r="CH1048492" s="242"/>
      <c r="CI1048492" s="242"/>
      <c r="CJ1048492" s="242"/>
      <c r="CK1048492" s="242"/>
      <c r="CL1048492" s="242"/>
      <c r="CM1048492" s="242"/>
      <c r="CN1048492" s="242"/>
      <c r="CO1048492" s="242"/>
      <c r="CP1048492" s="242"/>
      <c r="CQ1048492" s="242"/>
      <c r="CR1048492" s="242"/>
      <c r="CS1048492" s="242"/>
      <c r="CT1048492" s="242"/>
      <c r="CU1048492" s="242"/>
      <c r="CV1048492" s="242"/>
      <c r="CW1048492" s="242"/>
      <c r="CX1048492" s="242"/>
      <c r="CY1048492" s="242"/>
      <c r="CZ1048492" s="242"/>
      <c r="DA1048492" s="242"/>
      <c r="DB1048492" s="242"/>
      <c r="DC1048492" s="242"/>
      <c r="DD1048492" s="242"/>
      <c r="DE1048492" s="242"/>
      <c r="DF1048492" s="242"/>
      <c r="DG1048492" s="242"/>
      <c r="DH1048492" s="242"/>
      <c r="DI1048492" s="242"/>
      <c r="DJ1048492" s="242"/>
      <c r="DK1048492" s="242"/>
      <c r="DL1048492" s="242"/>
      <c r="DM1048492" s="242"/>
      <c r="DN1048492" s="242"/>
      <c r="DO1048492" s="242"/>
      <c r="DP1048492" s="242"/>
      <c r="DQ1048492" s="242"/>
      <c r="DR1048492" s="242"/>
      <c r="DS1048492" s="242"/>
      <c r="DT1048492" s="242"/>
      <c r="DU1048492" s="242"/>
      <c r="DV1048492" s="242"/>
      <c r="DW1048492" s="242"/>
      <c r="DX1048492" s="242"/>
      <c r="DY1048492" s="242"/>
      <c r="DZ1048492" s="242"/>
      <c r="EA1048492" s="242"/>
      <c r="EB1048492" s="242"/>
      <c r="EC1048492" s="242"/>
      <c r="ED1048492" s="242"/>
      <c r="EE1048492" s="242"/>
      <c r="EF1048492" s="242"/>
      <c r="EG1048492" s="242"/>
      <c r="EH1048492" s="242"/>
      <c r="EI1048492" s="242"/>
      <c r="EJ1048492" s="242"/>
      <c r="EK1048492" s="242"/>
      <c r="EL1048492" s="242"/>
      <c r="EM1048492" s="242"/>
      <c r="EN1048492" s="242"/>
      <c r="EO1048492" s="242"/>
      <c r="EP1048492" s="242"/>
      <c r="EQ1048492" s="242"/>
      <c r="ER1048492" s="242"/>
      <c r="ES1048492" s="242"/>
      <c r="ET1048492" s="242"/>
      <c r="EU1048492" s="242"/>
      <c r="EV1048492" s="242"/>
      <c r="EW1048492" s="242"/>
      <c r="EX1048492" s="242"/>
      <c r="EY1048492" s="242"/>
      <c r="EZ1048492" s="242"/>
      <c r="FA1048492" s="242"/>
      <c r="FB1048492" s="242"/>
      <c r="FC1048492" s="242"/>
      <c r="FD1048492" s="242"/>
      <c r="FE1048492" s="242"/>
      <c r="FF1048492" s="242"/>
      <c r="FG1048492" s="242"/>
      <c r="FH1048492" s="242"/>
      <c r="FI1048492" s="242"/>
      <c r="FJ1048492" s="242"/>
      <c r="FK1048492" s="242"/>
      <c r="FL1048492" s="242"/>
      <c r="FM1048492" s="242"/>
      <c r="FN1048492" s="242"/>
      <c r="FO1048492" s="242"/>
      <c r="FP1048492" s="242"/>
      <c r="FQ1048492" s="242"/>
      <c r="FR1048492" s="242"/>
      <c r="FS1048492" s="242"/>
      <c r="FT1048492" s="242"/>
      <c r="FU1048492" s="242"/>
      <c r="FV1048492" s="242"/>
      <c r="FW1048492" s="242"/>
      <c r="FX1048492" s="242"/>
      <c r="FY1048492" s="242"/>
      <c r="FZ1048492" s="242"/>
      <c r="GA1048492" s="242"/>
      <c r="GB1048492" s="242"/>
      <c r="GC1048492" s="242"/>
      <c r="GD1048492" s="242"/>
      <c r="GE1048492" s="242"/>
      <c r="GF1048492" s="242"/>
      <c r="GG1048492" s="242"/>
      <c r="GH1048492" s="242"/>
      <c r="GI1048492" s="242"/>
      <c r="GJ1048492" s="242"/>
      <c r="GK1048492" s="242"/>
      <c r="GL1048492" s="242"/>
      <c r="GM1048492" s="242"/>
      <c r="GN1048492" s="242"/>
      <c r="GO1048492" s="242"/>
      <c r="GP1048492" s="242"/>
      <c r="GQ1048492" s="242"/>
      <c r="GR1048492" s="242"/>
      <c r="GS1048492" s="242"/>
      <c r="GT1048492" s="242"/>
      <c r="GU1048492" s="242"/>
      <c r="GV1048492" s="242"/>
      <c r="GW1048492" s="242"/>
      <c r="GX1048492" s="242"/>
      <c r="GY1048492" s="242"/>
      <c r="GZ1048492" s="242"/>
      <c r="HA1048492" s="242"/>
      <c r="HB1048492" s="242"/>
      <c r="HC1048492" s="242"/>
      <c r="HD1048492" s="242"/>
      <c r="HE1048492" s="242"/>
      <c r="HF1048492" s="242"/>
      <c r="HG1048492" s="242"/>
      <c r="HH1048492" s="242"/>
      <c r="HI1048492" s="242"/>
      <c r="HJ1048492" s="242"/>
      <c r="HK1048492" s="242"/>
      <c r="HL1048492" s="242"/>
      <c r="HM1048492" s="242"/>
      <c r="HN1048492" s="242"/>
      <c r="HO1048492" s="242"/>
      <c r="HP1048492" s="242"/>
      <c r="HQ1048492" s="242"/>
      <c r="HR1048492" s="242"/>
      <c r="HS1048492" s="242"/>
      <c r="HT1048492" s="242"/>
      <c r="HU1048492" s="242"/>
      <c r="HV1048492" s="242"/>
      <c r="HW1048492" s="242"/>
      <c r="HX1048492" s="242"/>
      <c r="HY1048492" s="242"/>
      <c r="HZ1048492" s="242"/>
      <c r="IA1048492" s="242"/>
      <c r="IB1048492" s="242"/>
      <c r="IC1048492" s="242"/>
      <c r="ID1048492" s="242"/>
      <c r="IE1048492" s="242"/>
      <c r="IF1048492" s="242"/>
      <c r="IG1048492" s="242"/>
      <c r="IH1048492" s="242"/>
      <c r="II1048492" s="242"/>
      <c r="IJ1048492" s="242"/>
      <c r="IK1048492" s="242"/>
      <c r="IL1048492" s="242"/>
      <c r="IM1048492" s="242"/>
      <c r="IN1048492" s="242"/>
      <c r="IO1048492" s="242"/>
      <c r="IP1048492" s="242"/>
      <c r="IQ1048492" s="242"/>
    </row>
    <row r="1048493" spans="1:251" s="243" customFormat="1" ht="12" customHeight="1">
      <c r="A1048493" s="242"/>
      <c r="B1048493" s="242"/>
      <c r="C1048493" s="242"/>
      <c r="D1048493" s="242"/>
      <c r="E1048493" s="242"/>
      <c r="F1048493" s="242"/>
      <c r="G1048493" s="242"/>
      <c r="H1048493" s="242"/>
      <c r="I1048493" s="242"/>
      <c r="J1048493" s="242"/>
      <c r="K1048493" s="242"/>
      <c r="L1048493" s="242"/>
      <c r="M1048493" s="242"/>
      <c r="N1048493" s="242"/>
      <c r="O1048493" s="242"/>
      <c r="P1048493" s="242"/>
      <c r="Q1048493" s="242"/>
      <c r="R1048493" s="242"/>
      <c r="S1048493" s="242"/>
      <c r="T1048493" s="242"/>
      <c r="U1048493" s="242"/>
      <c r="V1048493" s="242"/>
      <c r="W1048493" s="242"/>
      <c r="X1048493" s="242"/>
      <c r="Y1048493" s="242"/>
      <c r="Z1048493" s="242"/>
      <c r="AA1048493" s="242"/>
      <c r="AB1048493" s="242"/>
      <c r="AC1048493" s="242"/>
      <c r="AD1048493" s="242"/>
      <c r="AE1048493" s="242"/>
      <c r="AF1048493" s="242"/>
      <c r="AG1048493" s="242"/>
      <c r="AH1048493" s="242"/>
      <c r="AI1048493" s="242"/>
      <c r="AJ1048493" s="242"/>
      <c r="AK1048493" s="242"/>
      <c r="AL1048493" s="242"/>
      <c r="AM1048493" s="242"/>
      <c r="AN1048493" s="242"/>
      <c r="AO1048493" s="242"/>
      <c r="AP1048493" s="242"/>
      <c r="AQ1048493" s="242"/>
      <c r="AR1048493" s="242"/>
      <c r="AS1048493" s="242"/>
      <c r="AT1048493" s="242"/>
      <c r="AU1048493" s="242"/>
      <c r="AV1048493" s="242"/>
      <c r="AW1048493" s="242"/>
      <c r="AX1048493" s="242"/>
      <c r="AY1048493" s="242"/>
      <c r="AZ1048493" s="242"/>
      <c r="BA1048493" s="242"/>
      <c r="BB1048493" s="242"/>
      <c r="BC1048493" s="242"/>
      <c r="BD1048493" s="242"/>
      <c r="BE1048493" s="242"/>
      <c r="BF1048493" s="242"/>
      <c r="BG1048493" s="242"/>
      <c r="BH1048493" s="242"/>
      <c r="BI1048493" s="242"/>
      <c r="BJ1048493" s="242"/>
      <c r="BK1048493" s="242"/>
      <c r="BL1048493" s="242"/>
      <c r="BM1048493" s="242"/>
      <c r="BN1048493" s="242"/>
      <c r="BO1048493" s="242"/>
      <c r="BP1048493" s="242"/>
      <c r="BQ1048493" s="242"/>
      <c r="BR1048493" s="242"/>
      <c r="BS1048493" s="242"/>
      <c r="BT1048493" s="242"/>
      <c r="BU1048493" s="242"/>
      <c r="BV1048493" s="242"/>
      <c r="BW1048493" s="242"/>
      <c r="BX1048493" s="242"/>
      <c r="BY1048493" s="242"/>
      <c r="BZ1048493" s="242"/>
      <c r="CA1048493" s="242"/>
      <c r="CB1048493" s="242"/>
      <c r="CC1048493" s="242"/>
      <c r="CD1048493" s="242"/>
      <c r="CE1048493" s="242"/>
      <c r="CF1048493" s="242"/>
      <c r="CG1048493" s="242"/>
      <c r="CH1048493" s="242"/>
      <c r="CI1048493" s="242"/>
      <c r="CJ1048493" s="242"/>
      <c r="CK1048493" s="242"/>
      <c r="CL1048493" s="242"/>
      <c r="CM1048493" s="242"/>
      <c r="CN1048493" s="242"/>
      <c r="CO1048493" s="242"/>
      <c r="CP1048493" s="242"/>
      <c r="CQ1048493" s="242"/>
      <c r="CR1048493" s="242"/>
      <c r="CS1048493" s="242"/>
      <c r="CT1048493" s="242"/>
      <c r="CU1048493" s="242"/>
      <c r="CV1048493" s="242"/>
      <c r="CW1048493" s="242"/>
      <c r="CX1048493" s="242"/>
      <c r="CY1048493" s="242"/>
      <c r="CZ1048493" s="242"/>
      <c r="DA1048493" s="242"/>
      <c r="DB1048493" s="242"/>
      <c r="DC1048493" s="242"/>
      <c r="DD1048493" s="242"/>
      <c r="DE1048493" s="242"/>
      <c r="DF1048493" s="242"/>
      <c r="DG1048493" s="242"/>
      <c r="DH1048493" s="242"/>
      <c r="DI1048493" s="242"/>
      <c r="DJ1048493" s="242"/>
      <c r="DK1048493" s="242"/>
      <c r="DL1048493" s="242"/>
      <c r="DM1048493" s="242"/>
      <c r="DN1048493" s="242"/>
      <c r="DO1048493" s="242"/>
      <c r="DP1048493" s="242"/>
      <c r="DQ1048493" s="242"/>
      <c r="DR1048493" s="242"/>
      <c r="DS1048493" s="242"/>
      <c r="DT1048493" s="242"/>
      <c r="DU1048493" s="242"/>
      <c r="DV1048493" s="242"/>
      <c r="DW1048493" s="242"/>
      <c r="DX1048493" s="242"/>
      <c r="DY1048493" s="242"/>
      <c r="DZ1048493" s="242"/>
      <c r="EA1048493" s="242"/>
      <c r="EB1048493" s="242"/>
      <c r="EC1048493" s="242"/>
      <c r="ED1048493" s="242"/>
      <c r="EE1048493" s="242"/>
      <c r="EF1048493" s="242"/>
      <c r="EG1048493" s="242"/>
      <c r="EH1048493" s="242"/>
      <c r="EI1048493" s="242"/>
      <c r="EJ1048493" s="242"/>
      <c r="EK1048493" s="242"/>
      <c r="EL1048493" s="242"/>
      <c r="EM1048493" s="242"/>
      <c r="EN1048493" s="242"/>
      <c r="EO1048493" s="242"/>
      <c r="EP1048493" s="242"/>
      <c r="EQ1048493" s="242"/>
      <c r="ER1048493" s="242"/>
      <c r="ES1048493" s="242"/>
      <c r="ET1048493" s="242"/>
      <c r="EU1048493" s="242"/>
      <c r="EV1048493" s="242"/>
      <c r="EW1048493" s="242"/>
      <c r="EX1048493" s="242"/>
      <c r="EY1048493" s="242"/>
      <c r="EZ1048493" s="242"/>
      <c r="FA1048493" s="242"/>
      <c r="FB1048493" s="242"/>
      <c r="FC1048493" s="242"/>
      <c r="FD1048493" s="242"/>
      <c r="FE1048493" s="242"/>
      <c r="FF1048493" s="242"/>
      <c r="FG1048493" s="242"/>
      <c r="FH1048493" s="242"/>
      <c r="FI1048493" s="242"/>
      <c r="FJ1048493" s="242"/>
      <c r="FK1048493" s="242"/>
      <c r="FL1048493" s="242"/>
      <c r="FM1048493" s="242"/>
      <c r="FN1048493" s="242"/>
      <c r="FO1048493" s="242"/>
      <c r="FP1048493" s="242"/>
      <c r="FQ1048493" s="242"/>
      <c r="FR1048493" s="242"/>
      <c r="FS1048493" s="242"/>
      <c r="FT1048493" s="242"/>
      <c r="FU1048493" s="242"/>
      <c r="FV1048493" s="242"/>
      <c r="FW1048493" s="242"/>
      <c r="FX1048493" s="242"/>
      <c r="FY1048493" s="242"/>
      <c r="FZ1048493" s="242"/>
      <c r="GA1048493" s="242"/>
      <c r="GB1048493" s="242"/>
      <c r="GC1048493" s="242"/>
      <c r="GD1048493" s="242"/>
      <c r="GE1048493" s="242"/>
      <c r="GF1048493" s="242"/>
      <c r="GG1048493" s="242"/>
      <c r="GH1048493" s="242"/>
      <c r="GI1048493" s="242"/>
      <c r="GJ1048493" s="242"/>
      <c r="GK1048493" s="242"/>
      <c r="GL1048493" s="242"/>
      <c r="GM1048493" s="242"/>
      <c r="GN1048493" s="242"/>
      <c r="GO1048493" s="242"/>
      <c r="GP1048493" s="242"/>
      <c r="GQ1048493" s="242"/>
      <c r="GR1048493" s="242"/>
      <c r="GS1048493" s="242"/>
      <c r="GT1048493" s="242"/>
      <c r="GU1048493" s="242"/>
      <c r="GV1048493" s="242"/>
      <c r="GW1048493" s="242"/>
      <c r="GX1048493" s="242"/>
      <c r="GY1048493" s="242"/>
      <c r="GZ1048493" s="242"/>
      <c r="HA1048493" s="242"/>
      <c r="HB1048493" s="242"/>
      <c r="HC1048493" s="242"/>
      <c r="HD1048493" s="242"/>
      <c r="HE1048493" s="242"/>
      <c r="HF1048493" s="242"/>
      <c r="HG1048493" s="242"/>
      <c r="HH1048493" s="242"/>
      <c r="HI1048493" s="242"/>
      <c r="HJ1048493" s="242"/>
      <c r="HK1048493" s="242"/>
      <c r="HL1048493" s="242"/>
      <c r="HM1048493" s="242"/>
      <c r="HN1048493" s="242"/>
      <c r="HO1048493" s="242"/>
      <c r="HP1048493" s="242"/>
      <c r="HQ1048493" s="242"/>
      <c r="HR1048493" s="242"/>
      <c r="HS1048493" s="242"/>
      <c r="HT1048493" s="242"/>
      <c r="HU1048493" s="242"/>
      <c r="HV1048493" s="242"/>
      <c r="HW1048493" s="242"/>
      <c r="HX1048493" s="242"/>
      <c r="HY1048493" s="242"/>
      <c r="HZ1048493" s="242"/>
      <c r="IA1048493" s="242"/>
      <c r="IB1048493" s="242"/>
      <c r="IC1048493" s="242"/>
      <c r="ID1048493" s="242"/>
      <c r="IE1048493" s="242"/>
      <c r="IF1048493" s="242"/>
      <c r="IG1048493" s="242"/>
      <c r="IH1048493" s="242"/>
      <c r="II1048493" s="242"/>
      <c r="IJ1048493" s="242"/>
      <c r="IK1048493" s="242"/>
      <c r="IL1048493" s="242"/>
      <c r="IM1048493" s="242"/>
      <c r="IN1048493" s="242"/>
      <c r="IO1048493" s="242"/>
      <c r="IP1048493" s="242"/>
      <c r="IQ1048493" s="242"/>
    </row>
    <row r="1048494" spans="1:251" s="243" customFormat="1" ht="12" customHeight="1">
      <c r="A1048494" s="242"/>
      <c r="B1048494" s="242"/>
      <c r="C1048494" s="242"/>
      <c r="D1048494" s="242"/>
      <c r="E1048494" s="242"/>
      <c r="F1048494" s="242"/>
      <c r="G1048494" s="242"/>
      <c r="H1048494" s="242"/>
      <c r="I1048494" s="242"/>
      <c r="J1048494" s="242"/>
      <c r="K1048494" s="242"/>
      <c r="L1048494" s="242"/>
      <c r="M1048494" s="242"/>
      <c r="N1048494" s="242"/>
      <c r="O1048494" s="242"/>
      <c r="P1048494" s="242"/>
      <c r="Q1048494" s="242"/>
      <c r="R1048494" s="242"/>
      <c r="S1048494" s="242"/>
      <c r="T1048494" s="242"/>
      <c r="U1048494" s="242"/>
      <c r="V1048494" s="242"/>
      <c r="W1048494" s="242"/>
      <c r="X1048494" s="242"/>
      <c r="Y1048494" s="242"/>
      <c r="Z1048494" s="242"/>
      <c r="AA1048494" s="242"/>
      <c r="AB1048494" s="242"/>
      <c r="AC1048494" s="242"/>
      <c r="AD1048494" s="242"/>
      <c r="AE1048494" s="242"/>
      <c r="AF1048494" s="242"/>
      <c r="AG1048494" s="242"/>
      <c r="AH1048494" s="242"/>
      <c r="AI1048494" s="242"/>
      <c r="AJ1048494" s="242"/>
      <c r="AK1048494" s="242"/>
      <c r="AL1048494" s="242"/>
      <c r="AM1048494" s="242"/>
      <c r="AN1048494" s="242"/>
      <c r="AO1048494" s="242"/>
      <c r="AP1048494" s="242"/>
      <c r="AQ1048494" s="242"/>
      <c r="AR1048494" s="242"/>
      <c r="AS1048494" s="242"/>
      <c r="AT1048494" s="242"/>
      <c r="AU1048494" s="242"/>
      <c r="AV1048494" s="242"/>
      <c r="AW1048494" s="242"/>
      <c r="AX1048494" s="242"/>
      <c r="AY1048494" s="242"/>
      <c r="AZ1048494" s="242"/>
      <c r="BA1048494" s="242"/>
      <c r="BB1048494" s="242"/>
      <c r="BC1048494" s="242"/>
      <c r="BD1048494" s="242"/>
      <c r="BE1048494" s="242"/>
      <c r="BF1048494" s="242"/>
      <c r="BG1048494" s="242"/>
      <c r="BH1048494" s="242"/>
      <c r="BI1048494" s="242"/>
      <c r="BJ1048494" s="242"/>
      <c r="BK1048494" s="242"/>
      <c r="BL1048494" s="242"/>
      <c r="BM1048494" s="242"/>
      <c r="BN1048494" s="242"/>
      <c r="BO1048494" s="242"/>
      <c r="BP1048494" s="242"/>
      <c r="BQ1048494" s="242"/>
      <c r="BR1048494" s="242"/>
      <c r="BS1048494" s="242"/>
      <c r="BT1048494" s="242"/>
      <c r="BU1048494" s="242"/>
      <c r="BV1048494" s="242"/>
      <c r="BW1048494" s="242"/>
      <c r="BX1048494" s="242"/>
      <c r="BY1048494" s="242"/>
      <c r="BZ1048494" s="242"/>
      <c r="CA1048494" s="242"/>
      <c r="CB1048494" s="242"/>
      <c r="CC1048494" s="242"/>
      <c r="CD1048494" s="242"/>
      <c r="CE1048494" s="242"/>
      <c r="CF1048494" s="242"/>
      <c r="CG1048494" s="242"/>
      <c r="CH1048494" s="242"/>
      <c r="CI1048494" s="242"/>
      <c r="CJ1048494" s="242"/>
      <c r="CK1048494" s="242"/>
      <c r="CL1048494" s="242"/>
      <c r="CM1048494" s="242"/>
      <c r="CN1048494" s="242"/>
      <c r="CO1048494" s="242"/>
      <c r="CP1048494" s="242"/>
      <c r="CQ1048494" s="242"/>
      <c r="CR1048494" s="242"/>
      <c r="CS1048494" s="242"/>
      <c r="CT1048494" s="242"/>
      <c r="CU1048494" s="242"/>
      <c r="CV1048494" s="242"/>
      <c r="CW1048494" s="242"/>
      <c r="CX1048494" s="242"/>
      <c r="CY1048494" s="242"/>
      <c r="CZ1048494" s="242"/>
      <c r="DA1048494" s="242"/>
      <c r="DB1048494" s="242"/>
      <c r="DC1048494" s="242"/>
      <c r="DD1048494" s="242"/>
      <c r="DE1048494" s="242"/>
      <c r="DF1048494" s="242"/>
      <c r="DG1048494" s="242"/>
      <c r="DH1048494" s="242"/>
      <c r="DI1048494" s="242"/>
      <c r="DJ1048494" s="242"/>
      <c r="DK1048494" s="242"/>
      <c r="DL1048494" s="242"/>
      <c r="DM1048494" s="242"/>
      <c r="DN1048494" s="242"/>
      <c r="DO1048494" s="242"/>
      <c r="DP1048494" s="242"/>
      <c r="DQ1048494" s="242"/>
      <c r="DR1048494" s="242"/>
      <c r="DS1048494" s="242"/>
      <c r="DT1048494" s="242"/>
      <c r="DU1048494" s="242"/>
      <c r="DV1048494" s="242"/>
      <c r="DW1048494" s="242"/>
      <c r="DX1048494" s="242"/>
      <c r="DY1048494" s="242"/>
      <c r="DZ1048494" s="242"/>
      <c r="EA1048494" s="242"/>
      <c r="EB1048494" s="242"/>
      <c r="EC1048494" s="242"/>
      <c r="ED1048494" s="242"/>
      <c r="EE1048494" s="242"/>
      <c r="EF1048494" s="242"/>
      <c r="EG1048494" s="242"/>
      <c r="EH1048494" s="242"/>
      <c r="EI1048494" s="242"/>
      <c r="EJ1048494" s="242"/>
      <c r="EK1048494" s="242"/>
      <c r="EL1048494" s="242"/>
      <c r="EM1048494" s="242"/>
      <c r="EN1048494" s="242"/>
      <c r="EO1048494" s="242"/>
      <c r="EP1048494" s="242"/>
      <c r="EQ1048494" s="242"/>
      <c r="ER1048494" s="242"/>
      <c r="ES1048494" s="242"/>
      <c r="ET1048494" s="242"/>
      <c r="EU1048494" s="242"/>
      <c r="EV1048494" s="242"/>
      <c r="EW1048494" s="242"/>
      <c r="EX1048494" s="242"/>
      <c r="EY1048494" s="242"/>
      <c r="EZ1048494" s="242"/>
      <c r="FA1048494" s="242"/>
      <c r="FB1048494" s="242"/>
      <c r="FC1048494" s="242"/>
      <c r="FD1048494" s="242"/>
      <c r="FE1048494" s="242"/>
      <c r="FF1048494" s="242"/>
      <c r="FG1048494" s="242"/>
      <c r="FH1048494" s="242"/>
      <c r="FI1048494" s="242"/>
      <c r="FJ1048494" s="242"/>
      <c r="FK1048494" s="242"/>
      <c r="FL1048494" s="242"/>
      <c r="FM1048494" s="242"/>
      <c r="FN1048494" s="242"/>
      <c r="FO1048494" s="242"/>
      <c r="FP1048494" s="242"/>
      <c r="FQ1048494" s="242"/>
      <c r="FR1048494" s="242"/>
      <c r="FS1048494" s="242"/>
      <c r="FT1048494" s="242"/>
      <c r="FU1048494" s="242"/>
      <c r="FV1048494" s="242"/>
      <c r="FW1048494" s="242"/>
      <c r="FX1048494" s="242"/>
      <c r="FY1048494" s="242"/>
      <c r="FZ1048494" s="242"/>
      <c r="GA1048494" s="242"/>
      <c r="GB1048494" s="242"/>
      <c r="GC1048494" s="242"/>
      <c r="GD1048494" s="242"/>
      <c r="GE1048494" s="242"/>
      <c r="GF1048494" s="242"/>
      <c r="GG1048494" s="242"/>
      <c r="GH1048494" s="242"/>
      <c r="GI1048494" s="242"/>
      <c r="GJ1048494" s="242"/>
      <c r="GK1048494" s="242"/>
      <c r="GL1048494" s="242"/>
      <c r="GM1048494" s="242"/>
      <c r="GN1048494" s="242"/>
      <c r="GO1048494" s="242"/>
      <c r="GP1048494" s="242"/>
      <c r="GQ1048494" s="242"/>
      <c r="GR1048494" s="242"/>
      <c r="GS1048494" s="242"/>
      <c r="GT1048494" s="242"/>
      <c r="GU1048494" s="242"/>
      <c r="GV1048494" s="242"/>
      <c r="GW1048494" s="242"/>
      <c r="GX1048494" s="242"/>
      <c r="GY1048494" s="242"/>
      <c r="GZ1048494" s="242"/>
      <c r="HA1048494" s="242"/>
      <c r="HB1048494" s="242"/>
      <c r="HC1048494" s="242"/>
      <c r="HD1048494" s="242"/>
      <c r="HE1048494" s="242"/>
      <c r="HF1048494" s="242"/>
      <c r="HG1048494" s="242"/>
      <c r="HH1048494" s="242"/>
      <c r="HI1048494" s="242"/>
      <c r="HJ1048494" s="242"/>
      <c r="HK1048494" s="242"/>
      <c r="HL1048494" s="242"/>
      <c r="HM1048494" s="242"/>
      <c r="HN1048494" s="242"/>
      <c r="HO1048494" s="242"/>
      <c r="HP1048494" s="242"/>
      <c r="HQ1048494" s="242"/>
      <c r="HR1048494" s="242"/>
      <c r="HS1048494" s="242"/>
      <c r="HT1048494" s="242"/>
      <c r="HU1048494" s="242"/>
      <c r="HV1048494" s="242"/>
      <c r="HW1048494" s="242"/>
      <c r="HX1048494" s="242"/>
      <c r="HY1048494" s="242"/>
      <c r="HZ1048494" s="242"/>
      <c r="IA1048494" s="242"/>
      <c r="IB1048494" s="242"/>
      <c r="IC1048494" s="242"/>
      <c r="ID1048494" s="242"/>
      <c r="IE1048494" s="242"/>
      <c r="IF1048494" s="242"/>
      <c r="IG1048494" s="242"/>
      <c r="IH1048494" s="242"/>
      <c r="II1048494" s="242"/>
      <c r="IJ1048494" s="242"/>
      <c r="IK1048494" s="242"/>
      <c r="IL1048494" s="242"/>
      <c r="IM1048494" s="242"/>
      <c r="IN1048494" s="242"/>
      <c r="IO1048494" s="242"/>
      <c r="IP1048494" s="242"/>
      <c r="IQ1048494" s="242"/>
    </row>
    <row r="1048495" spans="1:251" s="243" customFormat="1" ht="12" customHeight="1">
      <c r="A1048495" s="242"/>
      <c r="B1048495" s="242"/>
      <c r="C1048495" s="242"/>
      <c r="D1048495" s="242"/>
      <c r="E1048495" s="242"/>
      <c r="F1048495" s="242"/>
      <c r="G1048495" s="242"/>
      <c r="H1048495" s="242"/>
      <c r="I1048495" s="242"/>
      <c r="J1048495" s="242"/>
      <c r="K1048495" s="242"/>
      <c r="L1048495" s="242"/>
      <c r="M1048495" s="242"/>
      <c r="N1048495" s="242"/>
      <c r="O1048495" s="242"/>
      <c r="P1048495" s="242"/>
      <c r="Q1048495" s="242"/>
      <c r="R1048495" s="242"/>
      <c r="S1048495" s="242"/>
      <c r="T1048495" s="242"/>
      <c r="U1048495" s="242"/>
      <c r="V1048495" s="242"/>
      <c r="W1048495" s="242"/>
      <c r="X1048495" s="242"/>
      <c r="Y1048495" s="242"/>
      <c r="Z1048495" s="242"/>
      <c r="AA1048495" s="242"/>
      <c r="AB1048495" s="242"/>
      <c r="AC1048495" s="242"/>
      <c r="AD1048495" s="242"/>
      <c r="AE1048495" s="242"/>
      <c r="AF1048495" s="242"/>
      <c r="AG1048495" s="242"/>
      <c r="AH1048495" s="242"/>
      <c r="AI1048495" s="242"/>
      <c r="AJ1048495" s="242"/>
      <c r="AK1048495" s="242"/>
      <c r="AL1048495" s="242"/>
      <c r="AM1048495" s="242"/>
      <c r="AN1048495" s="242"/>
      <c r="AO1048495" s="242"/>
      <c r="AP1048495" s="242"/>
      <c r="AQ1048495" s="242"/>
      <c r="AR1048495" s="242"/>
      <c r="AS1048495" s="242"/>
      <c r="AT1048495" s="242"/>
      <c r="AU1048495" s="242"/>
      <c r="AV1048495" s="242"/>
      <c r="AW1048495" s="242"/>
      <c r="AX1048495" s="242"/>
      <c r="AY1048495" s="242"/>
      <c r="AZ1048495" s="242"/>
      <c r="BA1048495" s="242"/>
      <c r="BB1048495" s="242"/>
      <c r="BC1048495" s="242"/>
      <c r="BD1048495" s="242"/>
      <c r="BE1048495" s="242"/>
      <c r="BF1048495" s="242"/>
      <c r="BG1048495" s="242"/>
      <c r="BH1048495" s="242"/>
      <c r="BI1048495" s="242"/>
      <c r="BJ1048495" s="242"/>
      <c r="BK1048495" s="242"/>
      <c r="BL1048495" s="242"/>
      <c r="BM1048495" s="242"/>
      <c r="BN1048495" s="242"/>
      <c r="BO1048495" s="242"/>
      <c r="BP1048495" s="242"/>
      <c r="BQ1048495" s="242"/>
      <c r="BR1048495" s="242"/>
      <c r="BS1048495" s="242"/>
      <c r="BT1048495" s="242"/>
      <c r="BU1048495" s="242"/>
      <c r="BV1048495" s="242"/>
      <c r="BW1048495" s="242"/>
      <c r="BX1048495" s="242"/>
      <c r="BY1048495" s="242"/>
      <c r="BZ1048495" s="242"/>
      <c r="CA1048495" s="242"/>
      <c r="CB1048495" s="242"/>
      <c r="CC1048495" s="242"/>
      <c r="CD1048495" s="242"/>
      <c r="CE1048495" s="242"/>
      <c r="CF1048495" s="242"/>
      <c r="CG1048495" s="242"/>
      <c r="CH1048495" s="242"/>
      <c r="CI1048495" s="242"/>
      <c r="CJ1048495" s="242"/>
      <c r="CK1048495" s="242"/>
      <c r="CL1048495" s="242"/>
      <c r="CM1048495" s="242"/>
      <c r="CN1048495" s="242"/>
      <c r="CO1048495" s="242"/>
      <c r="CP1048495" s="242"/>
      <c r="CQ1048495" s="242"/>
      <c r="CR1048495" s="242"/>
      <c r="CS1048495" s="242"/>
      <c r="CT1048495" s="242"/>
      <c r="CU1048495" s="242"/>
      <c r="CV1048495" s="242"/>
      <c r="CW1048495" s="242"/>
      <c r="CX1048495" s="242"/>
      <c r="CY1048495" s="242"/>
      <c r="CZ1048495" s="242"/>
      <c r="DA1048495" s="242"/>
      <c r="DB1048495" s="242"/>
      <c r="DC1048495" s="242"/>
      <c r="DD1048495" s="242"/>
      <c r="DE1048495" s="242"/>
      <c r="DF1048495" s="242"/>
      <c r="DG1048495" s="242"/>
      <c r="DH1048495" s="242"/>
      <c r="DI1048495" s="242"/>
      <c r="DJ1048495" s="242"/>
      <c r="DK1048495" s="242"/>
      <c r="DL1048495" s="242"/>
      <c r="DM1048495" s="242"/>
      <c r="DN1048495" s="242"/>
      <c r="DO1048495" s="242"/>
      <c r="DP1048495" s="242"/>
      <c r="DQ1048495" s="242"/>
      <c r="DR1048495" s="242"/>
      <c r="DS1048495" s="242"/>
      <c r="DT1048495" s="242"/>
      <c r="DU1048495" s="242"/>
      <c r="DV1048495" s="242"/>
      <c r="DW1048495" s="242"/>
      <c r="DX1048495" s="242"/>
      <c r="DY1048495" s="242"/>
      <c r="DZ1048495" s="242"/>
      <c r="EA1048495" s="242"/>
      <c r="EB1048495" s="242"/>
      <c r="EC1048495" s="242"/>
      <c r="ED1048495" s="242"/>
      <c r="EE1048495" s="242"/>
      <c r="EF1048495" s="242"/>
      <c r="EG1048495" s="242"/>
      <c r="EH1048495" s="242"/>
      <c r="EI1048495" s="242"/>
      <c r="EJ1048495" s="242"/>
      <c r="EK1048495" s="242"/>
      <c r="EL1048495" s="242"/>
      <c r="EM1048495" s="242"/>
      <c r="EN1048495" s="242"/>
      <c r="EO1048495" s="242"/>
      <c r="EP1048495" s="242"/>
      <c r="EQ1048495" s="242"/>
      <c r="ER1048495" s="242"/>
      <c r="ES1048495" s="242"/>
      <c r="ET1048495" s="242"/>
      <c r="EU1048495" s="242"/>
      <c r="EV1048495" s="242"/>
      <c r="EW1048495" s="242"/>
      <c r="EX1048495" s="242"/>
      <c r="EY1048495" s="242"/>
      <c r="EZ1048495" s="242"/>
      <c r="FA1048495" s="242"/>
      <c r="FB1048495" s="242"/>
      <c r="FC1048495" s="242"/>
      <c r="FD1048495" s="242"/>
      <c r="FE1048495" s="242"/>
      <c r="FF1048495" s="242"/>
      <c r="FG1048495" s="242"/>
      <c r="FH1048495" s="242"/>
      <c r="FI1048495" s="242"/>
      <c r="FJ1048495" s="242"/>
      <c r="FK1048495" s="242"/>
      <c r="FL1048495" s="242"/>
      <c r="FM1048495" s="242"/>
      <c r="FN1048495" s="242"/>
      <c r="FO1048495" s="242"/>
      <c r="FP1048495" s="242"/>
      <c r="FQ1048495" s="242"/>
      <c r="FR1048495" s="242"/>
      <c r="FS1048495" s="242"/>
      <c r="FT1048495" s="242"/>
      <c r="FU1048495" s="242"/>
      <c r="FV1048495" s="242"/>
      <c r="FW1048495" s="242"/>
      <c r="FX1048495" s="242"/>
      <c r="FY1048495" s="242"/>
      <c r="FZ1048495" s="242"/>
      <c r="GA1048495" s="242"/>
      <c r="GB1048495" s="242"/>
      <c r="GC1048495" s="242"/>
      <c r="GD1048495" s="242"/>
      <c r="GE1048495" s="242"/>
      <c r="GF1048495" s="242"/>
      <c r="GG1048495" s="242"/>
      <c r="GH1048495" s="242"/>
      <c r="GI1048495" s="242"/>
      <c r="GJ1048495" s="242"/>
      <c r="GK1048495" s="242"/>
      <c r="GL1048495" s="242"/>
      <c r="GM1048495" s="242"/>
      <c r="GN1048495" s="242"/>
      <c r="GO1048495" s="242"/>
      <c r="GP1048495" s="242"/>
      <c r="GQ1048495" s="242"/>
      <c r="GR1048495" s="242"/>
      <c r="GS1048495" s="242"/>
      <c r="GT1048495" s="242"/>
      <c r="GU1048495" s="242"/>
      <c r="GV1048495" s="242"/>
      <c r="GW1048495" s="242"/>
      <c r="GX1048495" s="242"/>
      <c r="GY1048495" s="242"/>
      <c r="GZ1048495" s="242"/>
      <c r="HA1048495" s="242"/>
      <c r="HB1048495" s="242"/>
      <c r="HC1048495" s="242"/>
      <c r="HD1048495" s="242"/>
      <c r="HE1048495" s="242"/>
      <c r="HF1048495" s="242"/>
      <c r="HG1048495" s="242"/>
      <c r="HH1048495" s="242"/>
      <c r="HI1048495" s="242"/>
      <c r="HJ1048495" s="242"/>
      <c r="HK1048495" s="242"/>
      <c r="HL1048495" s="242"/>
      <c r="HM1048495" s="242"/>
      <c r="HN1048495" s="242"/>
      <c r="HO1048495" s="242"/>
      <c r="HP1048495" s="242"/>
      <c r="HQ1048495" s="242"/>
      <c r="HR1048495" s="242"/>
      <c r="HS1048495" s="242"/>
      <c r="HT1048495" s="242"/>
      <c r="HU1048495" s="242"/>
      <c r="HV1048495" s="242"/>
      <c r="HW1048495" s="242"/>
      <c r="HX1048495" s="242"/>
      <c r="HY1048495" s="242"/>
      <c r="HZ1048495" s="242"/>
      <c r="IA1048495" s="242"/>
      <c r="IB1048495" s="242"/>
      <c r="IC1048495" s="242"/>
      <c r="ID1048495" s="242"/>
      <c r="IE1048495" s="242"/>
      <c r="IF1048495" s="242"/>
      <c r="IG1048495" s="242"/>
      <c r="IH1048495" s="242"/>
      <c r="II1048495" s="242"/>
      <c r="IJ1048495" s="242"/>
      <c r="IK1048495" s="242"/>
      <c r="IL1048495" s="242"/>
      <c r="IM1048495" s="242"/>
      <c r="IN1048495" s="242"/>
      <c r="IO1048495" s="242"/>
      <c r="IP1048495" s="242"/>
      <c r="IQ1048495" s="242"/>
    </row>
    <row r="1048496" spans="1:251" s="243" customFormat="1" ht="12.6" customHeight="1">
      <c r="A1048496" s="242"/>
      <c r="B1048496" s="242"/>
      <c r="C1048496" s="242"/>
      <c r="D1048496" s="242"/>
      <c r="E1048496" s="242"/>
      <c r="F1048496" s="242"/>
      <c r="G1048496" s="242"/>
      <c r="H1048496" s="242"/>
      <c r="I1048496" s="242"/>
      <c r="J1048496" s="242"/>
      <c r="K1048496" s="242"/>
      <c r="L1048496" s="242"/>
      <c r="M1048496" s="242"/>
      <c r="N1048496" s="242"/>
      <c r="O1048496" s="242"/>
      <c r="P1048496" s="242"/>
      <c r="Q1048496" s="242"/>
      <c r="R1048496" s="242"/>
      <c r="S1048496" s="242"/>
      <c r="T1048496" s="242"/>
      <c r="U1048496" s="242"/>
      <c r="V1048496" s="242"/>
      <c r="W1048496" s="242"/>
      <c r="X1048496" s="242"/>
      <c r="Y1048496" s="242"/>
      <c r="Z1048496" s="242"/>
      <c r="AA1048496" s="242"/>
      <c r="AB1048496" s="242"/>
      <c r="AC1048496" s="242"/>
      <c r="AD1048496" s="242"/>
      <c r="AE1048496" s="242"/>
      <c r="AF1048496" s="242"/>
      <c r="AG1048496" s="242"/>
      <c r="AH1048496" s="242"/>
      <c r="AI1048496" s="242"/>
      <c r="AJ1048496" s="242"/>
      <c r="AK1048496" s="242"/>
      <c r="AL1048496" s="242"/>
      <c r="AM1048496" s="242"/>
      <c r="AN1048496" s="242"/>
      <c r="AO1048496" s="242"/>
      <c r="AP1048496" s="242"/>
      <c r="AQ1048496" s="242"/>
      <c r="AR1048496" s="242"/>
      <c r="AS1048496" s="242"/>
      <c r="AT1048496" s="242"/>
      <c r="AU1048496" s="242"/>
      <c r="AV1048496" s="242"/>
      <c r="AW1048496" s="242"/>
      <c r="AX1048496" s="242"/>
      <c r="AY1048496" s="242"/>
      <c r="AZ1048496" s="242"/>
      <c r="BA1048496" s="242"/>
      <c r="BB1048496" s="242"/>
      <c r="BC1048496" s="242"/>
      <c r="BD1048496" s="242"/>
      <c r="BE1048496" s="242"/>
      <c r="BF1048496" s="242"/>
      <c r="BG1048496" s="242"/>
      <c r="BH1048496" s="242"/>
      <c r="BI1048496" s="242"/>
      <c r="BJ1048496" s="242"/>
      <c r="BK1048496" s="242"/>
      <c r="BL1048496" s="242"/>
      <c r="BM1048496" s="242"/>
      <c r="BN1048496" s="242"/>
      <c r="BO1048496" s="242"/>
      <c r="BP1048496" s="242"/>
      <c r="BQ1048496" s="242"/>
      <c r="BR1048496" s="242"/>
      <c r="BS1048496" s="242"/>
      <c r="BT1048496" s="242"/>
      <c r="BU1048496" s="242"/>
      <c r="BV1048496" s="242"/>
      <c r="BW1048496" s="242"/>
      <c r="BX1048496" s="242"/>
      <c r="BY1048496" s="242"/>
      <c r="BZ1048496" s="242"/>
      <c r="CA1048496" s="242"/>
      <c r="CB1048496" s="242"/>
      <c r="CC1048496" s="242"/>
      <c r="CD1048496" s="242"/>
      <c r="CE1048496" s="242"/>
      <c r="CF1048496" s="242"/>
      <c r="CG1048496" s="242"/>
      <c r="CH1048496" s="242"/>
      <c r="CI1048496" s="242"/>
      <c r="CJ1048496" s="242"/>
      <c r="CK1048496" s="242"/>
      <c r="CL1048496" s="242"/>
      <c r="CM1048496" s="242"/>
      <c r="CN1048496" s="242"/>
      <c r="CO1048496" s="242"/>
      <c r="CP1048496" s="242"/>
      <c r="CQ1048496" s="242"/>
      <c r="CR1048496" s="242"/>
      <c r="CS1048496" s="242"/>
      <c r="CT1048496" s="242"/>
      <c r="CU1048496" s="242"/>
      <c r="CV1048496" s="242"/>
      <c r="CW1048496" s="242"/>
      <c r="CX1048496" s="242"/>
      <c r="CY1048496" s="242"/>
      <c r="CZ1048496" s="242"/>
      <c r="DA1048496" s="242"/>
      <c r="DB1048496" s="242"/>
      <c r="DC1048496" s="242"/>
      <c r="DD1048496" s="242"/>
      <c r="DE1048496" s="242"/>
      <c r="DF1048496" s="242"/>
      <c r="DG1048496" s="242"/>
      <c r="DH1048496" s="242"/>
      <c r="DI1048496" s="242"/>
      <c r="DJ1048496" s="242"/>
      <c r="DK1048496" s="242"/>
      <c r="DL1048496" s="242"/>
      <c r="DM1048496" s="242"/>
      <c r="DN1048496" s="242"/>
      <c r="DO1048496" s="242"/>
      <c r="DP1048496" s="242"/>
      <c r="DQ1048496" s="242"/>
      <c r="DR1048496" s="242"/>
      <c r="DS1048496" s="242"/>
      <c r="DT1048496" s="242"/>
      <c r="DU1048496" s="242"/>
      <c r="DV1048496" s="242"/>
      <c r="DW1048496" s="242"/>
      <c r="DX1048496" s="242"/>
      <c r="DY1048496" s="242"/>
      <c r="DZ1048496" s="242"/>
      <c r="EA1048496" s="242"/>
      <c r="EB1048496" s="242"/>
      <c r="EC1048496" s="242"/>
      <c r="ED1048496" s="242"/>
      <c r="EE1048496" s="242"/>
      <c r="EF1048496" s="242"/>
      <c r="EG1048496" s="242"/>
      <c r="EH1048496" s="242"/>
      <c r="EI1048496" s="242"/>
      <c r="EJ1048496" s="242"/>
      <c r="EK1048496" s="242"/>
      <c r="EL1048496" s="242"/>
      <c r="EM1048496" s="242"/>
      <c r="EN1048496" s="242"/>
      <c r="EO1048496" s="242"/>
      <c r="EP1048496" s="242"/>
      <c r="EQ1048496" s="242"/>
      <c r="ER1048496" s="242"/>
      <c r="ES1048496" s="242"/>
      <c r="ET1048496" s="242"/>
      <c r="EU1048496" s="242"/>
      <c r="EV1048496" s="242"/>
      <c r="EW1048496" s="242"/>
      <c r="EX1048496" s="242"/>
      <c r="EY1048496" s="242"/>
      <c r="EZ1048496" s="242"/>
      <c r="FA1048496" s="242"/>
      <c r="FB1048496" s="242"/>
      <c r="FC1048496" s="242"/>
      <c r="FD1048496" s="242"/>
      <c r="FE1048496" s="242"/>
      <c r="FF1048496" s="242"/>
      <c r="FG1048496" s="242"/>
      <c r="FH1048496" s="242"/>
      <c r="FI1048496" s="242"/>
      <c r="FJ1048496" s="242"/>
      <c r="FK1048496" s="242"/>
      <c r="FL1048496" s="242"/>
      <c r="FM1048496" s="242"/>
      <c r="FN1048496" s="242"/>
      <c r="FO1048496" s="242"/>
      <c r="FP1048496" s="242"/>
      <c r="FQ1048496" s="242"/>
      <c r="FR1048496" s="242"/>
      <c r="FS1048496" s="242"/>
      <c r="FT1048496" s="242"/>
      <c r="FU1048496" s="242"/>
      <c r="FV1048496" s="242"/>
      <c r="FW1048496" s="242"/>
      <c r="FX1048496" s="242"/>
      <c r="FY1048496" s="242"/>
      <c r="FZ1048496" s="242"/>
      <c r="GA1048496" s="242"/>
      <c r="GB1048496" s="242"/>
      <c r="GC1048496" s="242"/>
      <c r="GD1048496" s="242"/>
      <c r="GE1048496" s="242"/>
      <c r="GF1048496" s="242"/>
      <c r="GG1048496" s="242"/>
      <c r="GH1048496" s="242"/>
      <c r="GI1048496" s="242"/>
      <c r="GJ1048496" s="242"/>
      <c r="GK1048496" s="242"/>
      <c r="GL1048496" s="242"/>
      <c r="GM1048496" s="242"/>
      <c r="GN1048496" s="242"/>
      <c r="GO1048496" s="242"/>
      <c r="GP1048496" s="242"/>
      <c r="GQ1048496" s="242"/>
      <c r="GR1048496" s="242"/>
      <c r="GS1048496" s="242"/>
      <c r="GT1048496" s="242"/>
      <c r="GU1048496" s="242"/>
      <c r="GV1048496" s="242"/>
      <c r="GW1048496" s="242"/>
      <c r="GX1048496" s="242"/>
      <c r="GY1048496" s="242"/>
      <c r="GZ1048496" s="242"/>
      <c r="HA1048496" s="242"/>
      <c r="HB1048496" s="242"/>
      <c r="HC1048496" s="242"/>
      <c r="HD1048496" s="242"/>
      <c r="HE1048496" s="242"/>
      <c r="HF1048496" s="242"/>
      <c r="HG1048496" s="242"/>
      <c r="HH1048496" s="242"/>
      <c r="HI1048496" s="242"/>
      <c r="HJ1048496" s="242"/>
      <c r="HK1048496" s="242"/>
      <c r="HL1048496" s="242"/>
      <c r="HM1048496" s="242"/>
      <c r="HN1048496" s="242"/>
      <c r="HO1048496" s="242"/>
      <c r="HP1048496" s="242"/>
      <c r="HQ1048496" s="242"/>
      <c r="HR1048496" s="242"/>
      <c r="HS1048496" s="242"/>
      <c r="HT1048496" s="242"/>
      <c r="HU1048496" s="242"/>
      <c r="HV1048496" s="242"/>
      <c r="HW1048496" s="242"/>
      <c r="HX1048496" s="242"/>
      <c r="HY1048496" s="242"/>
      <c r="HZ1048496" s=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 r="II1048496" s="242"/>
      <c r="IJ1048496" s="242"/>
      <c r="IK1048496" s="242"/>
      <c r="IL1048496" s="242"/>
      <c r="IM1048496" s="242"/>
      <c r="IN1048496" s="242"/>
      <c r="IO1048496" s="242"/>
      <c r="IP1048496" s="242"/>
      <c r="IQ1048496" s="242"/>
    </row>
    <row r="1048497" spans="1:251" s="243" customFormat="1" ht="12.6" customHeight="1">
      <c r="A1048497" s="242"/>
      <c r="B1048497" s="242"/>
      <c r="C1048497" s="242"/>
      <c r="D1048497" s="242"/>
      <c r="E1048497" s="242"/>
      <c r="F1048497" s="242"/>
      <c r="G1048497" s="242"/>
      <c r="H1048497" s="242"/>
      <c r="I1048497" s="242"/>
      <c r="J1048497" s="242"/>
      <c r="K1048497" s="242"/>
      <c r="L1048497" s="242"/>
      <c r="M1048497" s="242"/>
      <c r="N1048497" s="242"/>
      <c r="O1048497" s="242"/>
      <c r="P1048497" s="242"/>
      <c r="Q1048497" s="242"/>
      <c r="R1048497" s="242"/>
      <c r="S1048497" s="242"/>
      <c r="T1048497" s="242"/>
      <c r="U1048497" s="242"/>
      <c r="V1048497" s="242"/>
      <c r="W1048497" s="242"/>
      <c r="X1048497" s="242"/>
      <c r="Y1048497" s="242"/>
      <c r="Z1048497" s="242"/>
      <c r="AA1048497" s="242"/>
      <c r="AB1048497" s="242"/>
      <c r="AC1048497" s="242"/>
      <c r="AD1048497" s="242"/>
      <c r="AE1048497" s="242"/>
      <c r="AF1048497" s="242"/>
      <c r="AG1048497" s="242"/>
      <c r="AH1048497" s="242"/>
      <c r="AI1048497" s="242"/>
      <c r="AJ1048497" s="242"/>
      <c r="AK1048497" s="242"/>
      <c r="AL1048497" s="242"/>
      <c r="AM1048497" s="242"/>
      <c r="AN1048497" s="242"/>
      <c r="AO1048497" s="242"/>
      <c r="AP1048497" s="242"/>
      <c r="AQ1048497" s="242"/>
      <c r="AR1048497" s="242"/>
      <c r="AS1048497" s="242"/>
      <c r="AT1048497" s="242"/>
      <c r="AU1048497" s="242"/>
      <c r="AV1048497" s="242"/>
      <c r="AW1048497" s="242"/>
      <c r="AX1048497" s="242"/>
      <c r="AY1048497" s="242"/>
      <c r="AZ1048497" s="242"/>
      <c r="BA1048497" s="242"/>
      <c r="BB1048497" s="242"/>
      <c r="BC1048497" s="242"/>
      <c r="BD1048497" s="242"/>
      <c r="BE1048497" s="242"/>
      <c r="BF1048497" s="242"/>
      <c r="BG1048497" s="242"/>
      <c r="BH1048497" s="242"/>
      <c r="BI1048497" s="242"/>
      <c r="BJ1048497" s="242"/>
      <c r="BK1048497" s="242"/>
      <c r="BL1048497" s="242"/>
      <c r="BM1048497" s="242"/>
      <c r="BN1048497" s="242"/>
      <c r="BO1048497" s="242"/>
      <c r="BP1048497" s="242"/>
      <c r="BQ1048497" s="242"/>
      <c r="BR1048497" s="242"/>
      <c r="BS1048497" s="242"/>
      <c r="BT1048497" s="242"/>
      <c r="BU1048497" s="242"/>
      <c r="BV1048497" s="242"/>
      <c r="BW1048497" s="242"/>
      <c r="BX1048497" s="242"/>
      <c r="BY1048497" s="242"/>
      <c r="BZ1048497" s="242"/>
      <c r="CA1048497" s="242"/>
      <c r="CB1048497" s="242"/>
      <c r="CC1048497" s="242"/>
      <c r="CD1048497" s="242"/>
      <c r="CE1048497" s="242"/>
      <c r="CF1048497" s="242"/>
      <c r="CG1048497" s="242"/>
      <c r="CH1048497" s="242"/>
      <c r="CI1048497" s="242"/>
      <c r="CJ1048497" s="242"/>
      <c r="CK1048497" s="242"/>
      <c r="CL1048497" s="242"/>
      <c r="CM1048497" s="242"/>
      <c r="CN1048497" s="242"/>
      <c r="CO1048497" s="242"/>
      <c r="CP1048497" s="242"/>
      <c r="CQ1048497" s="242"/>
      <c r="CR1048497" s="242"/>
      <c r="CS1048497" s="242"/>
      <c r="CT1048497" s="242"/>
      <c r="CU1048497" s="242"/>
      <c r="CV1048497" s="242"/>
      <c r="CW1048497" s="242"/>
      <c r="CX1048497" s="242"/>
      <c r="CY1048497" s="242"/>
      <c r="CZ1048497" s="242"/>
      <c r="DA1048497" s="242"/>
      <c r="DB1048497" s="242"/>
      <c r="DC1048497" s="242"/>
      <c r="DD1048497" s="242"/>
      <c r="DE1048497" s="242"/>
      <c r="DF1048497" s="242"/>
      <c r="DG1048497" s="242"/>
      <c r="DH1048497" s="242"/>
      <c r="DI1048497" s="242"/>
      <c r="DJ1048497" s="242"/>
      <c r="DK1048497" s="242"/>
      <c r="DL1048497" s="242"/>
      <c r="DM1048497" s="242"/>
      <c r="DN1048497" s="242"/>
      <c r="DO1048497" s="242"/>
      <c r="DP1048497" s="242"/>
      <c r="DQ1048497" s="242"/>
      <c r="DR1048497" s="242"/>
      <c r="DS1048497" s="242"/>
      <c r="DT1048497" s="242"/>
      <c r="DU1048497" s="242"/>
      <c r="DV1048497" s="242"/>
      <c r="DW1048497" s="242"/>
      <c r="DX1048497" s="242"/>
      <c r="DY1048497" s="242"/>
      <c r="DZ1048497" s="242"/>
      <c r="EA1048497" s="242"/>
      <c r="EB1048497" s="242"/>
      <c r="EC1048497" s="242"/>
      <c r="ED1048497" s="242"/>
      <c r="EE1048497" s="242"/>
      <c r="EF1048497" s="242"/>
      <c r="EG1048497" s="242"/>
      <c r="EH1048497" s="242"/>
      <c r="EI1048497" s="242"/>
      <c r="EJ1048497" s="242"/>
      <c r="EK1048497" s="242"/>
      <c r="EL1048497" s="242"/>
      <c r="EM1048497" s="242"/>
      <c r="EN1048497" s="242"/>
      <c r="EO1048497" s="242"/>
      <c r="EP1048497" s="242"/>
      <c r="EQ1048497" s="242"/>
      <c r="ER1048497" s="242"/>
      <c r="ES1048497" s="242"/>
      <c r="ET1048497" s="242"/>
      <c r="EU1048497" s="242"/>
      <c r="EV1048497" s="242"/>
      <c r="EW1048497" s="242"/>
      <c r="EX1048497" s="242"/>
      <c r="EY1048497" s="242"/>
      <c r="EZ1048497" s="242"/>
      <c r="FA1048497" s="242"/>
      <c r="FB1048497" s="242"/>
      <c r="FC1048497" s="242"/>
      <c r="FD1048497" s="242"/>
      <c r="FE1048497" s="242"/>
      <c r="FF1048497" s="242"/>
      <c r="FG1048497" s="242"/>
      <c r="FH1048497" s="242"/>
      <c r="FI1048497" s="242"/>
      <c r="FJ1048497" s="242"/>
      <c r="FK1048497" s="242"/>
      <c r="FL1048497" s="242"/>
      <c r="FM1048497" s="242"/>
      <c r="FN1048497" s="242"/>
      <c r="FO1048497" s="242"/>
      <c r="FP1048497" s="242"/>
      <c r="FQ1048497" s="242"/>
      <c r="FR1048497" s="242"/>
      <c r="FS1048497" s="242"/>
      <c r="FT1048497" s="242"/>
      <c r="FU1048497" s="242"/>
      <c r="FV1048497" s="242"/>
      <c r="FW1048497" s="242"/>
      <c r="FX1048497" s="242"/>
      <c r="FY1048497" s="242"/>
      <c r="FZ1048497" s="242"/>
      <c r="GA1048497" s="242"/>
      <c r="GB1048497" s="242"/>
      <c r="GC1048497" s="242"/>
      <c r="GD1048497" s="242"/>
      <c r="GE1048497" s="242"/>
      <c r="GF1048497" s="242"/>
      <c r="GG1048497" s="242"/>
      <c r="GH1048497" s="242"/>
      <c r="GI1048497" s="242"/>
      <c r="GJ1048497" s="242"/>
      <c r="GK1048497" s="242"/>
      <c r="GL1048497" s="242"/>
      <c r="GM1048497" s="242"/>
      <c r="GN1048497" s="242"/>
      <c r="GO1048497" s="242"/>
      <c r="GP1048497" s="242"/>
      <c r="GQ1048497" s="242"/>
      <c r="GR1048497" s="242"/>
      <c r="GS1048497" s="242"/>
      <c r="GT1048497" s="242"/>
      <c r="GU1048497" s="242"/>
      <c r="GV1048497" s="242"/>
      <c r="GW1048497" s="242"/>
      <c r="GX1048497" s="242"/>
      <c r="GY1048497" s="242"/>
      <c r="GZ1048497" s="242"/>
      <c r="HA1048497" s="242"/>
      <c r="HB1048497" s="242"/>
      <c r="HC1048497" s="242"/>
      <c r="HD1048497" s="242"/>
      <c r="HE1048497" s="242"/>
      <c r="HF1048497" s="242"/>
      <c r="HG1048497" s="242"/>
      <c r="HH1048497" s="242"/>
      <c r="HI1048497" s="242"/>
      <c r="HJ1048497" s="242"/>
      <c r="HK1048497" s="242"/>
      <c r="HL1048497" s="242"/>
      <c r="HM1048497" s="242"/>
      <c r="HN1048497" s="242"/>
      <c r="HO1048497" s="242"/>
      <c r="HP1048497" s="242"/>
      <c r="HQ1048497" s="242"/>
      <c r="HR1048497" s="242"/>
      <c r="HS1048497" s="242"/>
      <c r="HT1048497" s="242"/>
      <c r="HU1048497" s="242"/>
      <c r="HV1048497" s="242"/>
      <c r="HW1048497" s="242"/>
      <c r="HX1048497" s="242"/>
      <c r="HY1048497" s="242"/>
      <c r="HZ1048497" s="242"/>
      <c r="IA1048497" s="242"/>
      <c r="IB1048497" s="242"/>
      <c r="IC1048497" s="242"/>
      <c r="ID1048497" s="242"/>
      <c r="IE1048497" s="242"/>
      <c r="IF1048497" s="242"/>
      <c r="IG1048497" s="242"/>
      <c r="IH1048497" s="242"/>
      <c r="II1048497" s="242"/>
      <c r="IJ1048497" s="242"/>
      <c r="IK1048497" s="242"/>
      <c r="IL1048497" s="242"/>
      <c r="IM1048497" s="242"/>
      <c r="IN1048497" s="242"/>
      <c r="IO1048497" s="242"/>
      <c r="IP1048497" s="242"/>
      <c r="IQ1048497" s="242"/>
    </row>
    <row r="1048498" spans="1:251" s="243" customFormat="1" ht="12.6" customHeight="1">
      <c r="A1048498" s="242"/>
      <c r="B1048498" s="242"/>
      <c r="C1048498" s="242"/>
      <c r="D1048498" s="242"/>
      <c r="E1048498" s="242"/>
      <c r="F1048498" s="242"/>
      <c r="G1048498" s="242"/>
      <c r="H1048498" s="242"/>
      <c r="I1048498" s="242"/>
      <c r="J1048498" s="242"/>
      <c r="K1048498" s="242"/>
      <c r="L1048498" s="242"/>
      <c r="M1048498" s="242"/>
      <c r="N1048498" s="242"/>
      <c r="O1048498" s="242"/>
      <c r="P1048498" s="242"/>
      <c r="Q1048498" s="242"/>
      <c r="R1048498" s="242"/>
      <c r="S1048498" s="242"/>
      <c r="T1048498" s="242"/>
      <c r="U1048498" s="242"/>
      <c r="V1048498" s="242"/>
      <c r="W1048498" s="242"/>
      <c r="X1048498" s="242"/>
      <c r="Y1048498" s="242"/>
      <c r="Z1048498" s="242"/>
      <c r="AA1048498" s="242"/>
      <c r="AB1048498" s="242"/>
      <c r="AC1048498" s="242"/>
      <c r="AD1048498" s="242"/>
      <c r="AE1048498" s="242"/>
      <c r="AF1048498" s="242"/>
      <c r="AG1048498" s="242"/>
      <c r="AH1048498" s="242"/>
      <c r="AI1048498" s="242"/>
      <c r="AJ1048498" s="242"/>
      <c r="AK1048498" s="242"/>
      <c r="AL1048498" s="242"/>
      <c r="AM1048498" s="242"/>
      <c r="AN1048498" s="242"/>
      <c r="AO1048498" s="242"/>
      <c r="AP1048498" s="242"/>
      <c r="AQ1048498" s="242"/>
      <c r="AR1048498" s="242"/>
      <c r="AS1048498" s="242"/>
      <c r="AT1048498" s="242"/>
      <c r="AU1048498" s="242"/>
      <c r="AV1048498" s="242"/>
      <c r="AW1048498" s="242"/>
      <c r="AX1048498" s="242"/>
      <c r="AY1048498" s="242"/>
      <c r="AZ1048498" s="242"/>
      <c r="BA1048498" s="242"/>
      <c r="BB1048498" s="242"/>
      <c r="BC1048498" s="242"/>
      <c r="BD1048498" s="242"/>
      <c r="BE1048498" s="242"/>
      <c r="BF1048498" s="242"/>
      <c r="BG1048498" s="242"/>
      <c r="BH1048498" s="242"/>
      <c r="BI1048498" s="242"/>
      <c r="BJ1048498" s="242"/>
      <c r="BK1048498" s="242"/>
      <c r="BL1048498" s="242"/>
      <c r="BM1048498" s="242"/>
      <c r="BN1048498" s="242"/>
      <c r="BO1048498" s="242"/>
      <c r="BP1048498" s="242"/>
      <c r="BQ1048498" s="242"/>
      <c r="BR1048498" s="242"/>
      <c r="BS1048498" s="242"/>
      <c r="BT1048498" s="242"/>
      <c r="BU1048498" s="242"/>
      <c r="BV1048498" s="242"/>
      <c r="BW1048498" s="242"/>
      <c r="BX1048498" s="242"/>
      <c r="BY1048498" s="242"/>
      <c r="BZ1048498" s="242"/>
      <c r="CA1048498" s="242"/>
      <c r="CB1048498" s="242"/>
      <c r="CC1048498" s="242"/>
      <c r="CD1048498" s="242"/>
      <c r="CE1048498" s="242"/>
      <c r="CF1048498" s="242"/>
      <c r="CG1048498" s="242"/>
      <c r="CH1048498" s="242"/>
      <c r="CI1048498" s="242"/>
      <c r="CJ1048498" s="242"/>
      <c r="CK1048498" s="242"/>
      <c r="CL1048498" s="242"/>
      <c r="CM1048498" s="242"/>
      <c r="CN1048498" s="242"/>
      <c r="CO1048498" s="242"/>
      <c r="CP1048498" s="242"/>
      <c r="CQ1048498" s="242"/>
      <c r="CR1048498" s="242"/>
      <c r="CS1048498" s="242"/>
      <c r="CT1048498" s="242"/>
      <c r="CU1048498" s="242"/>
      <c r="CV1048498" s="242"/>
      <c r="CW1048498" s="242"/>
      <c r="CX1048498" s="242"/>
      <c r="CY1048498" s="242"/>
      <c r="CZ1048498" s="242"/>
      <c r="DA1048498" s="242"/>
      <c r="DB1048498" s="242"/>
      <c r="DC1048498" s="242"/>
      <c r="DD1048498" s="242"/>
      <c r="DE1048498" s="242"/>
      <c r="DF1048498" s="242"/>
      <c r="DG1048498" s="242"/>
      <c r="DH1048498" s="242"/>
      <c r="DI1048498" s="242"/>
      <c r="DJ1048498" s="242"/>
      <c r="DK1048498" s="242"/>
      <c r="DL1048498" s="242"/>
      <c r="DM1048498" s="242"/>
      <c r="DN1048498" s="242"/>
      <c r="DO1048498" s="242"/>
      <c r="DP1048498" s="242"/>
      <c r="DQ1048498" s="242"/>
      <c r="DR1048498" s="242"/>
      <c r="DS1048498" s="242"/>
      <c r="DT1048498" s="242"/>
      <c r="DU1048498" s="242"/>
      <c r="DV1048498" s="242"/>
      <c r="DW1048498" s="242"/>
      <c r="DX1048498" s="242"/>
      <c r="DY1048498" s="242"/>
      <c r="DZ1048498" s="242"/>
      <c r="EA1048498" s="242"/>
      <c r="EB1048498" s="242"/>
      <c r="EC1048498" s="242"/>
      <c r="ED1048498" s="242"/>
      <c r="EE1048498" s="242"/>
      <c r="EF1048498" s="242"/>
      <c r="EG1048498" s="242"/>
      <c r="EH1048498" s="242"/>
      <c r="EI1048498" s="242"/>
      <c r="EJ1048498" s="242"/>
      <c r="EK1048498" s="242"/>
      <c r="EL1048498" s="242"/>
      <c r="EM1048498" s="242"/>
      <c r="EN1048498" s="242"/>
      <c r="EO1048498" s="242"/>
      <c r="EP1048498" s="242"/>
      <c r="EQ1048498" s="242"/>
      <c r="ER1048498" s="242"/>
      <c r="ES1048498" s="242"/>
      <c r="ET1048498" s="242"/>
      <c r="EU1048498" s="242"/>
      <c r="EV1048498" s="242"/>
      <c r="EW1048498" s="242"/>
      <c r="EX1048498" s="242"/>
      <c r="EY1048498" s="242"/>
      <c r="EZ1048498" s="242"/>
      <c r="FA1048498" s="242"/>
      <c r="FB1048498" s="242"/>
      <c r="FC1048498" s="242"/>
      <c r="FD1048498" s="242"/>
      <c r="FE1048498" s="242"/>
      <c r="FF1048498" s="242"/>
      <c r="FG1048498" s="242"/>
      <c r="FH1048498" s="242"/>
      <c r="FI1048498" s="242"/>
      <c r="FJ1048498" s="242"/>
      <c r="FK1048498" s="242"/>
      <c r="FL1048498" s="242"/>
      <c r="FM1048498" s="242"/>
      <c r="FN1048498" s="242"/>
      <c r="FO1048498" s="242"/>
      <c r="FP1048498" s="242"/>
      <c r="FQ1048498" s="242"/>
      <c r="FR1048498" s="242"/>
      <c r="FS1048498" s="242"/>
      <c r="FT1048498" s="242"/>
      <c r="FU1048498" s="242"/>
      <c r="FV1048498" s="242"/>
      <c r="FW1048498" s="242"/>
      <c r="FX1048498" s="242"/>
      <c r="FY1048498" s="242"/>
      <c r="FZ1048498" s="242"/>
      <c r="GA1048498" s="242"/>
      <c r="GB1048498" s="242"/>
      <c r="GC1048498" s="242"/>
      <c r="GD1048498" s="242"/>
      <c r="GE1048498" s="242"/>
      <c r="GF1048498" s="242"/>
      <c r="GG1048498" s="242"/>
      <c r="GH1048498" s="242"/>
      <c r="GI1048498" s="242"/>
      <c r="GJ1048498" s="242"/>
      <c r="GK1048498" s="242"/>
      <c r="GL1048498" s="242"/>
      <c r="GM1048498" s="242"/>
      <c r="GN1048498" s="242"/>
      <c r="GO1048498" s="242"/>
      <c r="GP1048498" s="242"/>
      <c r="GQ1048498" s="242"/>
      <c r="GR1048498" s="242"/>
      <c r="GS1048498" s="242"/>
      <c r="GT1048498" s="242"/>
      <c r="GU1048498" s="242"/>
      <c r="GV1048498" s="242"/>
      <c r="GW1048498" s="242"/>
      <c r="GX1048498" s="242"/>
      <c r="GY1048498" s="242"/>
      <c r="GZ1048498" s="242"/>
      <c r="HA1048498" s="242"/>
      <c r="HB1048498" s="242"/>
      <c r="HC1048498" s="242"/>
      <c r="HD1048498" s="242"/>
      <c r="HE1048498" s="242"/>
      <c r="HF1048498" s="242"/>
      <c r="HG1048498" s="242"/>
      <c r="HH1048498" s="242"/>
      <c r="HI1048498" s="242"/>
      <c r="HJ1048498" s="242"/>
      <c r="HK1048498" s="242"/>
      <c r="HL1048498" s="242"/>
      <c r="HM1048498" s="242"/>
      <c r="HN1048498" s="242"/>
      <c r="HO1048498" s="242"/>
      <c r="HP1048498" s="242"/>
      <c r="HQ1048498" s="242"/>
      <c r="HR1048498" s="242"/>
      <c r="HS1048498" s="242"/>
      <c r="HT1048498" s="242"/>
      <c r="HU1048498" s="242"/>
      <c r="HV1048498" s="242"/>
      <c r="HW1048498" s="242"/>
      <c r="HX1048498" s="242"/>
      <c r="HY1048498" s="242"/>
      <c r="HZ1048498" s="242"/>
      <c r="IA1048498" s="242"/>
      <c r="IB1048498" s="242"/>
      <c r="IC1048498" s="242"/>
      <c r="ID1048498" s="242"/>
      <c r="IE1048498" s="242"/>
      <c r="IF1048498" s="242"/>
      <c r="IG1048498" s="242"/>
      <c r="IH1048498" s="242"/>
      <c r="II1048498" s="242"/>
      <c r="IJ1048498" s="242"/>
      <c r="IK1048498" s="242"/>
      <c r="IL1048498" s="242"/>
      <c r="IM1048498" s="242"/>
      <c r="IN1048498" s="242"/>
      <c r="IO1048498" s="242"/>
      <c r="IP1048498" s="242"/>
      <c r="IQ1048498" s="242"/>
    </row>
    <row r="1048499" spans="1:251" s="243" customFormat="1" ht="12.6" customHeight="1">
      <c r="A1048499" s="242"/>
      <c r="B1048499" s="242"/>
      <c r="C1048499" s="242"/>
      <c r="D1048499" s="242"/>
      <c r="E1048499" s="242"/>
      <c r="F1048499" s="242"/>
      <c r="G1048499" s="242"/>
      <c r="H1048499" s="242"/>
      <c r="I1048499" s="242"/>
      <c r="J1048499" s="242"/>
      <c r="K1048499" s="242"/>
      <c r="L1048499" s="242"/>
      <c r="M1048499" s="242"/>
      <c r="N1048499" s="242"/>
      <c r="O1048499" s="242"/>
      <c r="P1048499" s="242"/>
      <c r="Q1048499" s="242"/>
      <c r="R1048499" s="242"/>
      <c r="S1048499" s="242"/>
      <c r="T1048499" s="242"/>
      <c r="U1048499" s="242"/>
      <c r="V1048499" s="242"/>
      <c r="W1048499" s="242"/>
      <c r="X1048499" s="242"/>
      <c r="Y1048499" s="242"/>
      <c r="Z1048499" s="242"/>
      <c r="AA1048499" s="242"/>
      <c r="AB1048499" s="242"/>
      <c r="AC1048499" s="242"/>
      <c r="AD1048499" s="242"/>
      <c r="AE1048499" s="242"/>
      <c r="AF1048499" s="242"/>
      <c r="AG1048499" s="242"/>
      <c r="AH1048499" s="242"/>
      <c r="AI1048499" s="242"/>
      <c r="AJ1048499" s="242"/>
      <c r="AK1048499" s="242"/>
      <c r="AL1048499" s="242"/>
      <c r="AM1048499" s="242"/>
      <c r="AN1048499" s="242"/>
      <c r="AO1048499" s="242"/>
      <c r="AP1048499" s="242"/>
      <c r="AQ1048499" s="242"/>
      <c r="AR1048499" s="242"/>
      <c r="AS1048499" s="242"/>
      <c r="AT1048499" s="242"/>
      <c r="AU1048499" s="242"/>
      <c r="AV1048499" s="242"/>
      <c r="AW1048499" s="242"/>
      <c r="AX1048499" s="242"/>
      <c r="AY1048499" s="242"/>
      <c r="AZ1048499" s="242"/>
      <c r="BA1048499" s="242"/>
      <c r="BB1048499" s="242"/>
      <c r="BC1048499" s="242"/>
      <c r="BD1048499" s="242"/>
      <c r="BE1048499" s="242"/>
      <c r="BF1048499" s="242"/>
      <c r="BG1048499" s="242"/>
      <c r="BH1048499" s="242"/>
      <c r="BI1048499" s="242"/>
      <c r="BJ1048499" s="242"/>
      <c r="BK1048499" s="242"/>
      <c r="BL1048499" s="242"/>
      <c r="BM1048499" s="242"/>
      <c r="BN1048499" s="242"/>
      <c r="BO1048499" s="242"/>
      <c r="BP1048499" s="242"/>
      <c r="BQ1048499" s="242"/>
      <c r="BR1048499" s="242"/>
      <c r="BS1048499" s="242"/>
      <c r="BT1048499" s="242"/>
      <c r="BU1048499" s="242"/>
      <c r="BV1048499" s="242"/>
      <c r="BW1048499" s="242"/>
      <c r="BX1048499" s="242"/>
      <c r="BY1048499" s="242"/>
      <c r="BZ1048499" s="242"/>
      <c r="CA1048499" s="242"/>
      <c r="CB1048499" s="242"/>
      <c r="CC1048499" s="242"/>
      <c r="CD1048499" s="242"/>
      <c r="CE1048499" s="242"/>
      <c r="CF1048499" s="242"/>
      <c r="CG1048499" s="242"/>
      <c r="CH1048499" s="242"/>
      <c r="CI1048499" s="242"/>
      <c r="CJ1048499" s="242"/>
      <c r="CK1048499" s="242"/>
      <c r="CL1048499" s="242"/>
      <c r="CM1048499" s="242"/>
      <c r="CN1048499" s="242"/>
      <c r="CO1048499" s="242"/>
      <c r="CP1048499" s="242"/>
      <c r="CQ1048499" s="242"/>
      <c r="CR1048499" s="242"/>
      <c r="CS1048499" s="242"/>
      <c r="CT1048499" s="242"/>
      <c r="CU1048499" s="242"/>
      <c r="CV1048499" s="242"/>
      <c r="CW1048499" s="242"/>
      <c r="CX1048499" s="242"/>
      <c r="CY1048499" s="242"/>
      <c r="CZ1048499" s="242"/>
      <c r="DA1048499" s="242"/>
      <c r="DB1048499" s="242"/>
      <c r="DC1048499" s="242"/>
      <c r="DD1048499" s="242"/>
      <c r="DE1048499" s="242"/>
      <c r="DF1048499" s="242"/>
      <c r="DG1048499" s="242"/>
      <c r="DH1048499" s="242"/>
      <c r="DI1048499" s="242"/>
      <c r="DJ1048499" s="242"/>
      <c r="DK1048499" s="242"/>
      <c r="DL1048499" s="242"/>
      <c r="DM1048499" s="242"/>
      <c r="DN1048499" s="242"/>
      <c r="DO1048499" s="242"/>
      <c r="DP1048499" s="242"/>
      <c r="DQ1048499" s="242"/>
      <c r="DR1048499" s="242"/>
      <c r="DS1048499" s="242"/>
      <c r="DT1048499" s="242"/>
      <c r="DU1048499" s="242"/>
      <c r="DV1048499" s="242"/>
      <c r="DW1048499" s="242"/>
      <c r="DX1048499" s="242"/>
      <c r="DY1048499" s="242"/>
      <c r="DZ1048499" s="242"/>
      <c r="EA1048499" s="242"/>
      <c r="EB1048499" s="242"/>
      <c r="EC1048499" s="242"/>
      <c r="ED1048499" s="242"/>
      <c r="EE1048499" s="242"/>
      <c r="EF1048499" s="242"/>
      <c r="EG1048499" s="242"/>
      <c r="EH1048499" s="242"/>
      <c r="EI1048499" s="242"/>
      <c r="EJ1048499" s="242"/>
      <c r="EK1048499" s="242"/>
      <c r="EL1048499" s="242"/>
      <c r="EM1048499" s="242"/>
      <c r="EN1048499" s="242"/>
      <c r="EO1048499" s="242"/>
      <c r="EP1048499" s="242"/>
      <c r="EQ1048499" s="242"/>
      <c r="ER1048499" s="242"/>
      <c r="ES1048499" s="242"/>
      <c r="ET1048499" s="242"/>
      <c r="EU1048499" s="242"/>
      <c r="EV1048499" s="242"/>
      <c r="EW1048499" s="242"/>
      <c r="EX1048499" s="242"/>
      <c r="EY1048499" s="242"/>
      <c r="EZ1048499" s="242"/>
      <c r="FA1048499" s="242"/>
      <c r="FB1048499" s="242"/>
      <c r="FC1048499" s="242"/>
      <c r="FD1048499" s="242"/>
      <c r="FE1048499" s="242"/>
      <c r="FF1048499" s="242"/>
      <c r="FG1048499" s="242"/>
      <c r="FH1048499" s="242"/>
      <c r="FI1048499" s="242"/>
      <c r="FJ1048499" s="242"/>
      <c r="FK1048499" s="242"/>
      <c r="FL1048499" s="242"/>
      <c r="FM1048499" s="242"/>
      <c r="FN1048499" s="242"/>
      <c r="FO1048499" s="242"/>
      <c r="FP1048499" s="242"/>
      <c r="FQ1048499" s="242"/>
      <c r="FR1048499" s="242"/>
      <c r="FS1048499" s="242"/>
      <c r="FT1048499" s="242"/>
      <c r="FU1048499" s="242"/>
      <c r="FV1048499" s="242"/>
      <c r="FW1048499" s="242"/>
      <c r="FX1048499" s="242"/>
      <c r="FY1048499" s="242"/>
      <c r="FZ1048499" s="242"/>
      <c r="GA1048499" s="242"/>
      <c r="GB1048499" s="242"/>
      <c r="GC1048499" s="242"/>
      <c r="GD1048499" s="242"/>
      <c r="GE1048499" s="242"/>
      <c r="GF1048499" s="242"/>
      <c r="GG1048499" s="242"/>
      <c r="GH1048499" s="242"/>
      <c r="GI1048499" s="242"/>
      <c r="GJ1048499" s="242"/>
      <c r="GK1048499" s="242"/>
      <c r="GL1048499" s="242"/>
      <c r="GM1048499" s="242"/>
      <c r="GN1048499" s="242"/>
      <c r="GO1048499" s="242"/>
      <c r="GP1048499" s="242"/>
      <c r="GQ1048499" s="242"/>
      <c r="GR1048499" s="242"/>
      <c r="GS1048499" s="242"/>
      <c r="GT1048499" s="242"/>
      <c r="GU1048499" s="242"/>
      <c r="GV1048499" s="242"/>
      <c r="GW1048499" s="242"/>
      <c r="GX1048499" s="242"/>
      <c r="GY1048499" s="242"/>
      <c r="GZ1048499" s="242"/>
      <c r="HA1048499" s="242"/>
      <c r="HB1048499" s="242"/>
      <c r="HC1048499" s="242"/>
      <c r="HD1048499" s="242"/>
      <c r="HE1048499" s="242"/>
      <c r="HF1048499" s="242"/>
      <c r="HG1048499" s="242"/>
      <c r="HH1048499" s="242"/>
      <c r="HI1048499" s="242"/>
      <c r="HJ1048499" s="242"/>
      <c r="HK1048499" s="242"/>
      <c r="HL1048499" s="242"/>
      <c r="HM1048499" s="242"/>
      <c r="HN1048499" s="242"/>
      <c r="HO1048499" s="242"/>
      <c r="HP1048499" s="242"/>
      <c r="HQ1048499" s="242"/>
      <c r="HR1048499" s="242"/>
      <c r="HS1048499" s="242"/>
      <c r="HT1048499" s="242"/>
      <c r="HU1048499" s="242"/>
      <c r="HV1048499" s="242"/>
      <c r="HW1048499" s="242"/>
      <c r="HX1048499" s="242"/>
      <c r="HY1048499" s="242"/>
      <c r="HZ1048499" s="242"/>
      <c r="IA1048499" s="242"/>
      <c r="IB1048499" s="242"/>
      <c r="IC1048499" s="242"/>
      <c r="ID1048499" s="242"/>
      <c r="IE1048499" s="242"/>
      <c r="IF1048499" s="242"/>
      <c r="IG1048499" s="242"/>
      <c r="IH1048499" s="242"/>
      <c r="II1048499" s="242"/>
      <c r="IJ1048499" s="242"/>
      <c r="IK1048499" s="242"/>
      <c r="IL1048499" s="242"/>
      <c r="IM1048499" s="242"/>
      <c r="IN1048499" s="242"/>
      <c r="IO1048499" s="242"/>
      <c r="IP1048499" s="242"/>
      <c r="IQ1048499" s="242"/>
    </row>
    <row r="1048500" spans="1:251" s="243" customFormat="1" ht="12.6" customHeight="1">
      <c r="A1048500" s="242"/>
      <c r="B1048500" s="242"/>
      <c r="C1048500" s="242"/>
      <c r="D1048500" s="242"/>
      <c r="E1048500" s="242"/>
      <c r="F1048500" s="242"/>
      <c r="G1048500" s="242"/>
      <c r="H1048500" s="242"/>
      <c r="I1048500" s="242"/>
      <c r="J1048500" s="242"/>
      <c r="K1048500" s="242"/>
      <c r="L1048500" s="242"/>
      <c r="M1048500" s="242"/>
      <c r="N1048500" s="242"/>
      <c r="O1048500" s="242"/>
      <c r="P1048500" s="242"/>
      <c r="Q1048500" s="242"/>
      <c r="R1048500" s="242"/>
      <c r="S1048500" s="242"/>
      <c r="T1048500" s="242"/>
      <c r="U1048500" s="242"/>
      <c r="V1048500" s="242"/>
      <c r="W1048500" s="242"/>
      <c r="X1048500" s="242"/>
      <c r="Y1048500" s="242"/>
      <c r="Z1048500" s="242"/>
      <c r="AA1048500" s="242"/>
      <c r="AB1048500" s="242"/>
      <c r="AC1048500" s="242"/>
      <c r="AD1048500" s="242"/>
      <c r="AE1048500" s="242"/>
      <c r="AF1048500" s="242"/>
      <c r="AG1048500" s="242"/>
      <c r="AH1048500" s="242"/>
      <c r="AI1048500" s="242"/>
      <c r="AJ1048500" s="242"/>
      <c r="AK1048500" s="242"/>
      <c r="AL1048500" s="242"/>
      <c r="AM1048500" s="242"/>
      <c r="AN1048500" s="242"/>
      <c r="AO1048500" s="242"/>
      <c r="AP1048500" s="242"/>
      <c r="AQ1048500" s="242"/>
      <c r="AR1048500" s="242"/>
      <c r="AS1048500" s="242"/>
      <c r="AT1048500" s="242"/>
      <c r="AU1048500" s="242"/>
      <c r="AV1048500" s="242"/>
      <c r="AW1048500" s="242"/>
      <c r="AX1048500" s="242"/>
      <c r="AY1048500" s="242"/>
      <c r="AZ1048500" s="242"/>
      <c r="BA1048500" s="242"/>
      <c r="BB1048500" s="242"/>
      <c r="BC1048500" s="242"/>
      <c r="BD1048500" s="242"/>
      <c r="BE1048500" s="242"/>
      <c r="BF1048500" s="242"/>
      <c r="BG1048500" s="242"/>
      <c r="BH1048500" s="242"/>
      <c r="BI1048500" s="242"/>
      <c r="BJ1048500" s="242"/>
      <c r="BK1048500" s="242"/>
      <c r="BL1048500" s="242"/>
      <c r="BM1048500" s="242"/>
      <c r="BN1048500" s="242"/>
      <c r="BO1048500" s="242"/>
      <c r="BP1048500" s="242"/>
      <c r="BQ1048500" s="242"/>
      <c r="BR1048500" s="242"/>
      <c r="BS1048500" s="242"/>
      <c r="BT1048500" s="242"/>
      <c r="BU1048500" s="242"/>
      <c r="BV1048500" s="242"/>
      <c r="BW1048500" s="242"/>
      <c r="BX1048500" s="242"/>
      <c r="BY1048500" s="242"/>
      <c r="BZ1048500" s="242"/>
      <c r="CA1048500" s="242"/>
      <c r="CB1048500" s="242"/>
      <c r="CC1048500" s="242"/>
      <c r="CD1048500" s="242"/>
      <c r="CE1048500" s="242"/>
      <c r="CF1048500" s="242"/>
      <c r="CG1048500" s="242"/>
      <c r="CH1048500" s="242"/>
      <c r="CI1048500" s="242"/>
      <c r="CJ1048500" s="242"/>
      <c r="CK1048500" s="242"/>
      <c r="CL1048500" s="242"/>
      <c r="CM1048500" s="242"/>
      <c r="CN1048500" s="242"/>
      <c r="CO1048500" s="242"/>
      <c r="CP1048500" s="242"/>
      <c r="CQ1048500" s="242"/>
      <c r="CR1048500" s="242"/>
      <c r="CS1048500" s="242"/>
      <c r="CT1048500" s="242"/>
      <c r="CU1048500" s="242"/>
      <c r="CV1048500" s="242"/>
      <c r="CW1048500" s="242"/>
      <c r="CX1048500" s="242"/>
      <c r="CY1048500" s="242"/>
      <c r="CZ1048500" s="242"/>
      <c r="DA1048500" s="242"/>
      <c r="DB1048500" s="242"/>
      <c r="DC1048500" s="242"/>
      <c r="DD1048500" s="242"/>
      <c r="DE1048500" s="242"/>
      <c r="DF1048500" s="242"/>
      <c r="DG1048500" s="242"/>
      <c r="DH1048500" s="242"/>
      <c r="DI1048500" s="242"/>
      <c r="DJ1048500" s="242"/>
      <c r="DK1048500" s="242"/>
      <c r="DL1048500" s="242"/>
      <c r="DM1048500" s="242"/>
      <c r="DN1048500" s="242"/>
      <c r="DO1048500" s="242"/>
      <c r="DP1048500" s="242"/>
      <c r="DQ1048500" s="242"/>
      <c r="DR1048500" s="242"/>
      <c r="DS1048500" s="242"/>
      <c r="DT1048500" s="242"/>
      <c r="DU1048500" s="242"/>
      <c r="DV1048500" s="242"/>
      <c r="DW1048500" s="242"/>
      <c r="DX1048500" s="242"/>
      <c r="DY1048500" s="242"/>
      <c r="DZ1048500" s="242"/>
      <c r="EA1048500" s="242"/>
      <c r="EB1048500" s="242"/>
      <c r="EC1048500" s="242"/>
      <c r="ED1048500" s="242"/>
      <c r="EE1048500" s="242"/>
      <c r="EF1048500" s="242"/>
      <c r="EG1048500" s="242"/>
      <c r="EH1048500" s="242"/>
      <c r="EI1048500" s="242"/>
      <c r="EJ1048500" s="242"/>
      <c r="EK1048500" s="242"/>
      <c r="EL1048500" s="242"/>
      <c r="EM1048500" s="242"/>
      <c r="EN1048500" s="242"/>
      <c r="EO1048500" s="242"/>
      <c r="EP1048500" s="242"/>
      <c r="EQ1048500" s="242"/>
      <c r="ER1048500" s="242"/>
      <c r="ES1048500" s="242"/>
      <c r="ET1048500" s="242"/>
      <c r="EU1048500" s="242"/>
      <c r="EV1048500" s="242"/>
      <c r="EW1048500" s="242"/>
      <c r="EX1048500" s="242"/>
      <c r="EY1048500" s="242"/>
      <c r="EZ1048500" s="242"/>
      <c r="FA1048500" s="242"/>
      <c r="FB1048500" s="242"/>
      <c r="FC1048500" s="242"/>
      <c r="FD1048500" s="242"/>
      <c r="FE1048500" s="242"/>
      <c r="FF1048500" s="242"/>
      <c r="FG1048500" s="242"/>
      <c r="FH1048500" s="242"/>
      <c r="FI1048500" s="242"/>
      <c r="FJ1048500" s="242"/>
      <c r="FK1048500" s="242"/>
      <c r="FL1048500" s="242"/>
      <c r="FM1048500" s="242"/>
      <c r="FN1048500" s="242"/>
      <c r="FO1048500" s="242"/>
      <c r="FP1048500" s="242"/>
      <c r="FQ1048500" s="242"/>
      <c r="FR1048500" s="242"/>
      <c r="FS1048500" s="242"/>
      <c r="FT1048500" s="242"/>
      <c r="FU1048500" s="242"/>
      <c r="FV1048500" s="242"/>
      <c r="FW1048500" s="242"/>
      <c r="FX1048500" s="242"/>
      <c r="FY1048500" s="242"/>
      <c r="FZ1048500" s="242"/>
      <c r="GA1048500" s="242"/>
      <c r="GB1048500" s="242"/>
      <c r="GC1048500" s="242"/>
      <c r="GD1048500" s="242"/>
      <c r="GE1048500" s="242"/>
      <c r="GF1048500" s="242"/>
      <c r="GG1048500" s="242"/>
      <c r="GH1048500" s="242"/>
      <c r="GI1048500" s="242"/>
      <c r="GJ1048500" s="242"/>
      <c r="GK1048500" s="242"/>
      <c r="GL1048500" s="242"/>
      <c r="GM1048500" s="242"/>
      <c r="GN1048500" s="242"/>
      <c r="GO1048500" s="242"/>
      <c r="GP1048500" s="242"/>
      <c r="GQ1048500" s="242"/>
      <c r="GR1048500" s="242"/>
      <c r="GS1048500" s="242"/>
      <c r="GT1048500" s="242"/>
      <c r="GU1048500" s="242"/>
      <c r="GV1048500" s="242"/>
      <c r="GW1048500" s="242"/>
      <c r="GX1048500" s="242"/>
      <c r="GY1048500" s="242"/>
      <c r="GZ1048500" s="242"/>
      <c r="HA1048500" s="242"/>
      <c r="HB1048500" s="242"/>
      <c r="HC1048500" s="242"/>
      <c r="HD1048500" s="242"/>
      <c r="HE1048500" s="242"/>
      <c r="HF1048500" s="242"/>
      <c r="HG1048500" s="242"/>
      <c r="HH1048500" s="242"/>
      <c r="HI1048500" s="242"/>
      <c r="HJ1048500" s="242"/>
      <c r="HK1048500" s="242"/>
      <c r="HL1048500" s="242"/>
      <c r="HM1048500" s="242"/>
      <c r="HN1048500" s="242"/>
      <c r="HO1048500" s="242"/>
      <c r="HP1048500" s="242"/>
      <c r="HQ1048500" s="242"/>
      <c r="HR1048500" s="242"/>
      <c r="HS1048500" s="242"/>
      <c r="HT1048500" s="242"/>
      <c r="HU1048500" s="242"/>
      <c r="HV1048500" s="242"/>
      <c r="HW1048500" s="242"/>
      <c r="HX1048500" s="242"/>
      <c r="HY1048500" s="242"/>
      <c r="HZ1048500" s="242"/>
      <c r="IA1048500" s="242"/>
      <c r="IB1048500" s="242"/>
      <c r="IC1048500" s="242"/>
      <c r="ID1048500" s="242"/>
      <c r="IE1048500" s="242"/>
      <c r="IF1048500" s="242"/>
      <c r="IG1048500" s="242"/>
      <c r="IH1048500" s="242"/>
      <c r="II1048500" s="242"/>
      <c r="IJ1048500" s="242"/>
      <c r="IK1048500" s="242"/>
      <c r="IL1048500" s="242"/>
      <c r="IM1048500" s="242"/>
      <c r="IN1048500" s="242"/>
      <c r="IO1048500" s="242"/>
      <c r="IP1048500" s="242"/>
      <c r="IQ1048500" s="242"/>
    </row>
    <row r="1048501" spans="1:251" s="243" customFormat="1" ht="12.6" customHeight="1">
      <c r="A1048501" s="242"/>
      <c r="B1048501" s="242"/>
      <c r="C1048501" s="242"/>
      <c r="D1048501" s="242"/>
      <c r="E1048501" s="242"/>
      <c r="F1048501" s="242"/>
      <c r="G1048501" s="242"/>
      <c r="H1048501" s="242"/>
      <c r="I1048501" s="242"/>
      <c r="J1048501" s="242"/>
      <c r="K1048501" s="242"/>
      <c r="L1048501" s="242"/>
      <c r="M1048501" s="242"/>
      <c r="N1048501" s="242"/>
      <c r="O1048501" s="242"/>
      <c r="P1048501" s="242"/>
      <c r="Q1048501" s="242"/>
      <c r="R1048501" s="242"/>
      <c r="S1048501" s="242"/>
      <c r="T1048501" s="242"/>
      <c r="U1048501" s="242"/>
      <c r="V1048501" s="242"/>
      <c r="W1048501" s="242"/>
      <c r="X1048501" s="242"/>
      <c r="Y1048501" s="242"/>
      <c r="Z1048501" s="242"/>
      <c r="AA1048501" s="242"/>
      <c r="AB1048501" s="242"/>
      <c r="AC1048501" s="242"/>
      <c r="AD1048501" s="242"/>
      <c r="AE1048501" s="242"/>
      <c r="AF1048501" s="242"/>
      <c r="AG1048501" s="242"/>
      <c r="AH1048501" s="242"/>
      <c r="AI1048501" s="242"/>
      <c r="AJ1048501" s="242"/>
      <c r="AK1048501" s="242"/>
      <c r="AL1048501" s="242"/>
      <c r="AM1048501" s="242"/>
      <c r="AN1048501" s="242"/>
      <c r="AO1048501" s="242"/>
      <c r="AP1048501" s="242"/>
      <c r="AQ1048501" s="242"/>
      <c r="AR1048501" s="242"/>
      <c r="AS1048501" s="242"/>
      <c r="AT1048501" s="242"/>
      <c r="AU1048501" s="242"/>
      <c r="AV1048501" s="242"/>
      <c r="AW1048501" s="242"/>
      <c r="AX1048501" s="242"/>
      <c r="AY1048501" s="242"/>
      <c r="AZ1048501" s="242"/>
      <c r="BA1048501" s="242"/>
      <c r="BB1048501" s="242"/>
      <c r="BC1048501" s="242"/>
      <c r="BD1048501" s="242"/>
      <c r="BE1048501" s="242"/>
      <c r="BF1048501" s="242"/>
      <c r="BG1048501" s="242"/>
      <c r="BH1048501" s="242"/>
      <c r="BI1048501" s="242"/>
      <c r="BJ1048501" s="242"/>
      <c r="BK1048501" s="242"/>
      <c r="BL1048501" s="242"/>
      <c r="BM1048501" s="242"/>
      <c r="BN1048501" s="242"/>
      <c r="BO1048501" s="242"/>
      <c r="BP1048501" s="242"/>
      <c r="BQ1048501" s="242"/>
      <c r="BR1048501" s="242"/>
      <c r="BS1048501" s="242"/>
      <c r="BT1048501" s="242"/>
      <c r="BU1048501" s="242"/>
      <c r="BV1048501" s="242"/>
      <c r="BW1048501" s="242"/>
      <c r="BX1048501" s="242"/>
      <c r="BY1048501" s="242"/>
      <c r="BZ1048501" s="242"/>
      <c r="CA1048501" s="242"/>
      <c r="CB1048501" s="242"/>
      <c r="CC1048501" s="242"/>
      <c r="CD1048501" s="242"/>
      <c r="CE1048501" s="242"/>
      <c r="CF1048501" s="242"/>
      <c r="CG1048501" s="242"/>
      <c r="CH1048501" s="242"/>
      <c r="CI1048501" s="242"/>
      <c r="CJ1048501" s="242"/>
      <c r="CK1048501" s="242"/>
      <c r="CL1048501" s="242"/>
      <c r="CM1048501" s="242"/>
      <c r="CN1048501" s="242"/>
      <c r="CO1048501" s="242"/>
      <c r="CP1048501" s="242"/>
      <c r="CQ1048501" s="242"/>
      <c r="CR1048501" s="242"/>
      <c r="CS1048501" s="242"/>
      <c r="CT1048501" s="242"/>
      <c r="CU1048501" s="242"/>
      <c r="CV1048501" s="242"/>
      <c r="CW1048501" s="242"/>
      <c r="CX1048501" s="242"/>
      <c r="CY1048501" s="242"/>
      <c r="CZ1048501" s="242"/>
      <c r="DA1048501" s="242"/>
      <c r="DB1048501" s="242"/>
      <c r="DC1048501" s="242"/>
      <c r="DD1048501" s="242"/>
      <c r="DE1048501" s="242"/>
      <c r="DF1048501" s="242"/>
      <c r="DG1048501" s="242"/>
      <c r="DH1048501" s="242"/>
      <c r="DI1048501" s="242"/>
      <c r="DJ1048501" s="242"/>
      <c r="DK1048501" s="242"/>
      <c r="DL1048501" s="242"/>
      <c r="DM1048501" s="242"/>
      <c r="DN1048501" s="242"/>
      <c r="DO1048501" s="242"/>
      <c r="DP1048501" s="242"/>
      <c r="DQ1048501" s="242"/>
      <c r="DR1048501" s="242"/>
      <c r="DS1048501" s="242"/>
      <c r="DT1048501" s="242"/>
      <c r="DU1048501" s="242"/>
      <c r="DV1048501" s="242"/>
      <c r="DW1048501" s="242"/>
      <c r="DX1048501" s="242"/>
      <c r="DY1048501" s="242"/>
      <c r="DZ1048501" s="242"/>
      <c r="EA1048501" s="242"/>
      <c r="EB1048501" s="242"/>
      <c r="EC1048501" s="242"/>
      <c r="ED1048501" s="242"/>
      <c r="EE1048501" s="242"/>
      <c r="EF1048501" s="242"/>
      <c r="EG1048501" s="242"/>
      <c r="EH1048501" s="242"/>
      <c r="EI1048501" s="242"/>
      <c r="EJ1048501" s="242"/>
      <c r="EK1048501" s="242"/>
      <c r="EL1048501" s="242"/>
      <c r="EM1048501" s="242"/>
      <c r="EN1048501" s="242"/>
      <c r="EO1048501" s="242"/>
      <c r="EP1048501" s="242"/>
      <c r="EQ1048501" s="242"/>
      <c r="ER1048501" s="242"/>
      <c r="ES1048501" s="242"/>
      <c r="ET1048501" s="242"/>
      <c r="EU1048501" s="242"/>
      <c r="EV1048501" s="242"/>
      <c r="EW1048501" s="242"/>
      <c r="EX1048501" s="242"/>
      <c r="EY1048501" s="242"/>
      <c r="EZ1048501" s="242"/>
      <c r="FA1048501" s="242"/>
      <c r="FB1048501" s="242"/>
      <c r="FC1048501" s="242"/>
      <c r="FD1048501" s="242"/>
      <c r="FE1048501" s="242"/>
      <c r="FF1048501" s="242"/>
      <c r="FG1048501" s="242"/>
      <c r="FH1048501" s="242"/>
      <c r="FI1048501" s="242"/>
      <c r="FJ1048501" s="242"/>
      <c r="FK1048501" s="242"/>
      <c r="FL1048501" s="242"/>
      <c r="FM1048501" s="242"/>
      <c r="FN1048501" s="242"/>
      <c r="FO1048501" s="242"/>
      <c r="FP1048501" s="242"/>
      <c r="FQ1048501" s="242"/>
      <c r="FR1048501" s="242"/>
      <c r="FS1048501" s="242"/>
      <c r="FT1048501" s="242"/>
      <c r="FU1048501" s="242"/>
      <c r="FV1048501" s="242"/>
      <c r="FW1048501" s="242"/>
      <c r="FX1048501" s="242"/>
      <c r="FY1048501" s="242"/>
      <c r="FZ1048501" s="242"/>
      <c r="GA1048501" s="242"/>
      <c r="GB1048501" s="242"/>
      <c r="GC1048501" s="242"/>
      <c r="GD1048501" s="242"/>
      <c r="GE1048501" s="242"/>
      <c r="GF1048501" s="242"/>
      <c r="GG1048501" s="242"/>
      <c r="GH1048501" s="242"/>
      <c r="GI1048501" s="242"/>
      <c r="GJ1048501" s="242"/>
      <c r="GK1048501" s="242"/>
      <c r="GL1048501" s="242"/>
      <c r="GM1048501" s="242"/>
      <c r="GN1048501" s="242"/>
      <c r="GO1048501" s="242"/>
      <c r="GP1048501" s="242"/>
      <c r="GQ1048501" s="242"/>
      <c r="GR1048501" s="242"/>
      <c r="GS1048501" s="242"/>
      <c r="GT1048501" s="242"/>
      <c r="GU1048501" s="242"/>
      <c r="GV1048501" s="242"/>
      <c r="GW1048501" s="242"/>
      <c r="GX1048501" s="242"/>
      <c r="GY1048501" s="242"/>
      <c r="GZ1048501" s="242"/>
      <c r="HA1048501" s="242"/>
      <c r="HB1048501" s="242"/>
      <c r="HC1048501" s="242"/>
      <c r="HD1048501" s="242"/>
      <c r="HE1048501" s="242"/>
      <c r="HF1048501" s="242"/>
      <c r="HG1048501" s="242"/>
      <c r="HH1048501" s="242"/>
      <c r="HI1048501" s="242"/>
      <c r="HJ1048501" s="242"/>
      <c r="HK1048501" s="242"/>
      <c r="HL1048501" s="242"/>
      <c r="HM1048501" s="242"/>
      <c r="HN1048501" s="242"/>
      <c r="HO1048501" s="242"/>
      <c r="HP1048501" s="242"/>
      <c r="HQ1048501" s="242"/>
      <c r="HR1048501" s="242"/>
      <c r="HS1048501" s="242"/>
      <c r="HT1048501" s="242"/>
      <c r="HU1048501" s="242"/>
      <c r="HV1048501" s="242"/>
      <c r="HW1048501" s="242"/>
      <c r="HX1048501" s="242"/>
      <c r="HY1048501" s="242"/>
      <c r="HZ1048501" s="242"/>
      <c r="IA1048501" s="242"/>
      <c r="IB1048501" s="242"/>
      <c r="IC1048501" s="242"/>
      <c r="ID1048501" s="242"/>
      <c r="IE1048501" s="242"/>
      <c r="IF1048501" s="242"/>
      <c r="IG1048501" s="242"/>
      <c r="IH1048501" s="242"/>
      <c r="II1048501" s="242"/>
      <c r="IJ1048501" s="242"/>
      <c r="IK1048501" s="242"/>
      <c r="IL1048501" s="242"/>
      <c r="IM1048501" s="242"/>
      <c r="IN1048501" s="242"/>
      <c r="IO1048501" s="242"/>
      <c r="IP1048501" s="242"/>
      <c r="IQ1048501" s="242"/>
    </row>
    <row r="1048502" spans="1:251" s="243" customFormat="1" ht="12.6" customHeight="1">
      <c r="A1048502" s="242"/>
      <c r="B1048502" s="242"/>
      <c r="C1048502" s="242"/>
      <c r="D1048502" s="242"/>
      <c r="E1048502" s="242"/>
      <c r="F1048502" s="242"/>
      <c r="G1048502" s="242"/>
      <c r="H1048502" s="242"/>
      <c r="I1048502" s="242"/>
      <c r="J1048502" s="242"/>
      <c r="K1048502" s="242"/>
      <c r="L1048502" s="242"/>
      <c r="M1048502" s="242"/>
      <c r="N1048502" s="242"/>
      <c r="O1048502" s="242"/>
      <c r="P1048502" s="242"/>
      <c r="Q1048502" s="242"/>
      <c r="R1048502" s="242"/>
      <c r="S1048502" s="242"/>
      <c r="T1048502" s="242"/>
      <c r="U1048502" s="242"/>
      <c r="V1048502" s="242"/>
      <c r="W1048502" s="242"/>
      <c r="X1048502" s="242"/>
      <c r="Y1048502" s="242"/>
      <c r="Z1048502" s="242"/>
      <c r="AA1048502" s="242"/>
      <c r="AB1048502" s="242"/>
      <c r="AC1048502" s="242"/>
      <c r="AD1048502" s="242"/>
      <c r="AE1048502" s="242"/>
      <c r="AF1048502" s="242"/>
      <c r="AG1048502" s="242"/>
      <c r="AH1048502" s="242"/>
      <c r="AI1048502" s="242"/>
      <c r="AJ1048502" s="242"/>
      <c r="AK1048502" s="242"/>
      <c r="AL1048502" s="242"/>
      <c r="AM1048502" s="242"/>
      <c r="AN1048502" s="242"/>
      <c r="AO1048502" s="242"/>
      <c r="AP1048502" s="242"/>
      <c r="AQ1048502" s="242"/>
      <c r="AR1048502" s="242"/>
      <c r="AS1048502" s="242"/>
      <c r="AT1048502" s="242"/>
      <c r="AU1048502" s="242"/>
      <c r="AV1048502" s="242"/>
      <c r="AW1048502" s="242"/>
      <c r="AX1048502" s="242"/>
      <c r="AY1048502" s="242"/>
      <c r="AZ1048502" s="242"/>
      <c r="BA1048502" s="242"/>
      <c r="BB1048502" s="242"/>
      <c r="BC1048502" s="242"/>
      <c r="BD1048502" s="242"/>
      <c r="BE1048502" s="242"/>
      <c r="BF1048502" s="242"/>
      <c r="BG1048502" s="242"/>
      <c r="BH1048502" s="242"/>
      <c r="BI1048502" s="242"/>
      <c r="BJ1048502" s="242"/>
      <c r="BK1048502" s="242"/>
      <c r="BL1048502" s="242"/>
      <c r="BM1048502" s="242"/>
      <c r="BN1048502" s="242"/>
      <c r="BO1048502" s="242"/>
      <c r="BP1048502" s="242"/>
      <c r="BQ1048502" s="242"/>
      <c r="BR1048502" s="242"/>
      <c r="BS1048502" s="242"/>
      <c r="BT1048502" s="242"/>
      <c r="BU1048502" s="242"/>
      <c r="BV1048502" s="242"/>
      <c r="BW1048502" s="242"/>
      <c r="BX1048502" s="242"/>
      <c r="BY1048502" s="242"/>
      <c r="BZ1048502" s="242"/>
      <c r="CA1048502" s="242"/>
      <c r="CB1048502" s="242"/>
      <c r="CC1048502" s="242"/>
      <c r="CD1048502" s="242"/>
      <c r="CE1048502" s="242"/>
      <c r="CF1048502" s="242"/>
      <c r="CG1048502" s="242"/>
      <c r="CH1048502" s="242"/>
      <c r="CI1048502" s="242"/>
      <c r="CJ1048502" s="242"/>
      <c r="CK1048502" s="242"/>
      <c r="CL1048502" s="242"/>
      <c r="CM1048502" s="242"/>
      <c r="CN1048502" s="242"/>
      <c r="CO1048502" s="242"/>
      <c r="CP1048502" s="242"/>
      <c r="CQ1048502" s="242"/>
      <c r="CR1048502" s="242"/>
      <c r="CS1048502" s="242"/>
      <c r="CT1048502" s="242"/>
      <c r="CU1048502" s="242"/>
      <c r="CV1048502" s="242"/>
      <c r="CW1048502" s="242"/>
      <c r="CX1048502" s="242"/>
      <c r="CY1048502" s="242"/>
      <c r="CZ1048502" s="242"/>
      <c r="DA1048502" s="242"/>
      <c r="DB1048502" s="242"/>
      <c r="DC1048502" s="242"/>
      <c r="DD1048502" s="242"/>
      <c r="DE1048502" s="242"/>
      <c r="DF1048502" s="242"/>
      <c r="DG1048502" s="242"/>
      <c r="DH1048502" s="242"/>
      <c r="DI1048502" s="242"/>
      <c r="DJ1048502" s="242"/>
      <c r="DK1048502" s="242"/>
      <c r="DL1048502" s="242"/>
      <c r="DM1048502" s="242"/>
      <c r="DN1048502" s="242"/>
      <c r="DO1048502" s="242"/>
      <c r="DP1048502" s="242"/>
      <c r="DQ1048502" s="242"/>
      <c r="DR1048502" s="242"/>
      <c r="DS1048502" s="242"/>
      <c r="DT1048502" s="242"/>
      <c r="DU1048502" s="242"/>
      <c r="DV1048502" s="242"/>
      <c r="DW1048502" s="242"/>
      <c r="DX1048502" s="242"/>
      <c r="DY1048502" s="242"/>
      <c r="DZ1048502" s="242"/>
      <c r="EA1048502" s="242"/>
      <c r="EB1048502" s="242"/>
      <c r="EC1048502" s="242"/>
      <c r="ED1048502" s="242"/>
      <c r="EE1048502" s="242"/>
      <c r="EF1048502" s="242"/>
      <c r="EG1048502" s="242"/>
      <c r="EH1048502" s="242"/>
      <c r="EI1048502" s="242"/>
      <c r="EJ1048502" s="242"/>
      <c r="EK1048502" s="242"/>
      <c r="EL1048502" s="242"/>
      <c r="EM1048502" s="242"/>
      <c r="EN1048502" s="242"/>
      <c r="EO1048502" s="242"/>
      <c r="EP1048502" s="242"/>
      <c r="EQ1048502" s="242"/>
      <c r="ER1048502" s="242"/>
      <c r="ES1048502" s="242"/>
      <c r="ET1048502" s="242"/>
      <c r="EU1048502" s="242"/>
      <c r="EV1048502" s="242"/>
      <c r="EW1048502" s="242"/>
      <c r="EX1048502" s="242"/>
      <c r="EY1048502" s="242"/>
      <c r="EZ1048502" s="242"/>
      <c r="FA1048502" s="242"/>
      <c r="FB1048502" s="242"/>
      <c r="FC1048502" s="242"/>
      <c r="FD1048502" s="242"/>
      <c r="FE1048502" s="242"/>
      <c r="FF1048502" s="242"/>
      <c r="FG1048502" s="242"/>
      <c r="FH1048502" s="242"/>
      <c r="FI1048502" s="242"/>
      <c r="FJ1048502" s="242"/>
      <c r="FK1048502" s="242"/>
      <c r="FL1048502" s="242"/>
      <c r="FM1048502" s="242"/>
      <c r="FN1048502" s="242"/>
      <c r="FO1048502" s="242"/>
      <c r="FP1048502" s="242"/>
      <c r="FQ1048502" s="242"/>
      <c r="FR1048502" s="242"/>
      <c r="FS1048502" s="242"/>
      <c r="FT1048502" s="242"/>
      <c r="FU1048502" s="242"/>
      <c r="FV1048502" s="242"/>
      <c r="FW1048502" s="242"/>
      <c r="FX1048502" s="242"/>
      <c r="FY1048502" s="242"/>
      <c r="FZ1048502" s="242"/>
      <c r="GA1048502" s="242"/>
      <c r="GB1048502" s="242"/>
      <c r="GC1048502" s="242"/>
      <c r="GD1048502" s="242"/>
      <c r="GE1048502" s="242"/>
      <c r="GF1048502" s="242"/>
      <c r="GG1048502" s="242"/>
      <c r="GH1048502" s="242"/>
      <c r="GI1048502" s="242"/>
      <c r="GJ1048502" s="242"/>
      <c r="GK1048502" s="242"/>
      <c r="GL1048502" s="242"/>
      <c r="GM1048502" s="242"/>
      <c r="GN1048502" s="242"/>
      <c r="GO1048502" s="242"/>
      <c r="GP1048502" s="242"/>
      <c r="GQ1048502" s="242"/>
      <c r="GR1048502" s="242"/>
      <c r="GS1048502" s="242"/>
      <c r="GT1048502" s="242"/>
      <c r="GU1048502" s="242"/>
      <c r="GV1048502" s="242"/>
      <c r="GW1048502" s="242"/>
      <c r="GX1048502" s="242"/>
      <c r="GY1048502" s="242"/>
      <c r="GZ1048502" s="242"/>
      <c r="HA1048502" s="242"/>
      <c r="HB1048502" s="242"/>
      <c r="HC1048502" s="242"/>
      <c r="HD1048502" s="242"/>
      <c r="HE1048502" s="242"/>
      <c r="HF1048502" s="242"/>
      <c r="HG1048502" s="242"/>
      <c r="HH1048502" s="242"/>
      <c r="HI1048502" s="242"/>
      <c r="HJ1048502" s="242"/>
      <c r="HK1048502" s="242"/>
      <c r="HL1048502" s="242"/>
      <c r="HM1048502" s="242"/>
      <c r="HN1048502" s="242"/>
      <c r="HO1048502" s="242"/>
      <c r="HP1048502" s="242"/>
      <c r="HQ1048502" s="242"/>
      <c r="HR1048502" s="242"/>
      <c r="HS1048502" s="242"/>
      <c r="HT1048502" s="242"/>
      <c r="HU1048502" s="242"/>
      <c r="HV1048502" s="242"/>
      <c r="HW1048502" s="242"/>
      <c r="HX1048502" s="242"/>
      <c r="HY1048502" s="242"/>
      <c r="HZ1048502" s="242"/>
      <c r="IA1048502" s="242"/>
      <c r="IB1048502" s="242"/>
      <c r="IC1048502" s="242"/>
      <c r="ID1048502" s="242"/>
      <c r="IE1048502" s="242"/>
      <c r="IF1048502" s="242"/>
      <c r="IG1048502" s="242"/>
      <c r="IH1048502" s="242"/>
      <c r="II1048502" s="242"/>
      <c r="IJ1048502" s="242"/>
      <c r="IK1048502" s="242"/>
      <c r="IL1048502" s="242"/>
      <c r="IM1048502" s="242"/>
      <c r="IN1048502" s="242"/>
      <c r="IO1048502" s="242"/>
      <c r="IP1048502" s="242"/>
      <c r="IQ1048502" s="242"/>
    </row>
    <row r="1048503" spans="1:251" s="243" customFormat="1" ht="12.6" customHeight="1">
      <c r="A1048503" s="242"/>
      <c r="B1048503" s="242"/>
      <c r="C1048503" s="242"/>
      <c r="D1048503" s="242"/>
      <c r="E1048503" s="242"/>
      <c r="F1048503" s="242"/>
      <c r="G1048503" s="242"/>
      <c r="H1048503" s="242"/>
      <c r="I1048503" s="242"/>
      <c r="J1048503" s="242"/>
      <c r="K1048503" s="242"/>
      <c r="L1048503" s="242"/>
      <c r="M1048503" s="242"/>
      <c r="N1048503" s="242"/>
      <c r="O1048503" s="242"/>
      <c r="P1048503" s="242"/>
      <c r="Q1048503" s="242"/>
      <c r="R1048503" s="242"/>
      <c r="S1048503" s="242"/>
      <c r="T1048503" s="242"/>
      <c r="U1048503" s="242"/>
      <c r="V1048503" s="242"/>
      <c r="W1048503" s="242"/>
      <c r="X1048503" s="242"/>
      <c r="Y1048503" s="242"/>
      <c r="Z1048503" s="242"/>
      <c r="AA1048503" s="242"/>
      <c r="AB1048503" s="242"/>
      <c r="AC1048503" s="242"/>
      <c r="AD1048503" s="242"/>
      <c r="AE1048503" s="242"/>
      <c r="AF1048503" s="242"/>
      <c r="AG1048503" s="242"/>
      <c r="AH1048503" s="242"/>
      <c r="AI1048503" s="242"/>
      <c r="AJ1048503" s="242"/>
      <c r="AK1048503" s="242"/>
      <c r="AL1048503" s="242"/>
      <c r="AM1048503" s="242"/>
      <c r="AN1048503" s="242"/>
      <c r="AO1048503" s="242"/>
      <c r="AP1048503" s="242"/>
      <c r="AQ1048503" s="242"/>
      <c r="AR1048503" s="242"/>
      <c r="AS1048503" s="242"/>
      <c r="AT1048503" s="242"/>
      <c r="AU1048503" s="242"/>
      <c r="AV1048503" s="242"/>
      <c r="AW1048503" s="242"/>
      <c r="AX1048503" s="242"/>
      <c r="AY1048503" s="242"/>
      <c r="AZ1048503" s="242"/>
      <c r="BA1048503" s="242"/>
      <c r="BB1048503" s="242"/>
      <c r="BC1048503" s="242"/>
      <c r="BD1048503" s="242"/>
      <c r="BE1048503" s="242"/>
      <c r="BF1048503" s="242"/>
      <c r="BG1048503" s="242"/>
      <c r="BH1048503" s="242"/>
      <c r="BI1048503" s="242"/>
      <c r="BJ1048503" s="242"/>
      <c r="BK1048503" s="242"/>
      <c r="BL1048503" s="242"/>
      <c r="BM1048503" s="242"/>
      <c r="BN1048503" s="242"/>
      <c r="BO1048503" s="242"/>
      <c r="BP1048503" s="242"/>
      <c r="BQ1048503" s="242"/>
      <c r="BR1048503" s="242"/>
      <c r="BS1048503" s="242"/>
      <c r="BT1048503" s="242"/>
      <c r="BU1048503" s="242"/>
      <c r="BV1048503" s="242"/>
      <c r="BW1048503" s="242"/>
      <c r="BX1048503" s="242"/>
      <c r="BY1048503" s="242"/>
      <c r="BZ1048503" s="242"/>
      <c r="CA1048503" s="242"/>
      <c r="CB1048503" s="242"/>
      <c r="CC1048503" s="242"/>
      <c r="CD1048503" s="242"/>
      <c r="CE1048503" s="242"/>
      <c r="CF1048503" s="242"/>
      <c r="CG1048503" s="242"/>
      <c r="CH1048503" s="242"/>
      <c r="CI1048503" s="242"/>
      <c r="CJ1048503" s="242"/>
      <c r="CK1048503" s="242"/>
      <c r="CL1048503" s="242"/>
      <c r="CM1048503" s="242"/>
      <c r="CN1048503" s="242"/>
      <c r="CO1048503" s="242"/>
      <c r="CP1048503" s="242"/>
      <c r="CQ1048503" s="242"/>
      <c r="CR1048503" s="242"/>
      <c r="CS1048503" s="242"/>
      <c r="CT1048503" s="242"/>
      <c r="CU1048503" s="242"/>
      <c r="CV1048503" s="242"/>
      <c r="CW1048503" s="242"/>
      <c r="CX1048503" s="242"/>
      <c r="CY1048503" s="242"/>
      <c r="CZ1048503" s="242"/>
      <c r="DA1048503" s="242"/>
      <c r="DB1048503" s="242"/>
      <c r="DC1048503" s="242"/>
      <c r="DD1048503" s="242"/>
      <c r="DE1048503" s="242"/>
      <c r="DF1048503" s="242"/>
      <c r="DG1048503" s="242"/>
      <c r="DH1048503" s="242"/>
      <c r="DI1048503" s="242"/>
      <c r="DJ1048503" s="242"/>
      <c r="DK1048503" s="242"/>
      <c r="DL1048503" s="242"/>
      <c r="DM1048503" s="242"/>
      <c r="DN1048503" s="242"/>
      <c r="DO1048503" s="242"/>
      <c r="DP1048503" s="242"/>
      <c r="DQ1048503" s="242"/>
      <c r="DR1048503" s="242"/>
      <c r="DS1048503" s="242"/>
      <c r="DT1048503" s="242"/>
      <c r="DU1048503" s="242"/>
      <c r="DV1048503" s="242"/>
      <c r="DW1048503" s="242"/>
      <c r="DX1048503" s="242"/>
      <c r="DY1048503" s="242"/>
      <c r="DZ1048503" s="242"/>
      <c r="EA1048503" s="242"/>
      <c r="EB1048503" s="242"/>
      <c r="EC1048503" s="242"/>
      <c r="ED1048503" s="242"/>
      <c r="EE1048503" s="242"/>
      <c r="EF1048503" s="242"/>
      <c r="EG1048503" s="242"/>
      <c r="EH1048503" s="242"/>
      <c r="EI1048503" s="242"/>
      <c r="EJ1048503" s="242"/>
      <c r="EK1048503" s="242"/>
      <c r="EL1048503" s="242"/>
      <c r="EM1048503" s="242"/>
      <c r="EN1048503" s="242"/>
      <c r="EO1048503" s="242"/>
      <c r="EP1048503" s="242"/>
      <c r="EQ1048503" s="242"/>
      <c r="ER1048503" s="242"/>
      <c r="ES1048503" s="242"/>
      <c r="ET1048503" s="242"/>
      <c r="EU1048503" s="242"/>
      <c r="EV1048503" s="242"/>
      <c r="EW1048503" s="242"/>
      <c r="EX1048503" s="242"/>
      <c r="EY1048503" s="242"/>
      <c r="EZ1048503" s="242"/>
      <c r="FA1048503" s="242"/>
      <c r="FB1048503" s="242"/>
      <c r="FC1048503" s="242"/>
      <c r="FD1048503" s="242"/>
      <c r="FE1048503" s="242"/>
      <c r="FF1048503" s="242"/>
      <c r="FG1048503" s="242"/>
      <c r="FH1048503" s="242"/>
      <c r="FI1048503" s="242"/>
      <c r="FJ1048503" s="242"/>
      <c r="FK1048503" s="242"/>
      <c r="FL1048503" s="242"/>
      <c r="FM1048503" s="242"/>
      <c r="FN1048503" s="242"/>
      <c r="FO1048503" s="242"/>
      <c r="FP1048503" s="242"/>
      <c r="FQ1048503" s="242"/>
      <c r="FR1048503" s="242"/>
      <c r="FS1048503" s="242"/>
      <c r="FT1048503" s="242"/>
      <c r="FU1048503" s="242"/>
      <c r="FV1048503" s="242"/>
      <c r="FW1048503" s="242"/>
      <c r="FX1048503" s="242"/>
      <c r="FY1048503" s="242"/>
      <c r="FZ1048503" s="242"/>
      <c r="GA1048503" s="242"/>
      <c r="GB1048503" s="242"/>
      <c r="GC1048503" s="242"/>
      <c r="GD1048503" s="242"/>
      <c r="GE1048503" s="242"/>
      <c r="GF1048503" s="242"/>
      <c r="GG1048503" s="242"/>
      <c r="GH1048503" s="242"/>
      <c r="GI1048503" s="242"/>
      <c r="GJ1048503" s="242"/>
      <c r="GK1048503" s="242"/>
      <c r="GL1048503" s="242"/>
      <c r="GM1048503" s="242"/>
      <c r="GN1048503" s="242"/>
      <c r="GO1048503" s="242"/>
      <c r="GP1048503" s="242"/>
      <c r="GQ1048503" s="242"/>
      <c r="GR1048503" s="242"/>
      <c r="GS1048503" s="242"/>
      <c r="GT1048503" s="242"/>
      <c r="GU1048503" s="242"/>
      <c r="GV1048503" s="242"/>
      <c r="GW1048503" s="242"/>
      <c r="GX1048503" s="242"/>
      <c r="GY1048503" s="242"/>
      <c r="GZ1048503" s="242"/>
      <c r="HA1048503" s="242"/>
      <c r="HB1048503" s="242"/>
      <c r="HC1048503" s="242"/>
      <c r="HD1048503" s="242"/>
      <c r="HE1048503" s="242"/>
      <c r="HF1048503" s="242"/>
      <c r="HG1048503" s="242"/>
      <c r="HH1048503" s="242"/>
      <c r="HI1048503" s="242"/>
      <c r="HJ1048503" s="242"/>
      <c r="HK1048503" s="242"/>
      <c r="HL1048503" s="242"/>
      <c r="HM1048503" s="242"/>
      <c r="HN1048503" s="242"/>
      <c r="HO1048503" s="242"/>
      <c r="HP1048503" s="242"/>
      <c r="HQ1048503" s="242"/>
      <c r="HR1048503" s="242"/>
      <c r="HS1048503" s="242"/>
      <c r="HT1048503" s="242"/>
      <c r="HU1048503" s="242"/>
      <c r="HV1048503" s="242"/>
      <c r="HW1048503" s="242"/>
      <c r="HX1048503" s="242"/>
      <c r="HY1048503" s="242"/>
      <c r="HZ1048503" s="242"/>
      <c r="IA1048503" s="242"/>
      <c r="IB1048503" s="242"/>
      <c r="IC1048503" s="242"/>
      <c r="ID1048503" s="242"/>
      <c r="IE1048503" s="242"/>
      <c r="IF1048503" s="242"/>
      <c r="IG1048503" s="242"/>
      <c r="IH1048503" s="242"/>
      <c r="II1048503" s="242"/>
      <c r="IJ1048503" s="242"/>
      <c r="IK1048503" s="242"/>
      <c r="IL1048503" s="242"/>
      <c r="IM1048503" s="242"/>
      <c r="IN1048503" s="242"/>
      <c r="IO1048503" s="242"/>
      <c r="IP1048503" s="242"/>
      <c r="IQ1048503" s="242"/>
    </row>
    <row r="1048504" spans="1:251" s="243" customFormat="1" ht="12.6" customHeight="1">
      <c r="A1048504" s="242"/>
      <c r="B1048504" s="242"/>
      <c r="C1048504" s="242"/>
      <c r="D1048504" s="242"/>
      <c r="E1048504" s="242"/>
      <c r="F1048504" s="242"/>
      <c r="G1048504" s="242"/>
      <c r="H1048504" s="242"/>
      <c r="I1048504" s="242"/>
      <c r="J1048504" s="242"/>
      <c r="K1048504" s="242"/>
      <c r="L1048504" s="242"/>
      <c r="M1048504" s="242"/>
      <c r="N1048504" s="242"/>
      <c r="O1048504" s="242"/>
      <c r="P1048504" s="242"/>
      <c r="Q1048504" s="242"/>
      <c r="R1048504" s="242"/>
      <c r="S1048504" s="242"/>
      <c r="T1048504" s="242"/>
      <c r="U1048504" s="242"/>
      <c r="V1048504" s="242"/>
      <c r="W1048504" s="242"/>
      <c r="X1048504" s="242"/>
      <c r="Y1048504" s="242"/>
      <c r="Z1048504" s="242"/>
      <c r="AA1048504" s="242"/>
      <c r="AB1048504" s="242"/>
      <c r="AC1048504" s="242"/>
      <c r="AD1048504" s="242"/>
      <c r="AE1048504" s="242"/>
      <c r="AF1048504" s="242"/>
      <c r="AG1048504" s="242"/>
      <c r="AH1048504" s="242"/>
      <c r="AI1048504" s="242"/>
      <c r="AJ1048504" s="242"/>
      <c r="AK1048504" s="242"/>
      <c r="AL1048504" s="242"/>
      <c r="AM1048504" s="242"/>
      <c r="AN1048504" s="242"/>
      <c r="AO1048504" s="242"/>
      <c r="AP1048504" s="242"/>
      <c r="AQ1048504" s="242"/>
      <c r="AR1048504" s="242"/>
      <c r="AS1048504" s="242"/>
      <c r="AT1048504" s="242"/>
      <c r="AU1048504" s="242"/>
      <c r="AV1048504" s="242"/>
      <c r="AW1048504" s="242"/>
      <c r="AX1048504" s="242"/>
      <c r="AY1048504" s="242"/>
      <c r="AZ1048504" s="242"/>
      <c r="BA1048504" s="242"/>
      <c r="BB1048504" s="242"/>
      <c r="BC1048504" s="242"/>
      <c r="BD1048504" s="242"/>
      <c r="BE1048504" s="242"/>
      <c r="BF1048504" s="242"/>
      <c r="BG1048504" s="242"/>
      <c r="BH1048504" s="242"/>
      <c r="BI1048504" s="242"/>
      <c r="BJ1048504" s="242"/>
      <c r="BK1048504" s="242"/>
      <c r="BL1048504" s="242"/>
      <c r="BM1048504" s="242"/>
      <c r="BN1048504" s="242"/>
      <c r="BO1048504" s="242"/>
      <c r="BP1048504" s="242"/>
      <c r="BQ1048504" s="242"/>
      <c r="BR1048504" s="242"/>
      <c r="BS1048504" s="242"/>
      <c r="BT1048504" s="242"/>
      <c r="BU1048504" s="242"/>
      <c r="BV1048504" s="242"/>
      <c r="BW1048504" s="242"/>
      <c r="BX1048504" s="242"/>
      <c r="BY1048504" s="242"/>
      <c r="BZ1048504" s="242"/>
      <c r="CA1048504" s="242"/>
      <c r="CB1048504" s="242"/>
      <c r="CC1048504" s="242"/>
      <c r="CD1048504" s="242"/>
      <c r="CE1048504" s="242"/>
      <c r="CF1048504" s="242"/>
      <c r="CG1048504" s="242"/>
      <c r="CH1048504" s="242"/>
      <c r="CI1048504" s="242"/>
      <c r="CJ1048504" s="242"/>
      <c r="CK1048504" s="242"/>
      <c r="CL1048504" s="242"/>
      <c r="CM1048504" s="242"/>
      <c r="CN1048504" s="242"/>
      <c r="CO1048504" s="242"/>
      <c r="CP1048504" s="242"/>
      <c r="CQ1048504" s="242"/>
      <c r="CR1048504" s="242"/>
      <c r="CS1048504" s="242"/>
      <c r="CT1048504" s="242"/>
      <c r="CU1048504" s="242"/>
      <c r="CV1048504" s="242"/>
      <c r="CW1048504" s="242"/>
      <c r="CX1048504" s="242"/>
      <c r="CY1048504" s="242"/>
      <c r="CZ1048504" s="242"/>
      <c r="DA1048504" s="242"/>
      <c r="DB1048504" s="242"/>
      <c r="DC1048504" s="242"/>
      <c r="DD1048504" s="242"/>
      <c r="DE1048504" s="242"/>
      <c r="DF1048504" s="242"/>
      <c r="DG1048504" s="242"/>
      <c r="DH1048504" s="242"/>
      <c r="DI1048504" s="242"/>
      <c r="DJ1048504" s="242"/>
      <c r="DK1048504" s="242"/>
      <c r="DL1048504" s="242"/>
      <c r="DM1048504" s="242"/>
      <c r="DN1048504" s="242"/>
      <c r="DO1048504" s="242"/>
      <c r="DP1048504" s="242"/>
      <c r="DQ1048504" s="242"/>
      <c r="DR1048504" s="242"/>
      <c r="DS1048504" s="242"/>
      <c r="DT1048504" s="242"/>
      <c r="DU1048504" s="242"/>
      <c r="DV1048504" s="242"/>
      <c r="DW1048504" s="242"/>
      <c r="DX1048504" s="242"/>
      <c r="DY1048504" s="242"/>
      <c r="DZ1048504" s="242"/>
      <c r="EA1048504" s="242"/>
      <c r="EB1048504" s="242"/>
      <c r="EC1048504" s="242"/>
      <c r="ED1048504" s="242"/>
      <c r="EE1048504" s="242"/>
      <c r="EF1048504" s="242"/>
      <c r="EG1048504" s="242"/>
      <c r="EH1048504" s="242"/>
      <c r="EI1048504" s="242"/>
      <c r="EJ1048504" s="242"/>
      <c r="EK1048504" s="242"/>
      <c r="EL1048504" s="242"/>
      <c r="EM1048504" s="242"/>
      <c r="EN1048504" s="242"/>
      <c r="EO1048504" s="242"/>
      <c r="EP1048504" s="242"/>
      <c r="EQ1048504" s="242"/>
      <c r="ER1048504" s="242"/>
      <c r="ES1048504" s="242"/>
      <c r="ET1048504" s="242"/>
      <c r="EU1048504" s="242"/>
      <c r="EV1048504" s="242"/>
      <c r="EW1048504" s="242"/>
      <c r="EX1048504" s="242"/>
      <c r="EY1048504" s="242"/>
      <c r="EZ1048504" s="242"/>
      <c r="FA1048504" s="242"/>
      <c r="FB1048504" s="242"/>
      <c r="FC1048504" s="242"/>
      <c r="FD1048504" s="242"/>
      <c r="FE1048504" s="242"/>
      <c r="FF1048504" s="242"/>
      <c r="FG1048504" s="242"/>
      <c r="FH1048504" s="242"/>
      <c r="FI1048504" s="242"/>
      <c r="FJ1048504" s="242"/>
      <c r="FK1048504" s="242"/>
      <c r="FL1048504" s="242"/>
      <c r="FM1048504" s="242"/>
      <c r="FN1048504" s="242"/>
      <c r="FO1048504" s="242"/>
      <c r="FP1048504" s="242"/>
      <c r="FQ1048504" s="242"/>
      <c r="FR1048504" s="242"/>
      <c r="FS1048504" s="242"/>
      <c r="FT1048504" s="242"/>
      <c r="FU1048504" s="242"/>
      <c r="FV1048504" s="242"/>
      <c r="FW1048504" s="242"/>
      <c r="FX1048504" s="242"/>
      <c r="FY1048504" s="242"/>
      <c r="FZ1048504" s="242"/>
      <c r="GA1048504" s="242"/>
      <c r="GB1048504" s="242"/>
      <c r="GC1048504" s="242"/>
      <c r="GD1048504" s="242"/>
      <c r="GE1048504" s="242"/>
      <c r="GF1048504" s="242"/>
      <c r="GG1048504" s="242"/>
      <c r="GH1048504" s="242"/>
      <c r="GI1048504" s="242"/>
      <c r="GJ1048504" s="242"/>
      <c r="GK1048504" s="242"/>
      <c r="GL1048504" s="242"/>
      <c r="GM1048504" s="242"/>
      <c r="GN1048504" s="242"/>
      <c r="GO1048504" s="242"/>
      <c r="GP1048504" s="242"/>
      <c r="GQ1048504" s="242"/>
      <c r="GR1048504" s="242"/>
      <c r="GS1048504" s="242"/>
      <c r="GT1048504" s="242"/>
      <c r="GU1048504" s="242"/>
      <c r="GV1048504" s="242"/>
      <c r="GW1048504" s="242"/>
      <c r="GX1048504" s="242"/>
      <c r="GY1048504" s="242"/>
      <c r="GZ1048504" s="242"/>
      <c r="HA1048504" s="242"/>
      <c r="HB1048504" s="242"/>
      <c r="HC1048504" s="242"/>
      <c r="HD1048504" s="242"/>
      <c r="HE1048504" s="242"/>
      <c r="HF1048504" s="242"/>
      <c r="HG1048504" s="242"/>
      <c r="HH1048504" s="242"/>
      <c r="HI1048504" s="242"/>
      <c r="HJ1048504" s="242"/>
      <c r="HK1048504" s="242"/>
      <c r="HL1048504" s="242"/>
      <c r="HM1048504" s="242"/>
      <c r="HN1048504" s="242"/>
      <c r="HO1048504" s="242"/>
      <c r="HP1048504" s="242"/>
      <c r="HQ1048504" s="242"/>
      <c r="HR1048504" s="242"/>
      <c r="HS1048504" s="242"/>
      <c r="HT1048504" s="242"/>
      <c r="HU1048504" s="242"/>
      <c r="HV1048504" s="242"/>
      <c r="HW1048504" s="242"/>
      <c r="HX1048504" s="242"/>
      <c r="HY1048504" s="242"/>
      <c r="HZ1048504" s="242"/>
      <c r="IA1048504" s="242"/>
      <c r="IB1048504" s="242"/>
      <c r="IC1048504" s="242"/>
      <c r="ID1048504" s="242"/>
      <c r="IE1048504" s="242"/>
      <c r="IF1048504" s="242"/>
      <c r="IG1048504" s="242"/>
      <c r="IH1048504" s="242"/>
      <c r="II1048504" s="242"/>
      <c r="IJ1048504" s="242"/>
      <c r="IK1048504" s="242"/>
      <c r="IL1048504" s="242"/>
      <c r="IM1048504" s="242"/>
      <c r="IN1048504" s="242"/>
      <c r="IO1048504" s="242"/>
      <c r="IP1048504" s="242"/>
      <c r="IQ1048504" s="242"/>
    </row>
    <row r="1048505" spans="1:251" s="243" customFormat="1" ht="12.6" customHeight="1">
      <c r="A1048505" s="242"/>
      <c r="B1048505" s="242"/>
      <c r="C1048505" s="242"/>
      <c r="D1048505" s="242"/>
      <c r="E1048505" s="242"/>
      <c r="F1048505" s="242"/>
      <c r="G1048505" s="242"/>
      <c r="H1048505" s="242"/>
      <c r="I1048505" s="242"/>
      <c r="J1048505" s="242"/>
      <c r="K1048505" s="242"/>
      <c r="L1048505" s="242"/>
      <c r="M1048505" s="242"/>
      <c r="N1048505" s="242"/>
      <c r="O1048505" s="242"/>
      <c r="P1048505" s="242"/>
      <c r="Q1048505" s="242"/>
      <c r="R1048505" s="242"/>
      <c r="S1048505" s="242"/>
      <c r="T1048505" s="242"/>
      <c r="U1048505" s="242"/>
      <c r="V1048505" s="242"/>
      <c r="W1048505" s="242"/>
      <c r="X1048505" s="242"/>
      <c r="Y1048505" s="242"/>
      <c r="Z1048505" s="242"/>
      <c r="AA1048505" s="242"/>
      <c r="AB1048505" s="242"/>
      <c r="AC1048505" s="242"/>
      <c r="AD1048505" s="242"/>
      <c r="AE1048505" s="242"/>
      <c r="AF1048505" s="242"/>
      <c r="AG1048505" s="242"/>
      <c r="AH1048505" s="242"/>
      <c r="AI1048505" s="242"/>
      <c r="AJ1048505" s="242"/>
      <c r="AK1048505" s="242"/>
      <c r="AL1048505" s="242"/>
      <c r="AM1048505" s="242"/>
      <c r="AN1048505" s="242"/>
      <c r="AO1048505" s="242"/>
      <c r="AP1048505" s="242"/>
      <c r="AQ1048505" s="242"/>
      <c r="AR1048505" s="242"/>
      <c r="AS1048505" s="242"/>
      <c r="AT1048505" s="242"/>
      <c r="AU1048505" s="242"/>
      <c r="AV1048505" s="242"/>
      <c r="AW1048505" s="242"/>
      <c r="AX1048505" s="242"/>
      <c r="AY1048505" s="242"/>
      <c r="AZ1048505" s="242"/>
      <c r="BA1048505" s="242"/>
      <c r="BB1048505" s="242"/>
      <c r="BC1048505" s="242"/>
      <c r="BD1048505" s="242"/>
      <c r="BE1048505" s="242"/>
      <c r="BF1048505" s="242"/>
      <c r="BG1048505" s="242"/>
      <c r="BH1048505" s="242"/>
      <c r="BI1048505" s="242"/>
      <c r="BJ1048505" s="242"/>
      <c r="BK1048505" s="242"/>
      <c r="BL1048505" s="242"/>
      <c r="BM1048505" s="242"/>
      <c r="BN1048505" s="242"/>
      <c r="BO1048505" s="242"/>
      <c r="BP1048505" s="242"/>
      <c r="BQ1048505" s="242"/>
      <c r="BR1048505" s="242"/>
      <c r="BS1048505" s="242"/>
      <c r="BT1048505" s="242"/>
      <c r="BU1048505" s="242"/>
      <c r="BV1048505" s="242"/>
      <c r="BW1048505" s="242"/>
      <c r="BX1048505" s="242"/>
      <c r="BY1048505" s="242"/>
      <c r="BZ1048505" s="242"/>
      <c r="CA1048505" s="242"/>
      <c r="CB1048505" s="242"/>
      <c r="CC1048505" s="242"/>
      <c r="CD1048505" s="242"/>
      <c r="CE1048505" s="242"/>
      <c r="CF1048505" s="242"/>
      <c r="CG1048505" s="242"/>
      <c r="CH1048505" s="242"/>
      <c r="CI1048505" s="242"/>
      <c r="CJ1048505" s="242"/>
      <c r="CK1048505" s="242"/>
      <c r="CL1048505" s="242"/>
      <c r="CM1048505" s="242"/>
      <c r="CN1048505" s="242"/>
      <c r="CO1048505" s="242"/>
      <c r="CP1048505" s="242"/>
      <c r="CQ1048505" s="242"/>
      <c r="CR1048505" s="242"/>
      <c r="CS1048505" s="242"/>
      <c r="CT1048505" s="242"/>
      <c r="CU1048505" s="242"/>
      <c r="CV1048505" s="242"/>
      <c r="CW1048505" s="242"/>
      <c r="CX1048505" s="242"/>
      <c r="CY1048505" s="242"/>
      <c r="CZ1048505" s="242"/>
      <c r="DA1048505" s="242"/>
      <c r="DB1048505" s="242"/>
      <c r="DC1048505" s="242"/>
      <c r="DD1048505" s="242"/>
      <c r="DE1048505" s="242"/>
      <c r="DF1048505" s="242"/>
      <c r="DG1048505" s="242"/>
      <c r="DH1048505" s="242"/>
      <c r="DI1048505" s="242"/>
      <c r="DJ1048505" s="242"/>
      <c r="DK1048505" s="242"/>
      <c r="DL1048505" s="242"/>
      <c r="DM1048505" s="242"/>
      <c r="DN1048505" s="242"/>
      <c r="DO1048505" s="242"/>
      <c r="DP1048505" s="242"/>
      <c r="DQ1048505" s="242"/>
      <c r="DR1048505" s="242"/>
      <c r="DS1048505" s="242"/>
      <c r="DT1048505" s="242"/>
      <c r="DU1048505" s="242"/>
      <c r="DV1048505" s="242"/>
      <c r="DW1048505" s="242"/>
      <c r="DX1048505" s="242"/>
      <c r="DY1048505" s="242"/>
      <c r="DZ1048505" s="242"/>
      <c r="EA1048505" s="242"/>
      <c r="EB1048505" s="242"/>
      <c r="EC1048505" s="242"/>
      <c r="ED1048505" s="242"/>
      <c r="EE1048505" s="242"/>
      <c r="EF1048505" s="242"/>
      <c r="EG1048505" s="242"/>
      <c r="EH1048505" s="242"/>
      <c r="EI1048505" s="242"/>
      <c r="EJ1048505" s="242"/>
      <c r="EK1048505" s="242"/>
      <c r="EL1048505" s="242"/>
      <c r="EM1048505" s="242"/>
      <c r="EN1048505" s="242"/>
      <c r="EO1048505" s="242"/>
      <c r="EP1048505" s="242"/>
      <c r="EQ1048505" s="242"/>
      <c r="ER1048505" s="242"/>
      <c r="ES1048505" s="242"/>
      <c r="ET1048505" s="242"/>
      <c r="EU1048505" s="242"/>
      <c r="EV1048505" s="242"/>
      <c r="EW1048505" s="242"/>
      <c r="EX1048505" s="242"/>
      <c r="EY1048505" s="242"/>
      <c r="EZ1048505" s="242"/>
      <c r="FA1048505" s="242"/>
      <c r="FB1048505" s="242"/>
      <c r="FC1048505" s="242"/>
      <c r="FD1048505" s="242"/>
      <c r="FE1048505" s="242"/>
      <c r="FF1048505" s="242"/>
      <c r="FG1048505" s="242"/>
      <c r="FH1048505" s="242"/>
      <c r="FI1048505" s="242"/>
      <c r="FJ1048505" s="242"/>
      <c r="FK1048505" s="242"/>
      <c r="FL1048505" s="242"/>
      <c r="FM1048505" s="242"/>
      <c r="FN1048505" s="242"/>
      <c r="FO1048505" s="242"/>
      <c r="FP1048505" s="242"/>
      <c r="FQ1048505" s="242"/>
      <c r="FR1048505" s="242"/>
      <c r="FS1048505" s="242"/>
      <c r="FT1048505" s="242"/>
      <c r="FU1048505" s="242"/>
      <c r="FV1048505" s="242"/>
      <c r="FW1048505" s="242"/>
      <c r="FX1048505" s="242"/>
      <c r="FY1048505" s="242"/>
      <c r="FZ1048505" s="242"/>
      <c r="GA1048505" s="242"/>
      <c r="GB1048505" s="242"/>
      <c r="GC1048505" s="242"/>
      <c r="GD1048505" s="242"/>
      <c r="GE1048505" s="242"/>
      <c r="GF1048505" s="242"/>
      <c r="GG1048505" s="242"/>
      <c r="GH1048505" s="242"/>
      <c r="GI1048505" s="242"/>
      <c r="GJ1048505" s="242"/>
      <c r="GK1048505" s="242"/>
      <c r="GL1048505" s="242"/>
      <c r="GM1048505" s="242"/>
      <c r="GN1048505" s="242"/>
      <c r="GO1048505" s="242"/>
      <c r="GP1048505" s="242"/>
      <c r="GQ1048505" s="242"/>
      <c r="GR1048505" s="242"/>
      <c r="GS1048505" s="242"/>
      <c r="GT1048505" s="242"/>
      <c r="GU1048505" s="242"/>
      <c r="GV1048505" s="242"/>
      <c r="GW1048505" s="242"/>
      <c r="GX1048505" s="242"/>
      <c r="GY1048505" s="242"/>
      <c r="GZ1048505" s="242"/>
      <c r="HA1048505" s="242"/>
      <c r="HB1048505" s="242"/>
      <c r="HC1048505" s="242"/>
      <c r="HD1048505" s="242"/>
      <c r="HE1048505" s="242"/>
      <c r="HF1048505" s="242"/>
      <c r="HG1048505" s="242"/>
      <c r="HH1048505" s="242"/>
      <c r="HI1048505" s="242"/>
      <c r="HJ1048505" s="242"/>
      <c r="HK1048505" s="242"/>
      <c r="HL1048505" s="242"/>
      <c r="HM1048505" s="242"/>
      <c r="HN1048505" s="242"/>
      <c r="HO1048505" s="242"/>
      <c r="HP1048505" s="242"/>
      <c r="HQ1048505" s="242"/>
      <c r="HR1048505" s="242"/>
      <c r="HS1048505" s="242"/>
      <c r="HT1048505" s="242"/>
      <c r="HU1048505" s="242"/>
      <c r="HV1048505" s="242"/>
      <c r="HW1048505" s="242"/>
      <c r="HX1048505" s="242"/>
      <c r="HY1048505" s="242"/>
      <c r="HZ1048505" s="242"/>
      <c r="IA1048505" s="242"/>
      <c r="IB1048505" s="242"/>
      <c r="IC1048505" s="242"/>
      <c r="ID1048505" s="242"/>
      <c r="IE1048505" s="242"/>
      <c r="IF1048505" s="242"/>
      <c r="IG1048505" s="242"/>
      <c r="IH1048505" s="242"/>
      <c r="II1048505" s="242"/>
      <c r="IJ1048505" s="242"/>
      <c r="IK1048505" s="242"/>
      <c r="IL1048505" s="242"/>
      <c r="IM1048505" s="242"/>
      <c r="IN1048505" s="242"/>
      <c r="IO1048505" s="242"/>
      <c r="IP1048505" s="242"/>
      <c r="IQ1048505" s="242"/>
    </row>
    <row r="1048506" spans="1:251" s="243" customFormat="1" ht="12.6" customHeight="1">
      <c r="A1048506" s="242"/>
      <c r="B1048506" s="242"/>
      <c r="C1048506" s="242"/>
      <c r="D1048506" s="242"/>
      <c r="E1048506" s="242"/>
      <c r="F1048506" s="242"/>
      <c r="G1048506" s="242"/>
      <c r="H1048506" s="242"/>
      <c r="I1048506" s="242"/>
      <c r="J1048506" s="242"/>
      <c r="K1048506" s="242"/>
      <c r="L1048506" s="242"/>
      <c r="M1048506" s="242"/>
      <c r="N1048506" s="242"/>
      <c r="O1048506" s="242"/>
      <c r="P1048506" s="242"/>
      <c r="Q1048506" s="242"/>
      <c r="R1048506" s="242"/>
      <c r="S1048506" s="242"/>
      <c r="T1048506" s="242"/>
      <c r="U1048506" s="242"/>
      <c r="V1048506" s="242"/>
      <c r="W1048506" s="242"/>
      <c r="X1048506" s="242"/>
      <c r="Y1048506" s="242"/>
      <c r="Z1048506" s="242"/>
      <c r="AA1048506" s="242"/>
      <c r="AB1048506" s="242"/>
      <c r="AC1048506" s="242"/>
      <c r="AD1048506" s="242"/>
      <c r="AE1048506" s="242"/>
      <c r="AF1048506" s="242"/>
      <c r="AG1048506" s="242"/>
      <c r="AH1048506" s="242"/>
      <c r="AI1048506" s="242"/>
      <c r="AJ1048506" s="242"/>
      <c r="AK1048506" s="242"/>
      <c r="AL1048506" s="242"/>
      <c r="AM1048506" s="242"/>
      <c r="AN1048506" s="242"/>
      <c r="AO1048506" s="242"/>
      <c r="AP1048506" s="242"/>
      <c r="AQ1048506" s="242"/>
      <c r="AR1048506" s="242"/>
      <c r="AS1048506" s="242"/>
      <c r="AT1048506" s="242"/>
      <c r="AU1048506" s="242"/>
      <c r="AV1048506" s="242"/>
      <c r="AW1048506" s="242"/>
      <c r="AX1048506" s="242"/>
      <c r="AY1048506" s="242"/>
      <c r="AZ1048506" s="242"/>
      <c r="BA1048506" s="242"/>
      <c r="BB1048506" s="242"/>
      <c r="BC1048506" s="242"/>
      <c r="BD1048506" s="242"/>
      <c r="BE1048506" s="242"/>
      <c r="BF1048506" s="242"/>
      <c r="BG1048506" s="242"/>
      <c r="BH1048506" s="242"/>
      <c r="BI1048506" s="242"/>
      <c r="BJ1048506" s="242"/>
      <c r="BK1048506" s="242"/>
      <c r="BL1048506" s="242"/>
      <c r="BM1048506" s="242"/>
      <c r="BN1048506" s="242"/>
      <c r="BO1048506" s="242"/>
      <c r="BP1048506" s="242"/>
      <c r="BQ1048506" s="242"/>
      <c r="BR1048506" s="242"/>
      <c r="BS1048506" s="242"/>
      <c r="BT1048506" s="242"/>
      <c r="BU1048506" s="242"/>
      <c r="BV1048506" s="242"/>
      <c r="BW1048506" s="242"/>
      <c r="BX1048506" s="242"/>
      <c r="BY1048506" s="242"/>
      <c r="BZ1048506" s="242"/>
      <c r="CA1048506" s="242"/>
      <c r="CB1048506" s="242"/>
      <c r="CC1048506" s="242"/>
      <c r="CD1048506" s="242"/>
      <c r="CE1048506" s="242"/>
      <c r="CF1048506" s="242"/>
      <c r="CG1048506" s="242"/>
      <c r="CH1048506" s="242"/>
      <c r="CI1048506" s="242"/>
      <c r="CJ1048506" s="242"/>
      <c r="CK1048506" s="242"/>
      <c r="CL1048506" s="242"/>
      <c r="CM1048506" s="242"/>
      <c r="CN1048506" s="242"/>
      <c r="CO1048506" s="242"/>
      <c r="CP1048506" s="242"/>
      <c r="CQ1048506" s="242"/>
      <c r="CR1048506" s="242"/>
      <c r="CS1048506" s="242"/>
      <c r="CT1048506" s="242"/>
      <c r="CU1048506" s="242"/>
      <c r="CV1048506" s="242"/>
      <c r="CW1048506" s="242"/>
      <c r="CX1048506" s="242"/>
      <c r="CY1048506" s="242"/>
      <c r="CZ1048506" s="242"/>
      <c r="DA1048506" s="242"/>
      <c r="DB1048506" s="242"/>
      <c r="DC1048506" s="242"/>
      <c r="DD1048506" s="242"/>
      <c r="DE1048506" s="242"/>
      <c r="DF1048506" s="242"/>
      <c r="DG1048506" s="242"/>
      <c r="DH1048506" s="242"/>
      <c r="DI1048506" s="242"/>
      <c r="DJ1048506" s="242"/>
      <c r="DK1048506" s="242"/>
      <c r="DL1048506" s="242"/>
      <c r="DM1048506" s="242"/>
      <c r="DN1048506" s="242"/>
      <c r="DO1048506" s="242"/>
      <c r="DP1048506" s="242"/>
      <c r="DQ1048506" s="242"/>
      <c r="DR1048506" s="242"/>
      <c r="DS1048506" s="242"/>
      <c r="DT1048506" s="242"/>
      <c r="DU1048506" s="242"/>
      <c r="DV1048506" s="242"/>
      <c r="DW1048506" s="242"/>
      <c r="DX1048506" s="242"/>
      <c r="DY1048506" s="242"/>
      <c r="DZ1048506" s="242"/>
      <c r="EA1048506" s="242"/>
      <c r="EB1048506" s="242"/>
      <c r="EC1048506" s="242"/>
      <c r="ED1048506" s="242"/>
      <c r="EE1048506" s="242"/>
      <c r="EF1048506" s="242"/>
      <c r="EG1048506" s="242"/>
      <c r="EH1048506" s="242"/>
      <c r="EI1048506" s="242"/>
      <c r="EJ1048506" s="242"/>
      <c r="EK1048506" s="242"/>
      <c r="EL1048506" s="242"/>
      <c r="EM1048506" s="242"/>
      <c r="EN1048506" s="242"/>
      <c r="EO1048506" s="242"/>
      <c r="EP1048506" s="242"/>
      <c r="EQ1048506" s="242"/>
      <c r="ER1048506" s="242"/>
      <c r="ES1048506" s="242"/>
      <c r="ET1048506" s="242"/>
      <c r="EU1048506" s="242"/>
      <c r="EV1048506" s="242"/>
      <c r="EW1048506" s="242"/>
      <c r="EX1048506" s="242"/>
      <c r="EY1048506" s="242"/>
      <c r="EZ1048506" s="242"/>
      <c r="FA1048506" s="242"/>
      <c r="FB1048506" s="242"/>
      <c r="FC1048506" s="242"/>
      <c r="FD1048506" s="242"/>
      <c r="FE1048506" s="242"/>
      <c r="FF1048506" s="242"/>
      <c r="FG1048506" s="242"/>
      <c r="FH1048506" s="242"/>
      <c r="FI1048506" s="242"/>
      <c r="FJ1048506" s="242"/>
      <c r="FK1048506" s="242"/>
      <c r="FL1048506" s="242"/>
      <c r="FM1048506" s="242"/>
      <c r="FN1048506" s="242"/>
      <c r="FO1048506" s="242"/>
      <c r="FP1048506" s="242"/>
      <c r="FQ1048506" s="242"/>
      <c r="FR1048506" s="242"/>
      <c r="FS1048506" s="242"/>
      <c r="FT1048506" s="242"/>
      <c r="FU1048506" s="242"/>
      <c r="FV1048506" s="242"/>
      <c r="FW1048506" s="242"/>
      <c r="FX1048506" s="242"/>
      <c r="FY1048506" s="242"/>
      <c r="FZ1048506" s="242"/>
      <c r="GA1048506" s="242"/>
      <c r="GB1048506" s="242"/>
      <c r="GC1048506" s="242"/>
      <c r="GD1048506" s="242"/>
      <c r="GE1048506" s="242"/>
      <c r="GF1048506" s="242"/>
      <c r="GG1048506" s="242"/>
      <c r="GH1048506" s="242"/>
      <c r="GI1048506" s="242"/>
      <c r="GJ1048506" s="242"/>
      <c r="GK1048506" s="242"/>
      <c r="GL1048506" s="242"/>
      <c r="GM1048506" s="242"/>
      <c r="GN1048506" s="242"/>
      <c r="GO1048506" s="242"/>
      <c r="GP1048506" s="242"/>
      <c r="GQ1048506" s="242"/>
      <c r="GR1048506" s="242"/>
      <c r="GS1048506" s="242"/>
      <c r="GT1048506" s="242"/>
      <c r="GU1048506" s="242"/>
      <c r="GV1048506" s="242"/>
      <c r="GW1048506" s="242"/>
      <c r="GX1048506" s="242"/>
      <c r="GY1048506" s="242"/>
      <c r="GZ1048506" s="242"/>
      <c r="HA1048506" s="242"/>
      <c r="HB1048506" s="242"/>
      <c r="HC1048506" s="242"/>
      <c r="HD1048506" s="242"/>
      <c r="HE1048506" s="242"/>
      <c r="HF1048506" s="242"/>
      <c r="HG1048506" s="242"/>
      <c r="HH1048506" s="242"/>
      <c r="HI1048506" s="242"/>
      <c r="HJ1048506" s="242"/>
      <c r="HK1048506" s="242"/>
      <c r="HL1048506" s="242"/>
      <c r="HM1048506" s="242"/>
      <c r="HN1048506" s="242"/>
      <c r="HO1048506" s="242"/>
      <c r="HP1048506" s="242"/>
      <c r="HQ1048506" s="242"/>
      <c r="HR1048506" s="242"/>
      <c r="HS1048506" s="242"/>
      <c r="HT1048506" s="242"/>
      <c r="HU1048506" s="242"/>
      <c r="HV1048506" s="242"/>
      <c r="HW1048506" s="242"/>
      <c r="HX1048506" s="242"/>
      <c r="HY1048506" s="242"/>
      <c r="HZ1048506" s="242"/>
      <c r="IA1048506" s="242"/>
      <c r="IB1048506" s="242"/>
      <c r="IC1048506" s="242"/>
      <c r="ID1048506" s="242"/>
      <c r="IE1048506" s="242"/>
      <c r="IF1048506" s="242"/>
      <c r="IG1048506" s="242"/>
      <c r="IH1048506" s="242"/>
      <c r="II1048506" s="242"/>
      <c r="IJ1048506" s="242"/>
      <c r="IK1048506" s="242"/>
      <c r="IL1048506" s="242"/>
      <c r="IM1048506" s="242"/>
      <c r="IN1048506" s="242"/>
      <c r="IO1048506" s="242"/>
      <c r="IP1048506" s="242"/>
      <c r="IQ1048506" s="242"/>
    </row>
    <row r="1048507" spans="1:251" s="243" customFormat="1" ht="12.6" customHeight="1">
      <c r="A1048507" s="242"/>
      <c r="B1048507" s="242"/>
      <c r="C1048507" s="242"/>
      <c r="D1048507" s="242"/>
      <c r="E1048507" s="242"/>
      <c r="F1048507" s="242"/>
      <c r="G1048507" s="242"/>
      <c r="H1048507" s="242"/>
      <c r="I1048507" s="242"/>
      <c r="J1048507" s="242"/>
      <c r="K1048507" s="242"/>
      <c r="L1048507" s="242"/>
      <c r="M1048507" s="242"/>
      <c r="N1048507" s="242"/>
      <c r="O1048507" s="242"/>
      <c r="P1048507" s="242"/>
      <c r="Q1048507" s="242"/>
      <c r="R1048507" s="242"/>
      <c r="S1048507" s="242"/>
      <c r="T1048507" s="242"/>
      <c r="U1048507" s="242"/>
      <c r="V1048507" s="242"/>
      <c r="W1048507" s="242"/>
      <c r="X1048507" s="242"/>
      <c r="Y1048507" s="242"/>
      <c r="Z1048507" s="242"/>
      <c r="AA1048507" s="242"/>
      <c r="AB1048507" s="242"/>
      <c r="AC1048507" s="242"/>
      <c r="AD1048507" s="242"/>
      <c r="AE1048507" s="242"/>
      <c r="AF1048507" s="242"/>
      <c r="AG1048507" s="242"/>
      <c r="AH1048507" s="242"/>
      <c r="AI1048507" s="242"/>
      <c r="AJ1048507" s="242"/>
      <c r="AK1048507" s="242"/>
      <c r="AL1048507" s="242"/>
      <c r="AM1048507" s="242"/>
      <c r="AN1048507" s="242"/>
      <c r="AO1048507" s="242"/>
      <c r="AP1048507" s="242"/>
      <c r="AQ1048507" s="242"/>
      <c r="AR1048507" s="242"/>
      <c r="AS1048507" s="242"/>
      <c r="AT1048507" s="242"/>
      <c r="AU1048507" s="242"/>
      <c r="AV1048507" s="242"/>
      <c r="AW1048507" s="242"/>
      <c r="AX1048507" s="242"/>
      <c r="AY1048507" s="242"/>
      <c r="AZ1048507" s="242"/>
      <c r="BA1048507" s="242"/>
      <c r="BB1048507" s="242"/>
      <c r="BC1048507" s="242"/>
      <c r="BD1048507" s="242"/>
      <c r="BE1048507" s="242"/>
      <c r="BF1048507" s="242"/>
      <c r="BG1048507" s="242"/>
      <c r="BH1048507" s="242"/>
      <c r="BI1048507" s="242"/>
      <c r="BJ1048507" s="242"/>
      <c r="BK1048507" s="242"/>
      <c r="BL1048507" s="242"/>
      <c r="BM1048507" s="242"/>
      <c r="BN1048507" s="242"/>
      <c r="BO1048507" s="242"/>
      <c r="BP1048507" s="242"/>
      <c r="BQ1048507" s="242"/>
      <c r="BR1048507" s="242"/>
      <c r="BS1048507" s="242"/>
      <c r="BT1048507" s="242"/>
      <c r="BU1048507" s="242"/>
      <c r="BV1048507" s="242"/>
      <c r="BW1048507" s="242"/>
      <c r="BX1048507" s="242"/>
      <c r="BY1048507" s="242"/>
      <c r="BZ1048507" s="242"/>
      <c r="CA1048507" s="242"/>
      <c r="CB1048507" s="242"/>
      <c r="CC1048507" s="242"/>
      <c r="CD1048507" s="242"/>
      <c r="CE1048507" s="242"/>
      <c r="CF1048507" s="242"/>
      <c r="CG1048507" s="242"/>
      <c r="CH1048507" s="242"/>
      <c r="CI1048507" s="242"/>
      <c r="CJ1048507" s="242"/>
      <c r="CK1048507" s="242"/>
      <c r="CL1048507" s="242"/>
      <c r="CM1048507" s="242"/>
      <c r="CN1048507" s="242"/>
      <c r="CO1048507" s="242"/>
      <c r="CP1048507" s="242"/>
      <c r="CQ1048507" s="242"/>
      <c r="CR1048507" s="242"/>
      <c r="CS1048507" s="242"/>
      <c r="CT1048507" s="242"/>
      <c r="CU1048507" s="242"/>
      <c r="CV1048507" s="242"/>
      <c r="CW1048507" s="242"/>
      <c r="CX1048507" s="242"/>
      <c r="CY1048507" s="242"/>
      <c r="CZ1048507" s="242"/>
      <c r="DA1048507" s="242"/>
      <c r="DB1048507" s="242"/>
      <c r="DC1048507" s="242"/>
      <c r="DD1048507" s="242"/>
      <c r="DE1048507" s="242"/>
      <c r="DF1048507" s="242"/>
      <c r="DG1048507" s="242"/>
      <c r="DH1048507" s="242"/>
      <c r="DI1048507" s="242"/>
      <c r="DJ1048507" s="242"/>
      <c r="DK1048507" s="242"/>
      <c r="DL1048507" s="242"/>
      <c r="DM1048507" s="242"/>
      <c r="DN1048507" s="242"/>
      <c r="DO1048507" s="242"/>
      <c r="DP1048507" s="242"/>
      <c r="DQ1048507" s="242"/>
      <c r="DR1048507" s="242"/>
      <c r="DS1048507" s="242"/>
      <c r="DT1048507" s="242"/>
      <c r="DU1048507" s="242"/>
      <c r="DV1048507" s="242"/>
      <c r="DW1048507" s="242"/>
      <c r="DX1048507" s="242"/>
      <c r="DY1048507" s="242"/>
      <c r="DZ1048507" s="242"/>
      <c r="EA1048507" s="242"/>
      <c r="EB1048507" s="242"/>
      <c r="EC1048507" s="242"/>
      <c r="ED1048507" s="242"/>
      <c r="EE1048507" s="242"/>
      <c r="EF1048507" s="242"/>
      <c r="EG1048507" s="242"/>
      <c r="EH1048507" s="242"/>
      <c r="EI1048507" s="242"/>
      <c r="EJ1048507" s="242"/>
      <c r="EK1048507" s="242"/>
      <c r="EL1048507" s="242"/>
      <c r="EM1048507" s="242"/>
      <c r="EN1048507" s="242"/>
      <c r="EO1048507" s="242"/>
      <c r="EP1048507" s="242"/>
      <c r="EQ1048507" s="242"/>
      <c r="ER1048507" s="242"/>
      <c r="ES1048507" s="242"/>
      <c r="ET1048507" s="242"/>
      <c r="EU1048507" s="242"/>
      <c r="EV1048507" s="242"/>
      <c r="EW1048507" s="242"/>
      <c r="EX1048507" s="242"/>
      <c r="EY1048507" s="242"/>
      <c r="EZ1048507" s="242"/>
      <c r="FA1048507" s="242"/>
      <c r="FB1048507" s="242"/>
      <c r="FC1048507" s="242"/>
      <c r="FD1048507" s="242"/>
      <c r="FE1048507" s="242"/>
      <c r="FF1048507" s="242"/>
      <c r="FG1048507" s="242"/>
      <c r="FH1048507" s="242"/>
      <c r="FI1048507" s="242"/>
      <c r="FJ1048507" s="242"/>
      <c r="FK1048507" s="242"/>
      <c r="FL1048507" s="242"/>
      <c r="FM1048507" s="242"/>
      <c r="FN1048507" s="242"/>
      <c r="FO1048507" s="242"/>
      <c r="FP1048507" s="242"/>
      <c r="FQ1048507" s="242"/>
      <c r="FR1048507" s="242"/>
      <c r="FS1048507" s="242"/>
      <c r="FT1048507" s="242"/>
      <c r="FU1048507" s="242"/>
      <c r="FV1048507" s="242"/>
      <c r="FW1048507" s="242"/>
      <c r="FX1048507" s="242"/>
      <c r="FY1048507" s="242"/>
      <c r="FZ1048507" s="242"/>
      <c r="GA1048507" s="242"/>
      <c r="GB1048507" s="242"/>
      <c r="GC1048507" s="242"/>
      <c r="GD1048507" s="242"/>
      <c r="GE1048507" s="242"/>
      <c r="GF1048507" s="242"/>
      <c r="GG1048507" s="242"/>
      <c r="GH1048507" s="242"/>
      <c r="GI1048507" s="242"/>
      <c r="GJ1048507" s="242"/>
      <c r="GK1048507" s="242"/>
      <c r="GL1048507" s="242"/>
      <c r="GM1048507" s="242"/>
      <c r="GN1048507" s="242"/>
      <c r="GO1048507" s="242"/>
      <c r="GP1048507" s="242"/>
      <c r="GQ1048507" s="242"/>
      <c r="GR1048507" s="242"/>
      <c r="GS1048507" s="242"/>
      <c r="GT1048507" s="242"/>
      <c r="GU1048507" s="242"/>
      <c r="GV1048507" s="242"/>
      <c r="GW1048507" s="242"/>
      <c r="GX1048507" s="242"/>
      <c r="GY1048507" s="242"/>
      <c r="GZ1048507" s="242"/>
      <c r="HA1048507" s="242"/>
      <c r="HB1048507" s="242"/>
      <c r="HC1048507" s="242"/>
      <c r="HD1048507" s="242"/>
      <c r="HE1048507" s="242"/>
      <c r="HF1048507" s="242"/>
      <c r="HG1048507" s="242"/>
      <c r="HH1048507" s="242"/>
      <c r="HI1048507" s="242"/>
      <c r="HJ1048507" s="242"/>
      <c r="HK1048507" s="242"/>
      <c r="HL1048507" s="242"/>
      <c r="HM1048507" s="242"/>
      <c r="HN1048507" s="242"/>
      <c r="HO1048507" s="242"/>
      <c r="HP1048507" s="242"/>
      <c r="HQ1048507" s="242"/>
      <c r="HR1048507" s="242"/>
      <c r="HS1048507" s="242"/>
      <c r="HT1048507" s="242"/>
      <c r="HU1048507" s="242"/>
      <c r="HV1048507" s="242"/>
      <c r="HW1048507" s="242"/>
      <c r="HX1048507" s="242"/>
      <c r="HY1048507" s="242"/>
      <c r="HZ1048507" s="242"/>
      <c r="IA1048507" s="242"/>
      <c r="IB1048507" s="242"/>
      <c r="IC1048507" s="242"/>
      <c r="ID1048507" s="242"/>
      <c r="IE1048507" s="242"/>
      <c r="IF1048507" s="242"/>
      <c r="IG1048507" s="242"/>
      <c r="IH1048507" s="242"/>
      <c r="II1048507" s="242"/>
      <c r="IJ1048507" s="242"/>
      <c r="IK1048507" s="242"/>
      <c r="IL1048507" s="242"/>
      <c r="IM1048507" s="242"/>
      <c r="IN1048507" s="242"/>
      <c r="IO1048507" s="242"/>
      <c r="IP1048507" s="242"/>
      <c r="IQ1048507" s="242"/>
    </row>
    <row r="1048508" spans="1:251" s="243" customFormat="1" ht="12.6" customHeight="1">
      <c r="A1048508" s="242"/>
      <c r="B1048508" s="242"/>
      <c r="C1048508" s="242"/>
      <c r="D1048508" s="242"/>
      <c r="E1048508" s="242"/>
      <c r="F1048508" s="242"/>
      <c r="G1048508" s="242"/>
      <c r="H1048508" s="242"/>
      <c r="I1048508" s="242"/>
      <c r="J1048508" s="242"/>
      <c r="K1048508" s="242"/>
      <c r="L1048508" s="242"/>
      <c r="M1048508" s="242"/>
      <c r="N1048508" s="242"/>
      <c r="O1048508" s="242"/>
      <c r="P1048508" s="242"/>
      <c r="Q1048508" s="242"/>
      <c r="R1048508" s="242"/>
      <c r="S1048508" s="242"/>
      <c r="T1048508" s="242"/>
      <c r="U1048508" s="242"/>
      <c r="V1048508" s="242"/>
      <c r="W1048508" s="242"/>
      <c r="X1048508" s="242"/>
      <c r="Y1048508" s="242"/>
      <c r="Z1048508" s="242"/>
      <c r="AA1048508" s="242"/>
      <c r="AB1048508" s="242"/>
      <c r="AC1048508" s="242"/>
      <c r="AD1048508" s="242"/>
      <c r="AE1048508" s="242"/>
      <c r="AF1048508" s="242"/>
      <c r="AG1048508" s="242"/>
      <c r="AH1048508" s="242"/>
      <c r="AI1048508" s="242"/>
      <c r="AJ1048508" s="242"/>
      <c r="AK1048508" s="242"/>
      <c r="AL1048508" s="242"/>
      <c r="AM1048508" s="242"/>
      <c r="AN1048508" s="242"/>
      <c r="AO1048508" s="242"/>
      <c r="AP1048508" s="242"/>
      <c r="AQ1048508" s="242"/>
      <c r="AR1048508" s="242"/>
      <c r="AS1048508" s="242"/>
      <c r="AT1048508" s="242"/>
      <c r="AU1048508" s="242"/>
      <c r="AV1048508" s="242"/>
      <c r="AW1048508" s="242"/>
      <c r="AX1048508" s="242"/>
      <c r="AY1048508" s="242"/>
      <c r="AZ1048508" s="242"/>
      <c r="BA1048508" s="242"/>
      <c r="BB1048508" s="242"/>
      <c r="BC1048508" s="242"/>
      <c r="BD1048508" s="242"/>
      <c r="BE1048508" s="242"/>
      <c r="BF1048508" s="242"/>
      <c r="BG1048508" s="242"/>
      <c r="BH1048508" s="242"/>
      <c r="BI1048508" s="242"/>
      <c r="BJ1048508" s="242"/>
      <c r="BK1048508" s="242"/>
      <c r="BL1048508" s="242"/>
      <c r="BM1048508" s="242"/>
      <c r="BN1048508" s="242"/>
      <c r="BO1048508" s="242"/>
      <c r="BP1048508" s="242"/>
      <c r="BQ1048508" s="242"/>
      <c r="BR1048508" s="242"/>
      <c r="BS1048508" s="242"/>
      <c r="BT1048508" s="242"/>
      <c r="BU1048508" s="242"/>
      <c r="BV1048508" s="242"/>
      <c r="BW1048508" s="242"/>
      <c r="BX1048508" s="242"/>
      <c r="BY1048508" s="242"/>
      <c r="BZ1048508" s="242"/>
      <c r="CA1048508" s="242"/>
      <c r="CB1048508" s="242"/>
      <c r="CC1048508" s="242"/>
      <c r="CD1048508" s="242"/>
      <c r="CE1048508" s="242"/>
      <c r="CF1048508" s="242"/>
      <c r="CG1048508" s="242"/>
      <c r="CH1048508" s="242"/>
      <c r="CI1048508" s="242"/>
      <c r="CJ1048508" s="242"/>
      <c r="CK1048508" s="242"/>
      <c r="CL1048508" s="242"/>
      <c r="CM1048508" s="242"/>
      <c r="CN1048508" s="242"/>
      <c r="CO1048508" s="242"/>
      <c r="CP1048508" s="242"/>
      <c r="CQ1048508" s="242"/>
      <c r="CR1048508" s="242"/>
      <c r="CS1048508" s="242"/>
      <c r="CT1048508" s="242"/>
      <c r="CU1048508" s="242"/>
      <c r="CV1048508" s="242"/>
      <c r="CW1048508" s="242"/>
      <c r="CX1048508" s="242"/>
      <c r="CY1048508" s="242"/>
      <c r="CZ1048508" s="242"/>
      <c r="DA1048508" s="242"/>
      <c r="DB1048508" s="242"/>
      <c r="DC1048508" s="242"/>
      <c r="DD1048508" s="242"/>
      <c r="DE1048508" s="242"/>
      <c r="DF1048508" s="242"/>
      <c r="DG1048508" s="242"/>
      <c r="DH1048508" s="242"/>
      <c r="DI1048508" s="242"/>
      <c r="DJ1048508" s="242"/>
      <c r="DK1048508" s="242"/>
      <c r="DL1048508" s="242"/>
      <c r="DM1048508" s="242"/>
      <c r="DN1048508" s="242"/>
      <c r="DO1048508" s="242"/>
      <c r="DP1048508" s="242"/>
      <c r="DQ1048508" s="242"/>
      <c r="DR1048508" s="242"/>
      <c r="DS1048508" s="242"/>
      <c r="DT1048508" s="242"/>
      <c r="DU1048508" s="242"/>
      <c r="DV1048508" s="242"/>
      <c r="DW1048508" s="242"/>
      <c r="DX1048508" s="242"/>
      <c r="DY1048508" s="242"/>
      <c r="DZ1048508" s="242"/>
      <c r="EA1048508" s="242"/>
      <c r="EB1048508" s="242"/>
      <c r="EC1048508" s="242"/>
      <c r="ED1048508" s="242"/>
      <c r="EE1048508" s="242"/>
      <c r="EF1048508" s="242"/>
      <c r="EG1048508" s="242"/>
      <c r="EH1048508" s="242"/>
      <c r="EI1048508" s="242"/>
      <c r="EJ1048508" s="242"/>
      <c r="EK1048508" s="242"/>
      <c r="EL1048508" s="242"/>
      <c r="EM1048508" s="242"/>
      <c r="EN1048508" s="242"/>
      <c r="EO1048508" s="242"/>
      <c r="EP1048508" s="242"/>
      <c r="EQ1048508" s="242"/>
      <c r="ER1048508" s="242"/>
      <c r="ES1048508" s="242"/>
      <c r="ET1048508" s="242"/>
      <c r="EU1048508" s="242"/>
      <c r="EV1048508" s="242"/>
      <c r="EW1048508" s="242"/>
      <c r="EX1048508" s="242"/>
      <c r="EY1048508" s="242"/>
      <c r="EZ1048508" s="242"/>
      <c r="FA1048508" s="242"/>
      <c r="FB1048508" s="242"/>
      <c r="FC1048508" s="242"/>
      <c r="FD1048508" s="242"/>
      <c r="FE1048508" s="242"/>
      <c r="FF1048508" s="242"/>
      <c r="FG1048508" s="242"/>
      <c r="FH1048508" s="242"/>
      <c r="FI1048508" s="242"/>
      <c r="FJ1048508" s="242"/>
      <c r="FK1048508" s="242"/>
      <c r="FL1048508" s="242"/>
      <c r="FM1048508" s="242"/>
      <c r="FN1048508" s="242"/>
      <c r="FO1048508" s="242"/>
      <c r="FP1048508" s="242"/>
      <c r="FQ1048508" s="242"/>
      <c r="FR1048508" s="242"/>
      <c r="FS1048508" s="242"/>
      <c r="FT1048508" s="242"/>
      <c r="FU1048508" s="242"/>
      <c r="FV1048508" s="242"/>
      <c r="FW1048508" s="242"/>
      <c r="FX1048508" s="242"/>
      <c r="FY1048508" s="242"/>
      <c r="FZ1048508" s="242"/>
      <c r="GA1048508" s="242"/>
      <c r="GB1048508" s="242"/>
      <c r="GC1048508" s="242"/>
      <c r="GD1048508" s="242"/>
      <c r="GE1048508" s="242"/>
      <c r="GF1048508" s="242"/>
      <c r="GG1048508" s="242"/>
      <c r="GH1048508" s="242"/>
      <c r="GI1048508" s="242"/>
      <c r="GJ1048508" s="242"/>
      <c r="GK1048508" s="242"/>
      <c r="GL1048508" s="242"/>
      <c r="GM1048508" s="242"/>
      <c r="GN1048508" s="242"/>
      <c r="GO1048508" s="242"/>
      <c r="GP1048508" s="242"/>
      <c r="GQ1048508" s="242"/>
      <c r="GR1048508" s="242"/>
      <c r="GS1048508" s="242"/>
      <c r="GT1048508" s="242"/>
      <c r="GU1048508" s="242"/>
      <c r="GV1048508" s="242"/>
      <c r="GW1048508" s="242"/>
      <c r="GX1048508" s="242"/>
      <c r="GY1048508" s="242"/>
      <c r="GZ1048508" s="242"/>
      <c r="HA1048508" s="242"/>
      <c r="HB1048508" s="242"/>
      <c r="HC1048508" s="242"/>
      <c r="HD1048508" s="242"/>
      <c r="HE1048508" s="242"/>
      <c r="HF1048508" s="242"/>
      <c r="HG1048508" s="242"/>
      <c r="HH1048508" s="242"/>
      <c r="HI1048508" s="242"/>
      <c r="HJ1048508" s="242"/>
      <c r="HK1048508" s="242"/>
      <c r="HL1048508" s="242"/>
      <c r="HM1048508" s="242"/>
      <c r="HN1048508" s="242"/>
      <c r="HO1048508" s="242"/>
      <c r="HP1048508" s="242"/>
      <c r="HQ1048508" s="242"/>
      <c r="HR1048508" s="242"/>
      <c r="HS1048508" s="242"/>
      <c r="HT1048508" s="242"/>
      <c r="HU1048508" s="242"/>
      <c r="HV1048508" s="242"/>
      <c r="HW1048508" s="242"/>
      <c r="HX1048508" s="242"/>
      <c r="HY1048508" s="242"/>
      <c r="HZ1048508" s="242"/>
      <c r="IA1048508" s="242"/>
      <c r="IB1048508" s="242"/>
      <c r="IC1048508" s="242"/>
      <c r="ID1048508" s="242"/>
      <c r="IE1048508" s="242"/>
      <c r="IF1048508" s="242"/>
      <c r="IG1048508" s="242"/>
      <c r="IH1048508" s="242"/>
      <c r="II1048508" s="242"/>
      <c r="IJ1048508" s="242"/>
      <c r="IK1048508" s="242"/>
      <c r="IL1048508" s="242"/>
      <c r="IM1048508" s="242"/>
      <c r="IN1048508" s="242"/>
      <c r="IO1048508" s="242"/>
      <c r="IP1048508" s="242"/>
      <c r="IQ1048508" s="242"/>
    </row>
    <row r="1048509" spans="1:251" s="243" customFormat="1" ht="12.6" customHeight="1">
      <c r="A1048509" s="242"/>
      <c r="B1048509" s="242"/>
      <c r="C1048509" s="242"/>
      <c r="D1048509" s="242"/>
      <c r="E1048509" s="242"/>
      <c r="F1048509" s="242"/>
      <c r="G1048509" s="242"/>
      <c r="H1048509" s="242"/>
      <c r="I1048509" s="242"/>
      <c r="J1048509" s="242"/>
      <c r="K1048509" s="242"/>
      <c r="L1048509" s="242"/>
      <c r="M1048509" s="242"/>
      <c r="N1048509" s="242"/>
      <c r="O1048509" s="242"/>
      <c r="P1048509" s="242"/>
      <c r="Q1048509" s="242"/>
      <c r="R1048509" s="242"/>
      <c r="S1048509" s="242"/>
      <c r="T1048509" s="242"/>
      <c r="U1048509" s="242"/>
      <c r="V1048509" s="242"/>
      <c r="W1048509" s="242"/>
      <c r="X1048509" s="242"/>
      <c r="Y1048509" s="242"/>
      <c r="Z1048509" s="242"/>
      <c r="AA1048509" s="242"/>
      <c r="AB1048509" s="242"/>
      <c r="AC1048509" s="242"/>
      <c r="AD1048509" s="242"/>
      <c r="AE1048509" s="242"/>
      <c r="AF1048509" s="242"/>
      <c r="AG1048509" s="242"/>
      <c r="AH1048509" s="242"/>
      <c r="AI1048509" s="242"/>
      <c r="AJ1048509" s="242"/>
      <c r="AK1048509" s="242"/>
      <c r="AL1048509" s="242"/>
      <c r="AM1048509" s="242"/>
      <c r="AN1048509" s="242"/>
      <c r="AO1048509" s="242"/>
      <c r="AP1048509" s="242"/>
      <c r="AQ1048509" s="242"/>
      <c r="AR1048509" s="242"/>
      <c r="AS1048509" s="242"/>
      <c r="AT1048509" s="242"/>
      <c r="AU1048509" s="242"/>
      <c r="AV1048509" s="242"/>
      <c r="AW1048509" s="242"/>
      <c r="AX1048509" s="242"/>
      <c r="AY1048509" s="242"/>
      <c r="AZ1048509" s="242"/>
      <c r="BA1048509" s="242"/>
      <c r="BB1048509" s="242"/>
      <c r="BC1048509" s="242"/>
      <c r="BD1048509" s="242"/>
      <c r="BE1048509" s="242"/>
      <c r="BF1048509" s="242"/>
      <c r="BG1048509" s="242"/>
      <c r="BH1048509" s="242"/>
      <c r="BI1048509" s="242"/>
      <c r="BJ1048509" s="242"/>
      <c r="BK1048509" s="242"/>
      <c r="BL1048509" s="242"/>
      <c r="BM1048509" s="242"/>
      <c r="BN1048509" s="242"/>
      <c r="BO1048509" s="242"/>
      <c r="BP1048509" s="242"/>
      <c r="BQ1048509" s="242"/>
      <c r="BR1048509" s="242"/>
      <c r="BS1048509" s="242"/>
      <c r="BT1048509" s="242"/>
      <c r="BU1048509" s="242"/>
      <c r="BV1048509" s="242"/>
      <c r="BW1048509" s="242"/>
      <c r="BX1048509" s="242"/>
      <c r="BY1048509" s="242"/>
      <c r="BZ1048509" s="242"/>
      <c r="CA1048509" s="242"/>
      <c r="CB1048509" s="242"/>
      <c r="CC1048509" s="242"/>
      <c r="CD1048509" s="242"/>
      <c r="CE1048509" s="242"/>
      <c r="CF1048509" s="242"/>
      <c r="CG1048509" s="242"/>
      <c r="CH1048509" s="242"/>
      <c r="CI1048509" s="242"/>
      <c r="CJ1048509" s="242"/>
      <c r="CK1048509" s="242"/>
      <c r="CL1048509" s="242"/>
      <c r="CM1048509" s="242"/>
      <c r="CN1048509" s="242"/>
      <c r="CO1048509" s="242"/>
      <c r="CP1048509" s="242"/>
      <c r="CQ1048509" s="242"/>
      <c r="CR1048509" s="242"/>
      <c r="CS1048509" s="242"/>
      <c r="CT1048509" s="242"/>
      <c r="CU1048509" s="242"/>
      <c r="CV1048509" s="242"/>
      <c r="CW1048509" s="242"/>
      <c r="CX1048509" s="242"/>
      <c r="CY1048509" s="242"/>
      <c r="CZ1048509" s="242"/>
      <c r="DA1048509" s="242"/>
      <c r="DB1048509" s="242"/>
      <c r="DC1048509" s="242"/>
      <c r="DD1048509" s="242"/>
      <c r="DE1048509" s="242"/>
      <c r="DF1048509" s="242"/>
      <c r="DG1048509" s="242"/>
      <c r="DH1048509" s="242"/>
      <c r="DI1048509" s="242"/>
      <c r="DJ1048509" s="242"/>
      <c r="DK1048509" s="242"/>
      <c r="DL1048509" s="242"/>
      <c r="DM1048509" s="242"/>
      <c r="DN1048509" s="242"/>
      <c r="DO1048509" s="242"/>
      <c r="DP1048509" s="242"/>
      <c r="DQ1048509" s="242"/>
      <c r="DR1048509" s="242"/>
      <c r="DS1048509" s="242"/>
      <c r="DT1048509" s="242"/>
      <c r="DU1048509" s="242"/>
      <c r="DV1048509" s="242"/>
      <c r="DW1048509" s="242"/>
      <c r="DX1048509" s="242"/>
      <c r="DY1048509" s="242"/>
      <c r="DZ1048509" s="242"/>
      <c r="EA1048509" s="242"/>
      <c r="EB1048509" s="242"/>
      <c r="EC1048509" s="242"/>
      <c r="ED1048509" s="242"/>
      <c r="EE1048509" s="242"/>
      <c r="EF1048509" s="242"/>
      <c r="EG1048509" s="242"/>
      <c r="EH1048509" s="242"/>
      <c r="EI1048509" s="242"/>
      <c r="EJ1048509" s="242"/>
      <c r="EK1048509" s="242"/>
      <c r="EL1048509" s="242"/>
      <c r="EM1048509" s="242"/>
      <c r="EN1048509" s="242"/>
      <c r="EO1048509" s="242"/>
      <c r="EP1048509" s="242"/>
      <c r="EQ1048509" s="242"/>
      <c r="ER1048509" s="242"/>
      <c r="ES1048509" s="242"/>
      <c r="ET1048509" s="242"/>
      <c r="EU1048509" s="242"/>
      <c r="EV1048509" s="242"/>
      <c r="EW1048509" s="242"/>
      <c r="EX1048509" s="242"/>
      <c r="EY1048509" s="242"/>
      <c r="EZ1048509" s="242"/>
      <c r="FA1048509" s="242"/>
      <c r="FB1048509" s="242"/>
      <c r="FC1048509" s="242"/>
      <c r="FD1048509" s="242"/>
      <c r="FE1048509" s="242"/>
      <c r="FF1048509" s="242"/>
      <c r="FG1048509" s="242"/>
      <c r="FH1048509" s="242"/>
      <c r="FI1048509" s="242"/>
      <c r="FJ1048509" s="242"/>
      <c r="FK1048509" s="242"/>
      <c r="FL1048509" s="242"/>
      <c r="FM1048509" s="242"/>
      <c r="FN1048509" s="242"/>
      <c r="FO1048509" s="242"/>
      <c r="FP1048509" s="242"/>
      <c r="FQ1048509" s="242"/>
      <c r="FR1048509" s="242"/>
      <c r="FS1048509" s="242"/>
      <c r="FT1048509" s="242"/>
      <c r="FU1048509" s="242"/>
      <c r="FV1048509" s="242"/>
      <c r="FW1048509" s="242"/>
      <c r="FX1048509" s="242"/>
      <c r="FY1048509" s="242"/>
      <c r="FZ1048509" s="242"/>
      <c r="GA1048509" s="242"/>
      <c r="GB1048509" s="242"/>
      <c r="GC1048509" s="242"/>
      <c r="GD1048509" s="242"/>
      <c r="GE1048509" s="242"/>
      <c r="GF1048509" s="242"/>
      <c r="GG1048509" s="242"/>
      <c r="GH1048509" s="242"/>
      <c r="GI1048509" s="242"/>
      <c r="GJ1048509" s="242"/>
      <c r="GK1048509" s="242"/>
      <c r="GL1048509" s="242"/>
      <c r="GM1048509" s="242"/>
      <c r="GN1048509" s="242"/>
      <c r="GO1048509" s="242"/>
      <c r="GP1048509" s="242"/>
      <c r="GQ1048509" s="242"/>
      <c r="GR1048509" s="242"/>
      <c r="GS1048509" s="242"/>
      <c r="GT1048509" s="242"/>
      <c r="GU1048509" s="242"/>
      <c r="GV1048509" s="242"/>
      <c r="GW1048509" s="242"/>
      <c r="GX1048509" s="242"/>
      <c r="GY1048509" s="242"/>
      <c r="GZ1048509" s="242"/>
      <c r="HA1048509" s="242"/>
      <c r="HB1048509" s="242"/>
      <c r="HC1048509" s="242"/>
      <c r="HD1048509" s="242"/>
      <c r="HE1048509" s="242"/>
      <c r="HF1048509" s="242"/>
      <c r="HG1048509" s="242"/>
      <c r="HH1048509" s="242"/>
      <c r="HI1048509" s="242"/>
      <c r="HJ1048509" s="242"/>
      <c r="HK1048509" s="242"/>
      <c r="HL1048509" s="242"/>
      <c r="HM1048509" s="242"/>
      <c r="HN1048509" s="242"/>
      <c r="HO1048509" s="242"/>
      <c r="HP1048509" s="242"/>
      <c r="HQ1048509" s="242"/>
      <c r="HR1048509" s="242"/>
      <c r="HS1048509" s="242"/>
      <c r="HT1048509" s="242"/>
      <c r="HU1048509" s="242"/>
      <c r="HV1048509" s="242"/>
      <c r="HW1048509" s="242"/>
      <c r="HX1048509" s="242"/>
      <c r="HY1048509" s="242"/>
      <c r="HZ1048509" s="242"/>
      <c r="IA1048509" s="242"/>
      <c r="IB1048509" s="242"/>
      <c r="IC1048509" s="242"/>
      <c r="ID1048509" s="242"/>
      <c r="IE1048509" s="242"/>
      <c r="IF1048509" s="242"/>
      <c r="IG1048509" s="242"/>
      <c r="IH1048509" s="242"/>
      <c r="II1048509" s="242"/>
      <c r="IJ1048509" s="242"/>
      <c r="IK1048509" s="242"/>
      <c r="IL1048509" s="242"/>
      <c r="IM1048509" s="242"/>
      <c r="IN1048509" s="242"/>
      <c r="IO1048509" s="242"/>
      <c r="IP1048509" s="242"/>
      <c r="IQ1048509" s="242"/>
    </row>
    <row r="1048510" spans="1:251" s="243" customFormat="1" ht="12.6" customHeight="1">
      <c r="A1048510" s="242"/>
      <c r="B1048510" s="242"/>
      <c r="C1048510" s="242"/>
      <c r="D1048510" s="242"/>
      <c r="E1048510" s="242"/>
      <c r="F1048510" s="242"/>
      <c r="G1048510" s="242"/>
      <c r="H1048510" s="242"/>
      <c r="I1048510" s="242"/>
      <c r="J1048510" s="242"/>
      <c r="K1048510" s="242"/>
      <c r="L1048510" s="242"/>
      <c r="M1048510" s="242"/>
      <c r="N1048510" s="242"/>
      <c r="O1048510" s="242"/>
      <c r="P1048510" s="242"/>
      <c r="Q1048510" s="242"/>
      <c r="R1048510" s="242"/>
      <c r="S1048510" s="242"/>
      <c r="T1048510" s="242"/>
      <c r="U1048510" s="242"/>
      <c r="V1048510" s="242"/>
      <c r="W1048510" s="242"/>
      <c r="X1048510" s="242"/>
      <c r="Y1048510" s="242"/>
      <c r="Z1048510" s="242"/>
      <c r="AA1048510" s="242"/>
      <c r="AB1048510" s="242"/>
      <c r="AC1048510" s="242"/>
      <c r="AD1048510" s="242"/>
      <c r="AE1048510" s="242"/>
      <c r="AF1048510" s="242"/>
      <c r="AG1048510" s="242"/>
      <c r="AH1048510" s="242"/>
      <c r="AI1048510" s="242"/>
      <c r="AJ1048510" s="242"/>
      <c r="AK1048510" s="242"/>
      <c r="AL1048510" s="242"/>
      <c r="AM1048510" s="242"/>
      <c r="AN1048510" s="242"/>
      <c r="AO1048510" s="242"/>
      <c r="AP1048510" s="242"/>
      <c r="AQ1048510" s="242"/>
      <c r="AR1048510" s="242"/>
      <c r="AS1048510" s="242"/>
      <c r="AT1048510" s="242"/>
      <c r="AU1048510" s="242"/>
      <c r="AV1048510" s="242"/>
      <c r="AW1048510" s="242"/>
      <c r="AX1048510" s="242"/>
      <c r="AY1048510" s="242"/>
      <c r="AZ1048510" s="242"/>
      <c r="BA1048510" s="242"/>
      <c r="BB1048510" s="242"/>
      <c r="BC1048510" s="242"/>
      <c r="BD1048510" s="242"/>
      <c r="BE1048510" s="242"/>
      <c r="BF1048510" s="242"/>
      <c r="BG1048510" s="242"/>
      <c r="BH1048510" s="242"/>
      <c r="BI1048510" s="242"/>
      <c r="BJ1048510" s="242"/>
      <c r="BK1048510" s="242"/>
      <c r="BL1048510" s="242"/>
      <c r="BM1048510" s="242"/>
      <c r="BN1048510" s="242"/>
      <c r="BO1048510" s="242"/>
      <c r="BP1048510" s="242"/>
      <c r="BQ1048510" s="242"/>
      <c r="BR1048510" s="242"/>
      <c r="BS1048510" s="242"/>
      <c r="BT1048510" s="242"/>
      <c r="BU1048510" s="242"/>
      <c r="BV1048510" s="242"/>
      <c r="BW1048510" s="242"/>
      <c r="BX1048510" s="242"/>
      <c r="BY1048510" s="242"/>
      <c r="BZ1048510" s="242"/>
      <c r="CA1048510" s="242"/>
      <c r="CB1048510" s="242"/>
      <c r="CC1048510" s="242"/>
      <c r="CD1048510" s="242"/>
      <c r="CE1048510" s="242"/>
      <c r="CF1048510" s="242"/>
      <c r="CG1048510" s="242"/>
      <c r="CH1048510" s="242"/>
      <c r="CI1048510" s="242"/>
      <c r="CJ1048510" s="242"/>
      <c r="CK1048510" s="242"/>
      <c r="CL1048510" s="242"/>
      <c r="CM1048510" s="242"/>
      <c r="CN1048510" s="242"/>
      <c r="CO1048510" s="242"/>
      <c r="CP1048510" s="242"/>
      <c r="CQ1048510" s="242"/>
      <c r="CR1048510" s="242"/>
      <c r="CS1048510" s="242"/>
      <c r="CT1048510" s="242"/>
      <c r="CU1048510" s="242"/>
      <c r="CV1048510" s="242"/>
      <c r="CW1048510" s="242"/>
      <c r="CX1048510" s="242"/>
      <c r="CY1048510" s="242"/>
      <c r="CZ1048510" s="242"/>
      <c r="DA1048510" s="242"/>
      <c r="DB1048510" s="242"/>
      <c r="DC1048510" s="242"/>
      <c r="DD1048510" s="242"/>
      <c r="DE1048510" s="242"/>
      <c r="DF1048510" s="242"/>
      <c r="DG1048510" s="242"/>
      <c r="DH1048510" s="242"/>
      <c r="DI1048510" s="242"/>
      <c r="DJ1048510" s="242"/>
      <c r="DK1048510" s="242"/>
      <c r="DL1048510" s="242"/>
      <c r="DM1048510" s="242"/>
      <c r="DN1048510" s="242"/>
      <c r="DO1048510" s="242"/>
      <c r="DP1048510" s="242"/>
      <c r="DQ1048510" s="242"/>
      <c r="DR1048510" s="242"/>
      <c r="DS1048510" s="242"/>
      <c r="DT1048510" s="242"/>
      <c r="DU1048510" s="242"/>
      <c r="DV1048510" s="242"/>
      <c r="DW1048510" s="242"/>
      <c r="DX1048510" s="242"/>
      <c r="DY1048510" s="242"/>
      <c r="DZ1048510" s="242"/>
      <c r="EA1048510" s="242"/>
      <c r="EB1048510" s="242"/>
      <c r="EC1048510" s="242"/>
      <c r="ED1048510" s="242"/>
      <c r="EE1048510" s="242"/>
      <c r="EF1048510" s="242"/>
      <c r="EG1048510" s="242"/>
      <c r="EH1048510" s="242"/>
      <c r="EI1048510" s="242"/>
      <c r="EJ1048510" s="242"/>
      <c r="EK1048510" s="242"/>
      <c r="EL1048510" s="242"/>
      <c r="EM1048510" s="242"/>
      <c r="EN1048510" s="242"/>
      <c r="EO1048510" s="242"/>
      <c r="EP1048510" s="242"/>
      <c r="EQ1048510" s="242"/>
      <c r="ER1048510" s="242"/>
      <c r="ES1048510" s="242"/>
      <c r="ET1048510" s="242"/>
      <c r="EU1048510" s="242"/>
      <c r="EV1048510" s="242"/>
      <c r="EW1048510" s="242"/>
      <c r="EX1048510" s="242"/>
      <c r="EY1048510" s="242"/>
      <c r="EZ1048510" s="242"/>
      <c r="FA1048510" s="242"/>
      <c r="FB1048510" s="242"/>
      <c r="FC1048510" s="242"/>
      <c r="FD1048510" s="242"/>
      <c r="FE1048510" s="242"/>
      <c r="FF1048510" s="242"/>
      <c r="FG1048510" s="242"/>
      <c r="FH1048510" s="242"/>
      <c r="FI1048510" s="242"/>
      <c r="FJ1048510" s="242"/>
      <c r="FK1048510" s="242"/>
      <c r="FL1048510" s="242"/>
      <c r="FM1048510" s="242"/>
      <c r="FN1048510" s="242"/>
      <c r="FO1048510" s="242"/>
      <c r="FP1048510" s="242"/>
      <c r="FQ1048510" s="242"/>
      <c r="FR1048510" s="242"/>
      <c r="FS1048510" s="242"/>
      <c r="FT1048510" s="242"/>
      <c r="FU1048510" s="242"/>
      <c r="FV1048510" s="242"/>
      <c r="FW1048510" s="242"/>
      <c r="FX1048510" s="242"/>
      <c r="FY1048510" s="242"/>
      <c r="FZ1048510" s="242"/>
      <c r="GA1048510" s="242"/>
      <c r="GB1048510" s="242"/>
      <c r="GC1048510" s="242"/>
      <c r="GD1048510" s="242"/>
      <c r="GE1048510" s="242"/>
      <c r="GF1048510" s="242"/>
      <c r="GG1048510" s="242"/>
      <c r="GH1048510" s="242"/>
      <c r="GI1048510" s="242"/>
      <c r="GJ1048510" s="242"/>
      <c r="GK1048510" s="242"/>
      <c r="GL1048510" s="242"/>
      <c r="GM1048510" s="242"/>
      <c r="GN1048510" s="242"/>
      <c r="GO1048510" s="242"/>
      <c r="GP1048510" s="242"/>
      <c r="GQ1048510" s="242"/>
      <c r="GR1048510" s="242"/>
      <c r="GS1048510" s="242"/>
      <c r="GT1048510" s="242"/>
      <c r="GU1048510" s="242"/>
      <c r="GV1048510" s="242"/>
      <c r="GW1048510" s="242"/>
      <c r="GX1048510" s="242"/>
      <c r="GY1048510" s="242"/>
      <c r="GZ1048510" s="242"/>
      <c r="HA1048510" s="242"/>
      <c r="HB1048510" s="242"/>
      <c r="HC1048510" s="242"/>
      <c r="HD1048510" s="242"/>
      <c r="HE1048510" s="242"/>
      <c r="HF1048510" s="242"/>
      <c r="HG1048510" s="242"/>
      <c r="HH1048510" s="242"/>
      <c r="HI1048510" s="242"/>
      <c r="HJ1048510" s="242"/>
      <c r="HK1048510" s="242"/>
      <c r="HL1048510" s="242"/>
      <c r="HM1048510" s="242"/>
      <c r="HN1048510" s="242"/>
      <c r="HO1048510" s="242"/>
      <c r="HP1048510" s="242"/>
      <c r="HQ1048510" s="242"/>
      <c r="HR1048510" s="242"/>
      <c r="HS1048510" s="242"/>
      <c r="HT1048510" s="242"/>
      <c r="HU1048510" s="242"/>
      <c r="HV1048510" s="242"/>
      <c r="HW1048510" s="242"/>
      <c r="HX1048510" s="242"/>
      <c r="HY1048510" s="242"/>
      <c r="HZ1048510" s="242"/>
      <c r="IA1048510" s="242"/>
      <c r="IB1048510" s="242"/>
      <c r="IC1048510" s="242"/>
      <c r="ID1048510" s="242"/>
      <c r="IE1048510" s="242"/>
      <c r="IF1048510" s="242"/>
      <c r="IG1048510" s="242"/>
      <c r="IH1048510" s="242"/>
      <c r="II1048510" s="242"/>
      <c r="IJ1048510" s="242"/>
      <c r="IK1048510" s="242"/>
      <c r="IL1048510" s="242"/>
      <c r="IM1048510" s="242"/>
      <c r="IN1048510" s="242"/>
      <c r="IO1048510" s="242"/>
      <c r="IP1048510" s="242"/>
      <c r="IQ1048510" s="242"/>
    </row>
    <row r="1048511" spans="1:251" s="243" customFormat="1" ht="12.6" customHeight="1">
      <c r="A1048511" s="242"/>
      <c r="B1048511" s="242"/>
      <c r="C1048511" s="242"/>
      <c r="D1048511" s="242"/>
      <c r="E1048511" s="242"/>
      <c r="F1048511" s="242"/>
      <c r="G1048511" s="242"/>
      <c r="H1048511" s="242"/>
      <c r="I1048511" s="242"/>
      <c r="J1048511" s="242"/>
      <c r="K1048511" s="242"/>
      <c r="L1048511" s="242"/>
      <c r="M1048511" s="242"/>
      <c r="N1048511" s="242"/>
      <c r="O1048511" s="242"/>
      <c r="P1048511" s="242"/>
      <c r="Q1048511" s="242"/>
      <c r="R1048511" s="242"/>
      <c r="S1048511" s="242"/>
      <c r="T1048511" s="242"/>
      <c r="U1048511" s="242"/>
      <c r="V1048511" s="242"/>
      <c r="W1048511" s="242"/>
      <c r="X1048511" s="242"/>
      <c r="Y1048511" s="242"/>
      <c r="Z1048511" s="242"/>
      <c r="AA1048511" s="242"/>
      <c r="AB1048511" s="242"/>
      <c r="AC1048511" s="242"/>
      <c r="AD1048511" s="242"/>
      <c r="AE1048511" s="242"/>
      <c r="AF1048511" s="242"/>
      <c r="AG1048511" s="242"/>
      <c r="AH1048511" s="242"/>
      <c r="AI1048511" s="242"/>
      <c r="AJ1048511" s="242"/>
      <c r="AK1048511" s="242"/>
      <c r="AL1048511" s="242"/>
      <c r="AM1048511" s="242"/>
      <c r="AN1048511" s="242"/>
      <c r="AO1048511" s="242"/>
      <c r="AP1048511" s="242"/>
      <c r="AQ1048511" s="242"/>
      <c r="AR1048511" s="242"/>
      <c r="AS1048511" s="242"/>
      <c r="AT1048511" s="242"/>
      <c r="AU1048511" s="242"/>
      <c r="AV1048511" s="242"/>
      <c r="AW1048511" s="242"/>
      <c r="AX1048511" s="242"/>
      <c r="AY1048511" s="242"/>
      <c r="AZ1048511" s="242"/>
      <c r="BA1048511" s="242"/>
      <c r="BB1048511" s="242"/>
      <c r="BC1048511" s="242"/>
      <c r="BD1048511" s="242"/>
      <c r="BE1048511" s="242"/>
      <c r="BF1048511" s="242"/>
      <c r="BG1048511" s="242"/>
      <c r="BH1048511" s="242"/>
      <c r="BI1048511" s="242"/>
      <c r="BJ1048511" s="242"/>
      <c r="BK1048511" s="242"/>
      <c r="BL1048511" s="242"/>
      <c r="BM1048511" s="242"/>
      <c r="BN1048511" s="242"/>
      <c r="BO1048511" s="242"/>
      <c r="BP1048511" s="242"/>
      <c r="BQ1048511" s="242"/>
      <c r="BR1048511" s="242"/>
      <c r="BS1048511" s="242"/>
      <c r="BT1048511" s="242"/>
      <c r="BU1048511" s="242"/>
      <c r="BV1048511" s="242"/>
      <c r="BW1048511" s="242"/>
      <c r="BX1048511" s="242"/>
      <c r="BY1048511" s="242"/>
      <c r="BZ1048511" s="242"/>
      <c r="CA1048511" s="242"/>
      <c r="CB1048511" s="242"/>
      <c r="CC1048511" s="242"/>
      <c r="CD1048511" s="242"/>
      <c r="CE1048511" s="242"/>
      <c r="CF1048511" s="242"/>
      <c r="CG1048511" s="242"/>
      <c r="CH1048511" s="242"/>
      <c r="CI1048511" s="242"/>
      <c r="CJ1048511" s="242"/>
      <c r="CK1048511" s="242"/>
      <c r="CL1048511" s="242"/>
      <c r="CM1048511" s="242"/>
      <c r="CN1048511" s="242"/>
      <c r="CO1048511" s="242"/>
      <c r="CP1048511" s="242"/>
      <c r="CQ1048511" s="242"/>
      <c r="CR1048511" s="242"/>
      <c r="CS1048511" s="242"/>
      <c r="CT1048511" s="242"/>
      <c r="CU1048511" s="242"/>
      <c r="CV1048511" s="242"/>
      <c r="CW1048511" s="242"/>
      <c r="CX1048511" s="242"/>
      <c r="CY1048511" s="242"/>
      <c r="CZ1048511" s="242"/>
      <c r="DA1048511" s="242"/>
      <c r="DB1048511" s="242"/>
      <c r="DC1048511" s="242"/>
      <c r="DD1048511" s="242"/>
      <c r="DE1048511" s="242"/>
      <c r="DF1048511" s="242"/>
      <c r="DG1048511" s="242"/>
      <c r="DH1048511" s="242"/>
      <c r="DI1048511" s="242"/>
      <c r="DJ1048511" s="242"/>
      <c r="DK1048511" s="242"/>
      <c r="DL1048511" s="242"/>
      <c r="DM1048511" s="242"/>
      <c r="DN1048511" s="242"/>
      <c r="DO1048511" s="242"/>
      <c r="DP1048511" s="242"/>
      <c r="DQ1048511" s="242"/>
      <c r="DR1048511" s="242"/>
      <c r="DS1048511" s="242"/>
      <c r="DT1048511" s="242"/>
      <c r="DU1048511" s="242"/>
      <c r="DV1048511" s="242"/>
      <c r="DW1048511" s="242"/>
      <c r="DX1048511" s="242"/>
      <c r="DY1048511" s="242"/>
      <c r="DZ1048511" s="242"/>
      <c r="EA1048511" s="242"/>
      <c r="EB1048511" s="242"/>
      <c r="EC1048511" s="242"/>
      <c r="ED1048511" s="242"/>
      <c r="EE1048511" s="242"/>
      <c r="EF1048511" s="242"/>
      <c r="EG1048511" s="242"/>
      <c r="EH1048511" s="242"/>
      <c r="EI1048511" s="242"/>
      <c r="EJ1048511" s="242"/>
      <c r="EK1048511" s="242"/>
      <c r="EL1048511" s="242"/>
      <c r="EM1048511" s="242"/>
      <c r="EN1048511" s="242"/>
      <c r="EO1048511" s="242"/>
      <c r="EP1048511" s="242"/>
      <c r="EQ1048511" s="242"/>
      <c r="ER1048511" s="242"/>
      <c r="ES1048511" s="242"/>
      <c r="ET1048511" s="242"/>
      <c r="EU1048511" s="242"/>
      <c r="EV1048511" s="242"/>
      <c r="EW1048511" s="242"/>
      <c r="EX1048511" s="242"/>
      <c r="EY1048511" s="242"/>
      <c r="EZ1048511" s="242"/>
      <c r="FA1048511" s="242"/>
      <c r="FB1048511" s="242"/>
      <c r="FC1048511" s="242"/>
      <c r="FD1048511" s="242"/>
      <c r="FE1048511" s="242"/>
      <c r="FF1048511" s="242"/>
      <c r="FG1048511" s="242"/>
      <c r="FH1048511" s="242"/>
      <c r="FI1048511" s="242"/>
      <c r="FJ1048511" s="242"/>
      <c r="FK1048511" s="242"/>
      <c r="FL1048511" s="242"/>
      <c r="FM1048511" s="242"/>
      <c r="FN1048511" s="242"/>
      <c r="FO1048511" s="242"/>
      <c r="FP1048511" s="242"/>
      <c r="FQ1048511" s="242"/>
      <c r="FR1048511" s="242"/>
      <c r="FS1048511" s="242"/>
      <c r="FT1048511" s="242"/>
      <c r="FU1048511" s="242"/>
      <c r="FV1048511" s="242"/>
      <c r="FW1048511" s="242"/>
      <c r="FX1048511" s="242"/>
      <c r="FY1048511" s="242"/>
      <c r="FZ1048511" s="242"/>
      <c r="GA1048511" s="242"/>
      <c r="GB1048511" s="242"/>
      <c r="GC1048511" s="242"/>
      <c r="GD1048511" s="242"/>
      <c r="GE1048511" s="242"/>
      <c r="GF1048511" s="242"/>
      <c r="GG1048511" s="242"/>
      <c r="GH1048511" s="242"/>
      <c r="GI1048511" s="242"/>
      <c r="GJ1048511" s="242"/>
      <c r="GK1048511" s="242"/>
      <c r="GL1048511" s="242"/>
      <c r="GM1048511" s="242"/>
      <c r="GN1048511" s="242"/>
      <c r="GO1048511" s="242"/>
      <c r="GP1048511" s="242"/>
      <c r="GQ1048511" s="242"/>
      <c r="GR1048511" s="242"/>
      <c r="GS1048511" s="242"/>
      <c r="GT1048511" s="242"/>
      <c r="GU1048511" s="242"/>
      <c r="GV1048511" s="242"/>
      <c r="GW1048511" s="242"/>
      <c r="GX1048511" s="242"/>
      <c r="GY1048511" s="242"/>
      <c r="GZ1048511" s="242"/>
      <c r="HA1048511" s="242"/>
      <c r="HB1048511" s="242"/>
      <c r="HC1048511" s="242"/>
      <c r="HD1048511" s="242"/>
      <c r="HE1048511" s="242"/>
      <c r="HF1048511" s="242"/>
      <c r="HG1048511" s="242"/>
      <c r="HH1048511" s="242"/>
      <c r="HI1048511" s="242"/>
      <c r="HJ1048511" s="242"/>
      <c r="HK1048511" s="242"/>
      <c r="HL1048511" s="242"/>
      <c r="HM1048511" s="242"/>
      <c r="HN1048511" s="242"/>
      <c r="HO1048511" s="242"/>
      <c r="HP1048511" s="242"/>
      <c r="HQ1048511" s="242"/>
      <c r="HR1048511" s="242"/>
      <c r="HS1048511" s="242"/>
      <c r="HT1048511" s="242"/>
      <c r="HU1048511" s="242"/>
      <c r="HV1048511" s="242"/>
      <c r="HW1048511" s="242"/>
      <c r="HX1048511" s="242"/>
      <c r="HY1048511" s="242"/>
      <c r="HZ1048511" s="242"/>
      <c r="IA1048511" s="242"/>
      <c r="IB1048511" s="242"/>
      <c r="IC1048511" s="242"/>
      <c r="ID1048511" s="242"/>
      <c r="IE1048511" s="242"/>
      <c r="IF1048511" s="242"/>
      <c r="IG1048511" s="242"/>
      <c r="IH1048511" s="242"/>
      <c r="II1048511" s="242"/>
      <c r="IJ1048511" s="242"/>
      <c r="IK1048511" s="242"/>
      <c r="IL1048511" s="242"/>
      <c r="IM1048511" s="242"/>
      <c r="IN1048511" s="242"/>
      <c r="IO1048511" s="242"/>
      <c r="IP1048511" s="242"/>
      <c r="IQ1048511" s="242"/>
    </row>
    <row r="1048512" spans="1:251" s="243" customFormat="1" ht="12.6" customHeight="1">
      <c r="A1048512" s="242"/>
      <c r="B1048512" s="242"/>
      <c r="C1048512" s="242"/>
      <c r="D1048512" s="242"/>
      <c r="E1048512" s="242"/>
      <c r="F1048512" s="242"/>
      <c r="G1048512" s="242"/>
      <c r="H1048512" s="242"/>
      <c r="I1048512" s="242"/>
      <c r="J1048512" s="242"/>
      <c r="K1048512" s="242"/>
      <c r="L1048512" s="242"/>
      <c r="M1048512" s="242"/>
      <c r="N1048512" s="242"/>
      <c r="O1048512" s="242"/>
      <c r="P1048512" s="242"/>
      <c r="Q1048512" s="242"/>
      <c r="R1048512" s="242"/>
      <c r="S1048512" s="242"/>
      <c r="T1048512" s="242"/>
      <c r="U1048512" s="242"/>
      <c r="V1048512" s="242"/>
      <c r="W1048512" s="242"/>
      <c r="X1048512" s="242"/>
      <c r="Y1048512" s="242"/>
      <c r="Z1048512" s="242"/>
      <c r="AA1048512" s="242"/>
      <c r="AB1048512" s="242"/>
      <c r="AC1048512" s="242"/>
      <c r="AD1048512" s="242"/>
      <c r="AE1048512" s="242"/>
      <c r="AF1048512" s="242"/>
      <c r="AG1048512" s="242"/>
      <c r="AH1048512" s="242"/>
      <c r="AI1048512" s="242"/>
      <c r="AJ1048512" s="242"/>
      <c r="AK1048512" s="242"/>
      <c r="AL1048512" s="242"/>
      <c r="AM1048512" s="242"/>
      <c r="AN1048512" s="242"/>
      <c r="AO1048512" s="242"/>
      <c r="AP1048512" s="242"/>
      <c r="AQ1048512" s="242"/>
      <c r="AR1048512" s="242"/>
      <c r="AS1048512" s="242"/>
      <c r="AT1048512" s="242"/>
      <c r="AU1048512" s="242"/>
      <c r="AV1048512" s="242"/>
      <c r="AW1048512" s="242"/>
      <c r="AX1048512" s="242"/>
      <c r="AY1048512" s="242"/>
      <c r="AZ1048512" s="242"/>
      <c r="BA1048512" s="242"/>
      <c r="BB1048512" s="242"/>
      <c r="BC1048512" s="242"/>
      <c r="BD1048512" s="242"/>
      <c r="BE1048512" s="242"/>
      <c r="BF1048512" s="242"/>
      <c r="BG1048512" s="242"/>
      <c r="BH1048512" s="242"/>
      <c r="BI1048512" s="242"/>
      <c r="BJ1048512" s="242"/>
      <c r="BK1048512" s="242"/>
      <c r="BL1048512" s="242"/>
      <c r="BM1048512" s="242"/>
      <c r="BN1048512" s="242"/>
      <c r="BO1048512" s="242"/>
      <c r="BP1048512" s="242"/>
      <c r="BQ1048512" s="242"/>
      <c r="BR1048512" s="242"/>
      <c r="BS1048512" s="242"/>
      <c r="BT1048512" s="242"/>
      <c r="BU1048512" s="242"/>
      <c r="BV1048512" s="242"/>
      <c r="BW1048512" s="242"/>
      <c r="BX1048512" s="242"/>
      <c r="BY1048512" s="242"/>
      <c r="BZ1048512" s="242"/>
      <c r="CA1048512" s="242"/>
      <c r="CB1048512" s="242"/>
      <c r="CC1048512" s="242"/>
      <c r="CD1048512" s="242"/>
      <c r="CE1048512" s="242"/>
      <c r="CF1048512" s="242"/>
      <c r="CG1048512" s="242"/>
      <c r="CH1048512" s="242"/>
      <c r="CI1048512" s="242"/>
      <c r="CJ1048512" s="242"/>
      <c r="CK1048512" s="242"/>
      <c r="CL1048512" s="242"/>
      <c r="CM1048512" s="242"/>
      <c r="CN1048512" s="242"/>
      <c r="CO1048512" s="242"/>
      <c r="CP1048512" s="242"/>
      <c r="CQ1048512" s="242"/>
      <c r="CR1048512" s="242"/>
      <c r="CS1048512" s="242"/>
      <c r="CT1048512" s="242"/>
      <c r="CU1048512" s="242"/>
      <c r="CV1048512" s="242"/>
      <c r="CW1048512" s="242"/>
      <c r="CX1048512" s="242"/>
      <c r="CY1048512" s="242"/>
      <c r="CZ1048512" s="242"/>
      <c r="DA1048512" s="242"/>
      <c r="DB1048512" s="242"/>
      <c r="DC1048512" s="242"/>
      <c r="DD1048512" s="242"/>
      <c r="DE1048512" s="242"/>
      <c r="DF1048512" s="242"/>
      <c r="DG1048512" s="242"/>
      <c r="DH1048512" s="242"/>
      <c r="DI1048512" s="242"/>
      <c r="DJ1048512" s="242"/>
      <c r="DK1048512" s="242"/>
      <c r="DL1048512" s="242"/>
      <c r="DM1048512" s="242"/>
      <c r="DN1048512" s="242"/>
      <c r="DO1048512" s="242"/>
      <c r="DP1048512" s="242"/>
      <c r="DQ1048512" s="242"/>
      <c r="DR1048512" s="242"/>
      <c r="DS1048512" s="242"/>
      <c r="DT1048512" s="242"/>
      <c r="DU1048512" s="242"/>
      <c r="DV1048512" s="242"/>
      <c r="DW1048512" s="242"/>
      <c r="DX1048512" s="242"/>
      <c r="DY1048512" s="242"/>
      <c r="DZ1048512" s="242"/>
      <c r="EA1048512" s="242"/>
      <c r="EB1048512" s="242"/>
      <c r="EC1048512" s="242"/>
      <c r="ED1048512" s="242"/>
      <c r="EE1048512" s="242"/>
      <c r="EF1048512" s="242"/>
      <c r="EG1048512" s="242"/>
      <c r="EH1048512" s="242"/>
      <c r="EI1048512" s="242"/>
      <c r="EJ1048512" s="242"/>
      <c r="EK1048512" s="242"/>
      <c r="EL1048512" s="242"/>
      <c r="EM1048512" s="242"/>
      <c r="EN1048512" s="242"/>
      <c r="EO1048512" s="242"/>
      <c r="EP1048512" s="242"/>
      <c r="EQ1048512" s="242"/>
      <c r="ER1048512" s="242"/>
      <c r="ES1048512" s="242"/>
      <c r="ET1048512" s="242"/>
      <c r="EU1048512" s="242"/>
      <c r="EV1048512" s="242"/>
      <c r="EW1048512" s="242"/>
      <c r="EX1048512" s="242"/>
      <c r="EY1048512" s="242"/>
      <c r="EZ1048512" s="242"/>
      <c r="FA1048512" s="242"/>
      <c r="FB1048512" s="242"/>
      <c r="FC1048512" s="242"/>
      <c r="FD1048512" s="242"/>
      <c r="FE1048512" s="242"/>
      <c r="FF1048512" s="242"/>
      <c r="FG1048512" s="242"/>
      <c r="FH1048512" s="242"/>
      <c r="FI1048512" s="242"/>
      <c r="FJ1048512" s="242"/>
      <c r="FK1048512" s="242"/>
      <c r="FL1048512" s="242"/>
      <c r="FM1048512" s="242"/>
      <c r="FN1048512" s="242"/>
      <c r="FO1048512" s="242"/>
      <c r="FP1048512" s="242"/>
      <c r="FQ1048512" s="242"/>
      <c r="FR1048512" s="242"/>
      <c r="FS1048512" s="242"/>
      <c r="FT1048512" s="242"/>
      <c r="FU1048512" s="242"/>
      <c r="FV1048512" s="242"/>
      <c r="FW1048512" s="242"/>
      <c r="FX1048512" s="242"/>
      <c r="FY1048512" s="242"/>
      <c r="FZ1048512" s="242"/>
      <c r="GA1048512" s="242"/>
      <c r="GB1048512" s="242"/>
      <c r="GC1048512" s="242"/>
      <c r="GD1048512" s="242"/>
      <c r="GE1048512" s="242"/>
      <c r="GF1048512" s="242"/>
      <c r="GG1048512" s="242"/>
      <c r="GH1048512" s="242"/>
      <c r="GI1048512" s="242"/>
      <c r="GJ1048512" s="242"/>
      <c r="GK1048512" s="242"/>
      <c r="GL1048512" s="242"/>
      <c r="GM1048512" s="242"/>
      <c r="GN1048512" s="242"/>
      <c r="GO1048512" s="242"/>
      <c r="GP1048512" s="242"/>
      <c r="GQ1048512" s="242"/>
      <c r="GR1048512" s="242"/>
      <c r="GS1048512" s="242"/>
      <c r="GT1048512" s="242"/>
      <c r="GU1048512" s="242"/>
      <c r="GV1048512" s="242"/>
      <c r="GW1048512" s="242"/>
      <c r="GX1048512" s="242"/>
      <c r="GY1048512" s="242"/>
      <c r="GZ1048512" s="242"/>
      <c r="HA1048512" s="242"/>
      <c r="HB1048512" s="242"/>
      <c r="HC1048512" s="242"/>
      <c r="HD1048512" s="242"/>
      <c r="HE1048512" s="242"/>
      <c r="HF1048512" s="242"/>
      <c r="HG1048512" s="242"/>
      <c r="HH1048512" s="242"/>
      <c r="HI1048512" s="242"/>
      <c r="HJ1048512" s="242"/>
      <c r="HK1048512" s="242"/>
      <c r="HL1048512" s="242"/>
      <c r="HM1048512" s="242"/>
      <c r="HN1048512" s="242"/>
      <c r="HO1048512" s="242"/>
      <c r="HP1048512" s="242"/>
      <c r="HQ1048512" s="242"/>
      <c r="HR1048512" s="242"/>
      <c r="HS1048512" s="242"/>
      <c r="HT1048512" s="242"/>
      <c r="HU1048512" s="242"/>
      <c r="HV1048512" s="242"/>
      <c r="HW1048512" s="242"/>
      <c r="HX1048512" s="242"/>
      <c r="HY1048512" s="242"/>
      <c r="HZ1048512" s="242"/>
      <c r="IA1048512" s="242"/>
      <c r="IB1048512" s="242"/>
      <c r="IC1048512" s="242"/>
      <c r="ID1048512" s="242"/>
      <c r="IE1048512" s="242"/>
      <c r="IF1048512" s="242"/>
      <c r="IG1048512" s="242"/>
      <c r="IH1048512" s="242"/>
      <c r="II1048512" s="242"/>
      <c r="IJ1048512" s="242"/>
      <c r="IK1048512" s="242"/>
      <c r="IL1048512" s="242"/>
      <c r="IM1048512" s="242"/>
      <c r="IN1048512" s="242"/>
      <c r="IO1048512" s="242"/>
      <c r="IP1048512" s="242"/>
      <c r="IQ1048512" s="242"/>
    </row>
    <row r="1048513" spans="1:251" s="243" customFormat="1" ht="12.6" customHeight="1">
      <c r="A1048513" s="242"/>
      <c r="B1048513" s="242"/>
      <c r="C1048513" s="242"/>
      <c r="D1048513" s="242"/>
      <c r="E1048513" s="242"/>
      <c r="F1048513" s="242"/>
      <c r="G1048513" s="242"/>
      <c r="H1048513" s="242"/>
      <c r="I1048513" s="242"/>
      <c r="J1048513" s="242"/>
      <c r="K1048513" s="242"/>
      <c r="L1048513" s="242"/>
      <c r="M1048513" s="242"/>
      <c r="N1048513" s="242"/>
      <c r="O1048513" s="242"/>
      <c r="P1048513" s="242"/>
      <c r="Q1048513" s="242"/>
      <c r="R1048513" s="242"/>
      <c r="S1048513" s="242"/>
      <c r="T1048513" s="242"/>
      <c r="U1048513" s="242"/>
      <c r="V1048513" s="242"/>
      <c r="W1048513" s="242"/>
      <c r="X1048513" s="242"/>
      <c r="Y1048513" s="242"/>
      <c r="Z1048513" s="242"/>
      <c r="AA1048513" s="242"/>
      <c r="AB1048513" s="242"/>
      <c r="AC1048513" s="242"/>
      <c r="AD1048513" s="242"/>
      <c r="AE1048513" s="242"/>
      <c r="AF1048513" s="242"/>
      <c r="AG1048513" s="242"/>
      <c r="AH1048513" s="242"/>
      <c r="AI1048513" s="242"/>
      <c r="AJ1048513" s="242"/>
      <c r="AK1048513" s="242"/>
      <c r="AL1048513" s="242"/>
      <c r="AM1048513" s="242"/>
      <c r="AN1048513" s="242"/>
      <c r="AO1048513" s="242"/>
      <c r="AP1048513" s="242"/>
      <c r="AQ1048513" s="242"/>
      <c r="AR1048513" s="242"/>
      <c r="AS1048513" s="242"/>
      <c r="AT1048513" s="242"/>
      <c r="AU1048513" s="242"/>
      <c r="AV1048513" s="242"/>
      <c r="AW1048513" s="242"/>
      <c r="AX1048513" s="242"/>
      <c r="AY1048513" s="242"/>
      <c r="AZ1048513" s="242"/>
      <c r="BA1048513" s="242"/>
      <c r="BB1048513" s="242"/>
      <c r="BC1048513" s="242"/>
      <c r="BD1048513" s="242"/>
      <c r="BE1048513" s="242"/>
      <c r="BF1048513" s="242"/>
      <c r="BG1048513" s="242"/>
      <c r="BH1048513" s="242"/>
      <c r="BI1048513" s="242"/>
      <c r="BJ1048513" s="242"/>
      <c r="BK1048513" s="242"/>
      <c r="BL1048513" s="242"/>
      <c r="BM1048513" s="242"/>
      <c r="BN1048513" s="242"/>
      <c r="BO1048513" s="242"/>
      <c r="BP1048513" s="242"/>
      <c r="BQ1048513" s="242"/>
      <c r="BR1048513" s="242"/>
      <c r="BS1048513" s="242"/>
      <c r="BT1048513" s="242"/>
      <c r="BU1048513" s="242"/>
      <c r="BV1048513" s="242"/>
      <c r="BW1048513" s="242"/>
      <c r="BX1048513" s="242"/>
      <c r="BY1048513" s="242"/>
      <c r="BZ1048513" s="242"/>
      <c r="CA1048513" s="242"/>
      <c r="CB1048513" s="242"/>
      <c r="CC1048513" s="242"/>
      <c r="CD1048513" s="242"/>
      <c r="CE1048513" s="242"/>
      <c r="CF1048513" s="242"/>
      <c r="CG1048513" s="242"/>
      <c r="CH1048513" s="242"/>
      <c r="CI1048513" s="242"/>
      <c r="CJ1048513" s="242"/>
      <c r="CK1048513" s="242"/>
      <c r="CL1048513" s="242"/>
      <c r="CM1048513" s="242"/>
      <c r="CN1048513" s="242"/>
      <c r="CO1048513" s="242"/>
      <c r="CP1048513" s="242"/>
      <c r="CQ1048513" s="242"/>
      <c r="CR1048513" s="242"/>
      <c r="CS1048513" s="242"/>
      <c r="CT1048513" s="242"/>
      <c r="CU1048513" s="242"/>
      <c r="CV1048513" s="242"/>
      <c r="CW1048513" s="242"/>
      <c r="CX1048513" s="242"/>
      <c r="CY1048513" s="242"/>
      <c r="CZ1048513" s="242"/>
      <c r="DA1048513" s="242"/>
      <c r="DB1048513" s="242"/>
      <c r="DC1048513" s="242"/>
      <c r="DD1048513" s="242"/>
      <c r="DE1048513" s="242"/>
      <c r="DF1048513" s="242"/>
      <c r="DG1048513" s="242"/>
      <c r="DH1048513" s="242"/>
      <c r="DI1048513" s="242"/>
      <c r="DJ1048513" s="242"/>
      <c r="DK1048513" s="242"/>
      <c r="DL1048513" s="242"/>
      <c r="DM1048513" s="242"/>
      <c r="DN1048513" s="242"/>
      <c r="DO1048513" s="242"/>
      <c r="DP1048513" s="242"/>
      <c r="DQ1048513" s="242"/>
      <c r="DR1048513" s="242"/>
      <c r="DS1048513" s="242"/>
      <c r="DT1048513" s="242"/>
      <c r="DU1048513" s="242"/>
      <c r="DV1048513" s="242"/>
      <c r="DW1048513" s="242"/>
      <c r="DX1048513" s="242"/>
      <c r="DY1048513" s="242"/>
      <c r="DZ1048513" s="242"/>
      <c r="EA1048513" s="242"/>
      <c r="EB1048513" s="242"/>
      <c r="EC1048513" s="242"/>
      <c r="ED1048513" s="242"/>
      <c r="EE1048513" s="242"/>
      <c r="EF1048513" s="242"/>
      <c r="EG1048513" s="242"/>
      <c r="EH1048513" s="242"/>
      <c r="EI1048513" s="242"/>
      <c r="EJ1048513" s="242"/>
      <c r="EK1048513" s="242"/>
      <c r="EL1048513" s="242"/>
      <c r="EM1048513" s="242"/>
      <c r="EN1048513" s="242"/>
      <c r="EO1048513" s="242"/>
      <c r="EP1048513" s="242"/>
      <c r="EQ1048513" s="242"/>
      <c r="ER1048513" s="242"/>
      <c r="ES1048513" s="242"/>
      <c r="ET1048513" s="242"/>
      <c r="EU1048513" s="242"/>
      <c r="EV1048513" s="242"/>
      <c r="EW1048513" s="242"/>
      <c r="EX1048513" s="242"/>
      <c r="EY1048513" s="242"/>
      <c r="EZ1048513" s="242"/>
      <c r="FA1048513" s="242"/>
      <c r="FB1048513" s="242"/>
      <c r="FC1048513" s="242"/>
      <c r="FD1048513" s="242"/>
      <c r="FE1048513" s="242"/>
      <c r="FF1048513" s="242"/>
      <c r="FG1048513" s="242"/>
      <c r="FH1048513" s="242"/>
      <c r="FI1048513" s="242"/>
      <c r="FJ1048513" s="242"/>
      <c r="FK1048513" s="242"/>
      <c r="FL1048513" s="242"/>
      <c r="FM1048513" s="242"/>
      <c r="FN1048513" s="242"/>
      <c r="FO1048513" s="242"/>
      <c r="FP1048513" s="242"/>
      <c r="FQ1048513" s="242"/>
      <c r="FR1048513" s="242"/>
      <c r="FS1048513" s="242"/>
      <c r="FT1048513" s="242"/>
      <c r="FU1048513" s="242"/>
      <c r="FV1048513" s="242"/>
      <c r="FW1048513" s="242"/>
      <c r="FX1048513" s="242"/>
      <c r="FY1048513" s="242"/>
      <c r="FZ1048513" s="242"/>
      <c r="GA1048513" s="242"/>
      <c r="GB1048513" s="242"/>
      <c r="GC1048513" s="242"/>
      <c r="GD1048513" s="242"/>
      <c r="GE1048513" s="242"/>
      <c r="GF1048513" s="242"/>
      <c r="GG1048513" s="242"/>
      <c r="GH1048513" s="242"/>
      <c r="GI1048513" s="242"/>
      <c r="GJ1048513" s="242"/>
      <c r="GK1048513" s="242"/>
      <c r="GL1048513" s="242"/>
      <c r="GM1048513" s="242"/>
      <c r="GN1048513" s="242"/>
      <c r="GO1048513" s="242"/>
      <c r="GP1048513" s="242"/>
      <c r="GQ1048513" s="242"/>
      <c r="GR1048513" s="242"/>
      <c r="GS1048513" s="242"/>
      <c r="GT1048513" s="242"/>
      <c r="GU1048513" s="242"/>
      <c r="GV1048513" s="242"/>
      <c r="GW1048513" s="242"/>
      <c r="GX1048513" s="242"/>
      <c r="GY1048513" s="242"/>
      <c r="GZ1048513" s="242"/>
      <c r="HA1048513" s="242"/>
      <c r="HB1048513" s="242"/>
      <c r="HC1048513" s="242"/>
      <c r="HD1048513" s="242"/>
      <c r="HE1048513" s="242"/>
      <c r="HF1048513" s="242"/>
      <c r="HG1048513" s="242"/>
      <c r="HH1048513" s="242"/>
      <c r="HI1048513" s="242"/>
      <c r="HJ1048513" s="242"/>
      <c r="HK1048513" s="242"/>
      <c r="HL1048513" s="242"/>
      <c r="HM1048513" s="242"/>
      <c r="HN1048513" s="242"/>
      <c r="HO1048513" s="242"/>
      <c r="HP1048513" s="242"/>
      <c r="HQ1048513" s="242"/>
      <c r="HR1048513" s="242"/>
      <c r="HS1048513" s="242"/>
      <c r="HT1048513" s="242"/>
      <c r="HU1048513" s="242"/>
      <c r="HV1048513" s="242"/>
      <c r="HW1048513" s="242"/>
      <c r="HX1048513" s="242"/>
      <c r="HY1048513" s="242"/>
      <c r="HZ1048513" s="242"/>
      <c r="IA1048513" s="242"/>
      <c r="IB1048513" s="242"/>
      <c r="IC1048513" s="242"/>
      <c r="ID1048513" s="242"/>
      <c r="IE1048513" s="242"/>
      <c r="IF1048513" s="242"/>
      <c r="IG1048513" s="242"/>
      <c r="IH1048513" s="242"/>
      <c r="II1048513" s="242"/>
      <c r="IJ1048513" s="242"/>
      <c r="IK1048513" s="242"/>
      <c r="IL1048513" s="242"/>
      <c r="IM1048513" s="242"/>
      <c r="IN1048513" s="242"/>
      <c r="IO1048513" s="242"/>
      <c r="IP1048513" s="242"/>
      <c r="IQ1048513" s="242"/>
    </row>
    <row r="1048514" spans="1:251" s="243" customFormat="1" ht="12.6" customHeight="1">
      <c r="A1048514" s="242"/>
      <c r="B1048514" s="242"/>
      <c r="C1048514" s="242"/>
      <c r="D1048514" s="242"/>
      <c r="E1048514" s="242"/>
      <c r="F1048514" s="242"/>
      <c r="G1048514" s="242"/>
      <c r="H1048514" s="242"/>
      <c r="I1048514" s="242"/>
      <c r="J1048514" s="242"/>
      <c r="K1048514" s="242"/>
      <c r="L1048514" s="242"/>
      <c r="M1048514" s="242"/>
      <c r="N1048514" s="242"/>
      <c r="O1048514" s="242"/>
      <c r="P1048514" s="242"/>
      <c r="Q1048514" s="242"/>
      <c r="R1048514" s="242"/>
      <c r="S1048514" s="242"/>
      <c r="T1048514" s="242"/>
      <c r="U1048514" s="242"/>
      <c r="V1048514" s="242"/>
      <c r="W1048514" s="242"/>
      <c r="X1048514" s="242"/>
      <c r="Y1048514" s="242"/>
      <c r="Z1048514" s="242"/>
      <c r="AA1048514" s="242"/>
      <c r="AB1048514" s="242"/>
      <c r="AC1048514" s="242"/>
      <c r="AD1048514" s="242"/>
      <c r="AE1048514" s="242"/>
      <c r="AF1048514" s="242"/>
      <c r="AG1048514" s="242"/>
      <c r="AH1048514" s="242"/>
      <c r="AI1048514" s="242"/>
      <c r="AJ1048514" s="242"/>
      <c r="AK1048514" s="242"/>
      <c r="AL1048514" s="242"/>
      <c r="AM1048514" s="242"/>
      <c r="AN1048514" s="242"/>
      <c r="AO1048514" s="242"/>
      <c r="AP1048514" s="242"/>
      <c r="AQ1048514" s="242"/>
      <c r="AR1048514" s="242"/>
      <c r="AS1048514" s="242"/>
      <c r="AT1048514" s="242"/>
      <c r="AU1048514" s="242"/>
      <c r="AV1048514" s="242"/>
      <c r="AW1048514" s="242"/>
      <c r="AX1048514" s="242"/>
      <c r="AY1048514" s="242"/>
      <c r="AZ1048514" s="242"/>
      <c r="BA1048514" s="242"/>
      <c r="BB1048514" s="242"/>
      <c r="BC1048514" s="242"/>
      <c r="BD1048514" s="242"/>
      <c r="BE1048514" s="242"/>
      <c r="BF1048514" s="242"/>
      <c r="BG1048514" s="242"/>
      <c r="BH1048514" s="242"/>
      <c r="BI1048514" s="242"/>
      <c r="BJ1048514" s="242"/>
      <c r="BK1048514" s="242"/>
      <c r="BL1048514" s="242"/>
      <c r="BM1048514" s="242"/>
      <c r="BN1048514" s="242"/>
      <c r="BO1048514" s="242"/>
      <c r="BP1048514" s="242"/>
      <c r="BQ1048514" s="242"/>
      <c r="BR1048514" s="242"/>
      <c r="BS1048514" s="242"/>
      <c r="BT1048514" s="242"/>
      <c r="BU1048514" s="242"/>
      <c r="BV1048514" s="242"/>
      <c r="BW1048514" s="242"/>
      <c r="BX1048514" s="242"/>
      <c r="BY1048514" s="242"/>
      <c r="BZ1048514" s="242"/>
      <c r="CA1048514" s="242"/>
      <c r="CB1048514" s="242"/>
      <c r="CC1048514" s="242"/>
      <c r="CD1048514" s="242"/>
      <c r="CE1048514" s="242"/>
      <c r="CF1048514" s="242"/>
      <c r="CG1048514" s="242"/>
      <c r="CH1048514" s="242"/>
      <c r="CI1048514" s="242"/>
      <c r="CJ1048514" s="242"/>
      <c r="CK1048514" s="242"/>
      <c r="CL1048514" s="242"/>
      <c r="CM1048514" s="242"/>
      <c r="CN1048514" s="242"/>
      <c r="CO1048514" s="242"/>
      <c r="CP1048514" s="242"/>
      <c r="CQ1048514" s="242"/>
      <c r="CR1048514" s="242"/>
      <c r="CS1048514" s="242"/>
      <c r="CT1048514" s="242"/>
      <c r="CU1048514" s="242"/>
      <c r="CV1048514" s="242"/>
      <c r="CW1048514" s="242"/>
      <c r="CX1048514" s="242"/>
      <c r="CY1048514" s="242"/>
      <c r="CZ1048514" s="242"/>
      <c r="DA1048514" s="242"/>
      <c r="DB1048514" s="242"/>
      <c r="DC1048514" s="242"/>
      <c r="DD1048514" s="242"/>
      <c r="DE1048514" s="242"/>
      <c r="DF1048514" s="242"/>
      <c r="DG1048514" s="242"/>
      <c r="DH1048514" s="242"/>
      <c r="DI1048514" s="242"/>
      <c r="DJ1048514" s="242"/>
      <c r="DK1048514" s="242"/>
      <c r="DL1048514" s="242"/>
      <c r="DM1048514" s="242"/>
      <c r="DN1048514" s="242"/>
      <c r="DO1048514" s="242"/>
      <c r="DP1048514" s="242"/>
      <c r="DQ1048514" s="242"/>
      <c r="DR1048514" s="242"/>
      <c r="DS1048514" s="242"/>
      <c r="DT1048514" s="242"/>
      <c r="DU1048514" s="242"/>
      <c r="DV1048514" s="242"/>
      <c r="DW1048514" s="242"/>
      <c r="DX1048514" s="242"/>
      <c r="DY1048514" s="242"/>
      <c r="DZ1048514" s="242"/>
      <c r="EA1048514" s="242"/>
      <c r="EB1048514" s="242"/>
      <c r="EC1048514" s="242"/>
      <c r="ED1048514" s="242"/>
      <c r="EE1048514" s="242"/>
      <c r="EF1048514" s="242"/>
      <c r="EG1048514" s="242"/>
      <c r="EH1048514" s="242"/>
      <c r="EI1048514" s="242"/>
      <c r="EJ1048514" s="242"/>
      <c r="EK1048514" s="242"/>
      <c r="EL1048514" s="242"/>
      <c r="EM1048514" s="242"/>
      <c r="EN1048514" s="242"/>
      <c r="EO1048514" s="242"/>
      <c r="EP1048514" s="242"/>
      <c r="EQ1048514" s="242"/>
      <c r="ER1048514" s="242"/>
      <c r="ES1048514" s="242"/>
      <c r="ET1048514" s="242"/>
      <c r="EU1048514" s="242"/>
      <c r="EV1048514" s="242"/>
      <c r="EW1048514" s="242"/>
      <c r="EX1048514" s="242"/>
      <c r="EY1048514" s="242"/>
      <c r="EZ1048514" s="242"/>
      <c r="FA1048514" s="242"/>
      <c r="FB1048514" s="242"/>
      <c r="FC1048514" s="242"/>
      <c r="FD1048514" s="242"/>
      <c r="FE1048514" s="242"/>
      <c r="FF1048514" s="242"/>
      <c r="FG1048514" s="242"/>
      <c r="FH1048514" s="242"/>
      <c r="FI1048514" s="242"/>
      <c r="FJ1048514" s="242"/>
      <c r="FK1048514" s="242"/>
      <c r="FL1048514" s="242"/>
      <c r="FM1048514" s="242"/>
      <c r="FN1048514" s="242"/>
      <c r="FO1048514" s="242"/>
      <c r="FP1048514" s="242"/>
      <c r="FQ1048514" s="242"/>
      <c r="FR1048514" s="242"/>
      <c r="FS1048514" s="242"/>
      <c r="FT1048514" s="242"/>
      <c r="FU1048514" s="242"/>
      <c r="FV1048514" s="242"/>
      <c r="FW1048514" s="242"/>
      <c r="FX1048514" s="242"/>
      <c r="FY1048514" s="242"/>
      <c r="FZ1048514" s="242"/>
      <c r="GA1048514" s="242"/>
      <c r="GB1048514" s="242"/>
      <c r="GC1048514" s="242"/>
      <c r="GD1048514" s="242"/>
      <c r="GE1048514" s="242"/>
      <c r="GF1048514" s="242"/>
      <c r="GG1048514" s="242"/>
      <c r="GH1048514" s="242"/>
      <c r="GI1048514" s="242"/>
      <c r="GJ1048514" s="242"/>
      <c r="GK1048514" s="242"/>
      <c r="GL1048514" s="242"/>
      <c r="GM1048514" s="242"/>
      <c r="GN1048514" s="242"/>
      <c r="GO1048514" s="242"/>
      <c r="GP1048514" s="242"/>
      <c r="GQ1048514" s="242"/>
      <c r="GR1048514" s="242"/>
      <c r="GS1048514" s="242"/>
      <c r="GT1048514" s="242"/>
      <c r="GU1048514" s="242"/>
      <c r="GV1048514" s="242"/>
      <c r="GW1048514" s="242"/>
      <c r="GX1048514" s="242"/>
      <c r="GY1048514" s="242"/>
      <c r="GZ1048514" s="242"/>
      <c r="HA1048514" s="242"/>
      <c r="HB1048514" s="242"/>
      <c r="HC1048514" s="242"/>
      <c r="HD1048514" s="242"/>
      <c r="HE1048514" s="242"/>
      <c r="HF1048514" s="242"/>
      <c r="HG1048514" s="242"/>
      <c r="HH1048514" s="242"/>
      <c r="HI1048514" s="242"/>
      <c r="HJ1048514" s="242"/>
      <c r="HK1048514" s="242"/>
      <c r="HL1048514" s="242"/>
      <c r="HM1048514" s="242"/>
      <c r="HN1048514" s="242"/>
      <c r="HO1048514" s="242"/>
      <c r="HP1048514" s="242"/>
      <c r="HQ1048514" s="242"/>
      <c r="HR1048514" s="242"/>
      <c r="HS1048514" s="242"/>
      <c r="HT1048514" s="242"/>
      <c r="HU1048514" s="242"/>
      <c r="HV1048514" s="242"/>
      <c r="HW1048514" s="242"/>
      <c r="HX1048514" s="242"/>
      <c r="HY1048514" s="242"/>
      <c r="HZ1048514" s="242"/>
      <c r="IA1048514" s="242"/>
      <c r="IB1048514" s="242"/>
      <c r="IC1048514" s="242"/>
      <c r="ID1048514" s="242"/>
      <c r="IE1048514" s="242"/>
      <c r="IF1048514" s="242"/>
      <c r="IG1048514" s="242"/>
      <c r="IH1048514" s="242"/>
      <c r="II1048514" s="242"/>
      <c r="IJ1048514" s="242"/>
      <c r="IK1048514" s="242"/>
      <c r="IL1048514" s="242"/>
      <c r="IM1048514" s="242"/>
      <c r="IN1048514" s="242"/>
      <c r="IO1048514" s="242"/>
      <c r="IP1048514" s="242"/>
      <c r="IQ1048514" s="242"/>
    </row>
    <row r="1048515" spans="1:251" s="243" customFormat="1" ht="12.6" customHeight="1">
      <c r="A1048515" s="242"/>
      <c r="B1048515" s="242"/>
      <c r="C1048515" s="242"/>
      <c r="D1048515" s="242"/>
      <c r="E1048515" s="242"/>
      <c r="F1048515" s="242"/>
      <c r="G1048515" s="242"/>
      <c r="H1048515" s="242"/>
      <c r="I1048515" s="242"/>
      <c r="J1048515" s="242"/>
      <c r="K1048515" s="242"/>
      <c r="L1048515" s="242"/>
      <c r="M1048515" s="242"/>
      <c r="N1048515" s="242"/>
      <c r="O1048515" s="242"/>
      <c r="P1048515" s="242"/>
      <c r="Q1048515" s="242"/>
      <c r="R1048515" s="242"/>
      <c r="S1048515" s="242"/>
      <c r="T1048515" s="242"/>
      <c r="U1048515" s="242"/>
      <c r="V1048515" s="242"/>
      <c r="W1048515" s="242"/>
      <c r="X1048515" s="242"/>
      <c r="Y1048515" s="242"/>
      <c r="Z1048515" s="242"/>
      <c r="AA1048515" s="242"/>
      <c r="AB1048515" s="242"/>
      <c r="AC1048515" s="242"/>
      <c r="AD1048515" s="242"/>
      <c r="AE1048515" s="242"/>
      <c r="AF1048515" s="242"/>
      <c r="AG1048515" s="242"/>
      <c r="AH1048515" s="242"/>
      <c r="AI1048515" s="242"/>
      <c r="AJ1048515" s="242"/>
      <c r="AK1048515" s="242"/>
      <c r="AL1048515" s="242"/>
      <c r="AM1048515" s="242"/>
      <c r="AN1048515" s="242"/>
      <c r="AO1048515" s="242"/>
      <c r="AP1048515" s="242"/>
      <c r="AQ1048515" s="242"/>
      <c r="AR1048515" s="242"/>
      <c r="AS1048515" s="242"/>
      <c r="AT1048515" s="242"/>
      <c r="AU1048515" s="242"/>
      <c r="AV1048515" s="242"/>
      <c r="AW1048515" s="242"/>
      <c r="AX1048515" s="242"/>
      <c r="AY1048515" s="242"/>
      <c r="AZ1048515" s="242"/>
      <c r="BA1048515" s="242"/>
      <c r="BB1048515" s="242"/>
      <c r="BC1048515" s="242"/>
      <c r="BD1048515" s="242"/>
      <c r="BE1048515" s="242"/>
      <c r="BF1048515" s="242"/>
      <c r="BG1048515" s="242"/>
      <c r="BH1048515" s="242"/>
      <c r="BI1048515" s="242"/>
      <c r="BJ1048515" s="242"/>
      <c r="BK1048515" s="242"/>
      <c r="BL1048515" s="242"/>
      <c r="BM1048515" s="242"/>
      <c r="BN1048515" s="242"/>
      <c r="BO1048515" s="242"/>
      <c r="BP1048515" s="242"/>
      <c r="BQ1048515" s="242"/>
      <c r="BR1048515" s="242"/>
      <c r="BS1048515" s="242"/>
      <c r="BT1048515" s="242"/>
      <c r="BU1048515" s="242"/>
      <c r="BV1048515" s="242"/>
      <c r="BW1048515" s="242"/>
      <c r="BX1048515" s="242"/>
      <c r="BY1048515" s="242"/>
      <c r="BZ1048515" s="242"/>
      <c r="CA1048515" s="242"/>
      <c r="CB1048515" s="242"/>
      <c r="CC1048515" s="242"/>
      <c r="CD1048515" s="242"/>
      <c r="CE1048515" s="242"/>
      <c r="CF1048515" s="242"/>
      <c r="CG1048515" s="242"/>
      <c r="CH1048515" s="242"/>
      <c r="CI1048515" s="242"/>
      <c r="CJ1048515" s="242"/>
      <c r="CK1048515" s="242"/>
      <c r="CL1048515" s="242"/>
      <c r="CM1048515" s="242"/>
      <c r="CN1048515" s="242"/>
      <c r="CO1048515" s="242"/>
      <c r="CP1048515" s="242"/>
      <c r="CQ1048515" s="242"/>
      <c r="CR1048515" s="242"/>
      <c r="CS1048515" s="242"/>
      <c r="CT1048515" s="242"/>
      <c r="CU1048515" s="242"/>
      <c r="CV1048515" s="242"/>
      <c r="CW1048515" s="242"/>
      <c r="CX1048515" s="242"/>
      <c r="CY1048515" s="242"/>
      <c r="CZ1048515" s="242"/>
      <c r="DA1048515" s="242"/>
      <c r="DB1048515" s="242"/>
      <c r="DC1048515" s="242"/>
      <c r="DD1048515" s="242"/>
      <c r="DE1048515" s="242"/>
      <c r="DF1048515" s="242"/>
      <c r="DG1048515" s="242"/>
      <c r="DH1048515" s="242"/>
      <c r="DI1048515" s="242"/>
      <c r="DJ1048515" s="242"/>
      <c r="DK1048515" s="242"/>
      <c r="DL1048515" s="242"/>
      <c r="DM1048515" s="242"/>
      <c r="DN1048515" s="242"/>
      <c r="DO1048515" s="242"/>
      <c r="DP1048515" s="242"/>
      <c r="DQ1048515" s="242"/>
      <c r="DR1048515" s="242"/>
      <c r="DS1048515" s="242"/>
      <c r="DT1048515" s="242"/>
      <c r="DU1048515" s="242"/>
      <c r="DV1048515" s="242"/>
      <c r="DW1048515" s="242"/>
      <c r="DX1048515" s="242"/>
      <c r="DY1048515" s="242"/>
      <c r="DZ1048515" s="242"/>
      <c r="EA1048515" s="242"/>
      <c r="EB1048515" s="242"/>
      <c r="EC1048515" s="242"/>
      <c r="ED1048515" s="242"/>
      <c r="EE1048515" s="242"/>
      <c r="EF1048515" s="242"/>
      <c r="EG1048515" s="242"/>
      <c r="EH1048515" s="242"/>
      <c r="EI1048515" s="242"/>
      <c r="EJ1048515" s="242"/>
      <c r="EK1048515" s="242"/>
      <c r="EL1048515" s="242"/>
      <c r="EM1048515" s="242"/>
      <c r="EN1048515" s="242"/>
      <c r="EO1048515" s="242"/>
      <c r="EP1048515" s="242"/>
      <c r="EQ1048515" s="242"/>
      <c r="ER1048515" s="242"/>
      <c r="ES1048515" s="242"/>
      <c r="ET1048515" s="242"/>
      <c r="EU1048515" s="242"/>
      <c r="EV1048515" s="242"/>
      <c r="EW1048515" s="242"/>
      <c r="EX1048515" s="242"/>
      <c r="EY1048515" s="242"/>
      <c r="EZ1048515" s="242"/>
      <c r="FA1048515" s="242"/>
      <c r="FB1048515" s="242"/>
      <c r="FC1048515" s="242"/>
      <c r="FD1048515" s="242"/>
      <c r="FE1048515" s="242"/>
      <c r="FF1048515" s="242"/>
      <c r="FG1048515" s="242"/>
      <c r="FH1048515" s="242"/>
      <c r="FI1048515" s="242"/>
      <c r="FJ1048515" s="242"/>
      <c r="FK1048515" s="242"/>
      <c r="FL1048515" s="242"/>
      <c r="FM1048515" s="242"/>
      <c r="FN1048515" s="242"/>
      <c r="FO1048515" s="242"/>
      <c r="FP1048515" s="242"/>
      <c r="FQ1048515" s="242"/>
      <c r="FR1048515" s="242"/>
      <c r="FS1048515" s="242"/>
      <c r="FT1048515" s="242"/>
      <c r="FU1048515" s="242"/>
      <c r="FV1048515" s="242"/>
      <c r="FW1048515" s="242"/>
      <c r="FX1048515" s="242"/>
      <c r="FY1048515" s="242"/>
      <c r="FZ1048515" s="242"/>
      <c r="GA1048515" s="242"/>
      <c r="GB1048515" s="242"/>
      <c r="GC1048515" s="242"/>
      <c r="GD1048515" s="242"/>
      <c r="GE1048515" s="242"/>
      <c r="GF1048515" s="242"/>
      <c r="GG1048515" s="242"/>
      <c r="GH1048515" s="242"/>
      <c r="GI1048515" s="242"/>
      <c r="GJ1048515" s="242"/>
      <c r="GK1048515" s="242"/>
      <c r="GL1048515" s="242"/>
      <c r="GM1048515" s="242"/>
      <c r="GN1048515" s="242"/>
      <c r="GO1048515" s="242"/>
      <c r="GP1048515" s="242"/>
      <c r="GQ1048515" s="242"/>
      <c r="GR1048515" s="242"/>
      <c r="GS1048515" s="242"/>
      <c r="GT1048515" s="242"/>
      <c r="GU1048515" s="242"/>
      <c r="GV1048515" s="242"/>
      <c r="GW1048515" s="242"/>
      <c r="GX1048515" s="242"/>
      <c r="GY1048515" s="242"/>
      <c r="GZ1048515" s="242"/>
      <c r="HA1048515" s="242"/>
      <c r="HB1048515" s="242"/>
      <c r="HC1048515" s="242"/>
      <c r="HD1048515" s="242"/>
      <c r="HE1048515" s="242"/>
      <c r="HF1048515" s="242"/>
      <c r="HG1048515" s="242"/>
      <c r="HH1048515" s="242"/>
      <c r="HI1048515" s="242"/>
      <c r="HJ1048515" s="242"/>
      <c r="HK1048515" s="242"/>
      <c r="HL1048515" s="242"/>
      <c r="HM1048515" s="242"/>
      <c r="HN1048515" s="242"/>
      <c r="HO1048515" s="242"/>
      <c r="HP1048515" s="242"/>
      <c r="HQ1048515" s="242"/>
      <c r="HR1048515" s="242"/>
      <c r="HS1048515" s="242"/>
      <c r="HT1048515" s="242"/>
      <c r="HU1048515" s="242"/>
      <c r="HV1048515" s="242"/>
      <c r="HW1048515" s="242"/>
      <c r="HX1048515" s="242"/>
      <c r="HY1048515" s="242"/>
      <c r="HZ1048515" s="242"/>
      <c r="IA1048515" s="242"/>
      <c r="IB1048515" s="242"/>
      <c r="IC1048515" s="242"/>
      <c r="ID1048515" s="242"/>
      <c r="IE1048515" s="242"/>
      <c r="IF1048515" s="242"/>
      <c r="IG1048515" s="242"/>
      <c r="IH1048515" s="242"/>
      <c r="II1048515" s="242"/>
      <c r="IJ1048515" s="242"/>
      <c r="IK1048515" s="242"/>
      <c r="IL1048515" s="242"/>
      <c r="IM1048515" s="242"/>
      <c r="IN1048515" s="242"/>
      <c r="IO1048515" s="242"/>
      <c r="IP1048515" s="242"/>
      <c r="IQ1048515" s="242"/>
    </row>
    <row r="1048516" spans="1:251" s="243" customFormat="1" ht="12.6" customHeight="1">
      <c r="A1048516" s="242"/>
      <c r="B1048516" s="242"/>
      <c r="C1048516" s="242"/>
      <c r="D1048516" s="242"/>
      <c r="E1048516" s="242"/>
      <c r="F1048516" s="242"/>
      <c r="G1048516" s="242"/>
      <c r="H1048516" s="242"/>
      <c r="I1048516" s="242"/>
      <c r="J1048516" s="242"/>
      <c r="K1048516" s="242"/>
      <c r="L1048516" s="242"/>
      <c r="M1048516" s="242"/>
      <c r="N1048516" s="242"/>
      <c r="O1048516" s="242"/>
      <c r="P1048516" s="242"/>
      <c r="Q1048516" s="242"/>
      <c r="R1048516" s="242"/>
      <c r="S1048516" s="242"/>
      <c r="T1048516" s="242"/>
      <c r="U1048516" s="242"/>
      <c r="V1048516" s="242"/>
      <c r="W1048516" s="242"/>
      <c r="X1048516" s="242"/>
      <c r="Y1048516" s="242"/>
      <c r="Z1048516" s="242"/>
      <c r="AA1048516" s="242"/>
      <c r="AB1048516" s="242"/>
      <c r="AC1048516" s="242"/>
      <c r="AD1048516" s="242"/>
      <c r="AE1048516" s="242"/>
      <c r="AF1048516" s="242"/>
      <c r="AG1048516" s="242"/>
      <c r="AH1048516" s="242"/>
      <c r="AI1048516" s="242"/>
      <c r="AJ1048516" s="242"/>
      <c r="AK1048516" s="242"/>
      <c r="AL1048516" s="242"/>
      <c r="AM1048516" s="242"/>
      <c r="AN1048516" s="242"/>
      <c r="AO1048516" s="242"/>
      <c r="AP1048516" s="242"/>
      <c r="AQ1048516" s="242"/>
      <c r="AR1048516" s="242"/>
      <c r="AS1048516" s="242"/>
      <c r="AT1048516" s="242"/>
      <c r="AU1048516" s="242"/>
      <c r="AV1048516" s="242"/>
      <c r="AW1048516" s="242"/>
      <c r="AX1048516" s="242"/>
      <c r="AY1048516" s="242"/>
      <c r="AZ1048516" s="242"/>
      <c r="BA1048516" s="242"/>
      <c r="BB1048516" s="242"/>
      <c r="BC1048516" s="242"/>
      <c r="BD1048516" s="242"/>
      <c r="BE1048516" s="242"/>
      <c r="BF1048516" s="242"/>
      <c r="BG1048516" s="242"/>
      <c r="BH1048516" s="242"/>
      <c r="BI1048516" s="242"/>
      <c r="BJ1048516" s="242"/>
      <c r="BK1048516" s="242"/>
      <c r="BL1048516" s="242"/>
      <c r="BM1048516" s="242"/>
      <c r="BN1048516" s="242"/>
      <c r="BO1048516" s="242"/>
      <c r="BP1048516" s="242"/>
      <c r="BQ1048516" s="242"/>
      <c r="BR1048516" s="242"/>
      <c r="BS1048516" s="242"/>
      <c r="BT1048516" s="242"/>
      <c r="BU1048516" s="242"/>
      <c r="BV1048516" s="242"/>
      <c r="BW1048516" s="242"/>
      <c r="BX1048516" s="242"/>
      <c r="BY1048516" s="242"/>
      <c r="BZ1048516" s="242"/>
      <c r="CA1048516" s="242"/>
      <c r="CB1048516" s="242"/>
      <c r="CC1048516" s="242"/>
      <c r="CD1048516" s="242"/>
      <c r="CE1048516" s="242"/>
      <c r="CF1048516" s="242"/>
      <c r="CG1048516" s="242"/>
      <c r="CH1048516" s="242"/>
      <c r="CI1048516" s="242"/>
      <c r="CJ1048516" s="242"/>
      <c r="CK1048516" s="242"/>
      <c r="CL1048516" s="242"/>
      <c r="CM1048516" s="242"/>
      <c r="CN1048516" s="242"/>
      <c r="CO1048516" s="242"/>
      <c r="CP1048516" s="242"/>
      <c r="CQ1048516" s="242"/>
      <c r="CR1048516" s="242"/>
      <c r="CS1048516" s="242"/>
      <c r="CT1048516" s="242"/>
      <c r="CU1048516" s="242"/>
      <c r="CV1048516" s="242"/>
      <c r="CW1048516" s="242"/>
      <c r="CX1048516" s="242"/>
      <c r="CY1048516" s="242"/>
      <c r="CZ1048516" s="242"/>
      <c r="DA1048516" s="242"/>
      <c r="DB1048516" s="242"/>
      <c r="DC1048516" s="242"/>
      <c r="DD1048516" s="242"/>
      <c r="DE1048516" s="242"/>
      <c r="DF1048516" s="242"/>
      <c r="DG1048516" s="242"/>
      <c r="DH1048516" s="242"/>
      <c r="DI1048516" s="242"/>
      <c r="DJ1048516" s="242"/>
      <c r="DK1048516" s="242"/>
      <c r="DL1048516" s="242"/>
      <c r="DM1048516" s="242"/>
      <c r="DN1048516" s="242"/>
      <c r="DO1048516" s="242"/>
      <c r="DP1048516" s="242"/>
      <c r="DQ1048516" s="242"/>
      <c r="DR1048516" s="242"/>
      <c r="DS1048516" s="242"/>
      <c r="DT1048516" s="242"/>
      <c r="DU1048516" s="242"/>
      <c r="DV1048516" s="242"/>
      <c r="DW1048516" s="242"/>
      <c r="DX1048516" s="242"/>
      <c r="DY1048516" s="242"/>
      <c r="DZ1048516" s="242"/>
      <c r="EA1048516" s="242"/>
      <c r="EB1048516" s="242"/>
      <c r="EC1048516" s="242"/>
      <c r="ED1048516" s="242"/>
      <c r="EE1048516" s="242"/>
      <c r="EF1048516" s="242"/>
      <c r="EG1048516" s="242"/>
      <c r="EH1048516" s="242"/>
      <c r="EI1048516" s="242"/>
      <c r="EJ1048516" s="242"/>
      <c r="EK1048516" s="242"/>
      <c r="EL1048516" s="242"/>
      <c r="EM1048516" s="242"/>
      <c r="EN1048516" s="242"/>
      <c r="EO1048516" s="242"/>
      <c r="EP1048516" s="242"/>
      <c r="EQ1048516" s="242"/>
      <c r="ER1048516" s="242"/>
      <c r="ES1048516" s="242"/>
      <c r="ET1048516" s="242"/>
      <c r="EU1048516" s="242"/>
      <c r="EV1048516" s="242"/>
      <c r="EW1048516" s="242"/>
      <c r="EX1048516" s="242"/>
      <c r="EY1048516" s="242"/>
      <c r="EZ1048516" s="242"/>
      <c r="FA1048516" s="242"/>
      <c r="FB1048516" s="242"/>
      <c r="FC1048516" s="242"/>
      <c r="FD1048516" s="242"/>
      <c r="FE1048516" s="242"/>
      <c r="FF1048516" s="242"/>
      <c r="FG1048516" s="242"/>
      <c r="FH1048516" s="242"/>
      <c r="FI1048516" s="242"/>
      <c r="FJ1048516" s="242"/>
      <c r="FK1048516" s="242"/>
      <c r="FL1048516" s="242"/>
      <c r="FM1048516" s="242"/>
      <c r="FN1048516" s="242"/>
      <c r="FO1048516" s="242"/>
      <c r="FP1048516" s="242"/>
      <c r="FQ1048516" s="242"/>
      <c r="FR1048516" s="242"/>
      <c r="FS1048516" s="242"/>
      <c r="FT1048516" s="242"/>
      <c r="FU1048516" s="242"/>
      <c r="FV1048516" s="242"/>
      <c r="FW1048516" s="242"/>
      <c r="FX1048516" s="242"/>
      <c r="FY1048516" s="242"/>
      <c r="FZ1048516" s="242"/>
      <c r="GA1048516" s="242"/>
      <c r="GB1048516" s="242"/>
      <c r="GC1048516" s="242"/>
      <c r="GD1048516" s="242"/>
      <c r="GE1048516" s="242"/>
      <c r="GF1048516" s="242"/>
      <c r="GG1048516" s="242"/>
      <c r="GH1048516" s="242"/>
      <c r="GI1048516" s="242"/>
      <c r="GJ1048516" s="242"/>
      <c r="GK1048516" s="242"/>
      <c r="GL1048516" s="242"/>
      <c r="GM1048516" s="242"/>
      <c r="GN1048516" s="242"/>
      <c r="GO1048516" s="242"/>
      <c r="GP1048516" s="242"/>
      <c r="GQ1048516" s="242"/>
      <c r="GR1048516" s="242"/>
      <c r="GS1048516" s="242"/>
      <c r="GT1048516" s="242"/>
      <c r="GU1048516" s="242"/>
      <c r="GV1048516" s="242"/>
      <c r="GW1048516" s="242"/>
      <c r="GX1048516" s="242"/>
      <c r="GY1048516" s="242"/>
      <c r="GZ1048516" s="242"/>
      <c r="HA1048516" s="242"/>
      <c r="HB1048516" s="242"/>
      <c r="HC1048516" s="242"/>
      <c r="HD1048516" s="242"/>
      <c r="HE1048516" s="242"/>
      <c r="HF1048516" s="242"/>
      <c r="HG1048516" s="242"/>
      <c r="HH1048516" s="242"/>
      <c r="HI1048516" s="242"/>
      <c r="HJ1048516" s="242"/>
      <c r="HK1048516" s="242"/>
      <c r="HL1048516" s="242"/>
      <c r="HM1048516" s="242"/>
      <c r="HN1048516" s="242"/>
      <c r="HO1048516" s="242"/>
      <c r="HP1048516" s="242"/>
      <c r="HQ1048516" s="242"/>
      <c r="HR1048516" s="242"/>
      <c r="HS1048516" s="242"/>
      <c r="HT1048516" s="242"/>
      <c r="HU1048516" s="242"/>
      <c r="HV1048516" s="242"/>
      <c r="HW1048516" s="242"/>
      <c r="HX1048516" s="242"/>
      <c r="HY1048516" s="242"/>
      <c r="HZ1048516" s="242"/>
      <c r="IA1048516" s="242"/>
      <c r="IB1048516" s="242"/>
      <c r="IC1048516" s="242"/>
      <c r="ID1048516" s="242"/>
      <c r="IE1048516" s="242"/>
      <c r="IF1048516" s="242"/>
      <c r="IG1048516" s="242"/>
      <c r="IH1048516" s="242"/>
      <c r="II1048516" s="242"/>
      <c r="IJ1048516" s="242"/>
      <c r="IK1048516" s="242"/>
      <c r="IL1048516" s="242"/>
      <c r="IM1048516" s="242"/>
      <c r="IN1048516" s="242"/>
      <c r="IO1048516" s="242"/>
      <c r="IP1048516" s="242"/>
      <c r="IQ1048516" s="242"/>
    </row>
    <row r="1048517" spans="1:251" s="243" customFormat="1" ht="12.6" customHeight="1">
      <c r="A1048517" s="242"/>
      <c r="B1048517" s="242"/>
      <c r="C1048517" s="242"/>
      <c r="D1048517" s="242"/>
      <c r="E1048517" s="242"/>
      <c r="F1048517" s="242"/>
      <c r="G1048517" s="242"/>
      <c r="H1048517" s="242"/>
      <c r="I1048517" s="242"/>
      <c r="J1048517" s="242"/>
      <c r="K1048517" s="242"/>
      <c r="L1048517" s="242"/>
      <c r="M1048517" s="242"/>
      <c r="N1048517" s="242"/>
      <c r="O1048517" s="242"/>
      <c r="P1048517" s="242"/>
      <c r="Q1048517" s="242"/>
      <c r="R1048517" s="242"/>
      <c r="S1048517" s="242"/>
      <c r="T1048517" s="242"/>
      <c r="U1048517" s="242"/>
      <c r="V1048517" s="242"/>
      <c r="W1048517" s="242"/>
      <c r="X1048517" s="242"/>
      <c r="Y1048517" s="242"/>
      <c r="Z1048517" s="242"/>
      <c r="AA1048517" s="242"/>
      <c r="AB1048517" s="242"/>
      <c r="AC1048517" s="242"/>
      <c r="AD1048517" s="242"/>
      <c r="AE1048517" s="242"/>
      <c r="AF1048517" s="242"/>
      <c r="AG1048517" s="242"/>
      <c r="AH1048517" s="242"/>
      <c r="AI1048517" s="242"/>
      <c r="AJ1048517" s="242"/>
      <c r="AK1048517" s="242"/>
      <c r="AL1048517" s="242"/>
      <c r="AM1048517" s="242"/>
      <c r="AN1048517" s="242"/>
      <c r="AO1048517" s="242"/>
      <c r="AP1048517" s="242"/>
      <c r="AQ1048517" s="242"/>
      <c r="AR1048517" s="242"/>
      <c r="AS1048517" s="242"/>
      <c r="AT1048517" s="242"/>
      <c r="AU1048517" s="242"/>
      <c r="AV1048517" s="242"/>
      <c r="AW1048517" s="242"/>
      <c r="AX1048517" s="242"/>
      <c r="AY1048517" s="242"/>
      <c r="AZ1048517" s="242"/>
      <c r="BA1048517" s="242"/>
      <c r="BB1048517" s="242"/>
      <c r="BC1048517" s="242"/>
      <c r="BD1048517" s="242"/>
      <c r="BE1048517" s="242"/>
      <c r="BF1048517" s="242"/>
      <c r="BG1048517" s="242"/>
      <c r="BH1048517" s="242"/>
      <c r="BI1048517" s="242"/>
      <c r="BJ1048517" s="242"/>
      <c r="BK1048517" s="242"/>
      <c r="BL1048517" s="242"/>
      <c r="BM1048517" s="242"/>
      <c r="BN1048517" s="242"/>
      <c r="BO1048517" s="242"/>
      <c r="BP1048517" s="242"/>
      <c r="BQ1048517" s="242"/>
      <c r="BR1048517" s="242"/>
      <c r="BS1048517" s="242"/>
      <c r="BT1048517" s="242"/>
      <c r="BU1048517" s="242"/>
      <c r="BV1048517" s="242"/>
      <c r="BW1048517" s="242"/>
      <c r="BX1048517" s="242"/>
      <c r="BY1048517" s="242"/>
      <c r="BZ1048517" s="242"/>
      <c r="CA1048517" s="242"/>
      <c r="CB1048517" s="242"/>
      <c r="CC1048517" s="242"/>
      <c r="CD1048517" s="242"/>
      <c r="CE1048517" s="242"/>
      <c r="CF1048517" s="242"/>
      <c r="CG1048517" s="242"/>
      <c r="CH1048517" s="242"/>
      <c r="CI1048517" s="242"/>
      <c r="CJ1048517" s="242"/>
      <c r="CK1048517" s="242"/>
      <c r="CL1048517" s="242"/>
      <c r="CM1048517" s="242"/>
      <c r="CN1048517" s="242"/>
      <c r="CO1048517" s="242"/>
      <c r="CP1048517" s="242"/>
      <c r="CQ1048517" s="242"/>
      <c r="CR1048517" s="242"/>
      <c r="CS1048517" s="242"/>
      <c r="CT1048517" s="242"/>
      <c r="CU1048517" s="242"/>
      <c r="CV1048517" s="242"/>
      <c r="CW1048517" s="242"/>
      <c r="CX1048517" s="242"/>
      <c r="CY1048517" s="242"/>
      <c r="CZ1048517" s="242"/>
      <c r="DA1048517" s="242"/>
      <c r="DB1048517" s="242"/>
      <c r="DC1048517" s="242"/>
      <c r="DD1048517" s="242"/>
      <c r="DE1048517" s="242"/>
      <c r="DF1048517" s="242"/>
      <c r="DG1048517" s="242"/>
      <c r="DH1048517" s="242"/>
      <c r="DI1048517" s="242"/>
      <c r="DJ1048517" s="242"/>
      <c r="DK1048517" s="242"/>
      <c r="DL1048517" s="242"/>
      <c r="DM1048517" s="242"/>
      <c r="DN1048517" s="242"/>
      <c r="DO1048517" s="242"/>
      <c r="DP1048517" s="242"/>
      <c r="DQ1048517" s="242"/>
      <c r="DR1048517" s="242"/>
      <c r="DS1048517" s="242"/>
      <c r="DT1048517" s="242"/>
      <c r="DU1048517" s="242"/>
      <c r="DV1048517" s="242"/>
      <c r="DW1048517" s="242"/>
      <c r="DX1048517" s="242"/>
      <c r="DY1048517" s="242"/>
      <c r="DZ1048517" s="242"/>
      <c r="EA1048517" s="242"/>
      <c r="EB1048517" s="242"/>
      <c r="EC1048517" s="242"/>
      <c r="ED1048517" s="242"/>
      <c r="EE1048517" s="242"/>
      <c r="EF1048517" s="242"/>
      <c r="EG1048517" s="242"/>
      <c r="EH1048517" s="242"/>
      <c r="EI1048517" s="242"/>
      <c r="EJ1048517" s="242"/>
      <c r="EK1048517" s="242"/>
      <c r="EL1048517" s="242"/>
      <c r="EM1048517" s="242"/>
      <c r="EN1048517" s="242"/>
      <c r="EO1048517" s="242"/>
      <c r="EP1048517" s="242"/>
      <c r="EQ1048517" s="242"/>
      <c r="ER1048517" s="242"/>
      <c r="ES1048517" s="242"/>
      <c r="ET1048517" s="242"/>
      <c r="EU1048517" s="242"/>
      <c r="EV1048517" s="242"/>
      <c r="EW1048517" s="242"/>
      <c r="EX1048517" s="242"/>
      <c r="EY1048517" s="242"/>
      <c r="EZ1048517" s="242"/>
      <c r="FA1048517" s="242"/>
      <c r="FB1048517" s="242"/>
      <c r="FC1048517" s="242"/>
      <c r="FD1048517" s="242"/>
      <c r="FE1048517" s="242"/>
      <c r="FF1048517" s="242"/>
      <c r="FG1048517" s="242"/>
      <c r="FH1048517" s="242"/>
      <c r="FI1048517" s="242"/>
      <c r="FJ1048517" s="242"/>
      <c r="FK1048517" s="242"/>
      <c r="FL1048517" s="242"/>
      <c r="FM1048517" s="242"/>
      <c r="FN1048517" s="242"/>
      <c r="FO1048517" s="242"/>
      <c r="FP1048517" s="242"/>
      <c r="FQ1048517" s="242"/>
      <c r="FR1048517" s="242"/>
      <c r="FS1048517" s="242"/>
      <c r="FT1048517" s="242"/>
      <c r="FU1048517" s="242"/>
      <c r="FV1048517" s="242"/>
      <c r="FW1048517" s="242"/>
      <c r="FX1048517" s="242"/>
      <c r="FY1048517" s="242"/>
      <c r="FZ1048517" s="242"/>
      <c r="GA1048517" s="242"/>
      <c r="GB1048517" s="242"/>
      <c r="GC1048517" s="242"/>
      <c r="GD1048517" s="242"/>
      <c r="GE1048517" s="242"/>
      <c r="GF1048517" s="242"/>
      <c r="GG1048517" s="242"/>
      <c r="GH1048517" s="242"/>
      <c r="GI1048517" s="242"/>
      <c r="GJ1048517" s="242"/>
      <c r="GK1048517" s="242"/>
      <c r="GL1048517" s="242"/>
      <c r="GM1048517" s="242"/>
      <c r="GN1048517" s="242"/>
      <c r="GO1048517" s="242"/>
      <c r="GP1048517" s="242"/>
      <c r="GQ1048517" s="242"/>
      <c r="GR1048517" s="242"/>
      <c r="GS1048517" s="242"/>
      <c r="GT1048517" s="242"/>
      <c r="GU1048517" s="242"/>
      <c r="GV1048517" s="242"/>
      <c r="GW1048517" s="242"/>
      <c r="GX1048517" s="242"/>
      <c r="GY1048517" s="242"/>
      <c r="GZ1048517" s="242"/>
      <c r="HA1048517" s="242"/>
      <c r="HB1048517" s="242"/>
      <c r="HC1048517" s="242"/>
      <c r="HD1048517" s="242"/>
      <c r="HE1048517" s="242"/>
      <c r="HF1048517" s="242"/>
      <c r="HG1048517" s="242"/>
      <c r="HH1048517" s="242"/>
      <c r="HI1048517" s="242"/>
      <c r="HJ1048517" s="242"/>
      <c r="HK1048517" s="242"/>
      <c r="HL1048517" s="242"/>
      <c r="HM1048517" s="242"/>
      <c r="HN1048517" s="242"/>
      <c r="HO1048517" s="242"/>
      <c r="HP1048517" s="242"/>
      <c r="HQ1048517" s="242"/>
      <c r="HR1048517" s="242"/>
      <c r="HS1048517" s="242"/>
      <c r="HT1048517" s="242"/>
      <c r="HU1048517" s="242"/>
      <c r="HV1048517" s="242"/>
      <c r="HW1048517" s="242"/>
      <c r="HX1048517" s="242"/>
      <c r="HY1048517" s="242"/>
      <c r="HZ1048517" s="242"/>
      <c r="IA1048517" s="242"/>
      <c r="IB1048517" s="242"/>
      <c r="IC1048517" s="242"/>
      <c r="ID1048517" s="242"/>
      <c r="IE1048517" s="242"/>
      <c r="IF1048517" s="242"/>
      <c r="IG1048517" s="242"/>
      <c r="IH1048517" s="242"/>
      <c r="II1048517" s="242"/>
      <c r="IJ1048517" s="242"/>
      <c r="IK1048517" s="242"/>
      <c r="IL1048517" s="242"/>
      <c r="IM1048517" s="242"/>
      <c r="IN1048517" s="242"/>
      <c r="IO1048517" s="242"/>
      <c r="IP1048517" s="242"/>
      <c r="IQ1048517" s="242"/>
    </row>
    <row r="1048518" spans="1:251" s="243" customFormat="1" ht="12.6" customHeight="1">
      <c r="A1048518" s="242"/>
      <c r="B1048518" s="242"/>
      <c r="C1048518" s="242"/>
      <c r="D1048518" s="242"/>
      <c r="E1048518" s="242"/>
      <c r="F1048518" s="242"/>
      <c r="G1048518" s="242"/>
      <c r="H1048518" s="242"/>
      <c r="I1048518" s="242"/>
      <c r="J1048518" s="242"/>
      <c r="K1048518" s="242"/>
      <c r="L1048518" s="242"/>
      <c r="M1048518" s="242"/>
      <c r="N1048518" s="242"/>
      <c r="O1048518" s="242"/>
      <c r="P1048518" s="242"/>
      <c r="Q1048518" s="242"/>
      <c r="R1048518" s="242"/>
      <c r="S1048518" s="242"/>
      <c r="T1048518" s="242"/>
      <c r="U1048518" s="242"/>
      <c r="V1048518" s="242"/>
      <c r="W1048518" s="242"/>
      <c r="X1048518" s="242"/>
      <c r="Y1048518" s="242"/>
      <c r="Z1048518" s="242"/>
      <c r="AA1048518" s="242"/>
      <c r="AB1048518" s="242"/>
      <c r="AC1048518" s="242"/>
      <c r="AD1048518" s="242"/>
      <c r="AE1048518" s="242"/>
      <c r="AF1048518" s="242"/>
      <c r="AG1048518" s="242"/>
      <c r="AH1048518" s="242"/>
      <c r="AI1048518" s="242"/>
      <c r="AJ1048518" s="242"/>
      <c r="AK1048518" s="242"/>
      <c r="AL1048518" s="242"/>
      <c r="AM1048518" s="242"/>
      <c r="AN1048518" s="242"/>
      <c r="AO1048518" s="242"/>
      <c r="AP1048518" s="242"/>
      <c r="AQ1048518" s="242"/>
      <c r="AR1048518" s="242"/>
      <c r="AS1048518" s="242"/>
      <c r="AT1048518" s="242"/>
      <c r="AU1048518" s="242"/>
      <c r="AV1048518" s="242"/>
      <c r="AW1048518" s="242"/>
      <c r="AX1048518" s="242"/>
      <c r="AY1048518" s="242"/>
      <c r="AZ1048518" s="242"/>
      <c r="BA1048518" s="242"/>
      <c r="BB1048518" s="242"/>
      <c r="BC1048518" s="242"/>
      <c r="BD1048518" s="242"/>
      <c r="BE1048518" s="242"/>
      <c r="BF1048518" s="242"/>
      <c r="BG1048518" s="242"/>
      <c r="BH1048518" s="242"/>
      <c r="BI1048518" s="242"/>
      <c r="BJ1048518" s="242"/>
      <c r="BK1048518" s="242"/>
      <c r="BL1048518" s="242"/>
      <c r="BM1048518" s="242"/>
      <c r="BN1048518" s="242"/>
      <c r="BO1048518" s="242"/>
      <c r="BP1048518" s="242"/>
      <c r="BQ1048518" s="242"/>
      <c r="BR1048518" s="242"/>
      <c r="BS1048518" s="242"/>
      <c r="BT1048518" s="242"/>
      <c r="BU1048518" s="242"/>
      <c r="BV1048518" s="242"/>
      <c r="BW1048518" s="242"/>
      <c r="BX1048518" s="242"/>
      <c r="BY1048518" s="242"/>
      <c r="BZ1048518" s="242"/>
      <c r="CA1048518" s="242"/>
      <c r="CB1048518" s="242"/>
      <c r="CC1048518" s="242"/>
      <c r="CD1048518" s="242"/>
      <c r="CE1048518" s="242"/>
      <c r="CF1048518" s="242"/>
      <c r="CG1048518" s="242"/>
      <c r="CH1048518" s="242"/>
      <c r="CI1048518" s="242"/>
      <c r="CJ1048518" s="242"/>
      <c r="CK1048518" s="242"/>
      <c r="CL1048518" s="242"/>
      <c r="CM1048518" s="242"/>
      <c r="CN1048518" s="242"/>
      <c r="CO1048518" s="242"/>
      <c r="CP1048518" s="242"/>
      <c r="CQ1048518" s="242"/>
      <c r="CR1048518" s="242"/>
      <c r="CS1048518" s="242"/>
      <c r="CT1048518" s="242"/>
      <c r="CU1048518" s="242"/>
      <c r="CV1048518" s="242"/>
      <c r="CW1048518" s="242"/>
      <c r="CX1048518" s="242"/>
      <c r="CY1048518" s="242"/>
      <c r="CZ1048518" s="242"/>
      <c r="DA1048518" s="242"/>
      <c r="DB1048518" s="242"/>
      <c r="DC1048518" s="242"/>
      <c r="DD1048518" s="242"/>
      <c r="DE1048518" s="242"/>
      <c r="DF1048518" s="242"/>
      <c r="DG1048518" s="242"/>
      <c r="DH1048518" s="242"/>
      <c r="DI1048518" s="242"/>
      <c r="DJ1048518" s="242"/>
      <c r="DK1048518" s="242"/>
      <c r="DL1048518" s="242"/>
      <c r="DM1048518" s="242"/>
      <c r="DN1048518" s="242"/>
      <c r="DO1048518" s="242"/>
      <c r="DP1048518" s="242"/>
      <c r="DQ1048518" s="242"/>
      <c r="DR1048518" s="242"/>
      <c r="DS1048518" s="242"/>
      <c r="DT1048518" s="242"/>
      <c r="DU1048518" s="242"/>
      <c r="DV1048518" s="242"/>
      <c r="DW1048518" s="242"/>
      <c r="DX1048518" s="242"/>
      <c r="DY1048518" s="242"/>
      <c r="DZ1048518" s="242"/>
      <c r="EA1048518" s="242"/>
      <c r="EB1048518" s="242"/>
      <c r="EC1048518" s="242"/>
      <c r="ED1048518" s="242"/>
      <c r="EE1048518" s="242"/>
      <c r="EF1048518" s="242"/>
      <c r="EG1048518" s="242"/>
      <c r="EH1048518" s="242"/>
      <c r="EI1048518" s="242"/>
      <c r="EJ1048518" s="242"/>
      <c r="EK1048518" s="242"/>
      <c r="EL1048518" s="242"/>
      <c r="EM1048518" s="242"/>
      <c r="EN1048518" s="242"/>
      <c r="EO1048518" s="242"/>
      <c r="EP1048518" s="242"/>
      <c r="EQ1048518" s="242"/>
      <c r="ER1048518" s="242"/>
      <c r="ES1048518" s="242"/>
      <c r="ET1048518" s="242"/>
      <c r="EU1048518" s="242"/>
      <c r="EV1048518" s="242"/>
      <c r="EW1048518" s="242"/>
      <c r="EX1048518" s="242"/>
      <c r="EY1048518" s="242"/>
      <c r="EZ1048518" s="242"/>
      <c r="FA1048518" s="242"/>
      <c r="FB1048518" s="242"/>
      <c r="FC1048518" s="242"/>
      <c r="FD1048518" s="242"/>
      <c r="FE1048518" s="242"/>
      <c r="FF1048518" s="242"/>
      <c r="FG1048518" s="242"/>
      <c r="FH1048518" s="242"/>
      <c r="FI1048518" s="242"/>
      <c r="FJ1048518" s="242"/>
      <c r="FK1048518" s="242"/>
      <c r="FL1048518" s="242"/>
      <c r="FM1048518" s="242"/>
      <c r="FN1048518" s="242"/>
      <c r="FO1048518" s="242"/>
      <c r="FP1048518" s="242"/>
      <c r="FQ1048518" s="242"/>
      <c r="FR1048518" s="242"/>
      <c r="FS1048518" s="242"/>
      <c r="FT1048518" s="242"/>
      <c r="FU1048518" s="242"/>
      <c r="FV1048518" s="242"/>
      <c r="FW1048518" s="242"/>
      <c r="FX1048518" s="242"/>
      <c r="FY1048518" s="242"/>
      <c r="FZ1048518" s="242"/>
      <c r="GA1048518" s="242"/>
      <c r="GB1048518" s="242"/>
      <c r="GC1048518" s="242"/>
      <c r="GD1048518" s="242"/>
      <c r="GE1048518" s="242"/>
      <c r="GF1048518" s="242"/>
      <c r="GG1048518" s="242"/>
      <c r="GH1048518" s="242"/>
      <c r="GI1048518" s="242"/>
      <c r="GJ1048518" s="242"/>
      <c r="GK1048518" s="242"/>
      <c r="GL1048518" s="242"/>
      <c r="GM1048518" s="242"/>
      <c r="GN1048518" s="242"/>
      <c r="GO1048518" s="242"/>
      <c r="GP1048518" s="242"/>
      <c r="GQ1048518" s="242"/>
      <c r="GR1048518" s="242"/>
      <c r="GS1048518" s="242"/>
      <c r="GT1048518" s="242"/>
      <c r="GU1048518" s="242"/>
      <c r="GV1048518" s="242"/>
      <c r="GW1048518" s="242"/>
      <c r="GX1048518" s="242"/>
      <c r="GY1048518" s="242"/>
      <c r="GZ1048518" s="242"/>
      <c r="HA1048518" s="242"/>
      <c r="HB1048518" s="242"/>
      <c r="HC1048518" s="242"/>
      <c r="HD1048518" s="242"/>
      <c r="HE1048518" s="242"/>
      <c r="HF1048518" s="242"/>
      <c r="HG1048518" s="242"/>
      <c r="HH1048518" s="242"/>
      <c r="HI1048518" s="242"/>
      <c r="HJ1048518" s="242"/>
      <c r="HK1048518" s="242"/>
      <c r="HL1048518" s="242"/>
      <c r="HM1048518" s="242"/>
      <c r="HN1048518" s="242"/>
      <c r="HO1048518" s="242"/>
      <c r="HP1048518" s="242"/>
      <c r="HQ1048518" s="242"/>
      <c r="HR1048518" s="242"/>
      <c r="HS1048518" s="242"/>
      <c r="HT1048518" s="242"/>
      <c r="HU1048518" s="242"/>
      <c r="HV1048518" s="242"/>
      <c r="HW1048518" s="242"/>
      <c r="HX1048518" s="242"/>
      <c r="HY1048518" s="242"/>
      <c r="HZ1048518" s="242"/>
      <c r="IA1048518" s="242"/>
      <c r="IB1048518" s="242"/>
      <c r="IC1048518" s="242"/>
      <c r="ID1048518" s="242"/>
      <c r="IE1048518" s="242"/>
      <c r="IF1048518" s="242"/>
      <c r="IG1048518" s="242"/>
      <c r="IH1048518" s="242"/>
      <c r="II1048518" s="242"/>
      <c r="IJ1048518" s="242"/>
      <c r="IK1048518" s="242"/>
      <c r="IL1048518" s="242"/>
      <c r="IM1048518" s="242"/>
      <c r="IN1048518" s="242"/>
      <c r="IO1048518" s="242"/>
      <c r="IP1048518" s="242"/>
      <c r="IQ1048518" s="242"/>
    </row>
    <row r="1048519" spans="1:251" s="243" customFormat="1" ht="12.6" customHeight="1">
      <c r="A1048519" s="242"/>
      <c r="B1048519" s="242"/>
      <c r="C1048519" s="242"/>
      <c r="D1048519" s="242"/>
      <c r="E1048519" s="242"/>
      <c r="F1048519" s="242"/>
      <c r="G1048519" s="242"/>
      <c r="H1048519" s="242"/>
      <c r="I1048519" s="242"/>
      <c r="J1048519" s="242"/>
      <c r="K1048519" s="242"/>
      <c r="L1048519" s="242"/>
      <c r="M1048519" s="242"/>
      <c r="N1048519" s="242"/>
      <c r="O1048519" s="242"/>
      <c r="P1048519" s="242"/>
      <c r="Q1048519" s="242"/>
      <c r="R1048519" s="242"/>
      <c r="S1048519" s="242"/>
      <c r="T1048519" s="242"/>
      <c r="U1048519" s="242"/>
      <c r="V1048519" s="242"/>
      <c r="W1048519" s="242"/>
      <c r="X1048519" s="242"/>
      <c r="Y1048519" s="242"/>
      <c r="Z1048519" s="242"/>
      <c r="AA1048519" s="242"/>
      <c r="AB1048519" s="242"/>
      <c r="AC1048519" s="242"/>
      <c r="AD1048519" s="242"/>
      <c r="AE1048519" s="242"/>
      <c r="AF1048519" s="242"/>
      <c r="AG1048519" s="242"/>
      <c r="AH1048519" s="242"/>
      <c r="AI1048519" s="242"/>
      <c r="AJ1048519" s="242"/>
      <c r="AK1048519" s="242"/>
      <c r="AL1048519" s="242"/>
      <c r="AM1048519" s="242"/>
      <c r="AN1048519" s="242"/>
      <c r="AO1048519" s="242"/>
      <c r="AP1048519" s="242"/>
      <c r="AQ1048519" s="242"/>
      <c r="AR1048519" s="242"/>
      <c r="AS1048519" s="242"/>
      <c r="AT1048519" s="242"/>
      <c r="AU1048519" s="242"/>
      <c r="AV1048519" s="242"/>
      <c r="AW1048519" s="242"/>
      <c r="AX1048519" s="242"/>
      <c r="AY1048519" s="242"/>
      <c r="AZ1048519" s="242"/>
      <c r="BA1048519" s="242"/>
      <c r="BB1048519" s="242"/>
      <c r="BC1048519" s="242"/>
      <c r="BD1048519" s="242"/>
      <c r="BE1048519" s="242"/>
      <c r="BF1048519" s="242"/>
      <c r="BG1048519" s="242"/>
      <c r="BH1048519" s="242"/>
      <c r="BI1048519" s="242"/>
      <c r="BJ1048519" s="242"/>
      <c r="BK1048519" s="242"/>
      <c r="BL1048519" s="242"/>
      <c r="BM1048519" s="242"/>
      <c r="BN1048519" s="242"/>
      <c r="BO1048519" s="242"/>
      <c r="BP1048519" s="242"/>
      <c r="BQ1048519" s="242"/>
      <c r="BR1048519" s="242"/>
      <c r="BS1048519" s="242"/>
      <c r="BT1048519" s="242"/>
      <c r="BU1048519" s="242"/>
      <c r="BV1048519" s="242"/>
      <c r="BW1048519" s="242"/>
      <c r="BX1048519" s="242"/>
      <c r="BY1048519" s="242"/>
      <c r="BZ1048519" s="242"/>
      <c r="CA1048519" s="242"/>
      <c r="CB1048519" s="242"/>
      <c r="CC1048519" s="242"/>
      <c r="CD1048519" s="242"/>
      <c r="CE1048519" s="242"/>
      <c r="CF1048519" s="242"/>
      <c r="CG1048519" s="242"/>
      <c r="CH1048519" s="242"/>
      <c r="CI1048519" s="242"/>
      <c r="CJ1048519" s="242"/>
      <c r="CK1048519" s="242"/>
      <c r="CL1048519" s="242"/>
      <c r="CM1048519" s="242"/>
      <c r="CN1048519" s="242"/>
      <c r="CO1048519" s="242"/>
      <c r="CP1048519" s="242"/>
      <c r="CQ1048519" s="242"/>
      <c r="CR1048519" s="242"/>
      <c r="CS1048519" s="242"/>
      <c r="CT1048519" s="242"/>
      <c r="CU1048519" s="242"/>
      <c r="CV1048519" s="242"/>
      <c r="CW1048519" s="242"/>
      <c r="CX1048519" s="242"/>
      <c r="CY1048519" s="242"/>
      <c r="CZ1048519" s="242"/>
      <c r="DA1048519" s="242"/>
      <c r="DB1048519" s="242"/>
      <c r="DC1048519" s="242"/>
      <c r="DD1048519" s="242"/>
      <c r="DE1048519" s="242"/>
      <c r="DF1048519" s="242"/>
      <c r="DG1048519" s="242"/>
      <c r="DH1048519" s="242"/>
      <c r="DI1048519" s="242"/>
      <c r="DJ1048519" s="242"/>
      <c r="DK1048519" s="242"/>
      <c r="DL1048519" s="242"/>
      <c r="DM1048519" s="242"/>
      <c r="DN1048519" s="242"/>
      <c r="DO1048519" s="242"/>
      <c r="DP1048519" s="242"/>
      <c r="DQ1048519" s="242"/>
      <c r="DR1048519" s="242"/>
      <c r="DS1048519" s="242"/>
      <c r="DT1048519" s="242"/>
      <c r="DU1048519" s="242"/>
      <c r="DV1048519" s="242"/>
      <c r="DW1048519" s="242"/>
      <c r="DX1048519" s="242"/>
      <c r="DY1048519" s="242"/>
      <c r="DZ1048519" s="242"/>
      <c r="EA1048519" s="242"/>
      <c r="EB1048519" s="242"/>
      <c r="EC1048519" s="242"/>
      <c r="ED1048519" s="242"/>
      <c r="EE1048519" s="242"/>
      <c r="EF1048519" s="242"/>
      <c r="EG1048519" s="242"/>
      <c r="EH1048519" s="242"/>
      <c r="EI1048519" s="242"/>
      <c r="EJ1048519" s="242"/>
      <c r="EK1048519" s="242"/>
      <c r="EL1048519" s="242"/>
      <c r="EM1048519" s="242"/>
      <c r="EN1048519" s="242"/>
      <c r="EO1048519" s="242"/>
      <c r="EP1048519" s="242"/>
      <c r="EQ1048519" s="242"/>
      <c r="ER1048519" s="242"/>
      <c r="ES1048519" s="242"/>
      <c r="ET1048519" s="242"/>
      <c r="EU1048519" s="242"/>
      <c r="EV1048519" s="242"/>
      <c r="EW1048519" s="242"/>
      <c r="EX1048519" s="242"/>
      <c r="EY1048519" s="242"/>
      <c r="EZ1048519" s="242"/>
      <c r="FA1048519" s="242"/>
      <c r="FB1048519" s="242"/>
      <c r="FC1048519" s="242"/>
      <c r="FD1048519" s="242"/>
      <c r="FE1048519" s="242"/>
      <c r="FF1048519" s="242"/>
      <c r="FG1048519" s="242"/>
      <c r="FH1048519" s="242"/>
      <c r="FI1048519" s="242"/>
      <c r="FJ1048519" s="242"/>
      <c r="FK1048519" s="242"/>
      <c r="FL1048519" s="242"/>
      <c r="FM1048519" s="242"/>
      <c r="FN1048519" s="242"/>
      <c r="FO1048519" s="242"/>
      <c r="FP1048519" s="242"/>
      <c r="FQ1048519" s="242"/>
      <c r="FR1048519" s="242"/>
      <c r="FS1048519" s="242"/>
      <c r="FT1048519" s="242"/>
      <c r="FU1048519" s="242"/>
      <c r="FV1048519" s="242"/>
      <c r="FW1048519" s="242"/>
      <c r="FX1048519" s="242"/>
      <c r="FY1048519" s="242"/>
      <c r="FZ1048519" s="242"/>
      <c r="GA1048519" s="242"/>
      <c r="GB1048519" s="242"/>
      <c r="GC1048519" s="242"/>
      <c r="GD1048519" s="242"/>
      <c r="GE1048519" s="242"/>
      <c r="GF1048519" s="242"/>
      <c r="GG1048519" s="242"/>
      <c r="GH1048519" s="242"/>
      <c r="GI1048519" s="242"/>
      <c r="GJ1048519" s="242"/>
      <c r="GK1048519" s="242"/>
      <c r="GL1048519" s="242"/>
      <c r="GM1048519" s="242"/>
      <c r="GN1048519" s="242"/>
      <c r="GO1048519" s="242"/>
      <c r="GP1048519" s="242"/>
      <c r="GQ1048519" s="242"/>
      <c r="GR1048519" s="242"/>
      <c r="GS1048519" s="242"/>
      <c r="GT1048519" s="242"/>
      <c r="GU1048519" s="242"/>
      <c r="GV1048519" s="242"/>
      <c r="GW1048519" s="242"/>
      <c r="GX1048519" s="242"/>
      <c r="GY1048519" s="242"/>
      <c r="GZ1048519" s="242"/>
      <c r="HA1048519" s="242"/>
      <c r="HB1048519" s="242"/>
      <c r="HC1048519" s="242"/>
      <c r="HD1048519" s="242"/>
      <c r="HE1048519" s="242"/>
      <c r="HF1048519" s="242"/>
      <c r="HG1048519" s="242"/>
      <c r="HH1048519" s="242"/>
      <c r="HI1048519" s="242"/>
      <c r="HJ1048519" s="242"/>
      <c r="HK1048519" s="242"/>
      <c r="HL1048519" s="242"/>
      <c r="HM1048519" s="242"/>
      <c r="HN1048519" s="242"/>
      <c r="HO1048519" s="242"/>
      <c r="HP1048519" s="242"/>
      <c r="HQ1048519" s="242"/>
      <c r="HR1048519" s="242"/>
      <c r="HS1048519" s="242"/>
      <c r="HT1048519" s="242"/>
      <c r="HU1048519" s="242"/>
      <c r="HV1048519" s="242"/>
      <c r="HW1048519" s="242"/>
      <c r="HX1048519" s="242"/>
      <c r="HY1048519" s="242"/>
      <c r="HZ1048519" s="242"/>
      <c r="IA1048519" s="242"/>
      <c r="IB1048519" s="242"/>
      <c r="IC1048519" s="242"/>
      <c r="ID1048519" s="242"/>
      <c r="IE1048519" s="242"/>
      <c r="IF1048519" s="242"/>
      <c r="IG1048519" s="242"/>
      <c r="IH1048519" s="242"/>
      <c r="II1048519" s="242"/>
      <c r="IJ1048519" s="242"/>
      <c r="IK1048519" s="242"/>
      <c r="IL1048519" s="242"/>
      <c r="IM1048519" s="242"/>
      <c r="IN1048519" s="242"/>
      <c r="IO1048519" s="242"/>
      <c r="IP1048519" s="242"/>
      <c r="IQ1048519" s="242"/>
    </row>
    <row r="1048520" spans="1:251" s="243" customFormat="1" ht="12.6" customHeight="1">
      <c r="A1048520" s="242"/>
      <c r="B1048520" s="242"/>
      <c r="C1048520" s="242"/>
      <c r="D1048520" s="242"/>
      <c r="E1048520" s="242"/>
      <c r="F1048520" s="242"/>
      <c r="G1048520" s="242"/>
      <c r="H1048520" s="242"/>
      <c r="I1048520" s="242"/>
      <c r="J1048520" s="242"/>
      <c r="K1048520" s="242"/>
      <c r="L1048520" s="242"/>
      <c r="M1048520" s="242"/>
      <c r="N1048520" s="242"/>
      <c r="O1048520" s="242"/>
      <c r="P1048520" s="242"/>
      <c r="Q1048520" s="242"/>
      <c r="R1048520" s="242"/>
      <c r="S1048520" s="242"/>
      <c r="T1048520" s="242"/>
      <c r="U1048520" s="242"/>
      <c r="V1048520" s="242"/>
      <c r="W1048520" s="242"/>
      <c r="X1048520" s="242"/>
      <c r="Y1048520" s="242"/>
      <c r="Z1048520" s="242"/>
      <c r="AA1048520" s="242"/>
      <c r="AB1048520" s="242"/>
      <c r="AC1048520" s="242"/>
      <c r="AD1048520" s="242"/>
      <c r="AE1048520" s="242"/>
      <c r="AF1048520" s="242"/>
      <c r="AG1048520" s="242"/>
      <c r="AH1048520" s="242"/>
      <c r="AI1048520" s="242"/>
      <c r="AJ1048520" s="242"/>
      <c r="AK1048520" s="242"/>
      <c r="AL1048520" s="242"/>
      <c r="AM1048520" s="242"/>
      <c r="AN1048520" s="242"/>
      <c r="AO1048520" s="242"/>
      <c r="AP1048520" s="242"/>
      <c r="AQ1048520" s="242"/>
      <c r="AR1048520" s="242"/>
      <c r="AS1048520" s="242"/>
      <c r="AT1048520" s="242"/>
      <c r="AU1048520" s="242"/>
      <c r="AV1048520" s="242"/>
      <c r="AW1048520" s="242"/>
      <c r="AX1048520" s="242"/>
      <c r="AY1048520" s="242"/>
      <c r="AZ1048520" s="242"/>
      <c r="BA1048520" s="242"/>
      <c r="BB1048520" s="242"/>
      <c r="BC1048520" s="242"/>
      <c r="BD1048520" s="242"/>
      <c r="BE1048520" s="242"/>
      <c r="BF1048520" s="242"/>
      <c r="BG1048520" s="242"/>
      <c r="BH1048520" s="242"/>
      <c r="BI1048520" s="242"/>
      <c r="BJ1048520" s="242"/>
      <c r="BK1048520" s="242"/>
      <c r="BL1048520" s="242"/>
      <c r="BM1048520" s="242"/>
      <c r="BN1048520" s="242"/>
      <c r="BO1048520" s="242"/>
      <c r="BP1048520" s="242"/>
      <c r="BQ1048520" s="242"/>
      <c r="BR1048520" s="242"/>
      <c r="BS1048520" s="242"/>
      <c r="BT1048520" s="242"/>
      <c r="BU1048520" s="242"/>
      <c r="BV1048520" s="242"/>
      <c r="BW1048520" s="242"/>
      <c r="BX1048520" s="242"/>
      <c r="BY1048520" s="242"/>
      <c r="BZ1048520" s="242"/>
      <c r="CA1048520" s="242"/>
      <c r="CB1048520" s="242"/>
      <c r="CC1048520" s="242"/>
      <c r="CD1048520" s="242"/>
      <c r="CE1048520" s="242"/>
      <c r="CF1048520" s="242"/>
      <c r="CG1048520" s="242"/>
      <c r="CH1048520" s="242"/>
      <c r="CI1048520" s="242"/>
      <c r="CJ1048520" s="242"/>
      <c r="CK1048520" s="242"/>
      <c r="CL1048520" s="242"/>
      <c r="CM1048520" s="242"/>
      <c r="CN1048520" s="242"/>
      <c r="CO1048520" s="242"/>
      <c r="CP1048520" s="242"/>
      <c r="CQ1048520" s="242"/>
      <c r="CR1048520" s="242"/>
      <c r="CS1048520" s="242"/>
      <c r="CT1048520" s="242"/>
      <c r="CU1048520" s="242"/>
      <c r="CV1048520" s="242"/>
      <c r="CW1048520" s="242"/>
      <c r="CX1048520" s="242"/>
      <c r="CY1048520" s="242"/>
      <c r="CZ1048520" s="242"/>
      <c r="DA1048520" s="242"/>
      <c r="DB1048520" s="242"/>
      <c r="DC1048520" s="242"/>
      <c r="DD1048520" s="242"/>
      <c r="DE1048520" s="242"/>
      <c r="DF1048520" s="242"/>
      <c r="DG1048520" s="242"/>
      <c r="DH1048520" s="242"/>
      <c r="DI1048520" s="242"/>
      <c r="DJ1048520" s="242"/>
      <c r="DK1048520" s="242"/>
      <c r="DL1048520" s="242"/>
      <c r="DM1048520" s="242"/>
      <c r="DN1048520" s="242"/>
      <c r="DO1048520" s="242"/>
      <c r="DP1048520" s="242"/>
      <c r="DQ1048520" s="242"/>
      <c r="DR1048520" s="242"/>
      <c r="DS1048520" s="242"/>
      <c r="DT1048520" s="242"/>
      <c r="DU1048520" s="242"/>
      <c r="DV1048520" s="242"/>
      <c r="DW1048520" s="242"/>
      <c r="DX1048520" s="242"/>
      <c r="DY1048520" s="242"/>
      <c r="DZ1048520" s="242"/>
      <c r="EA1048520" s="242"/>
      <c r="EB1048520" s="242"/>
      <c r="EC1048520" s="242"/>
      <c r="ED1048520" s="242"/>
      <c r="EE1048520" s="242"/>
      <c r="EF1048520" s="242"/>
      <c r="EG1048520" s="242"/>
      <c r="EH1048520" s="242"/>
      <c r="EI1048520" s="242"/>
      <c r="EJ1048520" s="242"/>
      <c r="EK1048520" s="242"/>
      <c r="EL1048520" s="242"/>
      <c r="EM1048520" s="242"/>
      <c r="EN1048520" s="242"/>
      <c r="EO1048520" s="242"/>
      <c r="EP1048520" s="242"/>
      <c r="EQ1048520" s="242"/>
      <c r="ER1048520" s="242"/>
      <c r="ES1048520" s="242"/>
      <c r="ET1048520" s="242"/>
      <c r="EU1048520" s="242"/>
      <c r="EV1048520" s="242"/>
      <c r="EW1048520" s="242"/>
      <c r="EX1048520" s="242"/>
      <c r="EY1048520" s="242"/>
      <c r="EZ1048520" s="242"/>
      <c r="FA1048520" s="242"/>
      <c r="FB1048520" s="242"/>
      <c r="FC1048520" s="242"/>
      <c r="FD1048520" s="242"/>
      <c r="FE1048520" s="242"/>
      <c r="FF1048520" s="242"/>
      <c r="FG1048520" s="242"/>
      <c r="FH1048520" s="242"/>
      <c r="FI1048520" s="242"/>
      <c r="FJ1048520" s="242"/>
      <c r="FK1048520" s="242"/>
      <c r="FL1048520" s="242"/>
      <c r="FM1048520" s="242"/>
      <c r="FN1048520" s="242"/>
      <c r="FO1048520" s="242"/>
      <c r="FP1048520" s="242"/>
      <c r="FQ1048520" s="242"/>
      <c r="FR1048520" s="242"/>
      <c r="FS1048520" s="242"/>
      <c r="FT1048520" s="242"/>
      <c r="FU1048520" s="242"/>
      <c r="FV1048520" s="242"/>
      <c r="FW1048520" s="242"/>
      <c r="FX1048520" s="242"/>
      <c r="FY1048520" s="242"/>
      <c r="FZ1048520" s="242"/>
      <c r="GA1048520" s="242"/>
      <c r="GB1048520" s="242"/>
      <c r="GC1048520" s="242"/>
      <c r="GD1048520" s="242"/>
      <c r="GE1048520" s="242"/>
      <c r="GF1048520" s="242"/>
      <c r="GG1048520" s="242"/>
      <c r="GH1048520" s="242"/>
      <c r="GI1048520" s="242"/>
      <c r="GJ1048520" s="242"/>
      <c r="GK1048520" s="242"/>
      <c r="GL1048520" s="242"/>
      <c r="GM1048520" s="242"/>
      <c r="GN1048520" s="242"/>
      <c r="GO1048520" s="242"/>
      <c r="GP1048520" s="242"/>
      <c r="GQ1048520" s="242"/>
      <c r="GR1048520" s="242"/>
      <c r="GS1048520" s="242"/>
      <c r="GT1048520" s="242"/>
      <c r="GU1048520" s="242"/>
      <c r="GV1048520" s="242"/>
      <c r="GW1048520" s="242"/>
      <c r="GX1048520" s="242"/>
      <c r="GY1048520" s="242"/>
      <c r="GZ1048520" s="242"/>
      <c r="HA1048520" s="242"/>
      <c r="HB1048520" s="242"/>
      <c r="HC1048520" s="242"/>
      <c r="HD1048520" s="242"/>
      <c r="HE1048520" s="242"/>
      <c r="HF1048520" s="242"/>
      <c r="HG1048520" s="242"/>
      <c r="HH1048520" s="242"/>
      <c r="HI1048520" s="242"/>
      <c r="HJ1048520" s="242"/>
      <c r="HK1048520" s="242"/>
      <c r="HL1048520" s="242"/>
      <c r="HM1048520" s="242"/>
      <c r="HN1048520" s="242"/>
      <c r="HO1048520" s="242"/>
      <c r="HP1048520" s="242"/>
      <c r="HQ1048520" s="242"/>
      <c r="HR1048520" s="242"/>
      <c r="HS1048520" s="242"/>
      <c r="HT1048520" s="242"/>
      <c r="HU1048520" s="242"/>
      <c r="HV1048520" s="242"/>
      <c r="HW1048520" s="242"/>
      <c r="HX1048520" s="242"/>
      <c r="HY1048520" s="242"/>
      <c r="HZ1048520" s="242"/>
      <c r="IA1048520" s="242"/>
      <c r="IB1048520" s="242"/>
      <c r="IC1048520" s="242"/>
      <c r="ID1048520" s="242"/>
      <c r="IE1048520" s="242"/>
      <c r="IF1048520" s="242"/>
      <c r="IG1048520" s="242"/>
      <c r="IH1048520" s="242"/>
      <c r="II1048520" s="242"/>
      <c r="IJ1048520" s="242"/>
      <c r="IK1048520" s="242"/>
      <c r="IL1048520" s="242"/>
      <c r="IM1048520" s="242"/>
      <c r="IN1048520" s="242"/>
      <c r="IO1048520" s="242"/>
      <c r="IP1048520" s="242"/>
      <c r="IQ1048520" s="242"/>
    </row>
    <row r="1048521" spans="1:251" s="243" customFormat="1" ht="12.6" customHeight="1">
      <c r="A1048521" s="242"/>
      <c r="B1048521" s="242"/>
      <c r="C1048521" s="242"/>
      <c r="D1048521" s="242"/>
      <c r="E1048521" s="242"/>
      <c r="F1048521" s="242"/>
      <c r="G1048521" s="242"/>
      <c r="H1048521" s="242"/>
      <c r="I1048521" s="242"/>
      <c r="J1048521" s="242"/>
      <c r="K1048521" s="242"/>
      <c r="L1048521" s="242"/>
      <c r="M1048521" s="242"/>
      <c r="N1048521" s="242"/>
      <c r="O1048521" s="242"/>
      <c r="P1048521" s="242"/>
      <c r="Q1048521" s="242"/>
      <c r="R1048521" s="242"/>
      <c r="S1048521" s="242"/>
      <c r="T1048521" s="242"/>
      <c r="U1048521" s="242"/>
      <c r="V1048521" s="242"/>
      <c r="W1048521" s="242"/>
      <c r="X1048521" s="242"/>
      <c r="Y1048521" s="242"/>
      <c r="Z1048521" s="242"/>
      <c r="AA1048521" s="242"/>
      <c r="AB1048521" s="242"/>
      <c r="AC1048521" s="242"/>
      <c r="AD1048521" s="242"/>
      <c r="AE1048521" s="242"/>
      <c r="AF1048521" s="242"/>
      <c r="AG1048521" s="242"/>
      <c r="AH1048521" s="242"/>
      <c r="AI1048521" s="242"/>
      <c r="AJ1048521" s="242"/>
      <c r="AK1048521" s="242"/>
      <c r="AL1048521" s="242"/>
      <c r="AM1048521" s="242"/>
      <c r="AN1048521" s="242"/>
      <c r="AO1048521" s="242"/>
      <c r="AP1048521" s="242"/>
      <c r="AQ1048521" s="242"/>
      <c r="AR1048521" s="242"/>
      <c r="AS1048521" s="242"/>
      <c r="AT1048521" s="242"/>
      <c r="AU1048521" s="242"/>
      <c r="AV1048521" s="242"/>
      <c r="AW1048521" s="242"/>
      <c r="AX1048521" s="242"/>
      <c r="AY1048521" s="242"/>
      <c r="AZ1048521" s="242"/>
      <c r="BA1048521" s="242"/>
      <c r="BB1048521" s="242"/>
      <c r="BC1048521" s="242"/>
      <c r="BD1048521" s="242"/>
      <c r="BE1048521" s="242"/>
      <c r="BF1048521" s="242"/>
      <c r="BG1048521" s="242"/>
      <c r="BH1048521" s="242"/>
      <c r="BI1048521" s="242"/>
      <c r="BJ1048521" s="242"/>
      <c r="BK1048521" s="242"/>
      <c r="BL1048521" s="242"/>
      <c r="BM1048521" s="242"/>
      <c r="BN1048521" s="242"/>
      <c r="BO1048521" s="242"/>
      <c r="BP1048521" s="242"/>
      <c r="BQ1048521" s="242"/>
      <c r="BR1048521" s="242"/>
      <c r="BS1048521" s="242"/>
      <c r="BT1048521" s="242"/>
      <c r="BU1048521" s="242"/>
      <c r="BV1048521" s="242"/>
      <c r="BW1048521" s="242"/>
      <c r="BX1048521" s="242"/>
      <c r="BY1048521" s="242"/>
      <c r="BZ1048521" s="242"/>
      <c r="CA1048521" s="242"/>
      <c r="CB1048521" s="242"/>
      <c r="CC1048521" s="242"/>
      <c r="CD1048521" s="242"/>
      <c r="CE1048521" s="242"/>
      <c r="CF1048521" s="242"/>
      <c r="CG1048521" s="242"/>
      <c r="CH1048521" s="242"/>
      <c r="CI1048521" s="242"/>
      <c r="CJ1048521" s="242"/>
      <c r="CK1048521" s="242"/>
      <c r="CL1048521" s="242"/>
      <c r="CM1048521" s="242"/>
      <c r="CN1048521" s="242"/>
      <c r="CO1048521" s="242"/>
      <c r="CP1048521" s="242"/>
      <c r="CQ1048521" s="242"/>
      <c r="CR1048521" s="242"/>
      <c r="CS1048521" s="242"/>
      <c r="CT1048521" s="242"/>
      <c r="CU1048521" s="242"/>
      <c r="CV1048521" s="242"/>
      <c r="CW1048521" s="242"/>
      <c r="CX1048521" s="242"/>
      <c r="CY1048521" s="242"/>
      <c r="CZ1048521" s="242"/>
      <c r="DA1048521" s="242"/>
      <c r="DB1048521" s="242"/>
      <c r="DC1048521" s="242"/>
      <c r="DD1048521" s="242"/>
      <c r="DE1048521" s="242"/>
      <c r="DF1048521" s="242"/>
      <c r="DG1048521" s="242"/>
      <c r="DH1048521" s="242"/>
      <c r="DI1048521" s="242"/>
      <c r="DJ1048521" s="242"/>
      <c r="DK1048521" s="242"/>
      <c r="DL1048521" s="242"/>
      <c r="DM1048521" s="242"/>
      <c r="DN1048521" s="242"/>
      <c r="DO1048521" s="242"/>
      <c r="DP1048521" s="242"/>
      <c r="DQ1048521" s="242"/>
      <c r="DR1048521" s="242"/>
      <c r="DS1048521" s="242"/>
      <c r="DT1048521" s="242"/>
      <c r="DU1048521" s="242"/>
      <c r="DV1048521" s="242"/>
      <c r="DW1048521" s="242"/>
      <c r="DX1048521" s="242"/>
      <c r="DY1048521" s="242"/>
      <c r="DZ1048521" s="242"/>
      <c r="EA1048521" s="242"/>
      <c r="EB1048521" s="242"/>
      <c r="EC1048521" s="242"/>
      <c r="ED1048521" s="242"/>
      <c r="EE1048521" s="242"/>
      <c r="EF1048521" s="242"/>
      <c r="EG1048521" s="242"/>
      <c r="EH1048521" s="242"/>
      <c r="EI1048521" s="242"/>
      <c r="EJ1048521" s="242"/>
      <c r="EK1048521" s="242"/>
      <c r="EL1048521" s="242"/>
      <c r="EM1048521" s="242"/>
      <c r="EN1048521" s="242"/>
      <c r="EO1048521" s="242"/>
      <c r="EP1048521" s="242"/>
      <c r="EQ1048521" s="242"/>
      <c r="ER1048521" s="242"/>
      <c r="ES1048521" s="242"/>
      <c r="ET1048521" s="242"/>
      <c r="EU1048521" s="242"/>
      <c r="EV1048521" s="242"/>
      <c r="EW1048521" s="242"/>
      <c r="EX1048521" s="242"/>
      <c r="EY1048521" s="242"/>
      <c r="EZ1048521" s="242"/>
      <c r="FA1048521" s="242"/>
      <c r="FB1048521" s="242"/>
      <c r="FC1048521" s="242"/>
      <c r="FD1048521" s="242"/>
      <c r="FE1048521" s="242"/>
      <c r="FF1048521" s="242"/>
      <c r="FG1048521" s="242"/>
      <c r="FH1048521" s="242"/>
      <c r="FI1048521" s="242"/>
      <c r="FJ1048521" s="242"/>
      <c r="FK1048521" s="242"/>
      <c r="FL1048521" s="242"/>
      <c r="FM1048521" s="242"/>
      <c r="FN1048521" s="242"/>
      <c r="FO1048521" s="242"/>
      <c r="FP1048521" s="242"/>
      <c r="FQ1048521" s="242"/>
      <c r="FR1048521" s="242"/>
      <c r="FS1048521" s="242"/>
      <c r="FT1048521" s="242"/>
      <c r="FU1048521" s="242"/>
      <c r="FV1048521" s="242"/>
      <c r="FW1048521" s="242"/>
      <c r="FX1048521" s="242"/>
      <c r="FY1048521" s="242"/>
      <c r="FZ1048521" s="242"/>
      <c r="GA1048521" s="242"/>
      <c r="GB1048521" s="242"/>
      <c r="GC1048521" s="242"/>
      <c r="GD1048521" s="242"/>
      <c r="GE1048521" s="242"/>
      <c r="GF1048521" s="242"/>
      <c r="GG1048521" s="242"/>
      <c r="GH1048521" s="242"/>
      <c r="GI1048521" s="242"/>
      <c r="GJ1048521" s="242"/>
      <c r="GK1048521" s="242"/>
      <c r="GL1048521" s="242"/>
      <c r="GM1048521" s="242"/>
      <c r="GN1048521" s="242"/>
      <c r="GO1048521" s="242"/>
      <c r="GP1048521" s="242"/>
      <c r="GQ1048521" s="242"/>
      <c r="GR1048521" s="242"/>
      <c r="GS1048521" s="242"/>
      <c r="GT1048521" s="242"/>
      <c r="GU1048521" s="242"/>
      <c r="GV1048521" s="242"/>
      <c r="GW1048521" s="242"/>
      <c r="GX1048521" s="242"/>
      <c r="GY1048521" s="242"/>
      <c r="GZ1048521" s="242"/>
      <c r="HA1048521" s="242"/>
      <c r="HB1048521" s="242"/>
      <c r="HC1048521" s="242"/>
      <c r="HD1048521" s="242"/>
      <c r="HE1048521" s="242"/>
      <c r="HF1048521" s="242"/>
      <c r="HG1048521" s="242"/>
      <c r="HH1048521" s="242"/>
      <c r="HI1048521" s="242"/>
      <c r="HJ1048521" s="242"/>
      <c r="HK1048521" s="242"/>
      <c r="HL1048521" s="242"/>
      <c r="HM1048521" s="242"/>
      <c r="HN1048521" s="242"/>
      <c r="HO1048521" s="242"/>
      <c r="HP1048521" s="242"/>
      <c r="HQ1048521" s="242"/>
      <c r="HR1048521" s="242"/>
      <c r="HS1048521" s="242"/>
      <c r="HT1048521" s="242"/>
      <c r="HU1048521" s="242"/>
      <c r="HV1048521" s="242"/>
      <c r="HW1048521" s="242"/>
      <c r="HX1048521" s="242"/>
      <c r="HY1048521" s="242"/>
      <c r="HZ1048521" s="242"/>
      <c r="IA1048521" s="242"/>
      <c r="IB1048521" s="242"/>
      <c r="IC1048521" s="242"/>
      <c r="ID1048521" s="242"/>
      <c r="IE1048521" s="242"/>
      <c r="IF1048521" s="242"/>
      <c r="IG1048521" s="242"/>
      <c r="IH1048521" s="242"/>
      <c r="II1048521" s="242"/>
      <c r="IJ1048521" s="242"/>
      <c r="IK1048521" s="242"/>
      <c r="IL1048521" s="242"/>
      <c r="IM1048521" s="242"/>
      <c r="IN1048521" s="242"/>
      <c r="IO1048521" s="242"/>
      <c r="IP1048521" s="242"/>
      <c r="IQ1048521" s="242"/>
    </row>
    <row r="1048522" spans="1:251" s="243" customFormat="1" ht="12.6" customHeight="1">
      <c r="A1048522" s="242"/>
      <c r="B1048522" s="242"/>
      <c r="C1048522" s="242"/>
      <c r="D1048522" s="242"/>
      <c r="E1048522" s="242"/>
      <c r="F1048522" s="242"/>
      <c r="G1048522" s="242"/>
      <c r="H1048522" s="242"/>
      <c r="I1048522" s="242"/>
      <c r="J1048522" s="242"/>
      <c r="K1048522" s="242"/>
      <c r="L1048522" s="242"/>
      <c r="M1048522" s="242"/>
      <c r="N1048522" s="242"/>
      <c r="O1048522" s="242"/>
      <c r="P1048522" s="242"/>
      <c r="Q1048522" s="242"/>
      <c r="R1048522" s="242"/>
      <c r="S1048522" s="242"/>
      <c r="T1048522" s="242"/>
      <c r="U1048522" s="242"/>
      <c r="V1048522" s="242"/>
      <c r="W1048522" s="242"/>
      <c r="X1048522" s="242"/>
      <c r="Y1048522" s="242"/>
      <c r="Z1048522" s="242"/>
      <c r="AA1048522" s="242"/>
      <c r="AB1048522" s="242"/>
      <c r="AC1048522" s="242"/>
      <c r="AD1048522" s="242"/>
      <c r="AE1048522" s="242"/>
      <c r="AF1048522" s="242"/>
      <c r="AG1048522" s="242"/>
      <c r="AH1048522" s="242"/>
      <c r="AI1048522" s="242"/>
      <c r="AJ1048522" s="242"/>
      <c r="AK1048522" s="242"/>
      <c r="AL1048522" s="242"/>
      <c r="AM1048522" s="242"/>
      <c r="AN1048522" s="242"/>
      <c r="AO1048522" s="242"/>
      <c r="AP1048522" s="242"/>
      <c r="AQ1048522" s="242"/>
      <c r="AR1048522" s="242"/>
      <c r="AS1048522" s="242"/>
      <c r="AT1048522" s="242"/>
      <c r="AU1048522" s="242"/>
      <c r="AV1048522" s="242"/>
      <c r="AW1048522" s="242"/>
      <c r="AX1048522" s="242"/>
      <c r="AY1048522" s="242"/>
      <c r="AZ1048522" s="242"/>
      <c r="BA1048522" s="242"/>
      <c r="BB1048522" s="242"/>
      <c r="BC1048522" s="242"/>
      <c r="BD1048522" s="242"/>
      <c r="BE1048522" s="242"/>
      <c r="BF1048522" s="242"/>
      <c r="BG1048522" s="242"/>
      <c r="BH1048522" s="242"/>
      <c r="BI1048522" s="242"/>
      <c r="BJ1048522" s="242"/>
      <c r="BK1048522" s="242"/>
      <c r="BL1048522" s="242"/>
      <c r="BM1048522" s="242"/>
      <c r="BN1048522" s="242"/>
      <c r="BO1048522" s="242"/>
      <c r="BP1048522" s="242"/>
      <c r="BQ1048522" s="242"/>
      <c r="BR1048522" s="242"/>
      <c r="BS1048522" s="242"/>
      <c r="BT1048522" s="242"/>
      <c r="BU1048522" s="242"/>
      <c r="BV1048522" s="242"/>
      <c r="BW1048522" s="242"/>
      <c r="BX1048522" s="242"/>
      <c r="BY1048522" s="242"/>
      <c r="BZ1048522" s="242"/>
      <c r="CA1048522" s="242"/>
      <c r="CB1048522" s="242"/>
      <c r="CC1048522" s="242"/>
      <c r="CD1048522" s="242"/>
      <c r="CE1048522" s="242"/>
      <c r="CF1048522" s="242"/>
      <c r="CG1048522" s="242"/>
      <c r="CH1048522" s="242"/>
      <c r="CI1048522" s="242"/>
      <c r="CJ1048522" s="242"/>
      <c r="CK1048522" s="242"/>
      <c r="CL1048522" s="242"/>
      <c r="CM1048522" s="242"/>
      <c r="CN1048522" s="242"/>
      <c r="CO1048522" s="242"/>
      <c r="CP1048522" s="242"/>
      <c r="CQ1048522" s="242"/>
      <c r="CR1048522" s="242"/>
      <c r="CS1048522" s="242"/>
      <c r="CT1048522" s="242"/>
      <c r="CU1048522" s="242"/>
      <c r="CV1048522" s="242"/>
      <c r="CW1048522" s="242"/>
      <c r="CX1048522" s="242"/>
      <c r="CY1048522" s="242"/>
      <c r="CZ1048522" s="242"/>
      <c r="DA1048522" s="242"/>
      <c r="DB1048522" s="242"/>
      <c r="DC1048522" s="242"/>
      <c r="DD1048522" s="242"/>
      <c r="DE1048522" s="242"/>
      <c r="DF1048522" s="242"/>
      <c r="DG1048522" s="242"/>
      <c r="DH1048522" s="242"/>
      <c r="DI1048522" s="242"/>
      <c r="DJ1048522" s="242"/>
      <c r="DK1048522" s="242"/>
      <c r="DL1048522" s="242"/>
      <c r="DM1048522" s="242"/>
      <c r="DN1048522" s="242"/>
      <c r="DO1048522" s="242"/>
      <c r="DP1048522" s="242"/>
      <c r="DQ1048522" s="242"/>
      <c r="DR1048522" s="242"/>
      <c r="DS1048522" s="242"/>
      <c r="DT1048522" s="242"/>
      <c r="DU1048522" s="242"/>
      <c r="DV1048522" s="242"/>
      <c r="DW1048522" s="242"/>
      <c r="DX1048522" s="242"/>
      <c r="DY1048522" s="242"/>
      <c r="DZ1048522" s="242"/>
      <c r="EA1048522" s="242"/>
      <c r="EB1048522" s="242"/>
      <c r="EC1048522" s="242"/>
      <c r="ED1048522" s="242"/>
      <c r="EE1048522" s="242"/>
      <c r="EF1048522" s="242"/>
      <c r="EG1048522" s="242"/>
      <c r="EH1048522" s="242"/>
      <c r="EI1048522" s="242"/>
      <c r="EJ1048522" s="242"/>
      <c r="EK1048522" s="242"/>
      <c r="EL1048522" s="242"/>
      <c r="EM1048522" s="242"/>
      <c r="EN1048522" s="242"/>
      <c r="EO1048522" s="242"/>
      <c r="EP1048522" s="242"/>
      <c r="EQ1048522" s="242"/>
      <c r="ER1048522" s="242"/>
      <c r="ES1048522" s="242"/>
      <c r="ET1048522" s="242"/>
      <c r="EU1048522" s="242"/>
      <c r="EV1048522" s="242"/>
      <c r="EW1048522" s="242"/>
      <c r="EX1048522" s="242"/>
      <c r="EY1048522" s="242"/>
      <c r="EZ1048522" s="242"/>
      <c r="FA1048522" s="242"/>
      <c r="FB1048522" s="242"/>
      <c r="FC1048522" s="242"/>
      <c r="FD1048522" s="242"/>
      <c r="FE1048522" s="242"/>
      <c r="FF1048522" s="242"/>
      <c r="FG1048522" s="242"/>
      <c r="FH1048522" s="242"/>
      <c r="FI1048522" s="242"/>
      <c r="FJ1048522" s="242"/>
      <c r="FK1048522" s="242"/>
      <c r="FL1048522" s="242"/>
      <c r="FM1048522" s="242"/>
      <c r="FN1048522" s="242"/>
      <c r="FO1048522" s="242"/>
      <c r="FP1048522" s="242"/>
      <c r="FQ1048522" s="242"/>
      <c r="FR1048522" s="242"/>
      <c r="FS1048522" s="242"/>
      <c r="FT1048522" s="242"/>
      <c r="FU1048522" s="242"/>
      <c r="FV1048522" s="242"/>
      <c r="FW1048522" s="242"/>
      <c r="FX1048522" s="242"/>
      <c r="FY1048522" s="242"/>
      <c r="FZ1048522" s="242"/>
      <c r="GA1048522" s="242"/>
      <c r="GB1048522" s="242"/>
      <c r="GC1048522" s="242"/>
      <c r="GD1048522" s="242"/>
      <c r="GE1048522" s="242"/>
      <c r="GF1048522" s="242"/>
      <c r="GG1048522" s="242"/>
      <c r="GH1048522" s="242"/>
      <c r="GI1048522" s="242"/>
      <c r="GJ1048522" s="242"/>
      <c r="GK1048522" s="242"/>
      <c r="GL1048522" s="242"/>
      <c r="GM1048522" s="242"/>
      <c r="GN1048522" s="242"/>
      <c r="GO1048522" s="242"/>
      <c r="GP1048522" s="242"/>
      <c r="GQ1048522" s="242"/>
      <c r="GR1048522" s="242"/>
      <c r="GS1048522" s="242"/>
      <c r="GT1048522" s="242"/>
      <c r="GU1048522" s="242"/>
      <c r="GV1048522" s="242"/>
      <c r="GW1048522" s="242"/>
      <c r="GX1048522" s="242"/>
      <c r="GY1048522" s="242"/>
      <c r="GZ1048522" s="242"/>
      <c r="HA1048522" s="242"/>
      <c r="HB1048522" s="242"/>
      <c r="HC1048522" s="242"/>
      <c r="HD1048522" s="242"/>
      <c r="HE1048522" s="242"/>
      <c r="HF1048522" s="242"/>
      <c r="HG1048522" s="242"/>
      <c r="HH1048522" s="242"/>
      <c r="HI1048522" s="242"/>
      <c r="HJ1048522" s="242"/>
      <c r="HK1048522" s="242"/>
      <c r="HL1048522" s="242"/>
      <c r="HM1048522" s="242"/>
      <c r="HN1048522" s="242"/>
      <c r="HO1048522" s="242"/>
      <c r="HP1048522" s="242"/>
      <c r="HQ1048522" s="242"/>
      <c r="HR1048522" s="242"/>
      <c r="HS1048522" s="242"/>
      <c r="HT1048522" s="242"/>
      <c r="HU1048522" s="242"/>
      <c r="HV1048522" s="242"/>
      <c r="HW1048522" s="242"/>
      <c r="HX1048522" s="242"/>
      <c r="HY1048522" s="242"/>
      <c r="HZ1048522" s="242"/>
      <c r="IA1048522" s="242"/>
      <c r="IB1048522" s="242"/>
      <c r="IC1048522" s="242"/>
      <c r="ID1048522" s="242"/>
      <c r="IE1048522" s="242"/>
      <c r="IF1048522" s="242"/>
      <c r="IG1048522" s="242"/>
      <c r="IH1048522" s="242"/>
      <c r="II1048522" s="242"/>
      <c r="IJ1048522" s="242"/>
      <c r="IK1048522" s="242"/>
      <c r="IL1048522" s="242"/>
      <c r="IM1048522" s="242"/>
      <c r="IN1048522" s="242"/>
      <c r="IO1048522" s="242"/>
      <c r="IP1048522" s="242"/>
      <c r="IQ1048522" s="242"/>
    </row>
    <row r="1048523" spans="1:251" s="243" customFormat="1" ht="12.6" customHeight="1">
      <c r="A1048523" s="242"/>
      <c r="B1048523" s="242"/>
      <c r="C1048523" s="242"/>
      <c r="D1048523" s="242"/>
      <c r="E1048523" s="242"/>
      <c r="F1048523" s="242"/>
      <c r="G1048523" s="242"/>
      <c r="H1048523" s="242"/>
      <c r="I1048523" s="242"/>
      <c r="J1048523" s="242"/>
      <c r="K1048523" s="242"/>
      <c r="L1048523" s="242"/>
      <c r="M1048523" s="242"/>
      <c r="N1048523" s="242"/>
      <c r="O1048523" s="242"/>
      <c r="P1048523" s="242"/>
      <c r="Q1048523" s="242"/>
      <c r="R1048523" s="242"/>
      <c r="S1048523" s="242"/>
      <c r="T1048523" s="242"/>
      <c r="U1048523" s="242"/>
      <c r="V1048523" s="242"/>
      <c r="W1048523" s="242"/>
      <c r="X1048523" s="242"/>
      <c r="Y1048523" s="242"/>
      <c r="Z1048523" s="242"/>
      <c r="AA1048523" s="242"/>
      <c r="AB1048523" s="242"/>
      <c r="AC1048523" s="242"/>
      <c r="AD1048523" s="242"/>
      <c r="AE1048523" s="242"/>
      <c r="AF1048523" s="242"/>
      <c r="AG1048523" s="242"/>
      <c r="AH1048523" s="242"/>
      <c r="AI1048523" s="242"/>
      <c r="AJ1048523" s="242"/>
      <c r="AK1048523" s="242"/>
      <c r="AL1048523" s="242"/>
      <c r="AM1048523" s="242"/>
      <c r="AN1048523" s="242"/>
      <c r="AO1048523" s="242"/>
      <c r="AP1048523" s="242"/>
      <c r="AQ1048523" s="242"/>
      <c r="AR1048523" s="242"/>
      <c r="AS1048523" s="242"/>
      <c r="AT1048523" s="242"/>
      <c r="AU1048523" s="242"/>
      <c r="AV1048523" s="242"/>
      <c r="AW1048523" s="242"/>
      <c r="AX1048523" s="242"/>
      <c r="AY1048523" s="242"/>
      <c r="AZ1048523" s="242"/>
      <c r="BA1048523" s="242"/>
      <c r="BB1048523" s="242"/>
      <c r="BC1048523" s="242"/>
      <c r="BD1048523" s="242"/>
      <c r="BE1048523" s="242"/>
      <c r="BF1048523" s="242"/>
      <c r="BG1048523" s="242"/>
      <c r="BH1048523" s="242"/>
      <c r="BI1048523" s="242"/>
      <c r="BJ1048523" s="242"/>
      <c r="BK1048523" s="242"/>
      <c r="BL1048523" s="242"/>
      <c r="BM1048523" s="242"/>
      <c r="BN1048523" s="242"/>
      <c r="BO1048523" s="242"/>
      <c r="BP1048523" s="242"/>
      <c r="BQ1048523" s="242"/>
      <c r="BR1048523" s="242"/>
      <c r="BS1048523" s="242"/>
      <c r="BT1048523" s="242"/>
      <c r="BU1048523" s="242"/>
      <c r="BV1048523" s="242"/>
      <c r="BW1048523" s="242"/>
      <c r="BX1048523" s="242"/>
      <c r="BY1048523" s="242"/>
      <c r="BZ1048523" s="242"/>
      <c r="CA1048523" s="242"/>
      <c r="CB1048523" s="242"/>
      <c r="CC1048523" s="242"/>
      <c r="CD1048523" s="242"/>
      <c r="CE1048523" s="242"/>
      <c r="CF1048523" s="242"/>
      <c r="CG1048523" s="242"/>
      <c r="CH1048523" s="242"/>
      <c r="CI1048523" s="242"/>
      <c r="CJ1048523" s="242"/>
      <c r="CK1048523" s="242"/>
      <c r="CL1048523" s="242"/>
      <c r="CM1048523" s="242"/>
      <c r="CN1048523" s="242"/>
      <c r="CO1048523" s="242"/>
      <c r="CP1048523" s="242"/>
      <c r="CQ1048523" s="242"/>
      <c r="CR1048523" s="242"/>
      <c r="CS1048523" s="242"/>
      <c r="CT1048523" s="242"/>
      <c r="CU1048523" s="242"/>
      <c r="CV1048523" s="242"/>
      <c r="CW1048523" s="242"/>
      <c r="CX1048523" s="242"/>
      <c r="CY1048523" s="242"/>
      <c r="CZ1048523" s="242"/>
      <c r="DA1048523" s="242"/>
      <c r="DB1048523" s="242"/>
      <c r="DC1048523" s="242"/>
      <c r="DD1048523" s="242"/>
      <c r="DE1048523" s="242"/>
      <c r="DF1048523" s="242"/>
      <c r="DG1048523" s="242"/>
      <c r="DH1048523" s="242"/>
      <c r="DI1048523" s="242"/>
      <c r="DJ1048523" s="242"/>
      <c r="DK1048523" s="242"/>
      <c r="DL1048523" s="242"/>
      <c r="DM1048523" s="242"/>
      <c r="DN1048523" s="242"/>
      <c r="DO1048523" s="242"/>
      <c r="DP1048523" s="242"/>
      <c r="DQ1048523" s="242"/>
      <c r="DR1048523" s="242"/>
      <c r="DS1048523" s="242"/>
      <c r="DT1048523" s="242"/>
      <c r="DU1048523" s="242"/>
      <c r="DV1048523" s="242"/>
      <c r="DW1048523" s="242"/>
      <c r="DX1048523" s="242"/>
      <c r="DY1048523" s="242"/>
      <c r="DZ1048523" s="242"/>
      <c r="EA1048523" s="242"/>
      <c r="EB1048523" s="242"/>
      <c r="EC1048523" s="242"/>
      <c r="ED1048523" s="242"/>
      <c r="EE1048523" s="242"/>
      <c r="EF1048523" s="242"/>
      <c r="EG1048523" s="242"/>
      <c r="EH1048523" s="242"/>
      <c r="EI1048523" s="242"/>
      <c r="EJ1048523" s="242"/>
      <c r="EK1048523" s="242"/>
      <c r="EL1048523" s="242"/>
      <c r="EM1048523" s="242"/>
      <c r="EN1048523" s="242"/>
      <c r="EO1048523" s="242"/>
      <c r="EP1048523" s="242"/>
      <c r="EQ1048523" s="242"/>
      <c r="ER1048523" s="242"/>
      <c r="ES1048523" s="242"/>
      <c r="ET1048523" s="242"/>
      <c r="EU1048523" s="242"/>
      <c r="EV1048523" s="242"/>
      <c r="EW1048523" s="242"/>
      <c r="EX1048523" s="242"/>
      <c r="EY1048523" s="242"/>
      <c r="EZ1048523" s="242"/>
      <c r="FA1048523" s="242"/>
      <c r="FB1048523" s="242"/>
      <c r="FC1048523" s="242"/>
      <c r="FD1048523" s="242"/>
      <c r="FE1048523" s="242"/>
      <c r="FF1048523" s="242"/>
      <c r="FG1048523" s="242"/>
      <c r="FH1048523" s="242"/>
      <c r="FI1048523" s="242"/>
      <c r="FJ1048523" s="242"/>
      <c r="FK1048523" s="242"/>
      <c r="FL1048523" s="242"/>
      <c r="FM1048523" s="242"/>
      <c r="FN1048523" s="242"/>
      <c r="FO1048523" s="242"/>
      <c r="FP1048523" s="242"/>
      <c r="FQ1048523" s="242"/>
      <c r="FR1048523" s="242"/>
      <c r="FS1048523" s="242"/>
      <c r="FT1048523" s="242"/>
      <c r="FU1048523" s="242"/>
      <c r="FV1048523" s="242"/>
      <c r="FW1048523" s="242"/>
      <c r="FX1048523" s="242"/>
      <c r="FY1048523" s="242"/>
      <c r="FZ1048523" s="242"/>
      <c r="GA1048523" s="242"/>
      <c r="GB1048523" s="242"/>
      <c r="GC1048523" s="242"/>
      <c r="GD1048523" s="242"/>
      <c r="GE1048523" s="242"/>
      <c r="GF1048523" s="242"/>
      <c r="GG1048523" s="242"/>
      <c r="GH1048523" s="242"/>
      <c r="GI1048523" s="242"/>
      <c r="GJ1048523" s="242"/>
      <c r="GK1048523" s="242"/>
      <c r="GL1048523" s="242"/>
      <c r="GM1048523" s="242"/>
      <c r="GN1048523" s="242"/>
      <c r="GO1048523" s="242"/>
      <c r="GP1048523" s="242"/>
      <c r="GQ1048523" s="242"/>
      <c r="GR1048523" s="242"/>
      <c r="GS1048523" s="242"/>
      <c r="GT1048523" s="242"/>
      <c r="GU1048523" s="242"/>
      <c r="GV1048523" s="242"/>
      <c r="GW1048523" s="242"/>
      <c r="GX1048523" s="242"/>
      <c r="GY1048523" s="242"/>
      <c r="GZ1048523" s="242"/>
      <c r="HA1048523" s="242"/>
      <c r="HB1048523" s="242"/>
      <c r="HC1048523" s="242"/>
      <c r="HD1048523" s="242"/>
      <c r="HE1048523" s="242"/>
      <c r="HF1048523" s="242"/>
      <c r="HG1048523" s="242"/>
      <c r="HH1048523" s="242"/>
      <c r="HI1048523" s="242"/>
      <c r="HJ1048523" s="242"/>
      <c r="HK1048523" s="242"/>
      <c r="HL1048523" s="242"/>
      <c r="HM1048523" s="242"/>
      <c r="HN1048523" s="242"/>
      <c r="HO1048523" s="242"/>
      <c r="HP1048523" s="242"/>
      <c r="HQ1048523" s="242"/>
      <c r="HR1048523" s="242"/>
      <c r="HS1048523" s="242"/>
      <c r="HT1048523" s="242"/>
      <c r="HU1048523" s="242"/>
      <c r="HV1048523" s="242"/>
      <c r="HW1048523" s="242"/>
      <c r="HX1048523" s="242"/>
      <c r="HY1048523" s="242"/>
      <c r="HZ1048523" s="242"/>
      <c r="IA1048523" s="242"/>
      <c r="IB1048523" s="242"/>
      <c r="IC1048523" s="242"/>
      <c r="ID1048523" s="242"/>
      <c r="IE1048523" s="242"/>
      <c r="IF1048523" s="242"/>
      <c r="IG1048523" s="242"/>
      <c r="IH1048523" s="242"/>
      <c r="II1048523" s="242"/>
      <c r="IJ1048523" s="242"/>
      <c r="IK1048523" s="242"/>
      <c r="IL1048523" s="242"/>
      <c r="IM1048523" s="242"/>
      <c r="IN1048523" s="242"/>
      <c r="IO1048523" s="242"/>
      <c r="IP1048523" s="242"/>
      <c r="IQ1048523" s="242"/>
    </row>
    <row r="1048524" spans="1:251" s="243" customFormat="1" ht="12.6" customHeight="1">
      <c r="A1048524" s="242"/>
      <c r="B1048524" s="242"/>
      <c r="C1048524" s="242"/>
      <c r="D1048524" s="242"/>
      <c r="E1048524" s="242"/>
      <c r="F1048524" s="242"/>
      <c r="G1048524" s="242"/>
      <c r="H1048524" s="242"/>
      <c r="I1048524" s="242"/>
      <c r="J1048524" s="242"/>
      <c r="K1048524" s="242"/>
      <c r="L1048524" s="242"/>
      <c r="M1048524" s="242"/>
      <c r="N1048524" s="242"/>
      <c r="O1048524" s="242"/>
      <c r="P1048524" s="242"/>
      <c r="Q1048524" s="242"/>
      <c r="R1048524" s="242"/>
      <c r="S1048524" s="242"/>
      <c r="T1048524" s="242"/>
      <c r="U1048524" s="242"/>
      <c r="V1048524" s="242"/>
      <c r="W1048524" s="242"/>
      <c r="X1048524" s="242"/>
      <c r="Y1048524" s="242"/>
      <c r="Z1048524" s="242"/>
      <c r="AA1048524" s="242"/>
      <c r="AB1048524" s="242"/>
      <c r="AC1048524" s="242"/>
      <c r="AD1048524" s="242"/>
      <c r="AE1048524" s="242"/>
      <c r="AF1048524" s="242"/>
      <c r="AG1048524" s="242"/>
      <c r="AH1048524" s="242"/>
      <c r="AI1048524" s="242"/>
      <c r="AJ1048524" s="242"/>
      <c r="AK1048524" s="242"/>
      <c r="AL1048524" s="242"/>
      <c r="AM1048524" s="242"/>
      <c r="AN1048524" s="242"/>
      <c r="AO1048524" s="242"/>
      <c r="AP1048524" s="242"/>
      <c r="AQ1048524" s="242"/>
      <c r="AR1048524" s="242"/>
      <c r="AS1048524" s="242"/>
      <c r="AT1048524" s="242"/>
      <c r="AU1048524" s="242"/>
      <c r="AV1048524" s="242"/>
      <c r="AW1048524" s="242"/>
      <c r="AX1048524" s="242"/>
      <c r="AY1048524" s="242"/>
      <c r="AZ1048524" s="242"/>
      <c r="BA1048524" s="242"/>
      <c r="BB1048524" s="242"/>
      <c r="BC1048524" s="242"/>
      <c r="BD1048524" s="242"/>
      <c r="BE1048524" s="242"/>
      <c r="BF1048524" s="242"/>
      <c r="BG1048524" s="242"/>
      <c r="BH1048524" s="242"/>
      <c r="BI1048524" s="242"/>
      <c r="BJ1048524" s="242"/>
      <c r="BK1048524" s="242"/>
      <c r="BL1048524" s="242"/>
      <c r="BM1048524" s="242"/>
      <c r="BN1048524" s="242"/>
      <c r="BO1048524" s="242"/>
      <c r="BP1048524" s="242"/>
      <c r="BQ1048524" s="242"/>
      <c r="BR1048524" s="242"/>
      <c r="BS1048524" s="242"/>
      <c r="BT1048524" s="242"/>
      <c r="BU1048524" s="242"/>
      <c r="BV1048524" s="242"/>
      <c r="BW1048524" s="242"/>
      <c r="BX1048524" s="242"/>
      <c r="BY1048524" s="242"/>
      <c r="BZ1048524" s="242"/>
      <c r="CA1048524" s="242"/>
      <c r="CB1048524" s="242"/>
      <c r="CC1048524" s="242"/>
      <c r="CD1048524" s="242"/>
      <c r="CE1048524" s="242"/>
      <c r="CF1048524" s="242"/>
      <c r="CG1048524" s="242"/>
      <c r="CH1048524" s="242"/>
      <c r="CI1048524" s="242"/>
      <c r="CJ1048524" s="242"/>
      <c r="CK1048524" s="242"/>
      <c r="CL1048524" s="242"/>
      <c r="CM1048524" s="242"/>
      <c r="CN1048524" s="242"/>
      <c r="CO1048524" s="242"/>
      <c r="CP1048524" s="242"/>
      <c r="CQ1048524" s="242"/>
      <c r="CR1048524" s="242"/>
      <c r="CS1048524" s="242"/>
      <c r="CT1048524" s="242"/>
      <c r="CU1048524" s="242"/>
      <c r="CV1048524" s="242"/>
      <c r="CW1048524" s="242"/>
      <c r="CX1048524" s="242"/>
      <c r="CY1048524" s="242"/>
      <c r="CZ1048524" s="242"/>
      <c r="DA1048524" s="242"/>
      <c r="DB1048524" s="242"/>
      <c r="DC1048524" s="242"/>
      <c r="DD1048524" s="242"/>
      <c r="DE1048524" s="242"/>
      <c r="DF1048524" s="242"/>
      <c r="DG1048524" s="242"/>
      <c r="DH1048524" s="242"/>
      <c r="DI1048524" s="242"/>
      <c r="DJ1048524" s="242"/>
      <c r="DK1048524" s="242"/>
      <c r="DL1048524" s="242"/>
      <c r="DM1048524" s="242"/>
      <c r="DN1048524" s="242"/>
      <c r="DO1048524" s="242"/>
      <c r="DP1048524" s="242"/>
      <c r="DQ1048524" s="242"/>
      <c r="DR1048524" s="242"/>
      <c r="DS1048524" s="242"/>
      <c r="DT1048524" s="242"/>
      <c r="DU1048524" s="242"/>
      <c r="DV1048524" s="242"/>
      <c r="DW1048524" s="242"/>
      <c r="DX1048524" s="242"/>
      <c r="DY1048524" s="242"/>
      <c r="DZ1048524" s="242"/>
      <c r="EA1048524" s="242"/>
      <c r="EB1048524" s="242"/>
      <c r="EC1048524" s="242"/>
      <c r="ED1048524" s="242"/>
      <c r="EE1048524" s="242"/>
      <c r="EF1048524" s="242"/>
      <c r="EG1048524" s="242"/>
      <c r="EH1048524" s="242"/>
      <c r="EI1048524" s="242"/>
      <c r="EJ1048524" s="242"/>
      <c r="EK1048524" s="242"/>
      <c r="EL1048524" s="242"/>
      <c r="EM1048524" s="242"/>
      <c r="EN1048524" s="242"/>
      <c r="EO1048524" s="242"/>
      <c r="EP1048524" s="242"/>
      <c r="EQ1048524" s="242"/>
      <c r="ER1048524" s="242"/>
      <c r="ES1048524" s="242"/>
      <c r="ET1048524" s="242"/>
      <c r="EU1048524" s="242"/>
      <c r="EV1048524" s="242"/>
      <c r="EW1048524" s="242"/>
      <c r="EX1048524" s="242"/>
      <c r="EY1048524" s="242"/>
      <c r="EZ1048524" s="242"/>
      <c r="FA1048524" s="242"/>
      <c r="FB1048524" s="242"/>
      <c r="FC1048524" s="242"/>
      <c r="FD1048524" s="242"/>
      <c r="FE1048524" s="242"/>
      <c r="FF1048524" s="242"/>
      <c r="FG1048524" s="242"/>
      <c r="FH1048524" s="242"/>
      <c r="FI1048524" s="242"/>
      <c r="FJ1048524" s="242"/>
      <c r="FK1048524" s="242"/>
      <c r="FL1048524" s="242"/>
      <c r="FM1048524" s="242"/>
      <c r="FN1048524" s="242"/>
      <c r="FO1048524" s="242"/>
      <c r="FP1048524" s="242"/>
      <c r="FQ1048524" s="242"/>
      <c r="FR1048524" s="242"/>
      <c r="FS1048524" s="242"/>
      <c r="FT1048524" s="242"/>
      <c r="FU1048524" s="242"/>
      <c r="FV1048524" s="242"/>
      <c r="FW1048524" s="242"/>
      <c r="FX1048524" s="242"/>
      <c r="FY1048524" s="242"/>
      <c r="FZ1048524" s="242"/>
      <c r="GA1048524" s="242"/>
      <c r="GB1048524" s="242"/>
      <c r="GC1048524" s="242"/>
      <c r="GD1048524" s="242"/>
      <c r="GE1048524" s="242"/>
      <c r="GF1048524" s="242"/>
      <c r="GG1048524" s="242"/>
      <c r="GH1048524" s="242"/>
      <c r="GI1048524" s="242"/>
      <c r="GJ1048524" s="242"/>
      <c r="GK1048524" s="242"/>
      <c r="GL1048524" s="242"/>
      <c r="GM1048524" s="242"/>
      <c r="GN1048524" s="242"/>
      <c r="GO1048524" s="242"/>
      <c r="GP1048524" s="242"/>
      <c r="GQ1048524" s="242"/>
      <c r="GR1048524" s="242"/>
      <c r="GS1048524" s="242"/>
      <c r="GT1048524" s="242"/>
      <c r="GU1048524" s="242"/>
      <c r="GV1048524" s="242"/>
      <c r="GW1048524" s="242"/>
      <c r="GX1048524" s="242"/>
      <c r="GY1048524" s="242"/>
      <c r="GZ1048524" s="242"/>
      <c r="HA1048524" s="242"/>
      <c r="HB1048524" s="242"/>
      <c r="HC1048524" s="242"/>
      <c r="HD1048524" s="242"/>
      <c r="HE1048524" s="242"/>
      <c r="HF1048524" s="242"/>
      <c r="HG1048524" s="242"/>
      <c r="HH1048524" s="242"/>
      <c r="HI1048524" s="242"/>
      <c r="HJ1048524" s="242"/>
      <c r="HK1048524" s="242"/>
      <c r="HL1048524" s="242"/>
      <c r="HM1048524" s="242"/>
      <c r="HN1048524" s="242"/>
      <c r="HO1048524" s="242"/>
      <c r="HP1048524" s="242"/>
      <c r="HQ1048524" s="242"/>
      <c r="HR1048524" s="242"/>
      <c r="HS1048524" s="242"/>
      <c r="HT1048524" s="242"/>
      <c r="HU1048524" s="242"/>
      <c r="HV1048524" s="242"/>
      <c r="HW1048524" s="242"/>
      <c r="HX1048524" s="242"/>
      <c r="HY1048524" s="242"/>
      <c r="HZ1048524" s="242"/>
      <c r="IA1048524" s="242"/>
      <c r="IB1048524" s="242"/>
      <c r="IC1048524" s="242"/>
      <c r="ID1048524" s="242"/>
      <c r="IE1048524" s="242"/>
      <c r="IF1048524" s="242"/>
      <c r="IG1048524" s="242"/>
      <c r="IH1048524" s="242"/>
      <c r="II1048524" s="242"/>
      <c r="IJ1048524" s="242"/>
      <c r="IK1048524" s="242"/>
      <c r="IL1048524" s="242"/>
      <c r="IM1048524" s="242"/>
      <c r="IN1048524" s="242"/>
      <c r="IO1048524" s="242"/>
      <c r="IP1048524" s="242"/>
      <c r="IQ1048524" s="242"/>
    </row>
    <row r="1048525" spans="1:251" s="243" customFormat="1" ht="12.6" customHeight="1">
      <c r="A1048525" s="242"/>
      <c r="B1048525" s="242"/>
      <c r="C1048525" s="242"/>
      <c r="D1048525" s="242"/>
      <c r="E1048525" s="242"/>
      <c r="F1048525" s="242"/>
      <c r="G1048525" s="242"/>
      <c r="H1048525" s="242"/>
      <c r="I1048525" s="242"/>
      <c r="J1048525" s="242"/>
      <c r="K1048525" s="242"/>
      <c r="L1048525" s="242"/>
      <c r="M1048525" s="242"/>
      <c r="N1048525" s="242"/>
      <c r="O1048525" s="242"/>
      <c r="P1048525" s="242"/>
      <c r="Q1048525" s="242"/>
      <c r="R1048525" s="242"/>
      <c r="S1048525" s="242"/>
      <c r="T1048525" s="242"/>
      <c r="U1048525" s="242"/>
      <c r="V1048525" s="242"/>
      <c r="W1048525" s="242"/>
      <c r="X1048525" s="242"/>
      <c r="Y1048525" s="242"/>
      <c r="Z1048525" s="242"/>
      <c r="AA1048525" s="242"/>
      <c r="AB1048525" s="242"/>
      <c r="AC1048525" s="242"/>
      <c r="AD1048525" s="242"/>
      <c r="AE1048525" s="242"/>
      <c r="AF1048525" s="242"/>
      <c r="AG1048525" s="242"/>
      <c r="AH1048525" s="242"/>
      <c r="AI1048525" s="242"/>
      <c r="AJ1048525" s="242"/>
      <c r="AK1048525" s="242"/>
      <c r="AL1048525" s="242"/>
      <c r="AM1048525" s="242"/>
      <c r="AN1048525" s="242"/>
      <c r="AO1048525" s="242"/>
      <c r="AP1048525" s="242"/>
      <c r="AQ1048525" s="242"/>
      <c r="AR1048525" s="242"/>
      <c r="AS1048525" s="242"/>
      <c r="AT1048525" s="242"/>
      <c r="AU1048525" s="242"/>
      <c r="AV1048525" s="242"/>
      <c r="AW1048525" s="242"/>
      <c r="AX1048525" s="242"/>
      <c r="AY1048525" s="242"/>
      <c r="AZ1048525" s="242"/>
      <c r="BA1048525" s="242"/>
      <c r="BB1048525" s="242"/>
      <c r="BC1048525" s="242"/>
      <c r="BD1048525" s="242"/>
      <c r="BE1048525" s="242"/>
      <c r="BF1048525" s="242"/>
      <c r="BG1048525" s="242"/>
      <c r="BH1048525" s="242"/>
      <c r="BI1048525" s="242"/>
      <c r="BJ1048525" s="242"/>
      <c r="BK1048525" s="242"/>
      <c r="BL1048525" s="242"/>
      <c r="BM1048525" s="242"/>
      <c r="BN1048525" s="242"/>
      <c r="BO1048525" s="242"/>
      <c r="BP1048525" s="242"/>
      <c r="BQ1048525" s="242"/>
      <c r="BR1048525" s="242"/>
      <c r="BS1048525" s="242"/>
      <c r="BT1048525" s="242"/>
      <c r="BU1048525" s="242"/>
      <c r="BV1048525" s="242"/>
      <c r="BW1048525" s="242"/>
      <c r="BX1048525" s="242"/>
      <c r="BY1048525" s="242"/>
      <c r="BZ1048525" s="242"/>
      <c r="CA1048525" s="242"/>
      <c r="CB1048525" s="242"/>
      <c r="CC1048525" s="242"/>
      <c r="CD1048525" s="242"/>
      <c r="CE1048525" s="242"/>
      <c r="CF1048525" s="242"/>
      <c r="CG1048525" s="242"/>
      <c r="CH1048525" s="242"/>
      <c r="CI1048525" s="242"/>
      <c r="CJ1048525" s="242"/>
      <c r="CK1048525" s="242"/>
      <c r="CL1048525" s="242"/>
      <c r="CM1048525" s="242"/>
      <c r="CN1048525" s="242"/>
      <c r="CO1048525" s="242"/>
      <c r="CP1048525" s="242"/>
      <c r="CQ1048525" s="242"/>
      <c r="CR1048525" s="242"/>
      <c r="CS1048525" s="242"/>
      <c r="CT1048525" s="242"/>
      <c r="CU1048525" s="242"/>
      <c r="CV1048525" s="242"/>
      <c r="CW1048525" s="242"/>
      <c r="CX1048525" s="242"/>
      <c r="CY1048525" s="242"/>
      <c r="CZ1048525" s="242"/>
      <c r="DA1048525" s="242"/>
      <c r="DB1048525" s="242"/>
      <c r="DC1048525" s="242"/>
      <c r="DD1048525" s="242"/>
      <c r="DE1048525" s="242"/>
      <c r="DF1048525" s="242"/>
      <c r="DG1048525" s="242"/>
      <c r="DH1048525" s="242"/>
      <c r="DI1048525" s="242"/>
      <c r="DJ1048525" s="242"/>
      <c r="DK1048525" s="242"/>
      <c r="DL1048525" s="242"/>
      <c r="DM1048525" s="242"/>
      <c r="DN1048525" s="242"/>
      <c r="DO1048525" s="242"/>
      <c r="DP1048525" s="242"/>
      <c r="DQ1048525" s="242"/>
      <c r="DR1048525" s="242"/>
      <c r="DS1048525" s="242"/>
      <c r="DT1048525" s="242"/>
      <c r="DU1048525" s="242"/>
      <c r="DV1048525" s="242"/>
      <c r="DW1048525" s="242"/>
      <c r="DX1048525" s="242"/>
      <c r="DY1048525" s="242"/>
      <c r="DZ1048525" s="242"/>
      <c r="EA1048525" s="242"/>
      <c r="EB1048525" s="242"/>
      <c r="EC1048525" s="242"/>
      <c r="ED1048525" s="242"/>
      <c r="EE1048525" s="242"/>
      <c r="EF1048525" s="242"/>
      <c r="EG1048525" s="242"/>
      <c r="EH1048525" s="242"/>
      <c r="EI1048525" s="242"/>
      <c r="EJ1048525" s="242"/>
      <c r="EK1048525" s="242"/>
      <c r="EL1048525" s="242"/>
      <c r="EM1048525" s="242"/>
      <c r="EN1048525" s="242"/>
      <c r="EO1048525" s="242"/>
      <c r="EP1048525" s="242"/>
      <c r="EQ1048525" s="242"/>
      <c r="ER1048525" s="242"/>
      <c r="ES1048525" s="242"/>
      <c r="ET1048525" s="242"/>
      <c r="EU1048525" s="242"/>
      <c r="EV1048525" s="242"/>
      <c r="EW1048525" s="242"/>
      <c r="EX1048525" s="242"/>
      <c r="EY1048525" s="242"/>
      <c r="EZ1048525" s="242"/>
      <c r="FA1048525" s="242"/>
      <c r="FB1048525" s="242"/>
      <c r="FC1048525" s="242"/>
      <c r="FD1048525" s="242"/>
      <c r="FE1048525" s="242"/>
      <c r="FF1048525" s="242"/>
      <c r="FG1048525" s="242"/>
      <c r="FH1048525" s="242"/>
      <c r="FI1048525" s="242"/>
      <c r="FJ1048525" s="242"/>
      <c r="FK1048525" s="242"/>
      <c r="FL1048525" s="242"/>
      <c r="FM1048525" s="242"/>
      <c r="FN1048525" s="242"/>
      <c r="FO1048525" s="242"/>
      <c r="FP1048525" s="242"/>
      <c r="FQ1048525" s="242"/>
      <c r="FR1048525" s="242"/>
      <c r="FS1048525" s="242"/>
      <c r="FT1048525" s="242"/>
      <c r="FU1048525" s="242"/>
      <c r="FV1048525" s="242"/>
      <c r="FW1048525" s="242"/>
      <c r="FX1048525" s="242"/>
      <c r="FY1048525" s="242"/>
      <c r="FZ1048525" s="242"/>
      <c r="GA1048525" s="242"/>
      <c r="GB1048525" s="242"/>
      <c r="GC1048525" s="242"/>
      <c r="GD1048525" s="242"/>
      <c r="GE1048525" s="242"/>
      <c r="GF1048525" s="242"/>
      <c r="GG1048525" s="242"/>
      <c r="GH1048525" s="242"/>
      <c r="GI1048525" s="242"/>
      <c r="GJ1048525" s="242"/>
      <c r="GK1048525" s="242"/>
      <c r="GL1048525" s="242"/>
      <c r="GM1048525" s="242"/>
      <c r="GN1048525" s="242"/>
      <c r="GO1048525" s="242"/>
      <c r="GP1048525" s="242"/>
      <c r="GQ1048525" s="242"/>
      <c r="GR1048525" s="242"/>
      <c r="GS1048525" s="242"/>
      <c r="GT1048525" s="242"/>
      <c r="GU1048525" s="242"/>
      <c r="GV1048525" s="242"/>
      <c r="GW1048525" s="242"/>
      <c r="GX1048525" s="242"/>
      <c r="GY1048525" s="242"/>
      <c r="GZ1048525" s="242"/>
      <c r="HA1048525" s="242"/>
      <c r="HB1048525" s="242"/>
      <c r="HC1048525" s="242"/>
      <c r="HD1048525" s="242"/>
      <c r="HE1048525" s="242"/>
      <c r="HF1048525" s="242"/>
      <c r="HG1048525" s="242"/>
      <c r="HH1048525" s="242"/>
      <c r="HI1048525" s="242"/>
      <c r="HJ1048525" s="242"/>
      <c r="HK1048525" s="242"/>
      <c r="HL1048525" s="242"/>
      <c r="HM1048525" s="242"/>
      <c r="HN1048525" s="242"/>
      <c r="HO1048525" s="242"/>
      <c r="HP1048525" s="242"/>
      <c r="HQ1048525" s="242"/>
      <c r="HR1048525" s="242"/>
      <c r="HS1048525" s="242"/>
      <c r="HT1048525" s="242"/>
      <c r="HU1048525" s="242"/>
      <c r="HV1048525" s="242"/>
      <c r="HW1048525" s="242"/>
      <c r="HX1048525" s="242"/>
      <c r="HY1048525" s="242"/>
      <c r="HZ1048525" s="242"/>
      <c r="IA1048525" s="242"/>
      <c r="IB1048525" s="242"/>
      <c r="IC1048525" s="242"/>
      <c r="ID1048525" s="242"/>
      <c r="IE1048525" s="242"/>
      <c r="IF1048525" s="242"/>
      <c r="IG1048525" s="242"/>
      <c r="IH1048525" s="242"/>
      <c r="II1048525" s="242"/>
      <c r="IJ1048525" s="242"/>
      <c r="IK1048525" s="242"/>
      <c r="IL1048525" s="242"/>
      <c r="IM1048525" s="242"/>
      <c r="IN1048525" s="242"/>
      <c r="IO1048525" s="242"/>
      <c r="IP1048525" s="242"/>
      <c r="IQ1048525" s="242"/>
    </row>
    <row r="1048526" spans="1:251" s="243" customFormat="1" ht="12.6" customHeight="1">
      <c r="A1048526" s="242"/>
      <c r="B1048526" s="242"/>
      <c r="C1048526" s="242"/>
      <c r="D1048526" s="242"/>
      <c r="E1048526" s="242"/>
      <c r="F1048526" s="242"/>
      <c r="G1048526" s="242"/>
      <c r="H1048526" s="242"/>
      <c r="I1048526" s="242"/>
      <c r="J1048526" s="242"/>
      <c r="K1048526" s="242"/>
      <c r="L1048526" s="242"/>
      <c r="M1048526" s="242"/>
      <c r="N1048526" s="242"/>
      <c r="O1048526" s="242"/>
      <c r="P1048526" s="242"/>
      <c r="Q1048526" s="242"/>
      <c r="R1048526" s="242"/>
      <c r="S1048526" s="242"/>
      <c r="T1048526" s="242"/>
      <c r="U1048526" s="242"/>
      <c r="V1048526" s="242"/>
      <c r="W1048526" s="242"/>
      <c r="X1048526" s="242"/>
      <c r="Y1048526" s="242"/>
      <c r="Z1048526" s="242"/>
      <c r="AA1048526" s="242"/>
      <c r="AB1048526" s="242"/>
      <c r="AC1048526" s="242"/>
      <c r="AD1048526" s="242"/>
      <c r="AE1048526" s="242"/>
      <c r="AF1048526" s="242"/>
      <c r="AG1048526" s="242"/>
      <c r="AH1048526" s="242"/>
      <c r="AI1048526" s="242"/>
      <c r="AJ1048526" s="242"/>
      <c r="AK1048526" s="242"/>
      <c r="AL1048526" s="242"/>
      <c r="AM1048526" s="242"/>
      <c r="AN1048526" s="242"/>
      <c r="AO1048526" s="242"/>
      <c r="AP1048526" s="242"/>
      <c r="AQ1048526" s="242"/>
      <c r="AR1048526" s="242"/>
      <c r="AS1048526" s="242"/>
      <c r="AT1048526" s="242"/>
      <c r="AU1048526" s="242"/>
      <c r="AV1048526" s="242"/>
      <c r="AW1048526" s="242"/>
      <c r="AX1048526" s="242"/>
      <c r="AY1048526" s="242"/>
      <c r="AZ1048526" s="242"/>
      <c r="BA1048526" s="242"/>
      <c r="BB1048526" s="242"/>
      <c r="BC1048526" s="242"/>
      <c r="BD1048526" s="242"/>
      <c r="BE1048526" s="242"/>
      <c r="BF1048526" s="242"/>
      <c r="BG1048526" s="242"/>
      <c r="BH1048526" s="242"/>
      <c r="BI1048526" s="242"/>
      <c r="BJ1048526" s="242"/>
      <c r="BK1048526" s="242"/>
      <c r="BL1048526" s="242"/>
      <c r="BM1048526" s="242"/>
      <c r="BN1048526" s="242"/>
      <c r="BO1048526" s="242"/>
      <c r="BP1048526" s="242"/>
      <c r="BQ1048526" s="242"/>
      <c r="BR1048526" s="242"/>
      <c r="BS1048526" s="242"/>
      <c r="BT1048526" s="242"/>
      <c r="BU1048526" s="242"/>
      <c r="BV1048526" s="242"/>
      <c r="BW1048526" s="242"/>
      <c r="BX1048526" s="242"/>
      <c r="BY1048526" s="242"/>
      <c r="BZ1048526" s="242"/>
      <c r="CA1048526" s="242"/>
      <c r="CB1048526" s="242"/>
      <c r="CC1048526" s="242"/>
      <c r="CD1048526" s="242"/>
      <c r="CE1048526" s="242"/>
      <c r="CF1048526" s="242"/>
      <c r="CG1048526" s="242"/>
      <c r="CH1048526" s="242"/>
      <c r="CI1048526" s="242"/>
      <c r="CJ1048526" s="242"/>
      <c r="CK1048526" s="242"/>
      <c r="CL1048526" s="242"/>
      <c r="CM1048526" s="242"/>
      <c r="CN1048526" s="242"/>
      <c r="CO1048526" s="242"/>
      <c r="CP1048526" s="242"/>
      <c r="CQ1048526" s="242"/>
      <c r="CR1048526" s="242"/>
      <c r="CS1048526" s="242"/>
      <c r="CT1048526" s="242"/>
      <c r="CU1048526" s="242"/>
      <c r="CV1048526" s="242"/>
      <c r="CW1048526" s="242"/>
      <c r="CX1048526" s="242"/>
      <c r="CY1048526" s="242"/>
      <c r="CZ1048526" s="242"/>
      <c r="DA1048526" s="242"/>
      <c r="DB1048526" s="242"/>
      <c r="DC1048526" s="242"/>
      <c r="DD1048526" s="242"/>
      <c r="DE1048526" s="242"/>
      <c r="DF1048526" s="242"/>
      <c r="DG1048526" s="242"/>
      <c r="DH1048526" s="242"/>
      <c r="DI1048526" s="242"/>
      <c r="DJ1048526" s="242"/>
      <c r="DK1048526" s="242"/>
      <c r="DL1048526" s="242"/>
      <c r="DM1048526" s="242"/>
      <c r="DN1048526" s="242"/>
      <c r="DO1048526" s="242"/>
      <c r="DP1048526" s="242"/>
      <c r="DQ1048526" s="242"/>
      <c r="DR1048526" s="242"/>
      <c r="DS1048526" s="242"/>
      <c r="DT1048526" s="242"/>
      <c r="DU1048526" s="242"/>
      <c r="DV1048526" s="242"/>
      <c r="DW1048526" s="242"/>
      <c r="DX1048526" s="242"/>
      <c r="DY1048526" s="242"/>
      <c r="DZ1048526" s="242"/>
      <c r="EA1048526" s="242"/>
      <c r="EB1048526" s="242"/>
      <c r="EC1048526" s="242"/>
      <c r="ED1048526" s="242"/>
      <c r="EE1048526" s="242"/>
      <c r="EF1048526" s="242"/>
      <c r="EG1048526" s="242"/>
      <c r="EH1048526" s="242"/>
      <c r="EI1048526" s="242"/>
      <c r="EJ1048526" s="242"/>
      <c r="EK1048526" s="242"/>
      <c r="EL1048526" s="242"/>
      <c r="EM1048526" s="242"/>
      <c r="EN1048526" s="242"/>
      <c r="EO1048526" s="242"/>
      <c r="EP1048526" s="242"/>
      <c r="EQ1048526" s="242"/>
      <c r="ER1048526" s="242"/>
      <c r="ES1048526" s="242"/>
      <c r="ET1048526" s="242"/>
      <c r="EU1048526" s="242"/>
      <c r="EV1048526" s="242"/>
      <c r="EW1048526" s="242"/>
      <c r="EX1048526" s="242"/>
      <c r="EY1048526" s="242"/>
      <c r="EZ1048526" s="242"/>
      <c r="FA1048526" s="242"/>
      <c r="FB1048526" s="242"/>
      <c r="FC1048526" s="242"/>
      <c r="FD1048526" s="242"/>
      <c r="FE1048526" s="242"/>
      <c r="FF1048526" s="242"/>
      <c r="FG1048526" s="242"/>
      <c r="FH1048526" s="242"/>
      <c r="FI1048526" s="242"/>
      <c r="FJ1048526" s="242"/>
      <c r="FK1048526" s="242"/>
      <c r="FL1048526" s="242"/>
      <c r="FM1048526" s="242"/>
      <c r="FN1048526" s="242"/>
      <c r="FO1048526" s="242"/>
      <c r="FP1048526" s="242"/>
      <c r="FQ1048526" s="242"/>
      <c r="FR1048526" s="242"/>
      <c r="FS1048526" s="242"/>
      <c r="FT1048526" s="242"/>
      <c r="FU1048526" s="242"/>
      <c r="FV1048526" s="242"/>
      <c r="FW1048526" s="242"/>
      <c r="FX1048526" s="242"/>
      <c r="FY1048526" s="242"/>
      <c r="FZ1048526" s="242"/>
      <c r="GA1048526" s="242"/>
      <c r="GB1048526" s="242"/>
      <c r="GC1048526" s="242"/>
      <c r="GD1048526" s="242"/>
      <c r="GE1048526" s="242"/>
      <c r="GF1048526" s="242"/>
      <c r="GG1048526" s="242"/>
      <c r="GH1048526" s="242"/>
      <c r="GI1048526" s="242"/>
      <c r="GJ1048526" s="242"/>
      <c r="GK1048526" s="242"/>
      <c r="GL1048526" s="242"/>
      <c r="GM1048526" s="242"/>
      <c r="GN1048526" s="242"/>
      <c r="GO1048526" s="242"/>
      <c r="GP1048526" s="242"/>
      <c r="GQ1048526" s="242"/>
      <c r="GR1048526" s="242"/>
      <c r="GS1048526" s="242"/>
      <c r="GT1048526" s="242"/>
      <c r="GU1048526" s="242"/>
      <c r="GV1048526" s="242"/>
      <c r="GW1048526" s="242"/>
      <c r="GX1048526" s="242"/>
      <c r="GY1048526" s="242"/>
      <c r="GZ1048526" s="242"/>
      <c r="HA1048526" s="242"/>
      <c r="HB1048526" s="242"/>
      <c r="HC1048526" s="242"/>
      <c r="HD1048526" s="242"/>
      <c r="HE1048526" s="242"/>
      <c r="HF1048526" s="242"/>
      <c r="HG1048526" s="242"/>
      <c r="HH1048526" s="242"/>
      <c r="HI1048526" s="242"/>
      <c r="HJ1048526" s="242"/>
      <c r="HK1048526" s="242"/>
      <c r="HL1048526" s="242"/>
      <c r="HM1048526" s="242"/>
      <c r="HN1048526" s="242"/>
      <c r="HO1048526" s="242"/>
      <c r="HP1048526" s="242"/>
      <c r="HQ1048526" s="242"/>
      <c r="HR1048526" s="242"/>
      <c r="HS1048526" s="242"/>
      <c r="HT1048526" s="242"/>
      <c r="HU1048526" s="242"/>
      <c r="HV1048526" s="242"/>
      <c r="HW1048526" s="242"/>
      <c r="HX1048526" s="242"/>
      <c r="HY1048526" s="242"/>
      <c r="HZ1048526" s="242"/>
      <c r="IA1048526" s="242"/>
      <c r="IB1048526" s="242"/>
      <c r="IC1048526" s="242"/>
      <c r="ID1048526" s="242"/>
      <c r="IE1048526" s="242"/>
      <c r="IF1048526" s="242"/>
      <c r="IG1048526" s="242"/>
      <c r="IH1048526" s="242"/>
      <c r="II1048526" s="242"/>
      <c r="IJ1048526" s="242"/>
      <c r="IK1048526" s="242"/>
      <c r="IL1048526" s="242"/>
      <c r="IM1048526" s="242"/>
      <c r="IN1048526" s="242"/>
      <c r="IO1048526" s="242"/>
      <c r="IP1048526" s="242"/>
      <c r="IQ1048526" s="242"/>
    </row>
    <row r="1048527" spans="1:251" s="243" customFormat="1" ht="12.6" customHeight="1">
      <c r="A1048527" s="242"/>
      <c r="B1048527" s="242"/>
      <c r="C1048527" s="242"/>
      <c r="D1048527" s="242"/>
      <c r="E1048527" s="242"/>
      <c r="F1048527" s="242"/>
      <c r="G1048527" s="242"/>
      <c r="H1048527" s="242"/>
      <c r="I1048527" s="242"/>
      <c r="J1048527" s="242"/>
      <c r="K1048527" s="242"/>
      <c r="L1048527" s="242"/>
      <c r="M1048527" s="242"/>
      <c r="N1048527" s="242"/>
      <c r="O1048527" s="242"/>
      <c r="P1048527" s="242"/>
      <c r="Q1048527" s="242"/>
      <c r="R1048527" s="242"/>
      <c r="S1048527" s="242"/>
      <c r="T1048527" s="242"/>
      <c r="U1048527" s="242"/>
      <c r="V1048527" s="242"/>
      <c r="W1048527" s="242"/>
      <c r="X1048527" s="242"/>
      <c r="Y1048527" s="242"/>
      <c r="Z1048527" s="242"/>
      <c r="AA1048527" s="242"/>
      <c r="AB1048527" s="242"/>
      <c r="AC1048527" s="242"/>
      <c r="AD1048527" s="242"/>
      <c r="AE1048527" s="242"/>
      <c r="AF1048527" s="242"/>
      <c r="AG1048527" s="242"/>
      <c r="AH1048527" s="242"/>
      <c r="AI1048527" s="242"/>
      <c r="AJ1048527" s="242"/>
      <c r="AK1048527" s="242"/>
      <c r="AL1048527" s="242"/>
      <c r="AM1048527" s="242"/>
      <c r="AN1048527" s="242"/>
      <c r="AO1048527" s="242"/>
      <c r="AP1048527" s="242"/>
      <c r="AQ1048527" s="242"/>
      <c r="AR1048527" s="242"/>
      <c r="AS1048527" s="242"/>
      <c r="AT1048527" s="242"/>
      <c r="AU1048527" s="242"/>
      <c r="AV1048527" s="242"/>
      <c r="AW1048527" s="242"/>
      <c r="AX1048527" s="242"/>
      <c r="AY1048527" s="242"/>
      <c r="AZ1048527" s="242"/>
      <c r="BA1048527" s="242"/>
      <c r="BB1048527" s="242"/>
      <c r="BC1048527" s="242"/>
      <c r="BD1048527" s="242"/>
      <c r="BE1048527" s="242"/>
      <c r="BF1048527" s="242"/>
      <c r="BG1048527" s="242"/>
      <c r="BH1048527" s="242"/>
      <c r="BI1048527" s="242"/>
      <c r="BJ1048527" s="242"/>
      <c r="BK1048527" s="242"/>
      <c r="BL1048527" s="242"/>
      <c r="BM1048527" s="242"/>
      <c r="BN1048527" s="242"/>
      <c r="BO1048527" s="242"/>
      <c r="BP1048527" s="242"/>
      <c r="BQ1048527" s="242"/>
      <c r="BR1048527" s="242"/>
      <c r="BS1048527" s="242"/>
      <c r="BT1048527" s="242"/>
      <c r="BU1048527" s="242"/>
      <c r="BV1048527" s="242"/>
      <c r="BW1048527" s="242"/>
      <c r="BX1048527" s="242"/>
      <c r="BY1048527" s="242"/>
      <c r="BZ1048527" s="242"/>
      <c r="CA1048527" s="242"/>
      <c r="CB1048527" s="242"/>
      <c r="CC1048527" s="242"/>
      <c r="CD1048527" s="242"/>
      <c r="CE1048527" s="242"/>
      <c r="CF1048527" s="242"/>
      <c r="CG1048527" s="242"/>
      <c r="CH1048527" s="242"/>
      <c r="CI1048527" s="242"/>
      <c r="CJ1048527" s="242"/>
      <c r="CK1048527" s="242"/>
      <c r="CL1048527" s="242"/>
      <c r="CM1048527" s="242"/>
      <c r="CN1048527" s="242"/>
      <c r="CO1048527" s="242"/>
      <c r="CP1048527" s="242"/>
      <c r="CQ1048527" s="242"/>
      <c r="CR1048527" s="242"/>
      <c r="CS1048527" s="242"/>
      <c r="CT1048527" s="242"/>
      <c r="CU1048527" s="242"/>
      <c r="CV1048527" s="242"/>
      <c r="CW1048527" s="242"/>
      <c r="CX1048527" s="242"/>
      <c r="CY1048527" s="242"/>
      <c r="CZ1048527" s="242"/>
      <c r="DA1048527" s="242"/>
      <c r="DB1048527" s="242"/>
      <c r="DC1048527" s="242"/>
      <c r="DD1048527" s="242"/>
      <c r="DE1048527" s="242"/>
      <c r="DF1048527" s="242"/>
      <c r="DG1048527" s="242"/>
      <c r="DH1048527" s="242"/>
      <c r="DI1048527" s="242"/>
      <c r="DJ1048527" s="242"/>
      <c r="DK1048527" s="242"/>
      <c r="DL1048527" s="242"/>
      <c r="DM1048527" s="242"/>
      <c r="DN1048527" s="242"/>
      <c r="DO1048527" s="242"/>
      <c r="DP1048527" s="242"/>
      <c r="DQ1048527" s="242"/>
      <c r="DR1048527" s="242"/>
      <c r="DS1048527" s="242"/>
      <c r="DT1048527" s="242"/>
      <c r="DU1048527" s="242"/>
      <c r="DV1048527" s="242"/>
      <c r="DW1048527" s="242"/>
      <c r="DX1048527" s="242"/>
      <c r="DY1048527" s="242"/>
      <c r="DZ1048527" s="242"/>
      <c r="EA1048527" s="242"/>
      <c r="EB1048527" s="242"/>
      <c r="EC1048527" s="242"/>
      <c r="ED1048527" s="242"/>
      <c r="EE1048527" s="242"/>
      <c r="EF1048527" s="242"/>
      <c r="EG1048527" s="242"/>
      <c r="EH1048527" s="242"/>
      <c r="EI1048527" s="242"/>
      <c r="EJ1048527" s="242"/>
      <c r="EK1048527" s="242"/>
      <c r="EL1048527" s="242"/>
      <c r="EM1048527" s="242"/>
      <c r="EN1048527" s="242"/>
      <c r="EO1048527" s="242"/>
      <c r="EP1048527" s="242"/>
      <c r="EQ1048527" s="242"/>
      <c r="ER1048527" s="242"/>
      <c r="ES1048527" s="242"/>
      <c r="ET1048527" s="242"/>
      <c r="EU1048527" s="242"/>
      <c r="EV1048527" s="242"/>
      <c r="EW1048527" s="242"/>
      <c r="EX1048527" s="242"/>
      <c r="EY1048527" s="242"/>
      <c r="EZ1048527" s="242"/>
      <c r="FA1048527" s="242"/>
      <c r="FB1048527" s="242"/>
      <c r="FC1048527" s="242"/>
      <c r="FD1048527" s="242"/>
      <c r="FE1048527" s="242"/>
      <c r="FF1048527" s="242"/>
      <c r="FG1048527" s="242"/>
      <c r="FH1048527" s="242"/>
      <c r="FI1048527" s="242"/>
      <c r="FJ1048527" s="242"/>
      <c r="FK1048527" s="242"/>
      <c r="FL1048527" s="242"/>
      <c r="FM1048527" s="242"/>
      <c r="FN1048527" s="242"/>
      <c r="FO1048527" s="242"/>
      <c r="FP1048527" s="242"/>
      <c r="FQ1048527" s="242"/>
      <c r="FR1048527" s="242"/>
      <c r="FS1048527" s="242"/>
      <c r="FT1048527" s="242"/>
      <c r="FU1048527" s="242"/>
      <c r="FV1048527" s="242"/>
      <c r="FW1048527" s="242"/>
      <c r="FX1048527" s="242"/>
      <c r="FY1048527" s="242"/>
      <c r="FZ1048527" s="242"/>
      <c r="GA1048527" s="242"/>
      <c r="GB1048527" s="242"/>
      <c r="GC1048527" s="242"/>
      <c r="GD1048527" s="242"/>
      <c r="GE1048527" s="242"/>
      <c r="GF1048527" s="242"/>
      <c r="GG1048527" s="242"/>
      <c r="GH1048527" s="242"/>
      <c r="GI1048527" s="242"/>
      <c r="GJ1048527" s="242"/>
      <c r="GK1048527" s="242"/>
      <c r="GL1048527" s="242"/>
      <c r="GM1048527" s="242"/>
      <c r="GN1048527" s="242"/>
      <c r="GO1048527" s="242"/>
      <c r="GP1048527" s="242"/>
      <c r="GQ1048527" s="242"/>
      <c r="GR1048527" s="242"/>
      <c r="GS1048527" s="242"/>
      <c r="GT1048527" s="242"/>
      <c r="GU1048527" s="242"/>
      <c r="GV1048527" s="242"/>
      <c r="GW1048527" s="242"/>
      <c r="GX1048527" s="242"/>
      <c r="GY1048527" s="242"/>
      <c r="GZ1048527" s="242"/>
      <c r="HA1048527" s="242"/>
      <c r="HB1048527" s="242"/>
      <c r="HC1048527" s="242"/>
      <c r="HD1048527" s="242"/>
      <c r="HE1048527" s="242"/>
      <c r="HF1048527" s="242"/>
      <c r="HG1048527" s="242"/>
      <c r="HH1048527" s="242"/>
      <c r="HI1048527" s="242"/>
      <c r="HJ1048527" s="242"/>
      <c r="HK1048527" s="242"/>
      <c r="HL1048527" s="242"/>
      <c r="HM1048527" s="242"/>
      <c r="HN1048527" s="242"/>
      <c r="HO1048527" s="242"/>
      <c r="HP1048527" s="242"/>
      <c r="HQ1048527" s="242"/>
      <c r="HR1048527" s="242"/>
      <c r="HS1048527" s="242"/>
      <c r="HT1048527" s="242"/>
      <c r="HU1048527" s="242"/>
      <c r="HV1048527" s="242"/>
      <c r="HW1048527" s="242"/>
      <c r="HX1048527" s="242"/>
      <c r="HY1048527" s="242"/>
      <c r="HZ1048527" s="242"/>
      <c r="IA1048527" s="242"/>
      <c r="IB1048527" s="242"/>
      <c r="IC1048527" s="242"/>
      <c r="ID1048527" s="242"/>
      <c r="IE1048527" s="242"/>
      <c r="IF1048527" s="242"/>
      <c r="IG1048527" s="242"/>
      <c r="IH1048527" s="242"/>
      <c r="II1048527" s="242"/>
      <c r="IJ1048527" s="242"/>
      <c r="IK1048527" s="242"/>
      <c r="IL1048527" s="242"/>
      <c r="IM1048527" s="242"/>
      <c r="IN1048527" s="242"/>
      <c r="IO1048527" s="242"/>
      <c r="IP1048527" s="242"/>
      <c r="IQ1048527" s="242"/>
    </row>
    <row r="1048528" spans="1:251" s="243" customFormat="1" ht="12.6" customHeight="1">
      <c r="A1048528" s="242"/>
      <c r="B1048528" s="242"/>
      <c r="C1048528" s="242"/>
      <c r="D1048528" s="242"/>
      <c r="E1048528" s="242"/>
      <c r="F1048528" s="242"/>
      <c r="G1048528" s="242"/>
      <c r="H1048528" s="242"/>
      <c r="I1048528" s="242"/>
      <c r="J1048528" s="242"/>
      <c r="K1048528" s="242"/>
      <c r="L1048528" s="242"/>
      <c r="M1048528" s="242"/>
      <c r="N1048528" s="242"/>
      <c r="O1048528" s="242"/>
      <c r="P1048528" s="242"/>
      <c r="Q1048528" s="242"/>
      <c r="R1048528" s="242"/>
      <c r="S1048528" s="242"/>
      <c r="T1048528" s="242"/>
      <c r="U1048528" s="242"/>
      <c r="V1048528" s="242"/>
      <c r="W1048528" s="242"/>
      <c r="X1048528" s="242"/>
      <c r="Y1048528" s="242"/>
      <c r="Z1048528" s="242"/>
      <c r="AA1048528" s="242"/>
      <c r="AB1048528" s="242"/>
      <c r="AC1048528" s="242"/>
      <c r="AD1048528" s="242"/>
      <c r="AE1048528" s="242"/>
      <c r="AF1048528" s="242"/>
      <c r="AG1048528" s="242"/>
      <c r="AH1048528" s="242"/>
      <c r="AI1048528" s="242"/>
      <c r="AJ1048528" s="242"/>
      <c r="AK1048528" s="242"/>
      <c r="AL1048528" s="242"/>
      <c r="AM1048528" s="242"/>
      <c r="AN1048528" s="242"/>
      <c r="AO1048528" s="242"/>
      <c r="AP1048528" s="242"/>
      <c r="AQ1048528" s="242"/>
      <c r="AR1048528" s="242"/>
      <c r="AS1048528" s="242"/>
      <c r="AT1048528" s="242"/>
      <c r="AU1048528" s="242"/>
      <c r="AV1048528" s="242"/>
      <c r="AW1048528" s="242"/>
      <c r="AX1048528" s="242"/>
      <c r="AY1048528" s="242"/>
      <c r="AZ1048528" s="242"/>
      <c r="BA1048528" s="242"/>
      <c r="BB1048528" s="242"/>
      <c r="BC1048528" s="242"/>
      <c r="BD1048528" s="242"/>
      <c r="BE1048528" s="242"/>
      <c r="BF1048528" s="242"/>
      <c r="BG1048528" s="242"/>
      <c r="BH1048528" s="242"/>
      <c r="BI1048528" s="242"/>
      <c r="BJ1048528" s="242"/>
      <c r="BK1048528" s="242"/>
      <c r="BL1048528" s="242"/>
      <c r="BM1048528" s="242"/>
      <c r="BN1048528" s="242"/>
      <c r="BO1048528" s="242"/>
      <c r="BP1048528" s="242"/>
      <c r="BQ1048528" s="242"/>
      <c r="BR1048528" s="242"/>
      <c r="BS1048528" s="242"/>
      <c r="BT1048528" s="242"/>
      <c r="BU1048528" s="242"/>
      <c r="BV1048528" s="242"/>
      <c r="BW1048528" s="242"/>
      <c r="BX1048528" s="242"/>
      <c r="BY1048528" s="242"/>
      <c r="BZ1048528" s="242"/>
      <c r="CA1048528" s="242"/>
      <c r="CB1048528" s="242"/>
      <c r="CC1048528" s="242"/>
      <c r="CD1048528" s="242"/>
      <c r="CE1048528" s="242"/>
      <c r="CF1048528" s="242"/>
      <c r="CG1048528" s="242"/>
      <c r="CH1048528" s="242"/>
      <c r="CI1048528" s="242"/>
      <c r="CJ1048528" s="242"/>
      <c r="CK1048528" s="242"/>
      <c r="CL1048528" s="242"/>
      <c r="CM1048528" s="242"/>
      <c r="CN1048528" s="242"/>
      <c r="CO1048528" s="242"/>
      <c r="CP1048528" s="242"/>
      <c r="CQ1048528" s="242"/>
      <c r="CR1048528" s="242"/>
      <c r="CS1048528" s="242"/>
      <c r="CT1048528" s="242"/>
      <c r="CU1048528" s="242"/>
      <c r="CV1048528" s="242"/>
      <c r="CW1048528" s="242"/>
      <c r="CX1048528" s="242"/>
      <c r="CY1048528" s="242"/>
      <c r="CZ1048528" s="242"/>
      <c r="DA1048528" s="242"/>
      <c r="DB1048528" s="242"/>
      <c r="DC1048528" s="242"/>
      <c r="DD1048528" s="242"/>
      <c r="DE1048528" s="242"/>
      <c r="DF1048528" s="242"/>
      <c r="DG1048528" s="242"/>
      <c r="DH1048528" s="242"/>
      <c r="DI1048528" s="242"/>
      <c r="DJ1048528" s="242"/>
      <c r="DK1048528" s="242"/>
      <c r="DL1048528" s="242"/>
      <c r="DM1048528" s="242"/>
      <c r="DN1048528" s="242"/>
      <c r="DO1048528" s="242"/>
      <c r="DP1048528" s="242"/>
      <c r="DQ1048528" s="242"/>
      <c r="DR1048528" s="242"/>
      <c r="DS1048528" s="242"/>
      <c r="DT1048528" s="242"/>
      <c r="DU1048528" s="242"/>
      <c r="DV1048528" s="242"/>
      <c r="DW1048528" s="242"/>
      <c r="DX1048528" s="242"/>
      <c r="DY1048528" s="242"/>
      <c r="DZ1048528" s="242"/>
      <c r="EA1048528" s="242"/>
      <c r="EB1048528" s="242"/>
      <c r="EC1048528" s="242"/>
      <c r="ED1048528" s="242"/>
      <c r="EE1048528" s="242"/>
      <c r="EF1048528" s="242"/>
      <c r="EG1048528" s="242"/>
      <c r="EH1048528" s="242"/>
      <c r="EI1048528" s="242"/>
      <c r="EJ1048528" s="242"/>
      <c r="EK1048528" s="242"/>
      <c r="EL1048528" s="242"/>
      <c r="EM1048528" s="242"/>
      <c r="EN1048528" s="242"/>
      <c r="EO1048528" s="242"/>
      <c r="EP1048528" s="242"/>
      <c r="EQ1048528" s="242"/>
      <c r="ER1048528" s="242"/>
      <c r="ES1048528" s="242"/>
      <c r="ET1048528" s="242"/>
      <c r="EU1048528" s="242"/>
      <c r="EV1048528" s="242"/>
      <c r="EW1048528" s="242"/>
      <c r="EX1048528" s="242"/>
      <c r="EY1048528" s="242"/>
      <c r="EZ1048528" s="242"/>
      <c r="FA1048528" s="242"/>
      <c r="FB1048528" s="242"/>
      <c r="FC1048528" s="242"/>
      <c r="FD1048528" s="242"/>
      <c r="FE1048528" s="242"/>
      <c r="FF1048528" s="242"/>
      <c r="FG1048528" s="242"/>
      <c r="FH1048528" s="242"/>
      <c r="FI1048528" s="242"/>
      <c r="FJ1048528" s="242"/>
      <c r="FK1048528" s="242"/>
      <c r="FL1048528" s="242"/>
      <c r="FM1048528" s="242"/>
      <c r="FN1048528" s="242"/>
      <c r="FO1048528" s="242"/>
      <c r="FP1048528" s="242"/>
      <c r="FQ1048528" s="242"/>
      <c r="FR1048528" s="242"/>
      <c r="FS1048528" s="242"/>
      <c r="FT1048528" s="242"/>
      <c r="FU1048528" s="242"/>
      <c r="FV1048528" s="242"/>
      <c r="FW1048528" s="242"/>
      <c r="FX1048528" s="242"/>
      <c r="FY1048528" s="242"/>
      <c r="FZ1048528" s="242"/>
      <c r="GA1048528" s="242"/>
      <c r="GB1048528" s="242"/>
      <c r="GC1048528" s="242"/>
      <c r="GD1048528" s="242"/>
      <c r="GE1048528" s="242"/>
      <c r="GF1048528" s="242"/>
      <c r="GG1048528" s="242"/>
      <c r="GH1048528" s="242"/>
      <c r="GI1048528" s="242"/>
      <c r="GJ1048528" s="242"/>
      <c r="GK1048528" s="242"/>
      <c r="GL1048528" s="242"/>
      <c r="GM1048528" s="242"/>
      <c r="GN1048528" s="242"/>
      <c r="GO1048528" s="242"/>
      <c r="GP1048528" s="242"/>
      <c r="GQ1048528" s="242"/>
      <c r="GR1048528" s="242"/>
      <c r="GS1048528" s="242"/>
      <c r="GT1048528" s="242"/>
      <c r="GU1048528" s="242"/>
      <c r="GV1048528" s="242"/>
      <c r="GW1048528" s="242"/>
      <c r="GX1048528" s="242"/>
      <c r="GY1048528" s="242"/>
      <c r="GZ1048528" s="242"/>
      <c r="HA1048528" s="242"/>
      <c r="HB1048528" s="242"/>
      <c r="HC1048528" s="242"/>
      <c r="HD1048528" s="242"/>
      <c r="HE1048528" s="242"/>
      <c r="HF1048528" s="242"/>
      <c r="HG1048528" s="242"/>
      <c r="HH1048528" s="242"/>
      <c r="HI1048528" s="242"/>
      <c r="HJ1048528" s="242"/>
      <c r="HK1048528" s="242"/>
      <c r="HL1048528" s="242"/>
      <c r="HM1048528" s="242"/>
      <c r="HN1048528" s="242"/>
      <c r="HO1048528" s="242"/>
      <c r="HP1048528" s="242"/>
      <c r="HQ1048528" s="242"/>
      <c r="HR1048528" s="242"/>
      <c r="HS1048528" s="242"/>
      <c r="HT1048528" s="242"/>
      <c r="HU1048528" s="242"/>
      <c r="HV1048528" s="242"/>
      <c r="HW1048528" s="242"/>
      <c r="HX1048528" s="242"/>
      <c r="HY1048528" s="242"/>
      <c r="HZ1048528" s="242"/>
      <c r="IA1048528" s="242"/>
      <c r="IB1048528" s="242"/>
      <c r="IC1048528" s="242"/>
      <c r="ID1048528" s="242"/>
      <c r="IE1048528" s="242"/>
      <c r="IF1048528" s="242"/>
      <c r="IG1048528" s="242"/>
      <c r="IH1048528" s="242"/>
      <c r="II1048528" s="242"/>
      <c r="IJ1048528" s="242"/>
      <c r="IK1048528" s="242"/>
      <c r="IL1048528" s="242"/>
      <c r="IM1048528" s="242"/>
      <c r="IN1048528" s="242"/>
      <c r="IO1048528" s="242"/>
      <c r="IP1048528" s="242"/>
      <c r="IQ1048528" s="242"/>
    </row>
    <row r="1048529" spans="1:251" s="243" customFormat="1" ht="12.6" customHeight="1">
      <c r="A1048529" s="242"/>
      <c r="B1048529" s="242"/>
      <c r="C1048529" s="242"/>
      <c r="D1048529" s="242"/>
      <c r="E1048529" s="242"/>
      <c r="F1048529" s="242"/>
      <c r="G1048529" s="242"/>
      <c r="H1048529" s="242"/>
      <c r="I1048529" s="242"/>
      <c r="J1048529" s="242"/>
      <c r="K1048529" s="242"/>
      <c r="L1048529" s="242"/>
      <c r="M1048529" s="242"/>
      <c r="N1048529" s="242"/>
      <c r="O1048529" s="242"/>
      <c r="P1048529" s="242"/>
      <c r="Q1048529" s="242"/>
      <c r="R1048529" s="242"/>
      <c r="S1048529" s="242"/>
      <c r="T1048529" s="242"/>
      <c r="U1048529" s="242"/>
      <c r="V1048529" s="242"/>
      <c r="W1048529" s="242"/>
      <c r="X1048529" s="242"/>
      <c r="Y1048529" s="242"/>
      <c r="Z1048529" s="242"/>
      <c r="AA1048529" s="242"/>
      <c r="AB1048529" s="242"/>
      <c r="AC1048529" s="242"/>
      <c r="AD1048529" s="242"/>
      <c r="AE1048529" s="242"/>
      <c r="AF1048529" s="242"/>
      <c r="AG1048529" s="242"/>
      <c r="AH1048529" s="242"/>
      <c r="AI1048529" s="242"/>
      <c r="AJ1048529" s="242"/>
      <c r="AK1048529" s="242"/>
      <c r="AL1048529" s="242"/>
      <c r="AM1048529" s="242"/>
      <c r="AN1048529" s="242"/>
      <c r="AO1048529" s="242"/>
      <c r="AP1048529" s="242"/>
      <c r="AQ1048529" s="242"/>
      <c r="AR1048529" s="242"/>
      <c r="AS1048529" s="242"/>
      <c r="AT1048529" s="242"/>
      <c r="AU1048529" s="242"/>
      <c r="AV1048529" s="242"/>
      <c r="AW1048529" s="242"/>
      <c r="AX1048529" s="242"/>
      <c r="AY1048529" s="242"/>
      <c r="AZ1048529" s="242"/>
      <c r="BA1048529" s="242"/>
      <c r="BB1048529" s="242"/>
      <c r="BC1048529" s="242"/>
      <c r="BD1048529" s="242"/>
      <c r="BE1048529" s="242"/>
      <c r="BF1048529" s="242"/>
      <c r="BG1048529" s="242"/>
      <c r="BH1048529" s="242"/>
      <c r="BI1048529" s="242"/>
      <c r="BJ1048529" s="242"/>
      <c r="BK1048529" s="242"/>
      <c r="BL1048529" s="242"/>
      <c r="BM1048529" s="242"/>
      <c r="BN1048529" s="242"/>
      <c r="BO1048529" s="242"/>
      <c r="BP1048529" s="242"/>
      <c r="BQ1048529" s="242"/>
      <c r="BR1048529" s="242"/>
      <c r="BS1048529" s="242"/>
      <c r="BT1048529" s="242"/>
      <c r="BU1048529" s="242"/>
      <c r="BV1048529" s="242"/>
      <c r="BW1048529" s="242"/>
      <c r="BX1048529" s="242"/>
      <c r="BY1048529" s="242"/>
      <c r="BZ1048529" s="242"/>
      <c r="CA1048529" s="242"/>
      <c r="CB1048529" s="242"/>
      <c r="CC1048529" s="242"/>
      <c r="CD1048529" s="242"/>
      <c r="CE1048529" s="242"/>
      <c r="CF1048529" s="242"/>
      <c r="CG1048529" s="242"/>
      <c r="CH1048529" s="242"/>
      <c r="CI1048529" s="242"/>
      <c r="CJ1048529" s="242"/>
      <c r="CK1048529" s="242"/>
      <c r="CL1048529" s="242"/>
      <c r="CM1048529" s="242"/>
      <c r="CN1048529" s="242"/>
      <c r="CO1048529" s="242"/>
      <c r="CP1048529" s="242"/>
      <c r="CQ1048529" s="242"/>
      <c r="CR1048529" s="242"/>
      <c r="CS1048529" s="242"/>
      <c r="CT1048529" s="242"/>
      <c r="CU1048529" s="242"/>
      <c r="CV1048529" s="242"/>
      <c r="CW1048529" s="242"/>
      <c r="CX1048529" s="242"/>
      <c r="CY1048529" s="242"/>
      <c r="CZ1048529" s="242"/>
      <c r="DA1048529" s="242"/>
      <c r="DB1048529" s="242"/>
      <c r="DC1048529" s="242"/>
      <c r="DD1048529" s="242"/>
      <c r="DE1048529" s="242"/>
      <c r="DF1048529" s="242"/>
      <c r="DG1048529" s="242"/>
      <c r="DH1048529" s="242"/>
      <c r="DI1048529" s="242"/>
      <c r="DJ1048529" s="242"/>
      <c r="DK1048529" s="242"/>
      <c r="DL1048529" s="242"/>
      <c r="DM1048529" s="242"/>
      <c r="DN1048529" s="242"/>
      <c r="DO1048529" s="242"/>
      <c r="DP1048529" s="242"/>
      <c r="DQ1048529" s="242"/>
      <c r="DR1048529" s="242"/>
      <c r="DS1048529" s="242"/>
      <c r="DT1048529" s="242"/>
      <c r="DU1048529" s="242"/>
      <c r="DV1048529" s="242"/>
      <c r="DW1048529" s="242"/>
      <c r="DX1048529" s="242"/>
      <c r="DY1048529" s="242"/>
      <c r="DZ1048529" s="242"/>
      <c r="EA1048529" s="242"/>
      <c r="EB1048529" s="242"/>
      <c r="EC1048529" s="242"/>
      <c r="ED1048529" s="242"/>
      <c r="EE1048529" s="242"/>
      <c r="EF1048529" s="242"/>
      <c r="EG1048529" s="242"/>
      <c r="EH1048529" s="242"/>
      <c r="EI1048529" s="242"/>
      <c r="EJ1048529" s="242"/>
      <c r="EK1048529" s="242"/>
      <c r="EL1048529" s="242"/>
      <c r="EM1048529" s="242"/>
      <c r="EN1048529" s="242"/>
      <c r="EO1048529" s="242"/>
      <c r="EP1048529" s="242"/>
      <c r="EQ1048529" s="242"/>
      <c r="ER1048529" s="242"/>
      <c r="ES1048529" s="242"/>
      <c r="ET1048529" s="242"/>
      <c r="EU1048529" s="242"/>
      <c r="EV1048529" s="242"/>
      <c r="EW1048529" s="242"/>
      <c r="EX1048529" s="242"/>
      <c r="EY1048529" s="242"/>
      <c r="EZ1048529" s="242"/>
      <c r="FA1048529" s="242"/>
      <c r="FB1048529" s="242"/>
      <c r="FC1048529" s="242"/>
      <c r="FD1048529" s="242"/>
      <c r="FE1048529" s="242"/>
      <c r="FF1048529" s="242"/>
      <c r="FG1048529" s="242"/>
      <c r="FH1048529" s="242"/>
      <c r="FI1048529" s="242"/>
      <c r="FJ1048529" s="242"/>
      <c r="FK1048529" s="242"/>
      <c r="FL1048529" s="242"/>
      <c r="FM1048529" s="242"/>
      <c r="FN1048529" s="242"/>
      <c r="FO1048529" s="242"/>
      <c r="FP1048529" s="242"/>
      <c r="FQ1048529" s="242"/>
      <c r="FR1048529" s="242"/>
      <c r="FS1048529" s="242"/>
      <c r="FT1048529" s="242"/>
      <c r="FU1048529" s="242"/>
      <c r="FV1048529" s="242"/>
      <c r="FW1048529" s="242"/>
      <c r="FX1048529" s="242"/>
      <c r="FY1048529" s="242"/>
      <c r="FZ1048529" s="242"/>
      <c r="GA1048529" s="242"/>
      <c r="GB1048529" s="242"/>
      <c r="GC1048529" s="242"/>
      <c r="GD1048529" s="242"/>
      <c r="GE1048529" s="242"/>
      <c r="GF1048529" s="242"/>
      <c r="GG1048529" s="242"/>
      <c r="GH1048529" s="242"/>
      <c r="GI1048529" s="242"/>
      <c r="GJ1048529" s="242"/>
      <c r="GK1048529" s="242"/>
      <c r="GL1048529" s="242"/>
      <c r="GM1048529" s="242"/>
      <c r="GN1048529" s="242"/>
      <c r="GO1048529" s="242"/>
      <c r="GP1048529" s="242"/>
      <c r="GQ1048529" s="242"/>
      <c r="GR1048529" s="242"/>
      <c r="GS1048529" s="242"/>
      <c r="GT1048529" s="242"/>
      <c r="GU1048529" s="242"/>
      <c r="GV1048529" s="242"/>
      <c r="GW1048529" s="242"/>
      <c r="GX1048529" s="242"/>
      <c r="GY1048529" s="242"/>
      <c r="GZ1048529" s="242"/>
      <c r="HA1048529" s="242"/>
      <c r="HB1048529" s="242"/>
      <c r="HC1048529" s="242"/>
      <c r="HD1048529" s="242"/>
      <c r="HE1048529" s="242"/>
      <c r="HF1048529" s="242"/>
      <c r="HG1048529" s="242"/>
      <c r="HH1048529" s="242"/>
      <c r="HI1048529" s="242"/>
      <c r="HJ1048529" s="242"/>
      <c r="HK1048529" s="242"/>
      <c r="HL1048529" s="242"/>
      <c r="HM1048529" s="242"/>
      <c r="HN1048529" s="242"/>
      <c r="HO1048529" s="242"/>
      <c r="HP1048529" s="242"/>
      <c r="HQ1048529" s="242"/>
      <c r="HR1048529" s="242"/>
      <c r="HS1048529" s="242"/>
      <c r="HT1048529" s="242"/>
      <c r="HU1048529" s="242"/>
      <c r="HV1048529" s="242"/>
      <c r="HW1048529" s="242"/>
      <c r="HX1048529" s="242"/>
      <c r="HY1048529" s="242"/>
      <c r="HZ1048529" s="242"/>
      <c r="IA1048529" s="242"/>
      <c r="IB1048529" s="242"/>
      <c r="IC1048529" s="242"/>
      <c r="ID1048529" s="242"/>
      <c r="IE1048529" s="242"/>
      <c r="IF1048529" s="242"/>
      <c r="IG1048529" s="242"/>
      <c r="IH1048529" s="242"/>
      <c r="II1048529" s="242"/>
      <c r="IJ1048529" s="242"/>
      <c r="IK1048529" s="242"/>
      <c r="IL1048529" s="242"/>
      <c r="IM1048529" s="242"/>
      <c r="IN1048529" s="242"/>
      <c r="IO1048529" s="242"/>
      <c r="IP1048529" s="242"/>
      <c r="IQ1048529" s="242"/>
    </row>
    <row r="1048530" spans="1:251" s="243" customFormat="1" ht="12.6" customHeight="1">
      <c r="A1048530" s="242"/>
      <c r="B1048530" s="242"/>
      <c r="C1048530" s="242"/>
      <c r="D1048530" s="242"/>
      <c r="E1048530" s="242"/>
      <c r="F1048530" s="242"/>
      <c r="G1048530" s="242"/>
      <c r="H1048530" s="242"/>
      <c r="I1048530" s="242"/>
      <c r="J1048530" s="242"/>
      <c r="K1048530" s="242"/>
      <c r="L1048530" s="242"/>
      <c r="M1048530" s="242"/>
      <c r="N1048530" s="242"/>
      <c r="O1048530" s="242"/>
      <c r="P1048530" s="242"/>
      <c r="Q1048530" s="242"/>
      <c r="R1048530" s="242"/>
      <c r="S1048530" s="242"/>
      <c r="T1048530" s="242"/>
      <c r="U1048530" s="242"/>
      <c r="V1048530" s="242"/>
      <c r="W1048530" s="242"/>
      <c r="X1048530" s="242"/>
      <c r="Y1048530" s="242"/>
      <c r="Z1048530" s="242"/>
      <c r="AA1048530" s="242"/>
      <c r="AB1048530" s="242"/>
      <c r="AC1048530" s="242"/>
      <c r="AD1048530" s="242"/>
      <c r="AE1048530" s="242"/>
      <c r="AF1048530" s="242"/>
      <c r="AG1048530" s="242"/>
      <c r="AH1048530" s="242"/>
      <c r="AI1048530" s="242"/>
      <c r="AJ1048530" s="242"/>
      <c r="AK1048530" s="242"/>
      <c r="AL1048530" s="242"/>
      <c r="AM1048530" s="242"/>
      <c r="AN1048530" s="242"/>
      <c r="AO1048530" s="242"/>
      <c r="AP1048530" s="242"/>
      <c r="AQ1048530" s="242"/>
      <c r="AR1048530" s="242"/>
      <c r="AS1048530" s="242"/>
      <c r="AT1048530" s="242"/>
      <c r="AU1048530" s="242"/>
      <c r="AV1048530" s="242"/>
      <c r="AW1048530" s="242"/>
      <c r="AX1048530" s="242"/>
      <c r="AY1048530" s="242"/>
      <c r="AZ1048530" s="242"/>
      <c r="BA1048530" s="242"/>
      <c r="BB1048530" s="242"/>
      <c r="BC1048530" s="242"/>
      <c r="BD1048530" s="242"/>
      <c r="BE1048530" s="242"/>
      <c r="BF1048530" s="242"/>
      <c r="BG1048530" s="242"/>
      <c r="BH1048530" s="242"/>
      <c r="BI1048530" s="242"/>
      <c r="BJ1048530" s="242"/>
      <c r="BK1048530" s="242"/>
      <c r="BL1048530" s="242"/>
      <c r="BM1048530" s="242"/>
      <c r="BN1048530" s="242"/>
      <c r="BO1048530" s="242"/>
      <c r="BP1048530" s="242"/>
      <c r="BQ1048530" s="242"/>
      <c r="BR1048530" s="242"/>
      <c r="BS1048530" s="242"/>
      <c r="BT1048530" s="242"/>
      <c r="BU1048530" s="242"/>
      <c r="BV1048530" s="242"/>
      <c r="BW1048530" s="242"/>
      <c r="BX1048530" s="242"/>
      <c r="BY1048530" s="242"/>
      <c r="BZ1048530" s="242"/>
      <c r="CA1048530" s="242"/>
      <c r="CB1048530" s="242"/>
      <c r="CC1048530" s="242"/>
      <c r="CD1048530" s="242"/>
      <c r="CE1048530" s="242"/>
      <c r="CF1048530" s="242"/>
      <c r="CG1048530" s="242"/>
      <c r="CH1048530" s="242"/>
      <c r="CI1048530" s="242"/>
      <c r="CJ1048530" s="242"/>
      <c r="CK1048530" s="242"/>
      <c r="CL1048530" s="242"/>
      <c r="CM1048530" s="242"/>
      <c r="CN1048530" s="242"/>
      <c r="CO1048530" s="242"/>
      <c r="CP1048530" s="242"/>
      <c r="CQ1048530" s="242"/>
      <c r="CR1048530" s="242"/>
      <c r="CS1048530" s="242"/>
      <c r="CT1048530" s="242"/>
      <c r="CU1048530" s="242"/>
      <c r="CV1048530" s="242"/>
      <c r="CW1048530" s="242"/>
      <c r="CX1048530" s="242"/>
      <c r="CY1048530" s="242"/>
      <c r="CZ1048530" s="242"/>
      <c r="DA1048530" s="242"/>
      <c r="DB1048530" s="242"/>
      <c r="DC1048530" s="242"/>
      <c r="DD1048530" s="242"/>
      <c r="DE1048530" s="242"/>
      <c r="DF1048530" s="242"/>
      <c r="DG1048530" s="242"/>
      <c r="DH1048530" s="242"/>
      <c r="DI1048530" s="242"/>
      <c r="DJ1048530" s="242"/>
      <c r="DK1048530" s="242"/>
      <c r="DL1048530" s="242"/>
      <c r="DM1048530" s="242"/>
      <c r="DN1048530" s="242"/>
      <c r="DO1048530" s="242"/>
      <c r="DP1048530" s="242"/>
      <c r="DQ1048530" s="242"/>
      <c r="DR1048530" s="242"/>
      <c r="DS1048530" s="242"/>
      <c r="DT1048530" s="242"/>
      <c r="DU1048530" s="242"/>
      <c r="DV1048530" s="242"/>
      <c r="DW1048530" s="242"/>
      <c r="DX1048530" s="242"/>
      <c r="DY1048530" s="242"/>
      <c r="DZ1048530" s="242"/>
      <c r="EA1048530" s="242"/>
      <c r="EB1048530" s="242"/>
      <c r="EC1048530" s="242"/>
      <c r="ED1048530" s="242"/>
      <c r="EE1048530" s="242"/>
      <c r="EF1048530" s="242"/>
      <c r="EG1048530" s="242"/>
      <c r="EH1048530" s="242"/>
      <c r="EI1048530" s="242"/>
      <c r="EJ1048530" s="242"/>
      <c r="EK1048530" s="242"/>
      <c r="EL1048530" s="242"/>
      <c r="EM1048530" s="242"/>
      <c r="EN1048530" s="242"/>
      <c r="EO1048530" s="242"/>
      <c r="EP1048530" s="242"/>
      <c r="EQ1048530" s="242"/>
      <c r="ER1048530" s="242"/>
      <c r="ES1048530" s="242"/>
      <c r="ET1048530" s="242"/>
      <c r="EU1048530" s="242"/>
      <c r="EV1048530" s="242"/>
      <c r="EW1048530" s="242"/>
      <c r="EX1048530" s="242"/>
      <c r="EY1048530" s="242"/>
      <c r="EZ1048530" s="242"/>
      <c r="FA1048530" s="242"/>
      <c r="FB1048530" s="242"/>
      <c r="FC1048530" s="242"/>
      <c r="FD1048530" s="242"/>
      <c r="FE1048530" s="242"/>
      <c r="FF1048530" s="242"/>
      <c r="FG1048530" s="242"/>
      <c r="FH1048530" s="242"/>
      <c r="FI1048530" s="242"/>
      <c r="FJ1048530" s="242"/>
      <c r="FK1048530" s="242"/>
      <c r="FL1048530" s="242"/>
      <c r="FM1048530" s="242"/>
      <c r="FN1048530" s="242"/>
      <c r="FO1048530" s="242"/>
      <c r="FP1048530" s="242"/>
      <c r="FQ1048530" s="242"/>
      <c r="FR1048530" s="242"/>
      <c r="FS1048530" s="242"/>
      <c r="FT1048530" s="242"/>
      <c r="FU1048530" s="242"/>
      <c r="FV1048530" s="242"/>
      <c r="FW1048530" s="242"/>
      <c r="FX1048530" s="242"/>
      <c r="FY1048530" s="242"/>
      <c r="FZ1048530" s="242"/>
      <c r="GA1048530" s="242"/>
      <c r="GB1048530" s="242"/>
      <c r="GC1048530" s="242"/>
      <c r="GD1048530" s="242"/>
      <c r="GE1048530" s="242"/>
      <c r="GF1048530" s="242"/>
      <c r="GG1048530" s="242"/>
      <c r="GH1048530" s="242"/>
      <c r="GI1048530" s="242"/>
      <c r="GJ1048530" s="242"/>
      <c r="GK1048530" s="242"/>
      <c r="GL1048530" s="242"/>
      <c r="GM1048530" s="242"/>
      <c r="GN1048530" s="242"/>
      <c r="GO1048530" s="242"/>
      <c r="GP1048530" s="242"/>
      <c r="GQ1048530" s="242"/>
      <c r="GR1048530" s="242"/>
      <c r="GS1048530" s="242"/>
      <c r="GT1048530" s="242"/>
      <c r="GU1048530" s="242"/>
      <c r="GV1048530" s="242"/>
      <c r="GW1048530" s="242"/>
      <c r="GX1048530" s="242"/>
      <c r="GY1048530" s="242"/>
      <c r="GZ1048530" s="242"/>
      <c r="HA1048530" s="242"/>
      <c r="HB1048530" s="242"/>
      <c r="HC1048530" s="242"/>
      <c r="HD1048530" s="242"/>
      <c r="HE1048530" s="242"/>
      <c r="HF1048530" s="242"/>
      <c r="HG1048530" s="242"/>
      <c r="HH1048530" s="242"/>
      <c r="HI1048530" s="242"/>
      <c r="HJ1048530" s="242"/>
      <c r="HK1048530" s="242"/>
      <c r="HL1048530" s="242"/>
      <c r="HM1048530" s="242"/>
      <c r="HN1048530" s="242"/>
      <c r="HO1048530" s="242"/>
      <c r="HP1048530" s="242"/>
      <c r="HQ1048530" s="242"/>
      <c r="HR1048530" s="242"/>
      <c r="HS1048530" s="242"/>
      <c r="HT1048530" s="242"/>
      <c r="HU1048530" s="242"/>
      <c r="HV1048530" s="242"/>
      <c r="HW1048530" s="242"/>
      <c r="HX1048530" s="242"/>
      <c r="HY1048530" s="242"/>
      <c r="HZ1048530" s="242"/>
      <c r="IA1048530" s="242"/>
      <c r="IB1048530" s="242"/>
      <c r="IC1048530" s="242"/>
      <c r="ID1048530" s="242"/>
      <c r="IE1048530" s="242"/>
      <c r="IF1048530" s="242"/>
      <c r="IG1048530" s="242"/>
      <c r="IH1048530" s="242"/>
      <c r="II1048530" s="242"/>
      <c r="IJ1048530" s="242"/>
      <c r="IK1048530" s="242"/>
      <c r="IL1048530" s="242"/>
      <c r="IM1048530" s="242"/>
      <c r="IN1048530" s="242"/>
      <c r="IO1048530" s="242"/>
      <c r="IP1048530" s="242"/>
      <c r="IQ1048530" s="242"/>
    </row>
    <row r="1048531" spans="1:251" s="243" customFormat="1" ht="12.6" customHeight="1">
      <c r="A1048531" s="242"/>
      <c r="B1048531" s="242"/>
      <c r="C1048531" s="242"/>
      <c r="D1048531" s="242"/>
      <c r="E1048531" s="242"/>
      <c r="F1048531" s="242"/>
      <c r="G1048531" s="242"/>
      <c r="H1048531" s="242"/>
      <c r="I1048531" s="242"/>
      <c r="J1048531" s="242"/>
      <c r="K1048531" s="242"/>
      <c r="L1048531" s="242"/>
      <c r="M1048531" s="242"/>
      <c r="N1048531" s="242"/>
      <c r="O1048531" s="242"/>
      <c r="P1048531" s="242"/>
      <c r="Q1048531" s="242"/>
      <c r="R1048531" s="242"/>
      <c r="S1048531" s="242"/>
      <c r="T1048531" s="242"/>
      <c r="U1048531" s="242"/>
      <c r="V1048531" s="242"/>
      <c r="W1048531" s="242"/>
      <c r="X1048531" s="242"/>
      <c r="Y1048531" s="242"/>
      <c r="Z1048531" s="242"/>
      <c r="AA1048531" s="242"/>
      <c r="AB1048531" s="242"/>
      <c r="AC1048531" s="242"/>
      <c r="AD1048531" s="242"/>
      <c r="AE1048531" s="242"/>
      <c r="AF1048531" s="242"/>
      <c r="AG1048531" s="242"/>
      <c r="AH1048531" s="242"/>
      <c r="AI1048531" s="242"/>
      <c r="AJ1048531" s="242"/>
      <c r="AK1048531" s="242"/>
      <c r="AL1048531" s="242"/>
      <c r="AM1048531" s="242"/>
      <c r="AN1048531" s="242"/>
      <c r="AO1048531" s="242"/>
      <c r="AP1048531" s="242"/>
      <c r="AQ1048531" s="242"/>
      <c r="AR1048531" s="242"/>
      <c r="AS1048531" s="242"/>
      <c r="AT1048531" s="242"/>
      <c r="AU1048531" s="242"/>
      <c r="AV1048531" s="242"/>
      <c r="AW1048531" s="242"/>
      <c r="AX1048531" s="242"/>
      <c r="AY1048531" s="242"/>
      <c r="AZ1048531" s="242"/>
      <c r="BA1048531" s="242"/>
      <c r="BB1048531" s="242"/>
      <c r="BC1048531" s="242"/>
      <c r="BD1048531" s="242"/>
      <c r="BE1048531" s="242"/>
      <c r="BF1048531" s="242"/>
      <c r="BG1048531" s="242"/>
      <c r="BH1048531" s="242"/>
      <c r="BI1048531" s="242"/>
      <c r="BJ1048531" s="242"/>
      <c r="BK1048531" s="242"/>
      <c r="BL1048531" s="242"/>
      <c r="BM1048531" s="242"/>
      <c r="BN1048531" s="242"/>
      <c r="BO1048531" s="242"/>
      <c r="BP1048531" s="242"/>
      <c r="BQ1048531" s="242"/>
      <c r="BR1048531" s="242"/>
      <c r="BS1048531" s="242"/>
      <c r="BT1048531" s="242"/>
      <c r="BU1048531" s="242"/>
      <c r="BV1048531" s="242"/>
      <c r="BW1048531" s="242"/>
      <c r="BX1048531" s="242"/>
      <c r="BY1048531" s="242"/>
      <c r="BZ1048531" s="242"/>
      <c r="CA1048531" s="242"/>
      <c r="CB1048531" s="242"/>
      <c r="CC1048531" s="242"/>
      <c r="CD1048531" s="242"/>
      <c r="CE1048531" s="242"/>
      <c r="CF1048531" s="242"/>
      <c r="CG1048531" s="242"/>
      <c r="CH1048531" s="242"/>
      <c r="CI1048531" s="242"/>
      <c r="CJ1048531" s="242"/>
      <c r="CK1048531" s="242"/>
      <c r="CL1048531" s="242"/>
      <c r="CM1048531" s="242"/>
      <c r="CN1048531" s="242"/>
      <c r="CO1048531" s="242"/>
      <c r="CP1048531" s="242"/>
      <c r="CQ1048531" s="242"/>
      <c r="CR1048531" s="242"/>
      <c r="CS1048531" s="242"/>
      <c r="CT1048531" s="242"/>
      <c r="CU1048531" s="242"/>
      <c r="CV1048531" s="242"/>
      <c r="CW1048531" s="242"/>
      <c r="CX1048531" s="242"/>
      <c r="CY1048531" s="242"/>
      <c r="CZ1048531" s="242"/>
      <c r="DA1048531" s="242"/>
      <c r="DB1048531" s="242"/>
      <c r="DC1048531" s="242"/>
      <c r="DD1048531" s="242"/>
      <c r="DE1048531" s="242"/>
      <c r="DF1048531" s="242"/>
      <c r="DG1048531" s="242"/>
      <c r="DH1048531" s="242"/>
      <c r="DI1048531" s="242"/>
      <c r="DJ1048531" s="242"/>
      <c r="DK1048531" s="242"/>
      <c r="DL1048531" s="242"/>
      <c r="DM1048531" s="242"/>
      <c r="DN1048531" s="242"/>
      <c r="DO1048531" s="242"/>
      <c r="DP1048531" s="242"/>
      <c r="DQ1048531" s="242"/>
      <c r="DR1048531" s="242"/>
      <c r="DS1048531" s="242"/>
      <c r="DT1048531" s="242"/>
      <c r="DU1048531" s="242"/>
      <c r="DV1048531" s="242"/>
      <c r="DW1048531" s="242"/>
      <c r="DX1048531" s="242"/>
      <c r="DY1048531" s="242"/>
      <c r="DZ1048531" s="242"/>
      <c r="EA1048531" s="242"/>
      <c r="EB1048531" s="242"/>
      <c r="EC1048531" s="242"/>
      <c r="ED1048531" s="242"/>
      <c r="EE1048531" s="242"/>
      <c r="EF1048531" s="242"/>
      <c r="EG1048531" s="242"/>
      <c r="EH1048531" s="242"/>
      <c r="EI1048531" s="242"/>
      <c r="EJ1048531" s="242"/>
      <c r="EK1048531" s="242"/>
      <c r="EL1048531" s="242"/>
      <c r="EM1048531" s="242"/>
      <c r="EN1048531" s="242"/>
      <c r="EO1048531" s="242"/>
      <c r="EP1048531" s="242"/>
      <c r="EQ1048531" s="242"/>
      <c r="ER1048531" s="242"/>
      <c r="ES1048531" s="242"/>
      <c r="ET1048531" s="242"/>
      <c r="EU1048531" s="242"/>
      <c r="EV1048531" s="242"/>
      <c r="EW1048531" s="242"/>
      <c r="EX1048531" s="242"/>
      <c r="EY1048531" s="242"/>
      <c r="EZ1048531" s="242"/>
      <c r="FA1048531" s="242"/>
      <c r="FB1048531" s="242"/>
      <c r="FC1048531" s="242"/>
      <c r="FD1048531" s="242"/>
      <c r="FE1048531" s="242"/>
      <c r="FF1048531" s="242"/>
      <c r="FG1048531" s="242"/>
      <c r="FH1048531" s="242"/>
      <c r="FI1048531" s="242"/>
      <c r="FJ1048531" s="242"/>
      <c r="FK1048531" s="242"/>
      <c r="FL1048531" s="242"/>
      <c r="FM1048531" s="242"/>
      <c r="FN1048531" s="242"/>
      <c r="FO1048531" s="242"/>
      <c r="FP1048531" s="242"/>
      <c r="FQ1048531" s="242"/>
      <c r="FR1048531" s="242"/>
      <c r="FS1048531" s="242"/>
      <c r="FT1048531" s="242"/>
      <c r="FU1048531" s="242"/>
      <c r="FV1048531" s="242"/>
      <c r="FW1048531" s="242"/>
      <c r="FX1048531" s="242"/>
      <c r="FY1048531" s="242"/>
      <c r="FZ1048531" s="242"/>
      <c r="GA1048531" s="242"/>
      <c r="GB1048531" s="242"/>
      <c r="GC1048531" s="242"/>
      <c r="GD1048531" s="242"/>
      <c r="GE1048531" s="242"/>
      <c r="GF1048531" s="242"/>
      <c r="GG1048531" s="242"/>
      <c r="GH1048531" s="242"/>
      <c r="GI1048531" s="242"/>
      <c r="GJ1048531" s="242"/>
      <c r="GK1048531" s="242"/>
      <c r="GL1048531" s="242"/>
      <c r="GM1048531" s="242"/>
      <c r="GN1048531" s="242"/>
      <c r="GO1048531" s="242"/>
      <c r="GP1048531" s="242"/>
      <c r="GQ1048531" s="242"/>
      <c r="GR1048531" s="242"/>
      <c r="GS1048531" s="242"/>
      <c r="GT1048531" s="242"/>
      <c r="GU1048531" s="242"/>
      <c r="GV1048531" s="242"/>
      <c r="GW1048531" s="242"/>
      <c r="GX1048531" s="242"/>
      <c r="GY1048531" s="242"/>
      <c r="GZ1048531" s="242"/>
      <c r="HA1048531" s="242"/>
      <c r="HB1048531" s="242"/>
      <c r="HC1048531" s="242"/>
      <c r="HD1048531" s="242"/>
      <c r="HE1048531" s="242"/>
      <c r="HF1048531" s="242"/>
      <c r="HG1048531" s="242"/>
      <c r="HH1048531" s="242"/>
      <c r="HI1048531" s="242"/>
      <c r="HJ1048531" s="242"/>
      <c r="HK1048531" s="242"/>
      <c r="HL1048531" s="242"/>
      <c r="HM1048531" s="242"/>
      <c r="HN1048531" s="242"/>
      <c r="HO1048531" s="242"/>
      <c r="HP1048531" s="242"/>
      <c r="HQ1048531" s="242"/>
      <c r="HR1048531" s="242"/>
      <c r="HS1048531" s="242"/>
      <c r="HT1048531" s="242"/>
      <c r="HU1048531" s="242"/>
      <c r="HV1048531" s="242"/>
      <c r="HW1048531" s="242"/>
      <c r="HX1048531" s="242"/>
      <c r="HY1048531" s="242"/>
      <c r="HZ1048531" s="242"/>
      <c r="IA1048531" s="242"/>
      <c r="IB1048531" s="242"/>
      <c r="IC1048531" s="242"/>
      <c r="ID1048531" s="242"/>
      <c r="IE1048531" s="242"/>
      <c r="IF1048531" s="242"/>
      <c r="IG1048531" s="242"/>
      <c r="IH1048531" s="242"/>
      <c r="II1048531" s="242"/>
      <c r="IJ1048531" s="242"/>
      <c r="IK1048531" s="242"/>
      <c r="IL1048531" s="242"/>
      <c r="IM1048531" s="242"/>
      <c r="IN1048531" s="242"/>
      <c r="IO1048531" s="242"/>
      <c r="IP1048531" s="242"/>
      <c r="IQ1048531" s="242"/>
    </row>
    <row r="1048532" spans="1:251" s="243" customFormat="1" ht="12.6" customHeight="1">
      <c r="A1048532" s="242"/>
      <c r="B1048532" s="242"/>
      <c r="C1048532" s="242"/>
      <c r="D1048532" s="242"/>
      <c r="E1048532" s="242"/>
      <c r="F1048532" s="242"/>
      <c r="G1048532" s="242"/>
      <c r="H1048532" s="242"/>
      <c r="I1048532" s="242"/>
      <c r="J1048532" s="242"/>
      <c r="K1048532" s="242"/>
      <c r="L1048532" s="242"/>
      <c r="M1048532" s="242"/>
      <c r="N1048532" s="242"/>
      <c r="O1048532" s="242"/>
      <c r="P1048532" s="242"/>
      <c r="Q1048532" s="242"/>
      <c r="R1048532" s="242"/>
      <c r="S1048532" s="242"/>
      <c r="T1048532" s="242"/>
      <c r="U1048532" s="242"/>
      <c r="V1048532" s="242"/>
      <c r="W1048532" s="242"/>
      <c r="X1048532" s="242"/>
      <c r="Y1048532" s="242"/>
      <c r="Z1048532" s="242"/>
      <c r="AA1048532" s="242"/>
      <c r="AB1048532" s="242"/>
      <c r="AC1048532" s="242"/>
      <c r="AD1048532" s="242"/>
      <c r="AE1048532" s="242"/>
      <c r="AF1048532" s="242"/>
      <c r="AG1048532" s="242"/>
      <c r="AH1048532" s="242"/>
      <c r="AI1048532" s="242"/>
      <c r="AJ1048532" s="242"/>
      <c r="AK1048532" s="242"/>
      <c r="AL1048532" s="242"/>
      <c r="AM1048532" s="242"/>
      <c r="AN1048532" s="242"/>
      <c r="AO1048532" s="242"/>
      <c r="AP1048532" s="242"/>
      <c r="AQ1048532" s="242"/>
      <c r="AR1048532" s="242"/>
      <c r="AS1048532" s="242"/>
      <c r="AT1048532" s="242"/>
      <c r="AU1048532" s="242"/>
      <c r="AV1048532" s="242"/>
      <c r="AW1048532" s="242"/>
      <c r="AX1048532" s="242"/>
      <c r="AY1048532" s="242"/>
      <c r="AZ1048532" s="242"/>
      <c r="BA1048532" s="242"/>
      <c r="BB1048532" s="242"/>
      <c r="BC1048532" s="242"/>
      <c r="BD1048532" s="242"/>
      <c r="BE1048532" s="242"/>
      <c r="BF1048532" s="242"/>
      <c r="BG1048532" s="242"/>
      <c r="BH1048532" s="242"/>
      <c r="BI1048532" s="242"/>
      <c r="BJ1048532" s="242"/>
      <c r="BK1048532" s="242"/>
      <c r="BL1048532" s="242"/>
      <c r="BM1048532" s="242"/>
      <c r="BN1048532" s="242"/>
      <c r="BO1048532" s="242"/>
      <c r="BP1048532" s="242"/>
      <c r="BQ1048532" s="242"/>
      <c r="BR1048532" s="242"/>
      <c r="BS1048532" s="242"/>
      <c r="BT1048532" s="242"/>
      <c r="BU1048532" s="242"/>
      <c r="BV1048532" s="242"/>
      <c r="BW1048532" s="242"/>
      <c r="BX1048532" s="242"/>
      <c r="BY1048532" s="242"/>
      <c r="BZ1048532" s="242"/>
      <c r="CA1048532" s="242"/>
      <c r="CB1048532" s="242"/>
      <c r="CC1048532" s="242"/>
      <c r="CD1048532" s="242"/>
      <c r="CE1048532" s="242"/>
      <c r="CF1048532" s="242"/>
      <c r="CG1048532" s="242"/>
      <c r="CH1048532" s="242"/>
      <c r="CI1048532" s="242"/>
      <c r="CJ1048532" s="242"/>
      <c r="CK1048532" s="242"/>
      <c r="CL1048532" s="242"/>
      <c r="CM1048532" s="242"/>
      <c r="CN1048532" s="242"/>
      <c r="CO1048532" s="242"/>
      <c r="CP1048532" s="242"/>
      <c r="CQ1048532" s="242"/>
      <c r="CR1048532" s="242"/>
      <c r="CS1048532" s="242"/>
      <c r="CT1048532" s="242"/>
      <c r="CU1048532" s="242"/>
      <c r="CV1048532" s="242"/>
      <c r="CW1048532" s="242"/>
      <c r="CX1048532" s="242"/>
      <c r="CY1048532" s="242"/>
      <c r="CZ1048532" s="242"/>
      <c r="DA1048532" s="242"/>
      <c r="DB1048532" s="242"/>
      <c r="DC1048532" s="242"/>
      <c r="DD1048532" s="242"/>
      <c r="DE1048532" s="242"/>
      <c r="DF1048532" s="242"/>
      <c r="DG1048532" s="242"/>
      <c r="DH1048532" s="242"/>
      <c r="DI1048532" s="242"/>
      <c r="DJ1048532" s="242"/>
      <c r="DK1048532" s="242"/>
      <c r="DL1048532" s="242"/>
      <c r="DM1048532" s="242"/>
      <c r="DN1048532" s="242"/>
      <c r="DO1048532" s="242"/>
      <c r="DP1048532" s="242"/>
      <c r="DQ1048532" s="242"/>
      <c r="DR1048532" s="242"/>
      <c r="DS1048532" s="242"/>
      <c r="DT1048532" s="242"/>
      <c r="DU1048532" s="242"/>
      <c r="DV1048532" s="242"/>
      <c r="DW1048532" s="242"/>
      <c r="DX1048532" s="242"/>
      <c r="DY1048532" s="242"/>
      <c r="DZ1048532" s="242"/>
      <c r="EA1048532" s="242"/>
      <c r="EB1048532" s="242"/>
      <c r="EC1048532" s="242"/>
      <c r="ED1048532" s="242"/>
      <c r="EE1048532" s="242"/>
      <c r="EF1048532" s="242"/>
      <c r="EG1048532" s="242"/>
      <c r="EH1048532" s="242"/>
      <c r="EI1048532" s="242"/>
      <c r="EJ1048532" s="242"/>
      <c r="EK1048532" s="242"/>
      <c r="EL1048532" s="242"/>
      <c r="EM1048532" s="242"/>
      <c r="EN1048532" s="242"/>
      <c r="EO1048532" s="242"/>
      <c r="EP1048532" s="242"/>
      <c r="EQ1048532" s="242"/>
      <c r="ER1048532" s="242"/>
      <c r="ES1048532" s="242"/>
      <c r="ET1048532" s="242"/>
      <c r="EU1048532" s="242"/>
      <c r="EV1048532" s="242"/>
      <c r="EW1048532" s="242"/>
      <c r="EX1048532" s="242"/>
      <c r="EY1048532" s="242"/>
      <c r="EZ1048532" s="242"/>
      <c r="FA1048532" s="242"/>
      <c r="FB1048532" s="242"/>
      <c r="FC1048532" s="242"/>
      <c r="FD1048532" s="242"/>
      <c r="FE1048532" s="242"/>
      <c r="FF1048532" s="242"/>
      <c r="FG1048532" s="242"/>
      <c r="FH1048532" s="242"/>
      <c r="FI1048532" s="242"/>
      <c r="FJ1048532" s="242"/>
      <c r="FK1048532" s="242"/>
      <c r="FL1048532" s="242"/>
      <c r="FM1048532" s="242"/>
      <c r="FN1048532" s="242"/>
      <c r="FO1048532" s="242"/>
      <c r="FP1048532" s="242"/>
      <c r="FQ1048532" s="242"/>
      <c r="FR1048532" s="242"/>
      <c r="FS1048532" s="242"/>
      <c r="FT1048532" s="242"/>
      <c r="FU1048532" s="242"/>
      <c r="FV1048532" s="242"/>
      <c r="FW1048532" s="242"/>
      <c r="FX1048532" s="242"/>
      <c r="FY1048532" s="242"/>
      <c r="FZ1048532" s="242"/>
      <c r="GA1048532" s="242"/>
      <c r="GB1048532" s="242"/>
      <c r="GC1048532" s="242"/>
      <c r="GD1048532" s="242"/>
      <c r="GE1048532" s="242"/>
      <c r="GF1048532" s="242"/>
      <c r="GG1048532" s="242"/>
      <c r="GH1048532" s="242"/>
      <c r="GI1048532" s="242"/>
      <c r="GJ1048532" s="242"/>
      <c r="GK1048532" s="242"/>
      <c r="GL1048532" s="242"/>
      <c r="GM1048532" s="242"/>
      <c r="GN1048532" s="242"/>
      <c r="GO1048532" s="242"/>
      <c r="GP1048532" s="242"/>
      <c r="GQ1048532" s="242"/>
      <c r="GR1048532" s="242"/>
      <c r="GS1048532" s="242"/>
      <c r="GT1048532" s="242"/>
      <c r="GU1048532" s="242"/>
      <c r="GV1048532" s="242"/>
      <c r="GW1048532" s="242"/>
      <c r="GX1048532" s="242"/>
      <c r="GY1048532" s="242"/>
      <c r="GZ1048532" s="242"/>
      <c r="HA1048532" s="242"/>
      <c r="HB1048532" s="242"/>
      <c r="HC1048532" s="242"/>
      <c r="HD1048532" s="242"/>
      <c r="HE1048532" s="242"/>
      <c r="HF1048532" s="242"/>
      <c r="HG1048532" s="242"/>
      <c r="HH1048532" s="242"/>
      <c r="HI1048532" s="242"/>
      <c r="HJ1048532" s="242"/>
      <c r="HK1048532" s="242"/>
      <c r="HL1048532" s="242"/>
      <c r="HM1048532" s="242"/>
      <c r="HN1048532" s="242"/>
      <c r="HO1048532" s="242"/>
      <c r="HP1048532" s="242"/>
      <c r="HQ1048532" s="242"/>
      <c r="HR1048532" s="242"/>
      <c r="HS1048532" s="242"/>
      <c r="HT1048532" s="242"/>
      <c r="HU1048532" s="242"/>
      <c r="HV1048532" s="242"/>
      <c r="HW1048532" s="242"/>
      <c r="HX1048532" s="242"/>
      <c r="HY1048532" s="242"/>
      <c r="HZ1048532" s="242"/>
      <c r="IA1048532" s="242"/>
      <c r="IB1048532" s="242"/>
      <c r="IC1048532" s="242"/>
      <c r="ID1048532" s="242"/>
      <c r="IE1048532" s="242"/>
      <c r="IF1048532" s="242"/>
      <c r="IG1048532" s="242"/>
      <c r="IH1048532" s="242"/>
      <c r="II1048532" s="242"/>
      <c r="IJ1048532" s="242"/>
      <c r="IK1048532" s="242"/>
      <c r="IL1048532" s="242"/>
      <c r="IM1048532" s="242"/>
      <c r="IN1048532" s="242"/>
      <c r="IO1048532" s="242"/>
      <c r="IP1048532" s="242"/>
      <c r="IQ1048532" s="242"/>
    </row>
    <row r="1048533" spans="1:251" s="243" customFormat="1" ht="12.6" customHeight="1">
      <c r="A1048533" s="242"/>
      <c r="B1048533" s="242"/>
      <c r="C1048533" s="242"/>
      <c r="D1048533" s="242"/>
      <c r="E1048533" s="242"/>
      <c r="F1048533" s="242"/>
      <c r="G1048533" s="242"/>
      <c r="H1048533" s="242"/>
      <c r="I1048533" s="242"/>
      <c r="J1048533" s="242"/>
      <c r="K1048533" s="242"/>
      <c r="L1048533" s="242"/>
      <c r="M1048533" s="242"/>
      <c r="N1048533" s="242"/>
      <c r="O1048533" s="242"/>
      <c r="P1048533" s="242"/>
      <c r="Q1048533" s="242"/>
      <c r="R1048533" s="242"/>
      <c r="S1048533" s="242"/>
      <c r="T1048533" s="242"/>
      <c r="U1048533" s="242"/>
      <c r="V1048533" s="242"/>
      <c r="W1048533" s="242"/>
      <c r="X1048533" s="242"/>
      <c r="Y1048533" s="242"/>
      <c r="Z1048533" s="242"/>
      <c r="AA1048533" s="242"/>
      <c r="AB1048533" s="242"/>
      <c r="AC1048533" s="242"/>
      <c r="AD1048533" s="242"/>
      <c r="AE1048533" s="242"/>
      <c r="AF1048533" s="242"/>
      <c r="AG1048533" s="242"/>
      <c r="AH1048533" s="242"/>
      <c r="AI1048533" s="242"/>
      <c r="AJ1048533" s="242"/>
      <c r="AK1048533" s="242"/>
      <c r="AL1048533" s="242"/>
      <c r="AM1048533" s="242"/>
      <c r="AN1048533" s="242"/>
      <c r="AO1048533" s="242"/>
      <c r="AP1048533" s="242"/>
      <c r="AQ1048533" s="242"/>
      <c r="AR1048533" s="242"/>
      <c r="AS1048533" s="242"/>
      <c r="AT1048533" s="242"/>
      <c r="AU1048533" s="242"/>
      <c r="AV1048533" s="242"/>
      <c r="AW1048533" s="242"/>
      <c r="AX1048533" s="242"/>
      <c r="AY1048533" s="242"/>
      <c r="AZ1048533" s="242"/>
      <c r="BA1048533" s="242"/>
      <c r="BB1048533" s="242"/>
      <c r="BC1048533" s="242"/>
      <c r="BD1048533" s="242"/>
      <c r="BE1048533" s="242"/>
      <c r="BF1048533" s="242"/>
      <c r="BG1048533" s="242"/>
      <c r="BH1048533" s="242"/>
      <c r="BI1048533" s="242"/>
      <c r="BJ1048533" s="242"/>
      <c r="BK1048533" s="242"/>
      <c r="BL1048533" s="242"/>
      <c r="BM1048533" s="242"/>
      <c r="BN1048533" s="242"/>
      <c r="BO1048533" s="242"/>
      <c r="BP1048533" s="242"/>
      <c r="BQ1048533" s="242"/>
      <c r="BR1048533" s="242"/>
      <c r="BS1048533" s="242"/>
      <c r="BT1048533" s="242"/>
      <c r="BU1048533" s="242"/>
      <c r="BV1048533" s="242"/>
      <c r="BW1048533" s="242"/>
      <c r="BX1048533" s="242"/>
      <c r="BY1048533" s="242"/>
      <c r="BZ1048533" s="242"/>
      <c r="CA1048533" s="242"/>
      <c r="CB1048533" s="242"/>
      <c r="CC1048533" s="242"/>
      <c r="CD1048533" s="242"/>
      <c r="CE1048533" s="242"/>
      <c r="CF1048533" s="242"/>
      <c r="CG1048533" s="242"/>
      <c r="CH1048533" s="242"/>
      <c r="CI1048533" s="242"/>
      <c r="CJ1048533" s="242"/>
      <c r="CK1048533" s="242"/>
      <c r="CL1048533" s="242"/>
      <c r="CM1048533" s="242"/>
      <c r="CN1048533" s="242"/>
      <c r="CO1048533" s="242"/>
      <c r="CP1048533" s="242"/>
      <c r="CQ1048533" s="242"/>
      <c r="CR1048533" s="242"/>
      <c r="CS1048533" s="242"/>
      <c r="CT1048533" s="242"/>
      <c r="CU1048533" s="242"/>
      <c r="CV1048533" s="242"/>
      <c r="CW1048533" s="242"/>
      <c r="CX1048533" s="242"/>
      <c r="CY1048533" s="242"/>
      <c r="CZ1048533" s="242"/>
      <c r="DA1048533" s="242"/>
      <c r="DB1048533" s="242"/>
      <c r="DC1048533" s="242"/>
      <c r="DD1048533" s="242"/>
      <c r="DE1048533" s="242"/>
      <c r="DF1048533" s="242"/>
      <c r="DG1048533" s="242"/>
      <c r="DH1048533" s="242"/>
      <c r="DI1048533" s="242"/>
      <c r="DJ1048533" s="242"/>
      <c r="DK1048533" s="242"/>
      <c r="DL1048533" s="242"/>
      <c r="DM1048533" s="242"/>
      <c r="DN1048533" s="242"/>
      <c r="DO1048533" s="242"/>
      <c r="DP1048533" s="242"/>
      <c r="DQ1048533" s="242"/>
      <c r="DR1048533" s="242"/>
      <c r="DS1048533" s="242"/>
      <c r="DT1048533" s="242"/>
      <c r="DU1048533" s="242"/>
      <c r="DV1048533" s="242"/>
      <c r="DW1048533" s="242"/>
      <c r="DX1048533" s="242"/>
      <c r="DY1048533" s="242"/>
      <c r="DZ1048533" s="242"/>
      <c r="EA1048533" s="242"/>
      <c r="EB1048533" s="242"/>
      <c r="EC1048533" s="242"/>
      <c r="ED1048533" s="242"/>
      <c r="EE1048533" s="242"/>
      <c r="EF1048533" s="242"/>
      <c r="EG1048533" s="242"/>
      <c r="EH1048533" s="242"/>
      <c r="EI1048533" s="242"/>
      <c r="EJ1048533" s="242"/>
      <c r="EK1048533" s="242"/>
      <c r="EL1048533" s="242"/>
      <c r="EM1048533" s="242"/>
      <c r="EN1048533" s="242"/>
      <c r="EO1048533" s="242"/>
      <c r="EP1048533" s="242"/>
      <c r="EQ1048533" s="242"/>
      <c r="ER1048533" s="242"/>
      <c r="ES1048533" s="242"/>
      <c r="ET1048533" s="242"/>
      <c r="EU1048533" s="242"/>
      <c r="EV1048533" s="242"/>
      <c r="EW1048533" s="242"/>
      <c r="EX1048533" s="242"/>
      <c r="EY1048533" s="242"/>
      <c r="EZ1048533" s="242"/>
      <c r="FA1048533" s="242"/>
      <c r="FB1048533" s="242"/>
      <c r="FC1048533" s="242"/>
      <c r="FD1048533" s="242"/>
      <c r="FE1048533" s="242"/>
      <c r="FF1048533" s="242"/>
      <c r="FG1048533" s="242"/>
      <c r="FH1048533" s="242"/>
      <c r="FI1048533" s="242"/>
      <c r="FJ1048533" s="242"/>
      <c r="FK1048533" s="242"/>
      <c r="FL1048533" s="242"/>
      <c r="FM1048533" s="242"/>
      <c r="FN1048533" s="242"/>
      <c r="FO1048533" s="242"/>
      <c r="FP1048533" s="242"/>
      <c r="FQ1048533" s="242"/>
      <c r="FR1048533" s="242"/>
      <c r="FS1048533" s="242"/>
      <c r="FT1048533" s="242"/>
      <c r="FU1048533" s="242"/>
      <c r="FV1048533" s="242"/>
      <c r="FW1048533" s="242"/>
      <c r="FX1048533" s="242"/>
      <c r="FY1048533" s="242"/>
      <c r="FZ1048533" s="242"/>
      <c r="GA1048533" s="242"/>
      <c r="GB1048533" s="242"/>
      <c r="GC1048533" s="242"/>
      <c r="GD1048533" s="242"/>
      <c r="GE1048533" s="242"/>
      <c r="GF1048533" s="242"/>
      <c r="GG1048533" s="242"/>
      <c r="GH1048533" s="242"/>
      <c r="GI1048533" s="242"/>
      <c r="GJ1048533" s="242"/>
      <c r="GK1048533" s="242"/>
      <c r="GL1048533" s="242"/>
      <c r="GM1048533" s="242"/>
      <c r="GN1048533" s="242"/>
      <c r="GO1048533" s="242"/>
      <c r="GP1048533" s="242"/>
      <c r="GQ1048533" s="242"/>
      <c r="GR1048533" s="242"/>
      <c r="GS1048533" s="242"/>
      <c r="GT1048533" s="242"/>
      <c r="GU1048533" s="242"/>
      <c r="GV1048533" s="242"/>
      <c r="GW1048533" s="242"/>
      <c r="GX1048533" s="242"/>
      <c r="GY1048533" s="242"/>
      <c r="GZ1048533" s="242"/>
      <c r="HA1048533" s="242"/>
      <c r="HB1048533" s="242"/>
      <c r="HC1048533" s="242"/>
      <c r="HD1048533" s="242"/>
      <c r="HE1048533" s="242"/>
      <c r="HF1048533" s="242"/>
      <c r="HG1048533" s="242"/>
      <c r="HH1048533" s="242"/>
      <c r="HI1048533" s="242"/>
      <c r="HJ1048533" s="242"/>
      <c r="HK1048533" s="242"/>
      <c r="HL1048533" s="242"/>
      <c r="HM1048533" s="242"/>
      <c r="HN1048533" s="242"/>
      <c r="HO1048533" s="242"/>
      <c r="HP1048533" s="242"/>
      <c r="HQ1048533" s="242"/>
      <c r="HR1048533" s="242"/>
      <c r="HS1048533" s="242"/>
      <c r="HT1048533" s="242"/>
      <c r="HU1048533" s="242"/>
      <c r="HV1048533" s="242"/>
      <c r="HW1048533" s="242"/>
      <c r="HX1048533" s="242"/>
      <c r="HY1048533" s="242"/>
      <c r="HZ1048533" s="242"/>
      <c r="IA1048533" s="242"/>
      <c r="IB1048533" s="242"/>
      <c r="IC1048533" s="242"/>
      <c r="ID1048533" s="242"/>
      <c r="IE1048533" s="242"/>
      <c r="IF1048533" s="242"/>
      <c r="IG1048533" s="242"/>
      <c r="IH1048533" s="242"/>
      <c r="II1048533" s="242"/>
      <c r="IJ1048533" s="242"/>
      <c r="IK1048533" s="242"/>
      <c r="IL1048533" s="242"/>
      <c r="IM1048533" s="242"/>
      <c r="IN1048533" s="242"/>
      <c r="IO1048533" s="242"/>
      <c r="IP1048533" s="242"/>
      <c r="IQ1048533" s="242"/>
    </row>
    <row r="1048534" spans="1:251" s="243" customFormat="1" ht="12.6" customHeight="1">
      <c r="A1048534" s="242"/>
      <c r="B1048534" s="242"/>
      <c r="C1048534" s="242"/>
      <c r="D1048534" s="242"/>
      <c r="E1048534" s="242"/>
      <c r="F1048534" s="242"/>
      <c r="G1048534" s="242"/>
      <c r="H1048534" s="242"/>
      <c r="I1048534" s="242"/>
      <c r="J1048534" s="242"/>
      <c r="K1048534" s="242"/>
      <c r="L1048534" s="242"/>
      <c r="M1048534" s="242"/>
      <c r="N1048534" s="242"/>
      <c r="O1048534" s="242"/>
      <c r="P1048534" s="242"/>
      <c r="Q1048534" s="242"/>
      <c r="R1048534" s="242"/>
      <c r="S1048534" s="242"/>
      <c r="T1048534" s="242"/>
      <c r="U1048534" s="242"/>
      <c r="V1048534" s="242"/>
      <c r="W1048534" s="242"/>
      <c r="X1048534" s="242"/>
      <c r="Y1048534" s="242"/>
      <c r="Z1048534" s="242"/>
      <c r="AA1048534" s="242"/>
      <c r="AB1048534" s="242"/>
      <c r="AC1048534" s="242"/>
      <c r="AD1048534" s="242"/>
      <c r="AE1048534" s="242"/>
      <c r="AF1048534" s="242"/>
      <c r="AG1048534" s="242"/>
      <c r="AH1048534" s="242"/>
      <c r="AI1048534" s="242"/>
      <c r="AJ1048534" s="242"/>
      <c r="AK1048534" s="242"/>
      <c r="AL1048534" s="242"/>
      <c r="AM1048534" s="242"/>
      <c r="AN1048534" s="242"/>
      <c r="AO1048534" s="242"/>
      <c r="AP1048534" s="242"/>
      <c r="AQ1048534" s="242"/>
      <c r="AR1048534" s="242"/>
      <c r="AS1048534" s="242"/>
      <c r="AT1048534" s="242"/>
      <c r="AU1048534" s="242"/>
      <c r="AV1048534" s="242"/>
      <c r="AW1048534" s="242"/>
      <c r="AX1048534" s="242"/>
      <c r="AY1048534" s="242"/>
      <c r="AZ1048534" s="242"/>
      <c r="BA1048534" s="242"/>
      <c r="BB1048534" s="242"/>
      <c r="BC1048534" s="242"/>
      <c r="BD1048534" s="242"/>
      <c r="BE1048534" s="242"/>
      <c r="BF1048534" s="242"/>
      <c r="BG1048534" s="242"/>
      <c r="BH1048534" s="242"/>
      <c r="BI1048534" s="242"/>
      <c r="BJ1048534" s="242"/>
      <c r="BK1048534" s="242"/>
      <c r="BL1048534" s="242"/>
      <c r="BM1048534" s="242"/>
      <c r="BN1048534" s="242"/>
      <c r="BO1048534" s="242"/>
      <c r="BP1048534" s="242"/>
      <c r="BQ1048534" s="242"/>
      <c r="BR1048534" s="242"/>
      <c r="BS1048534" s="242"/>
      <c r="BT1048534" s="242"/>
      <c r="BU1048534" s="242"/>
      <c r="BV1048534" s="242"/>
      <c r="BW1048534" s="242"/>
      <c r="BX1048534" s="242"/>
      <c r="BY1048534" s="242"/>
      <c r="BZ1048534" s="242"/>
      <c r="CA1048534" s="242"/>
      <c r="CB1048534" s="242"/>
      <c r="CC1048534" s="242"/>
      <c r="CD1048534" s="242"/>
      <c r="CE1048534" s="242"/>
      <c r="CF1048534" s="242"/>
      <c r="CG1048534" s="242"/>
      <c r="CH1048534" s="242"/>
      <c r="CI1048534" s="242"/>
      <c r="CJ1048534" s="242"/>
      <c r="CK1048534" s="242"/>
      <c r="CL1048534" s="242"/>
      <c r="CM1048534" s="242"/>
      <c r="CN1048534" s="242"/>
      <c r="CO1048534" s="242"/>
      <c r="CP1048534" s="242"/>
      <c r="CQ1048534" s="242"/>
      <c r="CR1048534" s="242"/>
      <c r="CS1048534" s="242"/>
      <c r="CT1048534" s="242"/>
      <c r="CU1048534" s="242"/>
      <c r="CV1048534" s="242"/>
      <c r="CW1048534" s="242"/>
      <c r="CX1048534" s="242"/>
      <c r="CY1048534" s="242"/>
      <c r="CZ1048534" s="242"/>
      <c r="DA1048534" s="242"/>
      <c r="DB1048534" s="242"/>
      <c r="DC1048534" s="242"/>
      <c r="DD1048534" s="242"/>
      <c r="DE1048534" s="242"/>
      <c r="DF1048534" s="242"/>
      <c r="DG1048534" s="242"/>
      <c r="DH1048534" s="242"/>
      <c r="DI1048534" s="242"/>
      <c r="DJ1048534" s="242"/>
      <c r="DK1048534" s="242"/>
      <c r="DL1048534" s="242"/>
      <c r="DM1048534" s="242"/>
      <c r="DN1048534" s="242"/>
      <c r="DO1048534" s="242"/>
      <c r="DP1048534" s="242"/>
      <c r="DQ1048534" s="242"/>
      <c r="DR1048534" s="242"/>
      <c r="DS1048534" s="242"/>
      <c r="DT1048534" s="242"/>
      <c r="DU1048534" s="242"/>
      <c r="DV1048534" s="242"/>
      <c r="DW1048534" s="242"/>
      <c r="DX1048534" s="242"/>
      <c r="DY1048534" s="242"/>
      <c r="DZ1048534" s="242"/>
      <c r="EA1048534" s="242"/>
      <c r="EB1048534" s="242"/>
      <c r="EC1048534" s="242"/>
      <c r="ED1048534" s="242"/>
      <c r="EE1048534" s="242"/>
      <c r="EF1048534" s="242"/>
      <c r="EG1048534" s="242"/>
      <c r="EH1048534" s="242"/>
      <c r="EI1048534" s="242"/>
      <c r="EJ1048534" s="242"/>
      <c r="EK1048534" s="242"/>
      <c r="EL1048534" s="242"/>
      <c r="EM1048534" s="242"/>
      <c r="EN1048534" s="242"/>
      <c r="EO1048534" s="242"/>
      <c r="EP1048534" s="242"/>
      <c r="EQ1048534" s="242"/>
      <c r="ER1048534" s="242"/>
      <c r="ES1048534" s="242"/>
      <c r="ET1048534" s="242"/>
      <c r="EU1048534" s="242"/>
      <c r="EV1048534" s="242"/>
      <c r="EW1048534" s="242"/>
      <c r="EX1048534" s="242"/>
      <c r="EY1048534" s="242"/>
      <c r="EZ1048534" s="242"/>
      <c r="FA1048534" s="242"/>
      <c r="FB1048534" s="242"/>
      <c r="FC1048534" s="242"/>
      <c r="FD1048534" s="242"/>
      <c r="FE1048534" s="242"/>
      <c r="FF1048534" s="242"/>
      <c r="FG1048534" s="242"/>
      <c r="FH1048534" s="242"/>
      <c r="FI1048534" s="242"/>
      <c r="FJ1048534" s="242"/>
      <c r="FK1048534" s="242"/>
      <c r="FL1048534" s="242"/>
      <c r="FM1048534" s="242"/>
      <c r="FN1048534" s="242"/>
      <c r="FO1048534" s="242"/>
      <c r="FP1048534" s="242"/>
      <c r="FQ1048534" s="242"/>
      <c r="FR1048534" s="242"/>
      <c r="FS1048534" s="242"/>
      <c r="FT1048534" s="242"/>
      <c r="FU1048534" s="242"/>
      <c r="FV1048534" s="242"/>
      <c r="FW1048534" s="242"/>
      <c r="FX1048534" s="242"/>
      <c r="FY1048534" s="242"/>
      <c r="FZ1048534" s="242"/>
      <c r="GA1048534" s="242"/>
      <c r="GB1048534" s="242"/>
      <c r="GC1048534" s="242"/>
      <c r="GD1048534" s="242"/>
      <c r="GE1048534" s="242"/>
      <c r="GF1048534" s="242"/>
      <c r="GG1048534" s="242"/>
      <c r="GH1048534" s="242"/>
      <c r="GI1048534" s="242"/>
      <c r="GJ1048534" s="242"/>
      <c r="GK1048534" s="242"/>
      <c r="GL1048534" s="242"/>
      <c r="GM1048534" s="242"/>
      <c r="GN1048534" s="242"/>
      <c r="GO1048534" s="242"/>
      <c r="GP1048534" s="242"/>
      <c r="GQ1048534" s="242"/>
      <c r="GR1048534" s="242"/>
      <c r="GS1048534" s="242"/>
      <c r="GT1048534" s="242"/>
      <c r="GU1048534" s="242"/>
      <c r="GV1048534" s="242"/>
      <c r="GW1048534" s="242"/>
      <c r="GX1048534" s="242"/>
      <c r="GY1048534" s="242"/>
      <c r="GZ1048534" s="242"/>
      <c r="HA1048534" s="242"/>
      <c r="HB1048534" s="242"/>
      <c r="HC1048534" s="242"/>
      <c r="HD1048534" s="242"/>
      <c r="HE1048534" s="242"/>
      <c r="HF1048534" s="242"/>
      <c r="HG1048534" s="242"/>
      <c r="HH1048534" s="242"/>
      <c r="HI1048534" s="242"/>
      <c r="HJ1048534" s="242"/>
      <c r="HK1048534" s="242"/>
      <c r="HL1048534" s="242"/>
      <c r="HM1048534" s="242"/>
      <c r="HN1048534" s="242"/>
      <c r="HO1048534" s="242"/>
      <c r="HP1048534" s="242"/>
      <c r="HQ1048534" s="242"/>
      <c r="HR1048534" s="242"/>
      <c r="HS1048534" s="242"/>
      <c r="HT1048534" s="242"/>
      <c r="HU1048534" s="242"/>
      <c r="HV1048534" s="242"/>
      <c r="HW1048534" s="242"/>
      <c r="HX1048534" s="242"/>
      <c r="HY1048534" s="242"/>
      <c r="HZ1048534" s="242"/>
      <c r="IA1048534" s="242"/>
      <c r="IB1048534" s="242"/>
      <c r="IC1048534" s="242"/>
      <c r="ID1048534" s="242"/>
      <c r="IE1048534" s="242"/>
      <c r="IF1048534" s="242"/>
      <c r="IG1048534" s="242"/>
      <c r="IH1048534" s="242"/>
      <c r="II1048534" s="242"/>
      <c r="IJ1048534" s="242"/>
      <c r="IK1048534" s="242"/>
      <c r="IL1048534" s="242"/>
      <c r="IM1048534" s="242"/>
      <c r="IN1048534" s="242"/>
      <c r="IO1048534" s="242"/>
      <c r="IP1048534" s="242"/>
      <c r="IQ1048534" s="242"/>
    </row>
    <row r="1048535" spans="1:251" s="243" customFormat="1" ht="12.6" customHeight="1">
      <c r="A1048535" s="242"/>
      <c r="B1048535" s="242"/>
      <c r="C1048535" s="242"/>
      <c r="D1048535" s="242"/>
      <c r="E1048535" s="242"/>
      <c r="F1048535" s="242"/>
      <c r="G1048535" s="242"/>
      <c r="H1048535" s="242"/>
      <c r="I1048535" s="242"/>
      <c r="J1048535" s="242"/>
      <c r="K1048535" s="242"/>
      <c r="L1048535" s="242"/>
      <c r="M1048535" s="242"/>
      <c r="N1048535" s="242"/>
      <c r="O1048535" s="242"/>
      <c r="P1048535" s="242"/>
      <c r="Q1048535" s="242"/>
      <c r="R1048535" s="242"/>
      <c r="S1048535" s="242"/>
      <c r="T1048535" s="242"/>
      <c r="U1048535" s="242"/>
      <c r="V1048535" s="242"/>
      <c r="W1048535" s="242"/>
      <c r="X1048535" s="242"/>
      <c r="Y1048535" s="242"/>
      <c r="Z1048535" s="242"/>
      <c r="AA1048535" s="242"/>
      <c r="AB1048535" s="242"/>
      <c r="AC1048535" s="242"/>
      <c r="AD1048535" s="242"/>
      <c r="AE1048535" s="242"/>
      <c r="AF1048535" s="242"/>
      <c r="AG1048535" s="242"/>
      <c r="AH1048535" s="242"/>
      <c r="AI1048535" s="242"/>
      <c r="AJ1048535" s="242"/>
      <c r="AK1048535" s="242"/>
      <c r="AL1048535" s="242"/>
      <c r="AM1048535" s="242"/>
      <c r="AN1048535" s="242"/>
      <c r="AO1048535" s="242"/>
      <c r="AP1048535" s="242"/>
      <c r="AQ1048535" s="242"/>
      <c r="AR1048535" s="242"/>
      <c r="AS1048535" s="242"/>
      <c r="AT1048535" s="242"/>
      <c r="AU1048535" s="242"/>
      <c r="AV1048535" s="242"/>
      <c r="AW1048535" s="242"/>
      <c r="AX1048535" s="242"/>
      <c r="AY1048535" s="242"/>
      <c r="AZ1048535" s="242"/>
      <c r="BA1048535" s="242"/>
      <c r="BB1048535" s="242"/>
      <c r="BC1048535" s="242"/>
      <c r="BD1048535" s="242"/>
      <c r="BE1048535" s="242"/>
      <c r="BF1048535" s="242"/>
      <c r="BG1048535" s="242"/>
      <c r="BH1048535" s="242"/>
      <c r="BI1048535" s="242"/>
      <c r="BJ1048535" s="242"/>
      <c r="BK1048535" s="242"/>
      <c r="BL1048535" s="242"/>
      <c r="BM1048535" s="242"/>
      <c r="BN1048535" s="242"/>
      <c r="BO1048535" s="242"/>
      <c r="BP1048535" s="242"/>
      <c r="BQ1048535" s="242"/>
      <c r="BR1048535" s="242"/>
      <c r="BS1048535" s="242"/>
      <c r="BT1048535" s="242"/>
      <c r="BU1048535" s="242"/>
      <c r="BV1048535" s="242"/>
      <c r="BW1048535" s="242"/>
      <c r="BX1048535" s="242"/>
      <c r="BY1048535" s="242"/>
      <c r="BZ1048535" s="242"/>
      <c r="CA1048535" s="242"/>
      <c r="CB1048535" s="242"/>
      <c r="CC1048535" s="242"/>
      <c r="CD1048535" s="242"/>
      <c r="CE1048535" s="242"/>
      <c r="CF1048535" s="242"/>
      <c r="CG1048535" s="242"/>
      <c r="CH1048535" s="242"/>
      <c r="CI1048535" s="242"/>
      <c r="CJ1048535" s="242"/>
      <c r="CK1048535" s="242"/>
      <c r="CL1048535" s="242"/>
      <c r="CM1048535" s="242"/>
      <c r="CN1048535" s="242"/>
      <c r="CO1048535" s="242"/>
      <c r="CP1048535" s="242"/>
      <c r="CQ1048535" s="242"/>
      <c r="CR1048535" s="242"/>
      <c r="CS1048535" s="242"/>
      <c r="CT1048535" s="242"/>
      <c r="CU1048535" s="242"/>
      <c r="CV1048535" s="242"/>
      <c r="CW1048535" s="242"/>
      <c r="CX1048535" s="242"/>
      <c r="CY1048535" s="242"/>
      <c r="CZ1048535" s="242"/>
      <c r="DA1048535" s="242"/>
      <c r="DB1048535" s="242"/>
      <c r="DC1048535" s="242"/>
      <c r="DD1048535" s="242"/>
      <c r="DE1048535" s="242"/>
      <c r="DF1048535" s="242"/>
      <c r="DG1048535" s="242"/>
      <c r="DH1048535" s="242"/>
      <c r="DI1048535" s="242"/>
      <c r="DJ1048535" s="242"/>
      <c r="DK1048535" s="242"/>
      <c r="DL1048535" s="242"/>
      <c r="DM1048535" s="242"/>
      <c r="DN1048535" s="242"/>
      <c r="DO1048535" s="242"/>
      <c r="DP1048535" s="242"/>
      <c r="DQ1048535" s="242"/>
      <c r="DR1048535" s="242"/>
      <c r="DS1048535" s="242"/>
      <c r="DT1048535" s="242"/>
      <c r="DU1048535" s="242"/>
      <c r="DV1048535" s="242"/>
      <c r="DW1048535" s="242"/>
      <c r="DX1048535" s="242"/>
      <c r="DY1048535" s="242"/>
      <c r="DZ1048535" s="242"/>
      <c r="EA1048535" s="242"/>
      <c r="EB1048535" s="242"/>
      <c r="EC1048535" s="242"/>
      <c r="ED1048535" s="242"/>
      <c r="EE1048535" s="242"/>
      <c r="EF1048535" s="242"/>
      <c r="EG1048535" s="242"/>
      <c r="EH1048535" s="242"/>
      <c r="EI1048535" s="242"/>
      <c r="EJ1048535" s="242"/>
      <c r="EK1048535" s="242"/>
      <c r="EL1048535" s="242"/>
      <c r="EM1048535" s="242"/>
      <c r="EN1048535" s="242"/>
      <c r="EO1048535" s="242"/>
      <c r="EP1048535" s="242"/>
      <c r="EQ1048535" s="242"/>
      <c r="ER1048535" s="242"/>
      <c r="ES1048535" s="242"/>
      <c r="ET1048535" s="242"/>
      <c r="EU1048535" s="242"/>
      <c r="EV1048535" s="242"/>
      <c r="EW1048535" s="242"/>
      <c r="EX1048535" s="242"/>
      <c r="EY1048535" s="242"/>
      <c r="EZ1048535" s="242"/>
      <c r="FA1048535" s="242"/>
      <c r="FB1048535" s="242"/>
      <c r="FC1048535" s="242"/>
      <c r="FD1048535" s="242"/>
      <c r="FE1048535" s="242"/>
      <c r="FF1048535" s="242"/>
      <c r="FG1048535" s="242"/>
      <c r="FH1048535" s="242"/>
      <c r="FI1048535" s="242"/>
      <c r="FJ1048535" s="242"/>
      <c r="FK1048535" s="242"/>
      <c r="FL1048535" s="242"/>
      <c r="FM1048535" s="242"/>
      <c r="FN1048535" s="242"/>
      <c r="FO1048535" s="242"/>
      <c r="FP1048535" s="242"/>
      <c r="FQ1048535" s="242"/>
      <c r="FR1048535" s="242"/>
      <c r="FS1048535" s="242"/>
      <c r="FT1048535" s="242"/>
      <c r="FU1048535" s="242"/>
      <c r="FV1048535" s="242"/>
      <c r="FW1048535" s="242"/>
      <c r="FX1048535" s="242"/>
      <c r="FY1048535" s="242"/>
      <c r="FZ1048535" s="242"/>
      <c r="GA1048535" s="242"/>
      <c r="GB1048535" s="242"/>
      <c r="GC1048535" s="242"/>
      <c r="GD1048535" s="242"/>
      <c r="GE1048535" s="242"/>
      <c r="GF1048535" s="242"/>
      <c r="GG1048535" s="242"/>
      <c r="GH1048535" s="242"/>
      <c r="GI1048535" s="242"/>
      <c r="GJ1048535" s="242"/>
      <c r="GK1048535" s="242"/>
      <c r="GL1048535" s="242"/>
      <c r="GM1048535" s="242"/>
      <c r="GN1048535" s="242"/>
      <c r="GO1048535" s="242"/>
      <c r="GP1048535" s="242"/>
      <c r="GQ1048535" s="242"/>
      <c r="GR1048535" s="242"/>
      <c r="GS1048535" s="242"/>
      <c r="GT1048535" s="242"/>
      <c r="GU1048535" s="242"/>
      <c r="GV1048535" s="242"/>
      <c r="GW1048535" s="242"/>
      <c r="GX1048535" s="242"/>
      <c r="GY1048535" s="242"/>
      <c r="GZ1048535" s="242"/>
      <c r="HA1048535" s="242"/>
      <c r="HB1048535" s="242"/>
      <c r="HC1048535" s="242"/>
      <c r="HD1048535" s="242"/>
      <c r="HE1048535" s="242"/>
      <c r="HF1048535" s="242"/>
      <c r="HG1048535" s="242"/>
      <c r="HH1048535" s="242"/>
      <c r="HI1048535" s="242"/>
      <c r="HJ1048535" s="242"/>
      <c r="HK1048535" s="242"/>
      <c r="HL1048535" s="242"/>
      <c r="HM1048535" s="242"/>
      <c r="HN1048535" s="242"/>
      <c r="HO1048535" s="242"/>
      <c r="HP1048535" s="242"/>
      <c r="HQ1048535" s="242"/>
      <c r="HR1048535" s="242"/>
      <c r="HS1048535" s="242"/>
      <c r="HT1048535" s="242"/>
      <c r="HU1048535" s="242"/>
      <c r="HV1048535" s="242"/>
      <c r="HW1048535" s="242"/>
      <c r="HX1048535" s="242"/>
      <c r="HY1048535" s="242"/>
      <c r="HZ1048535" s="242"/>
      <c r="IA1048535" s="242"/>
      <c r="IB1048535" s="242"/>
      <c r="IC1048535" s="242"/>
      <c r="ID1048535" s="242"/>
      <c r="IE1048535" s="242"/>
      <c r="IF1048535" s="242"/>
      <c r="IG1048535" s="242"/>
      <c r="IH1048535" s="242"/>
      <c r="II1048535" s="242"/>
      <c r="IJ1048535" s="242"/>
      <c r="IK1048535" s="242"/>
      <c r="IL1048535" s="242"/>
      <c r="IM1048535" s="242"/>
      <c r="IN1048535" s="242"/>
      <c r="IO1048535" s="242"/>
      <c r="IP1048535" s="242"/>
      <c r="IQ1048535" s="242"/>
    </row>
    <row r="1048536" spans="1:251" s="243" customFormat="1" ht="12.6" customHeight="1">
      <c r="A1048536" s="242"/>
      <c r="B1048536" s="242"/>
      <c r="C1048536" s="242"/>
      <c r="D1048536" s="242"/>
      <c r="E1048536" s="242"/>
      <c r="F1048536" s="242"/>
      <c r="G1048536" s="242"/>
      <c r="H1048536" s="242"/>
      <c r="I1048536" s="242"/>
      <c r="J1048536" s="242"/>
      <c r="K1048536" s="242"/>
      <c r="L1048536" s="242"/>
      <c r="M1048536" s="242"/>
      <c r="N1048536" s="242"/>
      <c r="O1048536" s="242"/>
      <c r="P1048536" s="242"/>
      <c r="Q1048536" s="242"/>
      <c r="R1048536" s="242"/>
      <c r="S1048536" s="242"/>
      <c r="T1048536" s="242"/>
      <c r="U1048536" s="242"/>
      <c r="V1048536" s="242"/>
      <c r="W1048536" s="242"/>
      <c r="X1048536" s="242"/>
      <c r="Y1048536" s="242"/>
      <c r="Z1048536" s="242"/>
      <c r="AA1048536" s="242"/>
      <c r="AB1048536" s="242"/>
      <c r="AC1048536" s="242"/>
      <c r="AD1048536" s="242"/>
      <c r="AE1048536" s="242"/>
      <c r="AF1048536" s="242"/>
      <c r="AG1048536" s="242"/>
      <c r="AH1048536" s="242"/>
      <c r="AI1048536" s="242"/>
      <c r="AJ1048536" s="242"/>
      <c r="AK1048536" s="242"/>
      <c r="AL1048536" s="242"/>
      <c r="AM1048536" s="242"/>
      <c r="AN1048536" s="242"/>
      <c r="AO1048536" s="242"/>
      <c r="AP1048536" s="242"/>
      <c r="AQ1048536" s="242"/>
      <c r="AR1048536" s="242"/>
      <c r="AS1048536" s="242"/>
      <c r="AT1048536" s="242"/>
      <c r="AU1048536" s="242"/>
      <c r="AV1048536" s="242"/>
      <c r="AW1048536" s="242"/>
      <c r="AX1048536" s="242"/>
      <c r="AY1048536" s="242"/>
      <c r="AZ1048536" s="242"/>
      <c r="BA1048536" s="242"/>
      <c r="BB1048536" s="242"/>
      <c r="BC1048536" s="242"/>
      <c r="BD1048536" s="242"/>
      <c r="BE1048536" s="242"/>
      <c r="BF1048536" s="242"/>
      <c r="BG1048536" s="242"/>
      <c r="BH1048536" s="242"/>
      <c r="BI1048536" s="242"/>
      <c r="BJ1048536" s="242"/>
      <c r="BK1048536" s="242"/>
      <c r="BL1048536" s="242"/>
      <c r="BM1048536" s="242"/>
      <c r="BN1048536" s="242"/>
      <c r="BO1048536" s="242"/>
      <c r="BP1048536" s="242"/>
      <c r="BQ1048536" s="242"/>
      <c r="BR1048536" s="242"/>
      <c r="BS1048536" s="242"/>
      <c r="BT1048536" s="242"/>
      <c r="BU1048536" s="242"/>
      <c r="BV1048536" s="242"/>
      <c r="BW1048536" s="242"/>
      <c r="BX1048536" s="242"/>
      <c r="BY1048536" s="242"/>
      <c r="BZ1048536" s="242"/>
      <c r="CA1048536" s="242"/>
      <c r="CB1048536" s="242"/>
      <c r="CC1048536" s="242"/>
      <c r="CD1048536" s="242"/>
      <c r="CE1048536" s="242"/>
      <c r="CF1048536" s="242"/>
      <c r="CG1048536" s="242"/>
      <c r="CH1048536" s="242"/>
      <c r="CI1048536" s="242"/>
      <c r="CJ1048536" s="242"/>
      <c r="CK1048536" s="242"/>
      <c r="CL1048536" s="242"/>
      <c r="CM1048536" s="242"/>
      <c r="CN1048536" s="242"/>
      <c r="CO1048536" s="242"/>
      <c r="CP1048536" s="242"/>
      <c r="CQ1048536" s="242"/>
      <c r="CR1048536" s="242"/>
      <c r="CS1048536" s="242"/>
      <c r="CT1048536" s="242"/>
      <c r="CU1048536" s="242"/>
      <c r="CV1048536" s="242"/>
      <c r="CW1048536" s="242"/>
      <c r="CX1048536" s="242"/>
      <c r="CY1048536" s="242"/>
      <c r="CZ1048536" s="242"/>
      <c r="DA1048536" s="242"/>
      <c r="DB1048536" s="242"/>
      <c r="DC1048536" s="242"/>
      <c r="DD1048536" s="242"/>
      <c r="DE1048536" s="242"/>
      <c r="DF1048536" s="242"/>
      <c r="DG1048536" s="242"/>
      <c r="DH1048536" s="242"/>
      <c r="DI1048536" s="242"/>
      <c r="DJ1048536" s="242"/>
      <c r="DK1048536" s="242"/>
      <c r="DL1048536" s="242"/>
      <c r="DM1048536" s="242"/>
      <c r="DN1048536" s="242"/>
      <c r="DO1048536" s="242"/>
      <c r="DP1048536" s="242"/>
      <c r="DQ1048536" s="242"/>
      <c r="DR1048536" s="242"/>
      <c r="DS1048536" s="242"/>
      <c r="DT1048536" s="242"/>
      <c r="DU1048536" s="242"/>
      <c r="DV1048536" s="242"/>
      <c r="DW1048536" s="242"/>
      <c r="DX1048536" s="242"/>
      <c r="DY1048536" s="242"/>
      <c r="DZ1048536" s="242"/>
      <c r="EA1048536" s="242"/>
      <c r="EB1048536" s="242"/>
      <c r="EC1048536" s="242"/>
      <c r="ED1048536" s="242"/>
      <c r="EE1048536" s="242"/>
      <c r="EF1048536" s="242"/>
      <c r="EG1048536" s="242"/>
      <c r="EH1048536" s="242"/>
      <c r="EI1048536" s="242"/>
      <c r="EJ1048536" s="242"/>
      <c r="EK1048536" s="242"/>
      <c r="EL1048536" s="242"/>
      <c r="EM1048536" s="242"/>
      <c r="EN1048536" s="242"/>
      <c r="EO1048536" s="242"/>
      <c r="EP1048536" s="242"/>
      <c r="EQ1048536" s="242"/>
      <c r="ER1048536" s="242"/>
      <c r="ES1048536" s="242"/>
      <c r="ET1048536" s="242"/>
      <c r="EU1048536" s="242"/>
      <c r="EV1048536" s="242"/>
      <c r="EW1048536" s="242"/>
      <c r="EX1048536" s="242"/>
      <c r="EY1048536" s="242"/>
      <c r="EZ1048536" s="242"/>
      <c r="FA1048536" s="242"/>
      <c r="FB1048536" s="242"/>
      <c r="FC1048536" s="242"/>
      <c r="FD1048536" s="242"/>
      <c r="FE1048536" s="242"/>
      <c r="FF1048536" s="242"/>
      <c r="FG1048536" s="242"/>
      <c r="FH1048536" s="242"/>
      <c r="FI1048536" s="242"/>
      <c r="FJ1048536" s="242"/>
      <c r="FK1048536" s="242"/>
      <c r="FL1048536" s="242"/>
      <c r="FM1048536" s="242"/>
      <c r="FN1048536" s="242"/>
      <c r="FO1048536" s="242"/>
      <c r="FP1048536" s="242"/>
      <c r="FQ1048536" s="242"/>
      <c r="FR1048536" s="242"/>
      <c r="FS1048536" s="242"/>
      <c r="FT1048536" s="242"/>
      <c r="FU1048536" s="242"/>
      <c r="FV1048536" s="242"/>
      <c r="FW1048536" s="242"/>
      <c r="FX1048536" s="242"/>
      <c r="FY1048536" s="242"/>
      <c r="FZ1048536" s="242"/>
      <c r="GA1048536" s="242"/>
      <c r="GB1048536" s="242"/>
      <c r="GC1048536" s="242"/>
      <c r="GD1048536" s="242"/>
      <c r="GE1048536" s="242"/>
      <c r="GF1048536" s="242"/>
      <c r="GG1048536" s="242"/>
      <c r="GH1048536" s="242"/>
      <c r="GI1048536" s="242"/>
      <c r="GJ1048536" s="242"/>
      <c r="GK1048536" s="242"/>
      <c r="GL1048536" s="242"/>
      <c r="GM1048536" s="242"/>
      <c r="GN1048536" s="242"/>
      <c r="GO1048536" s="242"/>
      <c r="GP1048536" s="242"/>
      <c r="GQ1048536" s="242"/>
      <c r="GR1048536" s="242"/>
      <c r="GS1048536" s="242"/>
      <c r="GT1048536" s="242"/>
      <c r="GU1048536" s="242"/>
      <c r="GV1048536" s="242"/>
      <c r="GW1048536" s="242"/>
      <c r="GX1048536" s="242"/>
      <c r="GY1048536" s="242"/>
      <c r="GZ1048536" s="242"/>
      <c r="HA1048536" s="242"/>
      <c r="HB1048536" s="242"/>
      <c r="HC1048536" s="242"/>
      <c r="HD1048536" s="242"/>
      <c r="HE1048536" s="242"/>
      <c r="HF1048536" s="242"/>
      <c r="HG1048536" s="242"/>
      <c r="HH1048536" s="242"/>
      <c r="HI1048536" s="242"/>
      <c r="HJ1048536" s="242"/>
      <c r="HK1048536" s="242"/>
      <c r="HL1048536" s="242"/>
      <c r="HM1048536" s="242"/>
      <c r="HN1048536" s="242"/>
      <c r="HO1048536" s="242"/>
      <c r="HP1048536" s="242"/>
      <c r="HQ1048536" s="242"/>
      <c r="HR1048536" s="242"/>
      <c r="HS1048536" s="242"/>
      <c r="HT1048536" s="242"/>
      <c r="HU1048536" s="242"/>
      <c r="HV1048536" s="242"/>
      <c r="HW1048536" s="242"/>
      <c r="HX1048536" s="242"/>
      <c r="HY1048536" s="242"/>
      <c r="HZ1048536" s="242"/>
      <c r="IA1048536" s="242"/>
      <c r="IB1048536" s="242"/>
      <c r="IC1048536" s="242"/>
      <c r="ID1048536" s="242"/>
      <c r="IE1048536" s="242"/>
      <c r="IF1048536" s="242"/>
      <c r="IG1048536" s="242"/>
      <c r="IH1048536" s="242"/>
      <c r="II1048536" s="242"/>
      <c r="IJ1048536" s="242"/>
      <c r="IK1048536" s="242"/>
      <c r="IL1048536" s="242"/>
      <c r="IM1048536" s="242"/>
      <c r="IN1048536" s="242"/>
      <c r="IO1048536" s="242"/>
      <c r="IP1048536" s="242"/>
      <c r="IQ1048536" s="242"/>
    </row>
    <row r="1048537" spans="1:251" s="243" customFormat="1" ht="12.6" customHeight="1">
      <c r="A1048537" s="242"/>
      <c r="B1048537" s="242"/>
      <c r="C1048537" s="242"/>
      <c r="D1048537" s="242"/>
      <c r="E1048537" s="242"/>
      <c r="F1048537" s="242"/>
      <c r="G1048537" s="242"/>
      <c r="H1048537" s="242"/>
      <c r="I1048537" s="242"/>
      <c r="J1048537" s="242"/>
      <c r="K1048537" s="242"/>
      <c r="L1048537" s="242"/>
      <c r="M1048537" s="242"/>
      <c r="N1048537" s="242"/>
      <c r="O1048537" s="242"/>
      <c r="P1048537" s="242"/>
      <c r="Q1048537" s="242"/>
      <c r="R1048537" s="242"/>
      <c r="S1048537" s="242"/>
      <c r="T1048537" s="242"/>
      <c r="U1048537" s="242"/>
      <c r="V1048537" s="242"/>
      <c r="W1048537" s="242"/>
      <c r="X1048537" s="242"/>
      <c r="Y1048537" s="242"/>
      <c r="Z1048537" s="242"/>
      <c r="AA1048537" s="242"/>
      <c r="AB1048537" s="242"/>
      <c r="AC1048537" s="242"/>
      <c r="AD1048537" s="242"/>
      <c r="AE1048537" s="242"/>
      <c r="AF1048537" s="242"/>
      <c r="AG1048537" s="242"/>
      <c r="AH1048537" s="242"/>
      <c r="AI1048537" s="242"/>
      <c r="AJ1048537" s="242"/>
      <c r="AK1048537" s="242"/>
      <c r="AL1048537" s="242"/>
      <c r="AM1048537" s="242"/>
      <c r="AN1048537" s="242"/>
      <c r="AO1048537" s="242"/>
      <c r="AP1048537" s="242"/>
      <c r="AQ1048537" s="242"/>
      <c r="AR1048537" s="242"/>
      <c r="AS1048537" s="242"/>
      <c r="AT1048537" s="242"/>
      <c r="AU1048537" s="242"/>
      <c r="AV1048537" s="242"/>
      <c r="AW1048537" s="242"/>
      <c r="AX1048537" s="242"/>
      <c r="AY1048537" s="242"/>
      <c r="AZ1048537" s="242"/>
      <c r="BA1048537" s="242"/>
      <c r="BB1048537" s="242"/>
      <c r="BC1048537" s="242"/>
      <c r="BD1048537" s="242"/>
      <c r="BE1048537" s="242"/>
      <c r="BF1048537" s="242"/>
      <c r="BG1048537" s="242"/>
      <c r="BH1048537" s="242"/>
      <c r="BI1048537" s="242"/>
      <c r="BJ1048537" s="242"/>
      <c r="BK1048537" s="242"/>
      <c r="BL1048537" s="242"/>
      <c r="BM1048537" s="242"/>
      <c r="BN1048537" s="242"/>
      <c r="BO1048537" s="242"/>
      <c r="BP1048537" s="242"/>
      <c r="BQ1048537" s="242"/>
      <c r="BR1048537" s="242"/>
      <c r="BS1048537" s="242"/>
      <c r="BT1048537" s="242"/>
      <c r="BU1048537" s="242"/>
      <c r="BV1048537" s="242"/>
      <c r="BW1048537" s="242"/>
      <c r="BX1048537" s="242"/>
      <c r="BY1048537" s="242"/>
      <c r="BZ1048537" s="242"/>
      <c r="CA1048537" s="242"/>
      <c r="CB1048537" s="242"/>
      <c r="CC1048537" s="242"/>
      <c r="CD1048537" s="242"/>
      <c r="CE1048537" s="242"/>
      <c r="CF1048537" s="242"/>
      <c r="CG1048537" s="242"/>
      <c r="CH1048537" s="242"/>
      <c r="CI1048537" s="242"/>
      <c r="CJ1048537" s="242"/>
      <c r="CK1048537" s="242"/>
      <c r="CL1048537" s="242"/>
      <c r="CM1048537" s="242"/>
      <c r="CN1048537" s="242"/>
      <c r="CO1048537" s="242"/>
      <c r="CP1048537" s="242"/>
      <c r="CQ1048537" s="242"/>
      <c r="CR1048537" s="242"/>
      <c r="CS1048537" s="242"/>
      <c r="CT1048537" s="242"/>
      <c r="CU1048537" s="242"/>
      <c r="CV1048537" s="242"/>
      <c r="CW1048537" s="242"/>
      <c r="CX1048537" s="242"/>
      <c r="CY1048537" s="242"/>
      <c r="CZ1048537" s="242"/>
      <c r="DA1048537" s="242"/>
      <c r="DB1048537" s="242"/>
      <c r="DC1048537" s="242"/>
      <c r="DD1048537" s="242"/>
      <c r="DE1048537" s="242"/>
      <c r="DF1048537" s="242"/>
      <c r="DG1048537" s="242"/>
      <c r="DH1048537" s="242"/>
      <c r="DI1048537" s="242"/>
      <c r="DJ1048537" s="242"/>
      <c r="DK1048537" s="242"/>
      <c r="DL1048537" s="242"/>
      <c r="DM1048537" s="242"/>
      <c r="DN1048537" s="242"/>
      <c r="DO1048537" s="242"/>
      <c r="DP1048537" s="242"/>
      <c r="DQ1048537" s="242"/>
      <c r="DR1048537" s="242"/>
      <c r="DS1048537" s="242"/>
      <c r="DT1048537" s="242"/>
      <c r="DU1048537" s="242"/>
      <c r="DV1048537" s="242"/>
      <c r="DW1048537" s="242"/>
      <c r="DX1048537" s="242"/>
      <c r="DY1048537" s="242"/>
      <c r="DZ1048537" s="242"/>
      <c r="EA1048537" s="242"/>
      <c r="EB1048537" s="242"/>
      <c r="EC1048537" s="242"/>
      <c r="ED1048537" s="242"/>
      <c r="EE1048537" s="242"/>
      <c r="EF1048537" s="242"/>
      <c r="EG1048537" s="242"/>
      <c r="EH1048537" s="242"/>
      <c r="EI1048537" s="242"/>
      <c r="EJ1048537" s="242"/>
      <c r="EK1048537" s="242"/>
      <c r="EL1048537" s="242"/>
      <c r="EM1048537" s="242"/>
      <c r="EN1048537" s="242"/>
      <c r="EO1048537" s="242"/>
      <c r="EP1048537" s="242"/>
      <c r="EQ1048537" s="242"/>
      <c r="ER1048537" s="242"/>
      <c r="ES1048537" s="242"/>
      <c r="ET1048537" s="242"/>
      <c r="EU1048537" s="242"/>
      <c r="EV1048537" s="242"/>
      <c r="EW1048537" s="242"/>
      <c r="EX1048537" s="242"/>
      <c r="EY1048537" s="242"/>
      <c r="EZ1048537" s="242"/>
      <c r="FA1048537" s="242"/>
      <c r="FB1048537" s="242"/>
      <c r="FC1048537" s="242"/>
      <c r="FD1048537" s="242"/>
      <c r="FE1048537" s="242"/>
      <c r="FF1048537" s="242"/>
      <c r="FG1048537" s="242"/>
      <c r="FH1048537" s="242"/>
      <c r="FI1048537" s="242"/>
      <c r="FJ1048537" s="242"/>
      <c r="FK1048537" s="242"/>
      <c r="FL1048537" s="242"/>
      <c r="FM1048537" s="242"/>
      <c r="FN1048537" s="242"/>
      <c r="FO1048537" s="242"/>
      <c r="FP1048537" s="242"/>
      <c r="FQ1048537" s="242"/>
      <c r="FR1048537" s="242"/>
      <c r="FS1048537" s="242"/>
      <c r="FT1048537" s="242"/>
      <c r="FU1048537" s="242"/>
      <c r="FV1048537" s="242"/>
      <c r="FW1048537" s="242"/>
      <c r="FX1048537" s="242"/>
      <c r="FY1048537" s="242"/>
      <c r="FZ1048537" s="242"/>
      <c r="GA1048537" s="242"/>
      <c r="GB1048537" s="242"/>
      <c r="GC1048537" s="242"/>
      <c r="GD1048537" s="242"/>
      <c r="GE1048537" s="242"/>
      <c r="GF1048537" s="242"/>
      <c r="GG1048537" s="242"/>
      <c r="GH1048537" s="242"/>
      <c r="GI1048537" s="242"/>
      <c r="GJ1048537" s="242"/>
      <c r="GK1048537" s="242"/>
      <c r="GL1048537" s="242"/>
      <c r="GM1048537" s="242"/>
      <c r="GN1048537" s="242"/>
      <c r="GO1048537" s="242"/>
      <c r="GP1048537" s="242"/>
      <c r="GQ1048537" s="242"/>
      <c r="GR1048537" s="242"/>
      <c r="GS1048537" s="242"/>
      <c r="GT1048537" s="242"/>
      <c r="GU1048537" s="242"/>
      <c r="GV1048537" s="242"/>
      <c r="GW1048537" s="242"/>
      <c r="GX1048537" s="242"/>
      <c r="GY1048537" s="242"/>
      <c r="GZ1048537" s="242"/>
      <c r="HA1048537" s="242"/>
      <c r="HB1048537" s="242"/>
      <c r="HC1048537" s="242"/>
      <c r="HD1048537" s="242"/>
      <c r="HE1048537" s="242"/>
      <c r="HF1048537" s="242"/>
      <c r="HG1048537" s="242"/>
      <c r="HH1048537" s="242"/>
      <c r="HI1048537" s="242"/>
      <c r="HJ1048537" s="242"/>
      <c r="HK1048537" s="242"/>
      <c r="HL1048537" s="242"/>
      <c r="HM1048537" s="242"/>
      <c r="HN1048537" s="242"/>
      <c r="HO1048537" s="242"/>
      <c r="HP1048537" s="242"/>
      <c r="HQ1048537" s="242"/>
      <c r="HR1048537" s="242"/>
      <c r="HS1048537" s="242"/>
      <c r="HT1048537" s="242"/>
      <c r="HU1048537" s="242"/>
      <c r="HV1048537" s="242"/>
      <c r="HW1048537" s="242"/>
      <c r="HX1048537" s="242"/>
      <c r="HY1048537" s="242"/>
      <c r="HZ1048537" s="242"/>
      <c r="IA1048537" s="242"/>
      <c r="IB1048537" s="242"/>
      <c r="IC1048537" s="242"/>
      <c r="ID1048537" s="242"/>
      <c r="IE1048537" s="242"/>
      <c r="IF1048537" s="242"/>
      <c r="IG1048537" s="242"/>
      <c r="IH1048537" s="242"/>
      <c r="II1048537" s="242"/>
      <c r="IJ1048537" s="242"/>
      <c r="IK1048537" s="242"/>
      <c r="IL1048537" s="242"/>
      <c r="IM1048537" s="242"/>
      <c r="IN1048537" s="242"/>
      <c r="IO1048537" s="242"/>
      <c r="IP1048537" s="242"/>
      <c r="IQ1048537" s="242"/>
    </row>
    <row r="1048538" spans="1:251" s="243" customFormat="1" ht="12.6" customHeight="1">
      <c r="A1048538" s="242"/>
      <c r="B1048538" s="242"/>
      <c r="C1048538" s="242"/>
      <c r="D1048538" s="242"/>
      <c r="E1048538" s="242"/>
      <c r="F1048538" s="242"/>
      <c r="G1048538" s="242"/>
      <c r="H1048538" s="242"/>
      <c r="I1048538" s="242"/>
      <c r="J1048538" s="242"/>
      <c r="K1048538" s="242"/>
      <c r="L1048538" s="242"/>
      <c r="M1048538" s="242"/>
      <c r="N1048538" s="242"/>
      <c r="O1048538" s="242"/>
      <c r="P1048538" s="242"/>
      <c r="Q1048538" s="242"/>
      <c r="R1048538" s="242"/>
      <c r="S1048538" s="242"/>
      <c r="T1048538" s="242"/>
      <c r="U1048538" s="242"/>
      <c r="V1048538" s="242"/>
      <c r="W1048538" s="242"/>
      <c r="X1048538" s="242"/>
      <c r="Y1048538" s="242"/>
      <c r="Z1048538" s="242"/>
      <c r="AA1048538" s="242"/>
      <c r="AB1048538" s="242"/>
      <c r="AC1048538" s="242"/>
      <c r="AD1048538" s="242"/>
      <c r="AE1048538" s="242"/>
      <c r="AF1048538" s="242"/>
      <c r="AG1048538" s="242"/>
      <c r="AH1048538" s="242"/>
      <c r="AI1048538" s="242"/>
      <c r="AJ1048538" s="242"/>
      <c r="AK1048538" s="242"/>
      <c r="AL1048538" s="242"/>
      <c r="AM1048538" s="242"/>
      <c r="AN1048538" s="242"/>
      <c r="AO1048538" s="242"/>
      <c r="AP1048538" s="242"/>
      <c r="AQ1048538" s="242"/>
      <c r="AR1048538" s="242"/>
      <c r="AS1048538" s="242"/>
      <c r="AT1048538" s="242"/>
      <c r="AU1048538" s="242"/>
      <c r="AV1048538" s="242"/>
      <c r="AW1048538" s="242"/>
      <c r="AX1048538" s="242"/>
      <c r="AY1048538" s="242"/>
      <c r="AZ1048538" s="242"/>
      <c r="BA1048538" s="242"/>
      <c r="BB1048538" s="242"/>
      <c r="BC1048538" s="242"/>
      <c r="BD1048538" s="242"/>
      <c r="BE1048538" s="242"/>
      <c r="BF1048538" s="242"/>
      <c r="BG1048538" s="242"/>
      <c r="BH1048538" s="242"/>
      <c r="BI1048538" s="242"/>
      <c r="BJ1048538" s="242"/>
      <c r="BK1048538" s="242"/>
      <c r="BL1048538" s="242"/>
      <c r="BM1048538" s="242"/>
      <c r="BN1048538" s="242"/>
      <c r="BO1048538" s="242"/>
      <c r="BP1048538" s="242"/>
      <c r="BQ1048538" s="242"/>
      <c r="BR1048538" s="242"/>
      <c r="BS1048538" s="242"/>
      <c r="BT1048538" s="242"/>
      <c r="BU1048538" s="242"/>
      <c r="BV1048538" s="242"/>
      <c r="BW1048538" s="242"/>
      <c r="BX1048538" s="242"/>
      <c r="BY1048538" s="242"/>
      <c r="BZ1048538" s="242"/>
      <c r="CA1048538" s="242"/>
      <c r="CB1048538" s="242"/>
      <c r="CC1048538" s="242"/>
      <c r="CD1048538" s="242"/>
      <c r="CE1048538" s="242"/>
      <c r="CF1048538" s="242"/>
      <c r="CG1048538" s="242"/>
      <c r="CH1048538" s="242"/>
      <c r="CI1048538" s="242"/>
      <c r="CJ1048538" s="242"/>
      <c r="CK1048538" s="242"/>
      <c r="CL1048538" s="242"/>
      <c r="CM1048538" s="242"/>
      <c r="CN1048538" s="242"/>
      <c r="CO1048538" s="242"/>
      <c r="CP1048538" s="242"/>
      <c r="CQ1048538" s="242"/>
      <c r="CR1048538" s="242"/>
      <c r="CS1048538" s="242"/>
      <c r="CT1048538" s="242"/>
      <c r="CU1048538" s="242"/>
      <c r="CV1048538" s="242"/>
      <c r="CW1048538" s="242"/>
      <c r="CX1048538" s="242"/>
      <c r="CY1048538" s="242"/>
      <c r="CZ1048538" s="242"/>
      <c r="DA1048538" s="242"/>
      <c r="DB1048538" s="242"/>
      <c r="DC1048538" s="242"/>
      <c r="DD1048538" s="242"/>
      <c r="DE1048538" s="242"/>
      <c r="DF1048538" s="242"/>
      <c r="DG1048538" s="242"/>
      <c r="DH1048538" s="242"/>
      <c r="DI1048538" s="242"/>
      <c r="DJ1048538" s="242"/>
      <c r="DK1048538" s="242"/>
      <c r="DL1048538" s="242"/>
      <c r="DM1048538" s="242"/>
      <c r="DN1048538" s="242"/>
      <c r="DO1048538" s="242"/>
      <c r="DP1048538" s="242"/>
      <c r="DQ1048538" s="242"/>
      <c r="DR1048538" s="242"/>
      <c r="DS1048538" s="242"/>
      <c r="DT1048538" s="242"/>
      <c r="DU1048538" s="242"/>
      <c r="DV1048538" s="242"/>
      <c r="DW1048538" s="242"/>
      <c r="DX1048538" s="242"/>
      <c r="DY1048538" s="242"/>
      <c r="DZ1048538" s="242"/>
      <c r="EA1048538" s="242"/>
      <c r="EB1048538" s="242"/>
      <c r="EC1048538" s="242"/>
      <c r="ED1048538" s="242"/>
      <c r="EE1048538" s="242"/>
      <c r="EF1048538" s="242"/>
      <c r="EG1048538" s="242"/>
      <c r="EH1048538" s="242"/>
      <c r="EI1048538" s="242"/>
      <c r="EJ1048538" s="242"/>
      <c r="EK1048538" s="242"/>
      <c r="EL1048538" s="242"/>
      <c r="EM1048538" s="242"/>
      <c r="EN1048538" s="242"/>
      <c r="EO1048538" s="242"/>
      <c r="EP1048538" s="242"/>
      <c r="EQ1048538" s="242"/>
      <c r="ER1048538" s="242"/>
      <c r="ES1048538" s="242"/>
      <c r="ET1048538" s="242"/>
      <c r="EU1048538" s="242"/>
      <c r="EV1048538" s="242"/>
      <c r="EW1048538" s="242"/>
      <c r="EX1048538" s="242"/>
      <c r="EY1048538" s="242"/>
      <c r="EZ1048538" s="242"/>
      <c r="FA1048538" s="242"/>
      <c r="FB1048538" s="242"/>
      <c r="FC1048538" s="242"/>
      <c r="FD1048538" s="242"/>
      <c r="FE1048538" s="242"/>
      <c r="FF1048538" s="242"/>
      <c r="FG1048538" s="242"/>
      <c r="FH1048538" s="242"/>
      <c r="FI1048538" s="242"/>
      <c r="FJ1048538" s="242"/>
      <c r="FK1048538" s="242"/>
      <c r="FL1048538" s="242"/>
      <c r="FM1048538" s="242"/>
      <c r="FN1048538" s="242"/>
      <c r="FO1048538" s="242"/>
      <c r="FP1048538" s="242"/>
      <c r="FQ1048538" s="242"/>
      <c r="FR1048538" s="242"/>
      <c r="FS1048538" s="242"/>
      <c r="FT1048538" s="242"/>
      <c r="FU1048538" s="242"/>
      <c r="FV1048538" s="242"/>
      <c r="FW1048538" s="242"/>
      <c r="FX1048538" s="242"/>
      <c r="FY1048538" s="242"/>
      <c r="FZ1048538" s="242"/>
      <c r="GA1048538" s="242"/>
      <c r="GB1048538" s="242"/>
      <c r="GC1048538" s="242"/>
      <c r="GD1048538" s="242"/>
      <c r="GE1048538" s="242"/>
      <c r="GF1048538" s="242"/>
      <c r="GG1048538" s="242"/>
      <c r="GH1048538" s="242"/>
      <c r="GI1048538" s="242"/>
      <c r="GJ1048538" s="242"/>
      <c r="GK1048538" s="242"/>
      <c r="GL1048538" s="242"/>
      <c r="GM1048538" s="242"/>
      <c r="GN1048538" s="242"/>
      <c r="GO1048538" s="242"/>
      <c r="GP1048538" s="242"/>
      <c r="GQ1048538" s="242"/>
      <c r="GR1048538" s="242"/>
      <c r="GS1048538" s="242"/>
      <c r="GT1048538" s="242"/>
      <c r="GU1048538" s="242"/>
      <c r="GV1048538" s="242"/>
      <c r="GW1048538" s="242"/>
      <c r="GX1048538" s="242"/>
      <c r="GY1048538" s="242"/>
      <c r="GZ1048538" s="242"/>
      <c r="HA1048538" s="242"/>
      <c r="HB1048538" s="242"/>
      <c r="HC1048538" s="242"/>
      <c r="HD1048538" s="242"/>
      <c r="HE1048538" s="242"/>
      <c r="HF1048538" s="242"/>
      <c r="HG1048538" s="242"/>
      <c r="HH1048538" s="242"/>
      <c r="HI1048538" s="242"/>
      <c r="HJ1048538" s="242"/>
      <c r="HK1048538" s="242"/>
      <c r="HL1048538" s="242"/>
      <c r="HM1048538" s="242"/>
      <c r="HN1048538" s="242"/>
      <c r="HO1048538" s="242"/>
      <c r="HP1048538" s="242"/>
      <c r="HQ1048538" s="242"/>
      <c r="HR1048538" s="242"/>
      <c r="HS1048538" s="242"/>
      <c r="HT1048538" s="242"/>
      <c r="HU1048538" s="242"/>
      <c r="HV1048538" s="242"/>
      <c r="HW1048538" s="242"/>
      <c r="HX1048538" s="242"/>
      <c r="HY1048538" s="242"/>
      <c r="HZ1048538" s="242"/>
      <c r="IA1048538" s="242"/>
      <c r="IB1048538" s="242"/>
      <c r="IC1048538" s="242"/>
      <c r="ID1048538" s="242"/>
      <c r="IE1048538" s="242"/>
      <c r="IF1048538" s="242"/>
      <c r="IG1048538" s="242"/>
      <c r="IH1048538" s="242"/>
      <c r="II1048538" s="242"/>
      <c r="IJ1048538" s="242"/>
      <c r="IK1048538" s="242"/>
      <c r="IL1048538" s="242"/>
      <c r="IM1048538" s="242"/>
      <c r="IN1048538" s="242"/>
      <c r="IO1048538" s="242"/>
      <c r="IP1048538" s="242"/>
      <c r="IQ1048538" s="242"/>
    </row>
    <row r="1048539" spans="1:251" s="243" customFormat="1" ht="12.6" customHeight="1">
      <c r="A1048539" s="242"/>
      <c r="B1048539" s="242"/>
      <c r="C1048539" s="242"/>
      <c r="D1048539" s="242"/>
      <c r="E1048539" s="242"/>
      <c r="F1048539" s="242"/>
      <c r="G1048539" s="242"/>
      <c r="H1048539" s="242"/>
      <c r="I1048539" s="242"/>
      <c r="J1048539" s="242"/>
      <c r="K1048539" s="242"/>
      <c r="L1048539" s="242"/>
      <c r="M1048539" s="242"/>
      <c r="N1048539" s="242"/>
      <c r="O1048539" s="242"/>
      <c r="P1048539" s="242"/>
      <c r="Q1048539" s="242"/>
      <c r="R1048539" s="242"/>
      <c r="S1048539" s="242"/>
      <c r="T1048539" s="242"/>
      <c r="U1048539" s="242"/>
      <c r="V1048539" s="242"/>
      <c r="W1048539" s="242"/>
      <c r="X1048539" s="242"/>
      <c r="Y1048539" s="242"/>
      <c r="Z1048539" s="242"/>
      <c r="AA1048539" s="242"/>
      <c r="AB1048539" s="242"/>
      <c r="AC1048539" s="242"/>
      <c r="AD1048539" s="242"/>
      <c r="AE1048539" s="242"/>
      <c r="AF1048539" s="242"/>
      <c r="AG1048539" s="242"/>
      <c r="AH1048539" s="242"/>
      <c r="AI1048539" s="242"/>
      <c r="AJ1048539" s="242"/>
      <c r="AK1048539" s="242"/>
      <c r="AL1048539" s="242"/>
      <c r="AM1048539" s="242"/>
      <c r="AN1048539" s="242"/>
      <c r="AO1048539" s="242"/>
      <c r="AP1048539" s="242"/>
      <c r="AQ1048539" s="242"/>
      <c r="AR1048539" s="242"/>
      <c r="AS1048539" s="242"/>
      <c r="AT1048539" s="242"/>
      <c r="AU1048539" s="242"/>
      <c r="AV1048539" s="242"/>
      <c r="AW1048539" s="242"/>
      <c r="AX1048539" s="242"/>
      <c r="AY1048539" s="242"/>
      <c r="AZ1048539" s="242"/>
      <c r="BA1048539" s="242"/>
      <c r="BB1048539" s="242"/>
      <c r="BC1048539" s="242"/>
      <c r="BD1048539" s="242"/>
      <c r="BE1048539" s="242"/>
      <c r="BF1048539" s="242"/>
      <c r="BG1048539" s="242"/>
      <c r="BH1048539" s="242"/>
      <c r="BI1048539" s="242"/>
      <c r="BJ1048539" s="242"/>
      <c r="BK1048539" s="242"/>
      <c r="BL1048539" s="242"/>
      <c r="BM1048539" s="242"/>
      <c r="BN1048539" s="242"/>
      <c r="BO1048539" s="242"/>
      <c r="BP1048539" s="242"/>
      <c r="BQ1048539" s="242"/>
      <c r="BR1048539" s="242"/>
      <c r="BS1048539" s="242"/>
      <c r="BT1048539" s="242"/>
      <c r="BU1048539" s="242"/>
      <c r="BV1048539" s="242"/>
      <c r="BW1048539" s="242"/>
      <c r="BX1048539" s="242"/>
      <c r="BY1048539" s="242"/>
      <c r="BZ1048539" s="242"/>
      <c r="CA1048539" s="242"/>
      <c r="CB1048539" s="242"/>
      <c r="CC1048539" s="242"/>
      <c r="CD1048539" s="242"/>
      <c r="CE1048539" s="242"/>
      <c r="CF1048539" s="242"/>
      <c r="CG1048539" s="242"/>
      <c r="CH1048539" s="242"/>
      <c r="CI1048539" s="242"/>
      <c r="CJ1048539" s="242"/>
      <c r="CK1048539" s="242"/>
      <c r="CL1048539" s="242"/>
      <c r="CM1048539" s="242"/>
      <c r="CN1048539" s="242"/>
      <c r="CO1048539" s="242"/>
      <c r="CP1048539" s="242"/>
      <c r="CQ1048539" s="242"/>
      <c r="CR1048539" s="242"/>
      <c r="CS1048539" s="242"/>
      <c r="CT1048539" s="242"/>
      <c r="CU1048539" s="242"/>
      <c r="CV1048539" s="242"/>
      <c r="CW1048539" s="242"/>
      <c r="CX1048539" s="242"/>
      <c r="CY1048539" s="242"/>
      <c r="CZ1048539" s="242"/>
      <c r="DA1048539" s="242"/>
      <c r="DB1048539" s="242"/>
      <c r="DC1048539" s="242"/>
      <c r="DD1048539" s="242"/>
      <c r="DE1048539" s="242"/>
      <c r="DF1048539" s="242"/>
      <c r="DG1048539" s="242"/>
      <c r="DH1048539" s="242"/>
      <c r="DI1048539" s="242"/>
      <c r="DJ1048539" s="242"/>
      <c r="DK1048539" s="242"/>
      <c r="DL1048539" s="242"/>
      <c r="DM1048539" s="242"/>
      <c r="DN1048539" s="242"/>
      <c r="DO1048539" s="242"/>
      <c r="DP1048539" s="242"/>
      <c r="DQ1048539" s="242"/>
      <c r="DR1048539" s="242"/>
      <c r="DS1048539" s="242"/>
      <c r="DT1048539" s="242"/>
      <c r="DU1048539" s="242"/>
      <c r="DV1048539" s="242"/>
      <c r="DW1048539" s="242"/>
      <c r="DX1048539" s="242"/>
      <c r="DY1048539" s="242"/>
      <c r="DZ1048539" s="242"/>
      <c r="EA1048539" s="242"/>
      <c r="EB1048539" s="242"/>
      <c r="EC1048539" s="242"/>
      <c r="ED1048539" s="242"/>
      <c r="EE1048539" s="242"/>
      <c r="EF1048539" s="242"/>
      <c r="EG1048539" s="242"/>
      <c r="EH1048539" s="242"/>
      <c r="EI1048539" s="242"/>
      <c r="EJ1048539" s="242"/>
      <c r="EK1048539" s="242"/>
      <c r="EL1048539" s="242"/>
      <c r="EM1048539" s="242"/>
      <c r="EN1048539" s="242"/>
      <c r="EO1048539" s="242"/>
      <c r="EP1048539" s="242"/>
      <c r="EQ1048539" s="242"/>
      <c r="ER1048539" s="242"/>
      <c r="ES1048539" s="242"/>
      <c r="ET1048539" s="242"/>
      <c r="EU1048539" s="242"/>
      <c r="EV1048539" s="242"/>
      <c r="EW1048539" s="242"/>
      <c r="EX1048539" s="242"/>
      <c r="EY1048539" s="242"/>
      <c r="EZ1048539" s="242"/>
      <c r="FA1048539" s="242"/>
      <c r="FB1048539" s="242"/>
      <c r="FC1048539" s="242"/>
      <c r="FD1048539" s="242"/>
      <c r="FE1048539" s="242"/>
      <c r="FF1048539" s="242"/>
      <c r="FG1048539" s="242"/>
      <c r="FH1048539" s="242"/>
      <c r="FI1048539" s="242"/>
      <c r="FJ1048539" s="242"/>
      <c r="FK1048539" s="242"/>
      <c r="FL1048539" s="242"/>
      <c r="FM1048539" s="242"/>
      <c r="FN1048539" s="242"/>
      <c r="FO1048539" s="242"/>
      <c r="FP1048539" s="242"/>
      <c r="FQ1048539" s="242"/>
      <c r="FR1048539" s="242"/>
      <c r="FS1048539" s="242"/>
      <c r="FT1048539" s="242"/>
      <c r="FU1048539" s="242"/>
      <c r="FV1048539" s="242"/>
      <c r="FW1048539" s="242"/>
      <c r="FX1048539" s="242"/>
      <c r="FY1048539" s="242"/>
      <c r="FZ1048539" s="242"/>
      <c r="GA1048539" s="242"/>
      <c r="GB1048539" s="242"/>
      <c r="GC1048539" s="242"/>
      <c r="GD1048539" s="242"/>
      <c r="GE1048539" s="242"/>
      <c r="GF1048539" s="242"/>
      <c r="GG1048539" s="242"/>
      <c r="GH1048539" s="242"/>
      <c r="GI1048539" s="242"/>
      <c r="GJ1048539" s="242"/>
      <c r="GK1048539" s="242"/>
      <c r="GL1048539" s="242"/>
      <c r="GM1048539" s="242"/>
      <c r="GN1048539" s="242"/>
      <c r="GO1048539" s="242"/>
      <c r="GP1048539" s="242"/>
      <c r="GQ1048539" s="242"/>
      <c r="GR1048539" s="242"/>
      <c r="GS1048539" s="242"/>
      <c r="GT1048539" s="242"/>
      <c r="GU1048539" s="242"/>
      <c r="GV1048539" s="242"/>
      <c r="GW1048539" s="242"/>
      <c r="GX1048539" s="242"/>
      <c r="GY1048539" s="242"/>
      <c r="GZ1048539" s="242"/>
      <c r="HA1048539" s="242"/>
      <c r="HB1048539" s="242"/>
      <c r="HC1048539" s="242"/>
      <c r="HD1048539" s="242"/>
      <c r="HE1048539" s="242"/>
      <c r="HF1048539" s="242"/>
      <c r="HG1048539" s="242"/>
      <c r="HH1048539" s="242"/>
      <c r="HI1048539" s="242"/>
      <c r="HJ1048539" s="242"/>
      <c r="HK1048539" s="242"/>
      <c r="HL1048539" s="242"/>
      <c r="HM1048539" s="242"/>
      <c r="HN1048539" s="242"/>
      <c r="HO1048539" s="242"/>
      <c r="HP1048539" s="242"/>
      <c r="HQ1048539" s="242"/>
      <c r="HR1048539" s="242"/>
      <c r="HS1048539" s="242"/>
      <c r="HT1048539" s="242"/>
      <c r="HU1048539" s="242"/>
      <c r="HV1048539" s="242"/>
      <c r="HW1048539" s="242"/>
      <c r="HX1048539" s="242"/>
      <c r="HY1048539" s="242"/>
      <c r="HZ1048539" s="242"/>
      <c r="IA1048539" s="242"/>
      <c r="IB1048539" s="242"/>
      <c r="IC1048539" s="242"/>
      <c r="ID1048539" s="242"/>
      <c r="IE1048539" s="242"/>
      <c r="IF1048539" s="242"/>
      <c r="IG1048539" s="242"/>
      <c r="IH1048539" s="242"/>
      <c r="II1048539" s="242"/>
      <c r="IJ1048539" s="242"/>
      <c r="IK1048539" s="242"/>
      <c r="IL1048539" s="242"/>
      <c r="IM1048539" s="242"/>
      <c r="IN1048539" s="242"/>
      <c r="IO1048539" s="242"/>
      <c r="IP1048539" s="242"/>
      <c r="IQ1048539" s="242"/>
    </row>
    <row r="1048540" spans="1:251" s="243" customFormat="1" ht="12.6" customHeight="1">
      <c r="A1048540" s="242"/>
      <c r="B1048540" s="242"/>
      <c r="C1048540" s="242"/>
      <c r="D1048540" s="242"/>
      <c r="E1048540" s="242"/>
      <c r="F1048540" s="242"/>
      <c r="G1048540" s="242"/>
      <c r="H1048540" s="242"/>
      <c r="I1048540" s="242"/>
      <c r="J1048540" s="242"/>
      <c r="K1048540" s="242"/>
      <c r="L1048540" s="242"/>
      <c r="M1048540" s="242"/>
      <c r="N1048540" s="242"/>
      <c r="O1048540" s="242"/>
      <c r="P1048540" s="242"/>
      <c r="Q1048540" s="242"/>
      <c r="R1048540" s="242"/>
      <c r="S1048540" s="242"/>
      <c r="T1048540" s="242"/>
      <c r="U1048540" s="242"/>
      <c r="V1048540" s="242"/>
      <c r="W1048540" s="242"/>
      <c r="X1048540" s="242"/>
      <c r="Y1048540" s="242"/>
      <c r="Z1048540" s="242"/>
      <c r="AA1048540" s="242"/>
      <c r="AB1048540" s="242"/>
      <c r="AC1048540" s="242"/>
      <c r="AD1048540" s="242"/>
      <c r="AE1048540" s="242"/>
      <c r="AF1048540" s="242"/>
      <c r="AG1048540" s="242"/>
      <c r="AH1048540" s="242"/>
      <c r="AI1048540" s="242"/>
      <c r="AJ1048540" s="242"/>
      <c r="AK1048540" s="242"/>
      <c r="AL1048540" s="242"/>
      <c r="AM1048540" s="242"/>
      <c r="AN1048540" s="242"/>
      <c r="AO1048540" s="242"/>
      <c r="AP1048540" s="242"/>
      <c r="AQ1048540" s="242"/>
      <c r="AR1048540" s="242"/>
      <c r="AS1048540" s="242"/>
      <c r="AT1048540" s="242"/>
      <c r="AU1048540" s="242"/>
      <c r="AV1048540" s="242"/>
      <c r="AW1048540" s="242"/>
      <c r="AX1048540" s="242"/>
      <c r="AY1048540" s="242"/>
      <c r="AZ1048540" s="242"/>
      <c r="BA1048540" s="242"/>
      <c r="BB1048540" s="242"/>
      <c r="BC1048540" s="242"/>
      <c r="BD1048540" s="242"/>
      <c r="BE1048540" s="242"/>
      <c r="BF1048540" s="242"/>
      <c r="BG1048540" s="242"/>
      <c r="BH1048540" s="242"/>
      <c r="BI1048540" s="242"/>
      <c r="BJ1048540" s="242"/>
      <c r="BK1048540" s="242"/>
      <c r="BL1048540" s="242"/>
      <c r="BM1048540" s="242"/>
      <c r="BN1048540" s="242"/>
      <c r="BO1048540" s="242"/>
      <c r="BP1048540" s="242"/>
      <c r="BQ1048540" s="242"/>
      <c r="BR1048540" s="242"/>
      <c r="BS1048540" s="242"/>
      <c r="BT1048540" s="242"/>
      <c r="BU1048540" s="242"/>
      <c r="BV1048540" s="242"/>
      <c r="BW1048540" s="242"/>
      <c r="BX1048540" s="242"/>
      <c r="BY1048540" s="242"/>
      <c r="BZ1048540" s="242"/>
      <c r="CA1048540" s="242"/>
      <c r="CB1048540" s="242"/>
      <c r="CC1048540" s="242"/>
      <c r="CD1048540" s="242"/>
      <c r="CE1048540" s="242"/>
      <c r="CF1048540" s="242"/>
      <c r="CG1048540" s="242"/>
      <c r="CH1048540" s="242"/>
      <c r="CI1048540" s="242"/>
      <c r="CJ1048540" s="242"/>
      <c r="CK1048540" s="242"/>
      <c r="CL1048540" s="242"/>
      <c r="CM1048540" s="242"/>
      <c r="CN1048540" s="242"/>
      <c r="CO1048540" s="242"/>
      <c r="CP1048540" s="242"/>
      <c r="CQ1048540" s="242"/>
      <c r="CR1048540" s="242"/>
      <c r="CS1048540" s="242"/>
      <c r="CT1048540" s="242"/>
      <c r="CU1048540" s="242"/>
      <c r="CV1048540" s="242"/>
      <c r="CW1048540" s="242"/>
      <c r="CX1048540" s="242"/>
      <c r="CY1048540" s="242"/>
      <c r="CZ1048540" s="242"/>
      <c r="DA1048540" s="242"/>
      <c r="DB1048540" s="242"/>
      <c r="DC1048540" s="242"/>
      <c r="DD1048540" s="242"/>
      <c r="DE1048540" s="242"/>
      <c r="DF1048540" s="242"/>
      <c r="DG1048540" s="242"/>
      <c r="DH1048540" s="242"/>
      <c r="DI1048540" s="242"/>
      <c r="DJ1048540" s="242"/>
      <c r="DK1048540" s="242"/>
      <c r="DL1048540" s="242"/>
      <c r="DM1048540" s="242"/>
      <c r="DN1048540" s="242"/>
      <c r="DO1048540" s="242"/>
      <c r="DP1048540" s="242"/>
      <c r="DQ1048540" s="242"/>
      <c r="DR1048540" s="242"/>
      <c r="DS1048540" s="242"/>
      <c r="DT1048540" s="242"/>
      <c r="DU1048540" s="242"/>
      <c r="DV1048540" s="242"/>
      <c r="DW1048540" s="242"/>
      <c r="DX1048540" s="242"/>
      <c r="DY1048540" s="242"/>
      <c r="DZ1048540" s="242"/>
      <c r="EA1048540" s="242"/>
      <c r="EB1048540" s="242"/>
      <c r="EC1048540" s="242"/>
      <c r="ED1048540" s="242"/>
      <c r="EE1048540" s="242"/>
      <c r="EF1048540" s="242"/>
      <c r="EG1048540" s="242"/>
      <c r="EH1048540" s="242"/>
      <c r="EI1048540" s="242"/>
      <c r="EJ1048540" s="242"/>
      <c r="EK1048540" s="242"/>
      <c r="EL1048540" s="242"/>
      <c r="EM1048540" s="242"/>
      <c r="EN1048540" s="242"/>
      <c r="EO1048540" s="242"/>
      <c r="EP1048540" s="242"/>
      <c r="EQ1048540" s="242"/>
      <c r="ER1048540" s="242"/>
      <c r="ES1048540" s="242"/>
      <c r="ET1048540" s="242"/>
      <c r="EU1048540" s="242"/>
      <c r="EV1048540" s="242"/>
      <c r="EW1048540" s="242"/>
      <c r="EX1048540" s="242"/>
      <c r="EY1048540" s="242"/>
      <c r="EZ1048540" s="242"/>
      <c r="FA1048540" s="242"/>
      <c r="FB1048540" s="242"/>
      <c r="FC1048540" s="242"/>
      <c r="FD1048540" s="242"/>
      <c r="FE1048540" s="242"/>
      <c r="FF1048540" s="242"/>
      <c r="FG1048540" s="242"/>
      <c r="FH1048540" s="242"/>
      <c r="FI1048540" s="242"/>
      <c r="FJ1048540" s="242"/>
      <c r="FK1048540" s="242"/>
      <c r="FL1048540" s="242"/>
      <c r="FM1048540" s="242"/>
      <c r="FN1048540" s="242"/>
      <c r="FO1048540" s="242"/>
      <c r="FP1048540" s="242"/>
      <c r="FQ1048540" s="242"/>
      <c r="FR1048540" s="242"/>
      <c r="FS1048540" s="242"/>
      <c r="FT1048540" s="242"/>
      <c r="FU1048540" s="242"/>
      <c r="FV1048540" s="242"/>
      <c r="FW1048540" s="242"/>
      <c r="FX1048540" s="242"/>
      <c r="FY1048540" s="242"/>
      <c r="FZ1048540" s="242"/>
      <c r="GA1048540" s="242"/>
      <c r="GB1048540" s="242"/>
      <c r="GC1048540" s="242"/>
      <c r="GD1048540" s="242"/>
      <c r="GE1048540" s="242"/>
      <c r="GF1048540" s="242"/>
      <c r="GG1048540" s="242"/>
      <c r="GH1048540" s="242"/>
      <c r="GI1048540" s="242"/>
      <c r="GJ1048540" s="242"/>
      <c r="GK1048540" s="242"/>
      <c r="GL1048540" s="242"/>
      <c r="GM1048540" s="242"/>
      <c r="GN1048540" s="242"/>
      <c r="GO1048540" s="242"/>
      <c r="GP1048540" s="242"/>
      <c r="GQ1048540" s="242"/>
      <c r="GR1048540" s="242"/>
      <c r="GS1048540" s="242"/>
      <c r="GT1048540" s="242"/>
      <c r="GU1048540" s="242"/>
      <c r="GV1048540" s="242"/>
      <c r="GW1048540" s="242"/>
      <c r="GX1048540" s="242"/>
      <c r="GY1048540" s="242"/>
      <c r="GZ1048540" s="242"/>
      <c r="HA1048540" s="242"/>
      <c r="HB1048540" s="242"/>
      <c r="HC1048540" s="242"/>
      <c r="HD1048540" s="242"/>
      <c r="HE1048540" s="242"/>
      <c r="HF1048540" s="242"/>
      <c r="HG1048540" s="242"/>
      <c r="HH1048540" s="242"/>
      <c r="HI1048540" s="242"/>
      <c r="HJ1048540" s="242"/>
      <c r="HK1048540" s="242"/>
      <c r="HL1048540" s="242"/>
      <c r="HM1048540" s="242"/>
      <c r="HN1048540" s="242"/>
      <c r="HO1048540" s="242"/>
      <c r="HP1048540" s="242"/>
      <c r="HQ1048540" s="242"/>
      <c r="HR1048540" s="242"/>
      <c r="HS1048540" s="242"/>
      <c r="HT1048540" s="242"/>
      <c r="HU1048540" s="242"/>
      <c r="HV1048540" s="242"/>
      <c r="HW1048540" s="242"/>
      <c r="HX1048540" s="242"/>
      <c r="HY1048540" s="242"/>
      <c r="HZ1048540" s="242"/>
      <c r="IA1048540" s="242"/>
      <c r="IB1048540" s="242"/>
      <c r="IC1048540" s="242"/>
      <c r="ID1048540" s="242"/>
      <c r="IE1048540" s="242"/>
      <c r="IF1048540" s="242"/>
      <c r="IG1048540" s="242"/>
      <c r="IH1048540" s="242"/>
      <c r="II1048540" s="242"/>
      <c r="IJ1048540" s="242"/>
      <c r="IK1048540" s="242"/>
      <c r="IL1048540" s="242"/>
      <c r="IM1048540" s="242"/>
      <c r="IN1048540" s="242"/>
      <c r="IO1048540" s="242"/>
      <c r="IP1048540" s="242"/>
      <c r="IQ1048540" s="242"/>
    </row>
    <row r="1048541" spans="1:251" s="243" customFormat="1" ht="12.6" customHeight="1">
      <c r="A1048541" s="242"/>
      <c r="B1048541" s="242"/>
      <c r="C1048541" s="242"/>
      <c r="D1048541" s="242"/>
      <c r="E1048541" s="242"/>
      <c r="F1048541" s="242"/>
      <c r="G1048541" s="242"/>
      <c r="H1048541" s="242"/>
      <c r="I1048541" s="242"/>
      <c r="J1048541" s="242"/>
      <c r="K1048541" s="242"/>
      <c r="L1048541" s="242"/>
      <c r="M1048541" s="242"/>
      <c r="N1048541" s="242"/>
      <c r="O1048541" s="242"/>
      <c r="P1048541" s="242"/>
      <c r="Q1048541" s="242"/>
      <c r="R1048541" s="242"/>
      <c r="S1048541" s="242"/>
      <c r="T1048541" s="242"/>
      <c r="U1048541" s="242"/>
      <c r="V1048541" s="242"/>
      <c r="W1048541" s="242"/>
      <c r="X1048541" s="242"/>
      <c r="Y1048541" s="242"/>
      <c r="Z1048541" s="242"/>
      <c r="AA1048541" s="242"/>
      <c r="AB1048541" s="242"/>
      <c r="AC1048541" s="242"/>
      <c r="AD1048541" s="242"/>
      <c r="AE1048541" s="242"/>
      <c r="AF1048541" s="242"/>
      <c r="AG1048541" s="242"/>
      <c r="AH1048541" s="242"/>
      <c r="AI1048541" s="242"/>
      <c r="AJ1048541" s="242"/>
      <c r="AK1048541" s="242"/>
      <c r="AL1048541" s="242"/>
      <c r="AM1048541" s="242"/>
      <c r="AN1048541" s="242"/>
      <c r="AO1048541" s="242"/>
      <c r="AP1048541" s="242"/>
      <c r="AQ1048541" s="242"/>
      <c r="AR1048541" s="242"/>
      <c r="AS1048541" s="242"/>
      <c r="AT1048541" s="242"/>
      <c r="AU1048541" s="242"/>
      <c r="AV1048541" s="242"/>
      <c r="AW1048541" s="242"/>
      <c r="AX1048541" s="242"/>
      <c r="AY1048541" s="242"/>
      <c r="AZ1048541" s="242"/>
      <c r="BA1048541" s="242"/>
      <c r="BB1048541" s="242"/>
      <c r="BC1048541" s="242"/>
      <c r="BD1048541" s="242"/>
      <c r="BE1048541" s="242"/>
      <c r="BF1048541" s="242"/>
      <c r="BG1048541" s="242"/>
      <c r="BH1048541" s="242"/>
      <c r="BI1048541" s="242"/>
      <c r="BJ1048541" s="242"/>
      <c r="BK1048541" s="242"/>
      <c r="BL1048541" s="242"/>
      <c r="BM1048541" s="242"/>
      <c r="BN1048541" s="242"/>
      <c r="BO1048541" s="242"/>
      <c r="BP1048541" s="242"/>
      <c r="BQ1048541" s="242"/>
      <c r="BR1048541" s="242"/>
      <c r="BS1048541" s="242"/>
      <c r="BT1048541" s="242"/>
      <c r="BU1048541" s="242"/>
      <c r="BV1048541" s="242"/>
      <c r="BW1048541" s="242"/>
      <c r="BX1048541" s="242"/>
      <c r="BY1048541" s="242"/>
      <c r="BZ1048541" s="242"/>
      <c r="CA1048541" s="242"/>
      <c r="CB1048541" s="242"/>
      <c r="CC1048541" s="242"/>
      <c r="CD1048541" s="242"/>
      <c r="CE1048541" s="242"/>
      <c r="CF1048541" s="242"/>
      <c r="CG1048541" s="242"/>
      <c r="CH1048541" s="242"/>
      <c r="CI1048541" s="242"/>
      <c r="CJ1048541" s="242"/>
      <c r="CK1048541" s="242"/>
      <c r="CL1048541" s="242"/>
      <c r="CM1048541" s="242"/>
      <c r="CN1048541" s="242"/>
      <c r="CO1048541" s="242"/>
      <c r="CP1048541" s="242"/>
      <c r="CQ1048541" s="242"/>
      <c r="CR1048541" s="242"/>
      <c r="CS1048541" s="242"/>
      <c r="CT1048541" s="242"/>
      <c r="CU1048541" s="242"/>
      <c r="CV1048541" s="242"/>
      <c r="CW1048541" s="242"/>
      <c r="CX1048541" s="242"/>
      <c r="CY1048541" s="242"/>
      <c r="CZ1048541" s="242"/>
      <c r="DA1048541" s="242"/>
      <c r="DB1048541" s="242"/>
      <c r="DC1048541" s="242"/>
      <c r="DD1048541" s="242"/>
      <c r="DE1048541" s="242"/>
      <c r="DF1048541" s="242"/>
      <c r="DG1048541" s="242"/>
      <c r="DH1048541" s="242"/>
      <c r="DI1048541" s="242"/>
      <c r="DJ1048541" s="242"/>
      <c r="DK1048541" s="242"/>
      <c r="DL1048541" s="242"/>
      <c r="DM1048541" s="242"/>
      <c r="DN1048541" s="242"/>
      <c r="DO1048541" s="242"/>
      <c r="DP1048541" s="242"/>
      <c r="DQ1048541" s="242"/>
      <c r="DR1048541" s="242"/>
      <c r="DS1048541" s="242"/>
      <c r="DT1048541" s="242"/>
      <c r="DU1048541" s="242"/>
      <c r="DV1048541" s="242"/>
      <c r="DW1048541" s="242"/>
      <c r="DX1048541" s="242"/>
      <c r="DY1048541" s="242"/>
      <c r="DZ1048541" s="242"/>
      <c r="EA1048541" s="242"/>
      <c r="EB1048541" s="242"/>
      <c r="EC1048541" s="242"/>
      <c r="ED1048541" s="242"/>
      <c r="EE1048541" s="242"/>
      <c r="EF1048541" s="242"/>
      <c r="EG1048541" s="242"/>
      <c r="EH1048541" s="242"/>
      <c r="EI1048541" s="242"/>
      <c r="EJ1048541" s="242"/>
      <c r="EK1048541" s="242"/>
      <c r="EL1048541" s="242"/>
      <c r="EM1048541" s="242"/>
      <c r="EN1048541" s="242"/>
      <c r="EO1048541" s="242"/>
      <c r="EP1048541" s="242"/>
      <c r="EQ1048541" s="242"/>
      <c r="ER1048541" s="242"/>
      <c r="ES1048541" s="242"/>
      <c r="ET1048541" s="242"/>
      <c r="EU1048541" s="242"/>
      <c r="EV1048541" s="242"/>
      <c r="EW1048541" s="242"/>
      <c r="EX1048541" s="242"/>
      <c r="EY1048541" s="242"/>
      <c r="EZ1048541" s="242"/>
      <c r="FA1048541" s="242"/>
      <c r="FB1048541" s="242"/>
      <c r="FC1048541" s="242"/>
      <c r="FD1048541" s="242"/>
      <c r="FE1048541" s="242"/>
      <c r="FF1048541" s="242"/>
      <c r="FG1048541" s="242"/>
      <c r="FH1048541" s="242"/>
      <c r="FI1048541" s="242"/>
      <c r="FJ1048541" s="242"/>
      <c r="FK1048541" s="242"/>
      <c r="FL1048541" s="242"/>
      <c r="FM1048541" s="242"/>
      <c r="FN1048541" s="242"/>
      <c r="FO1048541" s="242"/>
      <c r="FP1048541" s="242"/>
      <c r="FQ1048541" s="242"/>
      <c r="FR1048541" s="242"/>
      <c r="FS1048541" s="242"/>
      <c r="FT1048541" s="242"/>
      <c r="FU1048541" s="242"/>
      <c r="FV1048541" s="242"/>
      <c r="FW1048541" s="242"/>
      <c r="FX1048541" s="242"/>
      <c r="FY1048541" s="242"/>
      <c r="FZ1048541" s="242"/>
      <c r="GA1048541" s="242"/>
      <c r="GB1048541" s="242"/>
      <c r="GC1048541" s="242"/>
      <c r="GD1048541" s="242"/>
      <c r="GE1048541" s="242"/>
      <c r="GF1048541" s="242"/>
      <c r="GG1048541" s="242"/>
      <c r="GH1048541" s="242"/>
      <c r="GI1048541" s="242"/>
      <c r="GJ1048541" s="242"/>
      <c r="GK1048541" s="242"/>
      <c r="GL1048541" s="242"/>
      <c r="GM1048541" s="242"/>
      <c r="GN1048541" s="242"/>
      <c r="GO1048541" s="242"/>
      <c r="GP1048541" s="242"/>
      <c r="GQ1048541" s="242"/>
      <c r="GR1048541" s="242"/>
      <c r="GS1048541" s="242"/>
      <c r="GT1048541" s="242"/>
      <c r="GU1048541" s="242"/>
      <c r="GV1048541" s="242"/>
      <c r="GW1048541" s="242"/>
      <c r="GX1048541" s="242"/>
      <c r="GY1048541" s="242"/>
      <c r="GZ1048541" s="242"/>
      <c r="HA1048541" s="242"/>
      <c r="HB1048541" s="242"/>
      <c r="HC1048541" s="242"/>
      <c r="HD1048541" s="242"/>
      <c r="HE1048541" s="242"/>
      <c r="HF1048541" s="242"/>
      <c r="HG1048541" s="242"/>
      <c r="HH1048541" s="242"/>
      <c r="HI1048541" s="242"/>
      <c r="HJ1048541" s="242"/>
      <c r="HK1048541" s="242"/>
      <c r="HL1048541" s="242"/>
      <c r="HM1048541" s="242"/>
      <c r="HN1048541" s="242"/>
      <c r="HO1048541" s="242"/>
      <c r="HP1048541" s="242"/>
      <c r="HQ1048541" s="242"/>
      <c r="HR1048541" s="242"/>
      <c r="HS1048541" s="242"/>
      <c r="HT1048541" s="242"/>
      <c r="HU1048541" s="242"/>
      <c r="HV1048541" s="242"/>
      <c r="HW1048541" s="242"/>
      <c r="HX1048541" s="242"/>
      <c r="HY1048541" s="242"/>
      <c r="HZ1048541" s="242"/>
      <c r="IA1048541" s="242"/>
      <c r="IB1048541" s="242"/>
      <c r="IC1048541" s="242"/>
      <c r="ID1048541" s="242"/>
      <c r="IE1048541" s="242"/>
      <c r="IF1048541" s="242"/>
      <c r="IG1048541" s="242"/>
      <c r="IH1048541" s="242"/>
      <c r="II1048541" s="242"/>
      <c r="IJ1048541" s="242"/>
      <c r="IK1048541" s="242"/>
      <c r="IL1048541" s="242"/>
      <c r="IM1048541" s="242"/>
      <c r="IN1048541" s="242"/>
      <c r="IO1048541" s="242"/>
      <c r="IP1048541" s="242"/>
      <c r="IQ1048541" s="242"/>
    </row>
    <row r="1048542" spans="1:251" s="243" customFormat="1" ht="12.6" customHeight="1">
      <c r="A1048542" s="242"/>
      <c r="B1048542" s="242"/>
      <c r="C1048542" s="242"/>
      <c r="D1048542" s="242"/>
      <c r="E1048542" s="242"/>
      <c r="F1048542" s="242"/>
      <c r="G1048542" s="242"/>
      <c r="H1048542" s="242"/>
      <c r="I1048542" s="242"/>
      <c r="J1048542" s="242"/>
      <c r="K1048542" s="242"/>
      <c r="L1048542" s="242"/>
      <c r="M1048542" s="242"/>
      <c r="N1048542" s="242"/>
      <c r="O1048542" s="242"/>
      <c r="P1048542" s="242"/>
      <c r="Q1048542" s="242"/>
      <c r="R1048542" s="242"/>
      <c r="S1048542" s="242"/>
      <c r="T1048542" s="242"/>
      <c r="U1048542" s="242"/>
      <c r="V1048542" s="242"/>
      <c r="W1048542" s="242"/>
      <c r="X1048542" s="242"/>
      <c r="Y1048542" s="242"/>
      <c r="Z1048542" s="242"/>
      <c r="AA1048542" s="242"/>
      <c r="AB1048542" s="242"/>
      <c r="AC1048542" s="242"/>
      <c r="AD1048542" s="242"/>
      <c r="AE1048542" s="242"/>
      <c r="AF1048542" s="242"/>
      <c r="AG1048542" s="242"/>
      <c r="AH1048542" s="242"/>
      <c r="AI1048542" s="242"/>
      <c r="AJ1048542" s="242"/>
      <c r="AK1048542" s="242"/>
      <c r="AL1048542" s="242"/>
      <c r="AM1048542" s="242"/>
      <c r="AN1048542" s="242"/>
      <c r="AO1048542" s="242"/>
      <c r="AP1048542" s="242"/>
      <c r="AQ1048542" s="242"/>
      <c r="AR1048542" s="242"/>
      <c r="AS1048542" s="242"/>
      <c r="AT1048542" s="242"/>
      <c r="AU1048542" s="242"/>
      <c r="AV1048542" s="242"/>
      <c r="AW1048542" s="242"/>
      <c r="AX1048542" s="242"/>
      <c r="AY1048542" s="242"/>
      <c r="AZ1048542" s="242"/>
      <c r="BA1048542" s="242"/>
      <c r="BB1048542" s="242"/>
      <c r="BC1048542" s="242"/>
      <c r="BD1048542" s="242"/>
      <c r="BE1048542" s="242"/>
      <c r="BF1048542" s="242"/>
      <c r="BG1048542" s="242"/>
      <c r="BH1048542" s="242"/>
      <c r="BI1048542" s="242"/>
      <c r="BJ1048542" s="242"/>
      <c r="BK1048542" s="242"/>
      <c r="BL1048542" s="242"/>
      <c r="BM1048542" s="242"/>
      <c r="BN1048542" s="242"/>
      <c r="BO1048542" s="242"/>
      <c r="BP1048542" s="242"/>
      <c r="BQ1048542" s="242"/>
      <c r="BR1048542" s="242"/>
      <c r="BS1048542" s="242"/>
      <c r="BT1048542" s="242"/>
      <c r="BU1048542" s="242"/>
      <c r="BV1048542" s="242"/>
      <c r="BW1048542" s="242"/>
      <c r="BX1048542" s="242"/>
      <c r="BY1048542" s="242"/>
      <c r="BZ1048542" s="242"/>
      <c r="CA1048542" s="242"/>
      <c r="CB1048542" s="242"/>
      <c r="CC1048542" s="242"/>
      <c r="CD1048542" s="242"/>
      <c r="CE1048542" s="242"/>
      <c r="CF1048542" s="242"/>
      <c r="CG1048542" s="242"/>
      <c r="CH1048542" s="242"/>
      <c r="CI1048542" s="242"/>
      <c r="CJ1048542" s="242"/>
      <c r="CK1048542" s="242"/>
      <c r="CL1048542" s="242"/>
      <c r="CM1048542" s="242"/>
      <c r="CN1048542" s="242"/>
      <c r="CO1048542" s="242"/>
      <c r="CP1048542" s="242"/>
      <c r="CQ1048542" s="242"/>
      <c r="CR1048542" s="242"/>
      <c r="CS1048542" s="242"/>
      <c r="CT1048542" s="242"/>
      <c r="CU1048542" s="242"/>
      <c r="CV1048542" s="242"/>
      <c r="CW1048542" s="242"/>
      <c r="CX1048542" s="242"/>
      <c r="CY1048542" s="242"/>
      <c r="CZ1048542" s="242"/>
      <c r="DA1048542" s="242"/>
      <c r="DB1048542" s="242"/>
      <c r="DC1048542" s="242"/>
      <c r="DD1048542" s="242"/>
      <c r="DE1048542" s="242"/>
      <c r="DF1048542" s="242"/>
      <c r="DG1048542" s="242"/>
      <c r="DH1048542" s="242"/>
      <c r="DI1048542" s="242"/>
      <c r="DJ1048542" s="242"/>
      <c r="DK1048542" s="242"/>
      <c r="DL1048542" s="242"/>
      <c r="DM1048542" s="242"/>
      <c r="DN1048542" s="242"/>
      <c r="DO1048542" s="242"/>
      <c r="DP1048542" s="242"/>
      <c r="DQ1048542" s="242"/>
      <c r="DR1048542" s="242"/>
      <c r="DS1048542" s="242"/>
      <c r="DT1048542" s="242"/>
      <c r="DU1048542" s="242"/>
      <c r="DV1048542" s="242"/>
      <c r="DW1048542" s="242"/>
      <c r="DX1048542" s="242"/>
      <c r="DY1048542" s="242"/>
      <c r="DZ1048542" s="242"/>
      <c r="EA1048542" s="242"/>
      <c r="EB1048542" s="242"/>
      <c r="EC1048542" s="242"/>
      <c r="ED1048542" s="242"/>
      <c r="EE1048542" s="242"/>
      <c r="EF1048542" s="242"/>
      <c r="EG1048542" s="242"/>
      <c r="EH1048542" s="242"/>
      <c r="EI1048542" s="242"/>
      <c r="EJ1048542" s="242"/>
      <c r="EK1048542" s="242"/>
      <c r="EL1048542" s="242"/>
      <c r="EM1048542" s="242"/>
      <c r="EN1048542" s="242"/>
      <c r="EO1048542" s="242"/>
      <c r="EP1048542" s="242"/>
      <c r="EQ1048542" s="242"/>
      <c r="ER1048542" s="242"/>
      <c r="ES1048542" s="242"/>
      <c r="ET1048542" s="242"/>
      <c r="EU1048542" s="242"/>
      <c r="EV1048542" s="242"/>
      <c r="EW1048542" s="242"/>
      <c r="EX1048542" s="242"/>
      <c r="EY1048542" s="242"/>
      <c r="EZ1048542" s="242"/>
      <c r="FA1048542" s="242"/>
      <c r="FB1048542" s="242"/>
      <c r="FC1048542" s="242"/>
      <c r="FD1048542" s="242"/>
      <c r="FE1048542" s="242"/>
      <c r="FF1048542" s="242"/>
      <c r="FG1048542" s="242"/>
      <c r="FH1048542" s="242"/>
      <c r="FI1048542" s="242"/>
      <c r="FJ1048542" s="242"/>
      <c r="FK1048542" s="242"/>
      <c r="FL1048542" s="242"/>
      <c r="FM1048542" s="242"/>
      <c r="FN1048542" s="242"/>
      <c r="FO1048542" s="242"/>
      <c r="FP1048542" s="242"/>
      <c r="FQ1048542" s="242"/>
      <c r="FR1048542" s="242"/>
      <c r="FS1048542" s="242"/>
      <c r="FT1048542" s="242"/>
      <c r="FU1048542" s="242"/>
      <c r="FV1048542" s="242"/>
      <c r="FW1048542" s="242"/>
      <c r="FX1048542" s="242"/>
      <c r="FY1048542" s="242"/>
      <c r="FZ1048542" s="242"/>
      <c r="GA1048542" s="242"/>
      <c r="GB1048542" s="242"/>
      <c r="GC1048542" s="242"/>
      <c r="GD1048542" s="242"/>
      <c r="GE1048542" s="242"/>
      <c r="GF1048542" s="242"/>
      <c r="GG1048542" s="242"/>
      <c r="GH1048542" s="242"/>
      <c r="GI1048542" s="242"/>
      <c r="GJ1048542" s="242"/>
      <c r="GK1048542" s="242"/>
      <c r="GL1048542" s="242"/>
      <c r="GM1048542" s="242"/>
      <c r="GN1048542" s="242"/>
      <c r="GO1048542" s="242"/>
      <c r="GP1048542" s="242"/>
      <c r="GQ1048542" s="242"/>
      <c r="GR1048542" s="242"/>
      <c r="GS1048542" s="242"/>
      <c r="GT1048542" s="242"/>
      <c r="GU1048542" s="242"/>
      <c r="GV1048542" s="242"/>
      <c r="GW1048542" s="242"/>
      <c r="GX1048542" s="242"/>
      <c r="GY1048542" s="242"/>
      <c r="GZ1048542" s="242"/>
      <c r="HA1048542" s="242"/>
      <c r="HB1048542" s="242"/>
      <c r="HC1048542" s="242"/>
      <c r="HD1048542" s="242"/>
      <c r="HE1048542" s="242"/>
      <c r="HF1048542" s="242"/>
      <c r="HG1048542" s="242"/>
      <c r="HH1048542" s="242"/>
      <c r="HI1048542" s="242"/>
      <c r="HJ1048542" s="242"/>
      <c r="HK1048542" s="242"/>
      <c r="HL1048542" s="242"/>
      <c r="HM1048542" s="242"/>
      <c r="HN1048542" s="242"/>
      <c r="HO1048542" s="242"/>
      <c r="HP1048542" s="242"/>
      <c r="HQ1048542" s="242"/>
      <c r="HR1048542" s="242"/>
      <c r="HS1048542" s="242"/>
      <c r="HT1048542" s="242"/>
      <c r="HU1048542" s="242"/>
      <c r="HV1048542" s="242"/>
      <c r="HW1048542" s="242"/>
      <c r="HX1048542" s="242"/>
      <c r="HY1048542" s="242"/>
      <c r="HZ1048542" s="242"/>
      <c r="IA1048542" s="242"/>
      <c r="IB1048542" s="242"/>
      <c r="IC1048542" s="242"/>
      <c r="ID1048542" s="242"/>
      <c r="IE1048542" s="242"/>
      <c r="IF1048542" s="242"/>
      <c r="IG1048542" s="242"/>
      <c r="IH1048542" s="242"/>
      <c r="II1048542" s="242"/>
      <c r="IJ1048542" s="242"/>
      <c r="IK1048542" s="242"/>
      <c r="IL1048542" s="242"/>
      <c r="IM1048542" s="242"/>
      <c r="IN1048542" s="242"/>
      <c r="IO1048542" s="242"/>
      <c r="IP1048542" s="242"/>
      <c r="IQ1048542" s="242"/>
    </row>
    <row r="1048543" spans="1:251" s="243" customFormat="1" ht="12.6" customHeight="1">
      <c r="A1048543" s="242"/>
      <c r="B1048543" s="242"/>
      <c r="C1048543" s="242"/>
      <c r="D1048543" s="242"/>
      <c r="E1048543" s="242"/>
      <c r="F1048543" s="242"/>
      <c r="G1048543" s="242"/>
      <c r="H1048543" s="242"/>
      <c r="I1048543" s="242"/>
      <c r="J1048543" s="242"/>
      <c r="K1048543" s="242"/>
      <c r="L1048543" s="242"/>
      <c r="M1048543" s="242"/>
      <c r="N1048543" s="242"/>
      <c r="O1048543" s="242"/>
      <c r="P1048543" s="242"/>
      <c r="Q1048543" s="242"/>
      <c r="R1048543" s="242"/>
      <c r="S1048543" s="242"/>
      <c r="T1048543" s="242"/>
      <c r="U1048543" s="242"/>
      <c r="V1048543" s="242"/>
      <c r="W1048543" s="242"/>
      <c r="X1048543" s="242"/>
      <c r="Y1048543" s="242"/>
      <c r="Z1048543" s="242"/>
      <c r="AA1048543" s="242"/>
      <c r="AB1048543" s="242"/>
      <c r="AC1048543" s="242"/>
      <c r="AD1048543" s="242"/>
      <c r="AE1048543" s="242"/>
      <c r="AF1048543" s="242"/>
      <c r="AG1048543" s="242"/>
      <c r="AH1048543" s="242"/>
      <c r="AI1048543" s="242"/>
      <c r="AJ1048543" s="242"/>
      <c r="AK1048543" s="242"/>
      <c r="AL1048543" s="242"/>
      <c r="AM1048543" s="242"/>
      <c r="AN1048543" s="242"/>
      <c r="AO1048543" s="242"/>
      <c r="AP1048543" s="242"/>
      <c r="AQ1048543" s="242"/>
      <c r="AR1048543" s="242"/>
      <c r="AS1048543" s="242"/>
      <c r="AT1048543" s="242"/>
      <c r="AU1048543" s="242"/>
      <c r="AV1048543" s="242"/>
      <c r="AW1048543" s="242"/>
      <c r="AX1048543" s="242"/>
      <c r="AY1048543" s="242"/>
      <c r="AZ1048543" s="242"/>
      <c r="BA1048543" s="242"/>
      <c r="BB1048543" s="242"/>
      <c r="BC1048543" s="242"/>
      <c r="BD1048543" s="242"/>
      <c r="BE1048543" s="242"/>
      <c r="BF1048543" s="242"/>
      <c r="BG1048543" s="242"/>
      <c r="BH1048543" s="242"/>
      <c r="BI1048543" s="242"/>
      <c r="BJ1048543" s="242"/>
      <c r="BK1048543" s="242"/>
      <c r="BL1048543" s="242"/>
      <c r="BM1048543" s="242"/>
      <c r="BN1048543" s="242"/>
      <c r="BO1048543" s="242"/>
      <c r="BP1048543" s="242"/>
      <c r="BQ1048543" s="242"/>
      <c r="BR1048543" s="242"/>
      <c r="BS1048543" s="242"/>
      <c r="BT1048543" s="242"/>
      <c r="BU1048543" s="242"/>
      <c r="BV1048543" s="242"/>
      <c r="BW1048543" s="242"/>
      <c r="BX1048543" s="242"/>
      <c r="BY1048543" s="242"/>
      <c r="BZ1048543" s="242"/>
      <c r="CA1048543" s="242"/>
      <c r="CB1048543" s="242"/>
      <c r="CC1048543" s="242"/>
      <c r="CD1048543" s="242"/>
      <c r="CE1048543" s="242"/>
      <c r="CF1048543" s="242"/>
      <c r="CG1048543" s="242"/>
      <c r="CH1048543" s="242"/>
      <c r="CI1048543" s="242"/>
      <c r="CJ1048543" s="242"/>
      <c r="CK1048543" s="242"/>
      <c r="CL1048543" s="242"/>
      <c r="CM1048543" s="242"/>
      <c r="CN1048543" s="242"/>
      <c r="CO1048543" s="242"/>
      <c r="CP1048543" s="242"/>
      <c r="CQ1048543" s="242"/>
      <c r="CR1048543" s="242"/>
      <c r="CS1048543" s="242"/>
      <c r="CT1048543" s="242"/>
      <c r="CU1048543" s="242"/>
      <c r="CV1048543" s="242"/>
      <c r="CW1048543" s="242"/>
      <c r="CX1048543" s="242"/>
      <c r="CY1048543" s="242"/>
      <c r="CZ1048543" s="242"/>
      <c r="DA1048543" s="242"/>
      <c r="DB1048543" s="242"/>
      <c r="DC1048543" s="242"/>
      <c r="DD1048543" s="242"/>
      <c r="DE1048543" s="242"/>
      <c r="DF1048543" s="242"/>
      <c r="DG1048543" s="242"/>
      <c r="DH1048543" s="242"/>
      <c r="DI1048543" s="242"/>
      <c r="DJ1048543" s="242"/>
      <c r="DK1048543" s="242"/>
      <c r="DL1048543" s="242"/>
      <c r="DM1048543" s="242"/>
      <c r="DN1048543" s="242"/>
      <c r="DO1048543" s="242"/>
      <c r="DP1048543" s="242"/>
      <c r="DQ1048543" s="242"/>
      <c r="DR1048543" s="242"/>
      <c r="DS1048543" s="242"/>
      <c r="DT1048543" s="242"/>
      <c r="DU1048543" s="242"/>
      <c r="DV1048543" s="242"/>
      <c r="DW1048543" s="242"/>
      <c r="DX1048543" s="242"/>
      <c r="DY1048543" s="242"/>
      <c r="DZ1048543" s="242"/>
      <c r="EA1048543" s="242"/>
      <c r="EB1048543" s="242"/>
      <c r="EC1048543" s="242"/>
      <c r="ED1048543" s="242"/>
      <c r="EE1048543" s="242"/>
      <c r="EF1048543" s="242"/>
      <c r="EG1048543" s="242"/>
      <c r="EH1048543" s="242"/>
      <c r="EI1048543" s="242"/>
      <c r="EJ1048543" s="242"/>
      <c r="EK1048543" s="242"/>
      <c r="EL1048543" s="242"/>
      <c r="EM1048543" s="242"/>
      <c r="EN1048543" s="242"/>
      <c r="EO1048543" s="242"/>
      <c r="EP1048543" s="242"/>
      <c r="EQ1048543" s="242"/>
      <c r="ER1048543" s="242"/>
      <c r="ES1048543" s="242"/>
      <c r="ET1048543" s="242"/>
      <c r="EU1048543" s="242"/>
      <c r="EV1048543" s="242"/>
      <c r="EW1048543" s="242"/>
      <c r="EX1048543" s="242"/>
      <c r="EY1048543" s="242"/>
      <c r="EZ1048543" s="242"/>
      <c r="FA1048543" s="242"/>
      <c r="FB1048543" s="242"/>
      <c r="FC1048543" s="242"/>
      <c r="FD1048543" s="242"/>
      <c r="FE1048543" s="242"/>
      <c r="FF1048543" s="242"/>
      <c r="FG1048543" s="242"/>
      <c r="FH1048543" s="242"/>
      <c r="FI1048543" s="242"/>
      <c r="FJ1048543" s="242"/>
      <c r="FK1048543" s="242"/>
      <c r="FL1048543" s="242"/>
      <c r="FM1048543" s="242"/>
      <c r="FN1048543" s="242"/>
      <c r="FO1048543" s="242"/>
      <c r="FP1048543" s="242"/>
      <c r="FQ1048543" s="242"/>
      <c r="FR1048543" s="242"/>
      <c r="FS1048543" s="242"/>
      <c r="FT1048543" s="242"/>
      <c r="FU1048543" s="242"/>
      <c r="FV1048543" s="242"/>
      <c r="FW1048543" s="242"/>
      <c r="FX1048543" s="242"/>
      <c r="FY1048543" s="242"/>
      <c r="FZ1048543" s="242"/>
      <c r="GA1048543" s="242"/>
      <c r="GB1048543" s="242"/>
      <c r="GC1048543" s="242"/>
      <c r="GD1048543" s="242"/>
      <c r="GE1048543" s="242"/>
      <c r="GF1048543" s="242"/>
      <c r="GG1048543" s="242"/>
      <c r="GH1048543" s="242"/>
      <c r="GI1048543" s="242"/>
      <c r="GJ1048543" s="242"/>
      <c r="GK1048543" s="242"/>
      <c r="GL1048543" s="242"/>
      <c r="GM1048543" s="242"/>
      <c r="GN1048543" s="242"/>
      <c r="GO1048543" s="242"/>
      <c r="GP1048543" s="242"/>
      <c r="GQ1048543" s="242"/>
      <c r="GR1048543" s="242"/>
      <c r="GS1048543" s="242"/>
      <c r="GT1048543" s="242"/>
      <c r="GU1048543" s="242"/>
      <c r="GV1048543" s="242"/>
      <c r="GW1048543" s="242"/>
      <c r="GX1048543" s="242"/>
      <c r="GY1048543" s="242"/>
      <c r="GZ1048543" s="242"/>
      <c r="HA1048543" s="242"/>
      <c r="HB1048543" s="242"/>
      <c r="HC1048543" s="242"/>
      <c r="HD1048543" s="242"/>
      <c r="HE1048543" s="242"/>
      <c r="HF1048543" s="242"/>
      <c r="HG1048543" s="242"/>
      <c r="HH1048543" s="242"/>
      <c r="HI1048543" s="242"/>
      <c r="HJ1048543" s="242"/>
      <c r="HK1048543" s="242"/>
      <c r="HL1048543" s="242"/>
      <c r="HM1048543" s="242"/>
      <c r="HN1048543" s="242"/>
      <c r="HO1048543" s="242"/>
      <c r="HP1048543" s="242"/>
      <c r="HQ1048543" s="242"/>
      <c r="HR1048543" s="242"/>
      <c r="HS1048543" s="242"/>
      <c r="HT1048543" s="242"/>
      <c r="HU1048543" s="242"/>
      <c r="HV1048543" s="242"/>
      <c r="HW1048543" s="242"/>
      <c r="HX1048543" s="242"/>
      <c r="HY1048543" s="242"/>
      <c r="HZ1048543" s="242"/>
      <c r="IA1048543" s="242"/>
      <c r="IB1048543" s="242"/>
      <c r="IC1048543" s="242"/>
      <c r="ID1048543" s="242"/>
      <c r="IE1048543" s="242"/>
      <c r="IF1048543" s="242"/>
      <c r="IG1048543" s="242"/>
      <c r="IH1048543" s="242"/>
      <c r="II1048543" s="242"/>
      <c r="IJ1048543" s="242"/>
      <c r="IK1048543" s="242"/>
      <c r="IL1048543" s="242"/>
      <c r="IM1048543" s="242"/>
      <c r="IN1048543" s="242"/>
      <c r="IO1048543" s="242"/>
      <c r="IP1048543" s="242"/>
      <c r="IQ1048543" s="242"/>
    </row>
    <row r="1048544" spans="1:251" s="243" customFormat="1" ht="12.6" customHeight="1">
      <c r="A1048544" s="242"/>
      <c r="B1048544" s="242"/>
      <c r="C1048544" s="242"/>
      <c r="D1048544" s="242"/>
      <c r="E1048544" s="242"/>
      <c r="F1048544" s="242"/>
      <c r="G1048544" s="242"/>
      <c r="H1048544" s="242"/>
      <c r="I1048544" s="242"/>
      <c r="J1048544" s="242"/>
      <c r="K1048544" s="242"/>
      <c r="L1048544" s="242"/>
      <c r="M1048544" s="242"/>
      <c r="N1048544" s="242"/>
      <c r="O1048544" s="242"/>
      <c r="P1048544" s="242"/>
      <c r="Q1048544" s="242"/>
      <c r="R1048544" s="242"/>
      <c r="S1048544" s="242"/>
      <c r="T1048544" s="242"/>
      <c r="U1048544" s="242"/>
      <c r="V1048544" s="242"/>
      <c r="W1048544" s="242"/>
      <c r="X1048544" s="242"/>
      <c r="Y1048544" s="242"/>
      <c r="Z1048544" s="242"/>
      <c r="AA1048544" s="242"/>
      <c r="AB1048544" s="242"/>
      <c r="AC1048544" s="242"/>
      <c r="AD1048544" s="242"/>
      <c r="AE1048544" s="242"/>
      <c r="AF1048544" s="242"/>
      <c r="AG1048544" s="242"/>
      <c r="AH1048544" s="242"/>
      <c r="AI1048544" s="242"/>
      <c r="AJ1048544" s="242"/>
      <c r="AK1048544" s="242"/>
      <c r="AL1048544" s="242"/>
      <c r="AM1048544" s="242"/>
      <c r="AN1048544" s="242"/>
      <c r="AO1048544" s="242"/>
      <c r="AP1048544" s="242"/>
      <c r="AQ1048544" s="242"/>
      <c r="AR1048544" s="242"/>
      <c r="AS1048544" s="242"/>
      <c r="AT1048544" s="242"/>
      <c r="AU1048544" s="242"/>
      <c r="AV1048544" s="242"/>
      <c r="AW1048544" s="242"/>
      <c r="AX1048544" s="242"/>
      <c r="AY1048544" s="242"/>
      <c r="AZ1048544" s="242"/>
      <c r="BA1048544" s="242"/>
      <c r="BB1048544" s="242"/>
      <c r="BC1048544" s="242"/>
      <c r="BD1048544" s="242"/>
      <c r="BE1048544" s="242"/>
      <c r="BF1048544" s="242"/>
      <c r="BG1048544" s="242"/>
      <c r="BH1048544" s="242"/>
      <c r="BI1048544" s="242"/>
      <c r="BJ1048544" s="242"/>
      <c r="BK1048544" s="242"/>
      <c r="BL1048544" s="242"/>
      <c r="BM1048544" s="242"/>
      <c r="BN1048544" s="242"/>
      <c r="BO1048544" s="242"/>
      <c r="BP1048544" s="242"/>
      <c r="BQ1048544" s="242"/>
      <c r="BR1048544" s="242"/>
      <c r="BS1048544" s="242"/>
      <c r="BT1048544" s="242"/>
      <c r="BU1048544" s="242"/>
      <c r="BV1048544" s="242"/>
      <c r="BW1048544" s="242"/>
      <c r="BX1048544" s="242"/>
      <c r="BY1048544" s="242"/>
      <c r="BZ1048544" s="242"/>
      <c r="CA1048544" s="242"/>
      <c r="CB1048544" s="242"/>
      <c r="CC1048544" s="242"/>
      <c r="CD1048544" s="242"/>
      <c r="CE1048544" s="242"/>
      <c r="CF1048544" s="242"/>
      <c r="CG1048544" s="242"/>
      <c r="CH1048544" s="242"/>
      <c r="CI1048544" s="242"/>
      <c r="CJ1048544" s="242"/>
      <c r="CK1048544" s="242"/>
      <c r="CL1048544" s="242"/>
      <c r="CM1048544" s="242"/>
      <c r="CN1048544" s="242"/>
      <c r="CO1048544" s="242"/>
      <c r="CP1048544" s="242"/>
      <c r="CQ1048544" s="242"/>
      <c r="CR1048544" s="242"/>
      <c r="CS1048544" s="242"/>
      <c r="CT1048544" s="242"/>
      <c r="CU1048544" s="242"/>
      <c r="CV1048544" s="242"/>
      <c r="CW1048544" s="242"/>
      <c r="CX1048544" s="242"/>
      <c r="CY1048544" s="242"/>
      <c r="CZ1048544" s="242"/>
      <c r="DA1048544" s="242"/>
      <c r="DB1048544" s="242"/>
      <c r="DC1048544" s="242"/>
      <c r="DD1048544" s="242"/>
      <c r="DE1048544" s="242"/>
      <c r="DF1048544" s="242"/>
      <c r="DG1048544" s="242"/>
      <c r="DH1048544" s="242"/>
      <c r="DI1048544" s="242"/>
      <c r="DJ1048544" s="242"/>
      <c r="DK1048544" s="242"/>
      <c r="DL1048544" s="242"/>
      <c r="DM1048544" s="242"/>
      <c r="DN1048544" s="242"/>
      <c r="DO1048544" s="242"/>
      <c r="DP1048544" s="242"/>
      <c r="DQ1048544" s="242"/>
      <c r="DR1048544" s="242"/>
      <c r="DS1048544" s="242"/>
      <c r="DT1048544" s="242"/>
      <c r="DU1048544" s="242"/>
      <c r="DV1048544" s="242"/>
      <c r="DW1048544" s="242"/>
      <c r="DX1048544" s="242"/>
      <c r="DY1048544" s="242"/>
      <c r="DZ1048544" s="242"/>
      <c r="EA1048544" s="242"/>
      <c r="EB1048544" s="242"/>
      <c r="EC1048544" s="242"/>
      <c r="ED1048544" s="242"/>
      <c r="EE1048544" s="242"/>
      <c r="EF1048544" s="242"/>
      <c r="EG1048544" s="242"/>
      <c r="EH1048544" s="242"/>
      <c r="EI1048544" s="242"/>
      <c r="EJ1048544" s="242"/>
      <c r="EK1048544" s="242"/>
      <c r="EL1048544" s="242"/>
      <c r="EM1048544" s="242"/>
      <c r="EN1048544" s="242"/>
      <c r="EO1048544" s="242"/>
      <c r="EP1048544" s="242"/>
      <c r="EQ1048544" s="242"/>
      <c r="ER1048544" s="242"/>
      <c r="ES1048544" s="242"/>
      <c r="ET1048544" s="242"/>
      <c r="EU1048544" s="242"/>
      <c r="EV1048544" s="242"/>
      <c r="EW1048544" s="242"/>
      <c r="EX1048544" s="242"/>
      <c r="EY1048544" s="242"/>
      <c r="EZ1048544" s="242"/>
      <c r="FA1048544" s="242"/>
      <c r="FB1048544" s="242"/>
      <c r="FC1048544" s="242"/>
      <c r="FD1048544" s="242"/>
      <c r="FE1048544" s="242"/>
      <c r="FF1048544" s="242"/>
      <c r="FG1048544" s="242"/>
      <c r="FH1048544" s="242"/>
      <c r="FI1048544" s="242"/>
      <c r="FJ1048544" s="242"/>
      <c r="FK1048544" s="242"/>
      <c r="FL1048544" s="242"/>
      <c r="FM1048544" s="242"/>
      <c r="FN1048544" s="242"/>
      <c r="FO1048544" s="242"/>
      <c r="FP1048544" s="242"/>
      <c r="FQ1048544" s="242"/>
      <c r="FR1048544" s="242"/>
      <c r="FS1048544" s="242"/>
      <c r="FT1048544" s="242"/>
      <c r="FU1048544" s="242"/>
      <c r="FV1048544" s="242"/>
      <c r="FW1048544" s="242"/>
      <c r="FX1048544" s="242"/>
      <c r="FY1048544" s="242"/>
      <c r="FZ1048544" s="242"/>
      <c r="GA1048544" s="242"/>
      <c r="GB1048544" s="242"/>
      <c r="GC1048544" s="242"/>
      <c r="GD1048544" s="242"/>
      <c r="GE1048544" s="242"/>
      <c r="GF1048544" s="242"/>
      <c r="GG1048544" s="242"/>
      <c r="GH1048544" s="242"/>
      <c r="GI1048544" s="242"/>
      <c r="GJ1048544" s="242"/>
      <c r="GK1048544" s="242"/>
      <c r="GL1048544" s="242"/>
      <c r="GM1048544" s="242"/>
      <c r="GN1048544" s="242"/>
      <c r="GO1048544" s="242"/>
      <c r="GP1048544" s="242"/>
      <c r="GQ1048544" s="242"/>
      <c r="GR1048544" s="242"/>
      <c r="GS1048544" s="242"/>
      <c r="GT1048544" s="242"/>
      <c r="GU1048544" s="242"/>
      <c r="GV1048544" s="242"/>
      <c r="GW1048544" s="242"/>
      <c r="GX1048544" s="242"/>
      <c r="GY1048544" s="242"/>
      <c r="GZ1048544" s="242"/>
      <c r="HA1048544" s="242"/>
      <c r="HB1048544" s="242"/>
      <c r="HC1048544" s="242"/>
      <c r="HD1048544" s="242"/>
      <c r="HE1048544" s="242"/>
      <c r="HF1048544" s="242"/>
      <c r="HG1048544" s="242"/>
      <c r="HH1048544" s="242"/>
      <c r="HI1048544" s="242"/>
      <c r="HJ1048544" s="242"/>
      <c r="HK1048544" s="242"/>
      <c r="HL1048544" s="242"/>
      <c r="HM1048544" s="242"/>
      <c r="HN1048544" s="242"/>
      <c r="HO1048544" s="242"/>
      <c r="HP1048544" s="242"/>
      <c r="HQ1048544" s="242"/>
      <c r="HR1048544" s="242"/>
      <c r="HS1048544" s="242"/>
      <c r="HT1048544" s="242"/>
      <c r="HU1048544" s="242"/>
      <c r="HV1048544" s="242"/>
      <c r="HW1048544" s="242"/>
      <c r="HX1048544" s="242"/>
      <c r="HY1048544" s="242"/>
      <c r="HZ1048544" s="242"/>
      <c r="IA1048544" s="242"/>
      <c r="IB1048544" s="242"/>
      <c r="IC1048544" s="242"/>
      <c r="ID1048544" s="242"/>
      <c r="IE1048544" s="242"/>
      <c r="IF1048544" s="242"/>
      <c r="IG1048544" s="242"/>
      <c r="IH1048544" s="242"/>
      <c r="II1048544" s="242"/>
      <c r="IJ1048544" s="242"/>
      <c r="IK1048544" s="242"/>
      <c r="IL1048544" s="242"/>
      <c r="IM1048544" s="242"/>
      <c r="IN1048544" s="242"/>
      <c r="IO1048544" s="242"/>
      <c r="IP1048544" s="242"/>
      <c r="IQ1048544" s="242"/>
    </row>
    <row r="1048545" spans="1:251" s="243" customFormat="1" ht="12.6" customHeight="1">
      <c r="A1048545" s="242"/>
      <c r="B1048545" s="242"/>
      <c r="C1048545" s="242"/>
      <c r="D1048545" s="242"/>
      <c r="E1048545" s="242"/>
      <c r="F1048545" s="242"/>
      <c r="G1048545" s="242"/>
      <c r="H1048545" s="242"/>
      <c r="I1048545" s="242"/>
      <c r="J1048545" s="242"/>
      <c r="K1048545" s="242"/>
      <c r="L1048545" s="242"/>
      <c r="M1048545" s="242"/>
      <c r="N1048545" s="242"/>
      <c r="O1048545" s="242"/>
      <c r="P1048545" s="242"/>
      <c r="Q1048545" s="242"/>
      <c r="R1048545" s="242"/>
      <c r="S1048545" s="242"/>
      <c r="T1048545" s="242"/>
      <c r="U1048545" s="242"/>
      <c r="V1048545" s="242"/>
      <c r="W1048545" s="242"/>
      <c r="X1048545" s="242"/>
      <c r="Y1048545" s="242"/>
      <c r="Z1048545" s="242"/>
      <c r="AA1048545" s="242"/>
      <c r="AB1048545" s="242"/>
      <c r="AC1048545" s="242"/>
      <c r="AD1048545" s="242"/>
      <c r="AE1048545" s="242"/>
      <c r="AF1048545" s="242"/>
      <c r="AG1048545" s="242"/>
      <c r="AH1048545" s="242"/>
      <c r="AI1048545" s="242"/>
      <c r="AJ1048545" s="242"/>
      <c r="AK1048545" s="242"/>
      <c r="AL1048545" s="242"/>
      <c r="AM1048545" s="242"/>
      <c r="AN1048545" s="242"/>
      <c r="AO1048545" s="242"/>
      <c r="AP1048545" s="242"/>
      <c r="AQ1048545" s="242"/>
      <c r="AR1048545" s="242"/>
      <c r="AS1048545" s="242"/>
      <c r="AT1048545" s="242"/>
      <c r="AU1048545" s="242"/>
      <c r="AV1048545" s="242"/>
      <c r="AW1048545" s="242"/>
      <c r="AX1048545" s="242"/>
      <c r="AY1048545" s="242"/>
      <c r="AZ1048545" s="242"/>
      <c r="BA1048545" s="242"/>
      <c r="BB1048545" s="242"/>
      <c r="BC1048545" s="242"/>
      <c r="BD1048545" s="242"/>
      <c r="BE1048545" s="242"/>
      <c r="BF1048545" s="242"/>
      <c r="BG1048545" s="242"/>
      <c r="BH1048545" s="242"/>
      <c r="BI1048545" s="242"/>
      <c r="BJ1048545" s="242"/>
      <c r="BK1048545" s="242"/>
      <c r="BL1048545" s="242"/>
      <c r="BM1048545" s="242"/>
      <c r="BN1048545" s="242"/>
      <c r="BO1048545" s="242"/>
      <c r="BP1048545" s="242"/>
      <c r="BQ1048545" s="242"/>
      <c r="BR1048545" s="242"/>
      <c r="BS1048545" s="242"/>
      <c r="BT1048545" s="242"/>
      <c r="BU1048545" s="242"/>
      <c r="BV1048545" s="242"/>
      <c r="BW1048545" s="242"/>
      <c r="BX1048545" s="242"/>
      <c r="BY1048545" s="242"/>
      <c r="BZ1048545" s="242"/>
      <c r="CA1048545" s="242"/>
      <c r="CB1048545" s="242"/>
      <c r="CC1048545" s="242"/>
      <c r="CD1048545" s="242"/>
      <c r="CE1048545" s="242"/>
      <c r="CF1048545" s="242"/>
      <c r="CG1048545" s="242"/>
      <c r="CH1048545" s="242"/>
      <c r="CI1048545" s="242"/>
      <c r="CJ1048545" s="242"/>
      <c r="CK1048545" s="242"/>
      <c r="CL1048545" s="242"/>
      <c r="CM1048545" s="242"/>
      <c r="CN1048545" s="242"/>
      <c r="CO1048545" s="242"/>
      <c r="CP1048545" s="242"/>
      <c r="CQ1048545" s="242"/>
      <c r="CR1048545" s="242"/>
      <c r="CS1048545" s="242"/>
      <c r="CT1048545" s="242"/>
      <c r="CU1048545" s="242"/>
      <c r="CV1048545" s="242"/>
      <c r="CW1048545" s="242"/>
      <c r="CX1048545" s="242"/>
      <c r="CY1048545" s="242"/>
      <c r="CZ1048545" s="242"/>
      <c r="DA1048545" s="242"/>
      <c r="DB1048545" s="242"/>
      <c r="DC1048545" s="242"/>
      <c r="DD1048545" s="242"/>
      <c r="DE1048545" s="242"/>
      <c r="DF1048545" s="242"/>
      <c r="DG1048545" s="242"/>
      <c r="DH1048545" s="242"/>
      <c r="DI1048545" s="242"/>
      <c r="DJ1048545" s="242"/>
      <c r="DK1048545" s="242"/>
      <c r="DL1048545" s="242"/>
      <c r="DM1048545" s="242"/>
      <c r="DN1048545" s="242"/>
      <c r="DO1048545" s="242"/>
      <c r="DP1048545" s="242"/>
      <c r="DQ1048545" s="242"/>
      <c r="DR1048545" s="242"/>
      <c r="DS1048545" s="242"/>
      <c r="DT1048545" s="242"/>
      <c r="DU1048545" s="242"/>
      <c r="DV1048545" s="242"/>
      <c r="DW1048545" s="242"/>
      <c r="DX1048545" s="242"/>
      <c r="DY1048545" s="242"/>
      <c r="DZ1048545" s="242"/>
      <c r="EA1048545" s="242"/>
      <c r="EB1048545" s="242"/>
      <c r="EC1048545" s="242"/>
      <c r="ED1048545" s="242"/>
      <c r="EE1048545" s="242"/>
      <c r="EF1048545" s="242"/>
      <c r="EG1048545" s="242"/>
      <c r="EH1048545" s="242"/>
      <c r="EI1048545" s="242"/>
      <c r="EJ1048545" s="242"/>
      <c r="EK1048545" s="242"/>
      <c r="EL1048545" s="242"/>
      <c r="EM1048545" s="242"/>
      <c r="EN1048545" s="242"/>
      <c r="EO1048545" s="242"/>
      <c r="EP1048545" s="242"/>
      <c r="EQ1048545" s="242"/>
      <c r="ER1048545" s="242"/>
      <c r="ES1048545" s="242"/>
      <c r="ET1048545" s="242"/>
      <c r="EU1048545" s="242"/>
      <c r="EV1048545" s="242"/>
      <c r="EW1048545" s="242"/>
      <c r="EX1048545" s="242"/>
      <c r="EY1048545" s="242"/>
      <c r="EZ1048545" s="242"/>
      <c r="FA1048545" s="242"/>
      <c r="FB1048545" s="242"/>
      <c r="FC1048545" s="242"/>
      <c r="FD1048545" s="242"/>
      <c r="FE1048545" s="242"/>
      <c r="FF1048545" s="242"/>
      <c r="FG1048545" s="242"/>
      <c r="FH1048545" s="242"/>
      <c r="FI1048545" s="242"/>
      <c r="FJ1048545" s="242"/>
      <c r="FK1048545" s="242"/>
      <c r="FL1048545" s="242"/>
      <c r="FM1048545" s="242"/>
      <c r="FN1048545" s="242"/>
      <c r="FO1048545" s="242"/>
      <c r="FP1048545" s="242"/>
      <c r="FQ1048545" s="242"/>
      <c r="FR1048545" s="242"/>
      <c r="FS1048545" s="242"/>
      <c r="FT1048545" s="242"/>
      <c r="FU1048545" s="242"/>
      <c r="FV1048545" s="242"/>
      <c r="FW1048545" s="242"/>
      <c r="FX1048545" s="242"/>
      <c r="FY1048545" s="242"/>
      <c r="FZ1048545" s="242"/>
      <c r="GA1048545" s="242"/>
      <c r="GB1048545" s="242"/>
      <c r="GC1048545" s="242"/>
      <c r="GD1048545" s="242"/>
      <c r="GE1048545" s="242"/>
      <c r="GF1048545" s="242"/>
      <c r="GG1048545" s="242"/>
      <c r="GH1048545" s="242"/>
      <c r="GI1048545" s="242"/>
      <c r="GJ1048545" s="242"/>
      <c r="GK1048545" s="242"/>
      <c r="GL1048545" s="242"/>
      <c r="GM1048545" s="242"/>
      <c r="GN1048545" s="242"/>
      <c r="GO1048545" s="242"/>
      <c r="GP1048545" s="242"/>
      <c r="GQ1048545" s="242"/>
      <c r="GR1048545" s="242"/>
      <c r="GS1048545" s="242"/>
      <c r="GT1048545" s="242"/>
      <c r="GU1048545" s="242"/>
      <c r="GV1048545" s="242"/>
      <c r="GW1048545" s="242"/>
      <c r="GX1048545" s="242"/>
      <c r="GY1048545" s="242"/>
      <c r="GZ1048545" s="242"/>
      <c r="HA1048545" s="242"/>
      <c r="HB1048545" s="242"/>
      <c r="HC1048545" s="242"/>
      <c r="HD1048545" s="242"/>
      <c r="HE1048545" s="242"/>
      <c r="HF1048545" s="242"/>
      <c r="HG1048545" s="242"/>
      <c r="HH1048545" s="242"/>
      <c r="HI1048545" s="242"/>
      <c r="HJ1048545" s="242"/>
      <c r="HK1048545" s="242"/>
      <c r="HL1048545" s="242"/>
      <c r="HM1048545" s="242"/>
      <c r="HN1048545" s="242"/>
      <c r="HO1048545" s="242"/>
      <c r="HP1048545" s="242"/>
      <c r="HQ1048545" s="242"/>
      <c r="HR1048545" s="242"/>
      <c r="HS1048545" s="242"/>
      <c r="HT1048545" s="242"/>
      <c r="HU1048545" s="242"/>
      <c r="HV1048545" s="242"/>
      <c r="HW1048545" s="242"/>
      <c r="HX1048545" s="242"/>
      <c r="HY1048545" s="242"/>
      <c r="HZ1048545" s="242"/>
      <c r="IA1048545" s="242"/>
      <c r="IB1048545" s="242"/>
      <c r="IC1048545" s="242"/>
      <c r="ID1048545" s="242"/>
      <c r="IE1048545" s="242"/>
      <c r="IF1048545" s="242"/>
      <c r="IG1048545" s="242"/>
      <c r="IH1048545" s="242"/>
      <c r="II1048545" s="242"/>
      <c r="IJ1048545" s="242"/>
      <c r="IK1048545" s="242"/>
      <c r="IL1048545" s="242"/>
      <c r="IM1048545" s="242"/>
      <c r="IN1048545" s="242"/>
      <c r="IO1048545" s="242"/>
      <c r="IP1048545" s="242"/>
      <c r="IQ1048545" s="242"/>
    </row>
    <row r="1048546" spans="1:251" s="243" customFormat="1" ht="12.6" customHeight="1">
      <c r="A1048546" s="242"/>
      <c r="B1048546" s="242"/>
      <c r="C1048546" s="242"/>
      <c r="D1048546" s="242"/>
      <c r="E1048546" s="242"/>
      <c r="F1048546" s="242"/>
      <c r="G1048546" s="242"/>
      <c r="H1048546" s="242"/>
      <c r="I1048546" s="242"/>
      <c r="J1048546" s="242"/>
      <c r="K1048546" s="242"/>
      <c r="L1048546" s="242"/>
      <c r="M1048546" s="242"/>
      <c r="N1048546" s="242"/>
      <c r="O1048546" s="242"/>
      <c r="P1048546" s="242"/>
      <c r="Q1048546" s="242"/>
      <c r="R1048546" s="242"/>
      <c r="S1048546" s="242"/>
      <c r="T1048546" s="242"/>
      <c r="U1048546" s="242"/>
      <c r="V1048546" s="242"/>
      <c r="W1048546" s="242"/>
      <c r="X1048546" s="242"/>
      <c r="Y1048546" s="242"/>
      <c r="Z1048546" s="242"/>
      <c r="AA1048546" s="242"/>
      <c r="AB1048546" s="242"/>
      <c r="AC1048546" s="242"/>
      <c r="AD1048546" s="242"/>
      <c r="AE1048546" s="242"/>
      <c r="AF1048546" s="242"/>
      <c r="AG1048546" s="242"/>
      <c r="AH1048546" s="242"/>
      <c r="AI1048546" s="242"/>
      <c r="AJ1048546" s="242"/>
      <c r="AK1048546" s="242"/>
      <c r="AL1048546" s="242"/>
      <c r="AM1048546" s="242"/>
      <c r="AN1048546" s="242"/>
      <c r="AO1048546" s="242"/>
      <c r="AP1048546" s="242"/>
      <c r="AQ1048546" s="242"/>
      <c r="AR1048546" s="242"/>
      <c r="AS1048546" s="242"/>
      <c r="AT1048546" s="242"/>
      <c r="AU1048546" s="242"/>
      <c r="AV1048546" s="242"/>
      <c r="AW1048546" s="242"/>
      <c r="AX1048546" s="242"/>
      <c r="AY1048546" s="242"/>
      <c r="AZ1048546" s="242"/>
      <c r="BA1048546" s="242"/>
      <c r="BB1048546" s="242"/>
      <c r="BC1048546" s="242"/>
      <c r="BD1048546" s="242"/>
      <c r="BE1048546" s="242"/>
      <c r="BF1048546" s="242"/>
      <c r="BG1048546" s="242"/>
      <c r="BH1048546" s="242"/>
      <c r="BI1048546" s="242"/>
      <c r="BJ1048546" s="242"/>
      <c r="BK1048546" s="242"/>
      <c r="BL1048546" s="242"/>
      <c r="BM1048546" s="242"/>
      <c r="BN1048546" s="242"/>
      <c r="BO1048546" s="242"/>
      <c r="BP1048546" s="242"/>
      <c r="BQ1048546" s="242"/>
      <c r="BR1048546" s="242"/>
      <c r="BS1048546" s="242"/>
      <c r="BT1048546" s="242"/>
      <c r="BU1048546" s="242"/>
      <c r="BV1048546" s="242"/>
      <c r="BW1048546" s="242"/>
      <c r="BX1048546" s="242"/>
      <c r="BY1048546" s="242"/>
      <c r="BZ1048546" s="242"/>
      <c r="CA1048546" s="242"/>
      <c r="CB1048546" s="242"/>
      <c r="CC1048546" s="242"/>
      <c r="CD1048546" s="242"/>
      <c r="CE1048546" s="242"/>
      <c r="CF1048546" s="242"/>
      <c r="CG1048546" s="242"/>
      <c r="CH1048546" s="242"/>
      <c r="CI1048546" s="242"/>
      <c r="CJ1048546" s="242"/>
      <c r="CK1048546" s="242"/>
      <c r="CL1048546" s="242"/>
      <c r="CM1048546" s="242"/>
      <c r="CN1048546" s="242"/>
      <c r="CO1048546" s="242"/>
      <c r="CP1048546" s="242"/>
      <c r="CQ1048546" s="242"/>
      <c r="CR1048546" s="242"/>
      <c r="CS1048546" s="242"/>
      <c r="CT1048546" s="242"/>
      <c r="CU1048546" s="242"/>
      <c r="CV1048546" s="242"/>
      <c r="CW1048546" s="242"/>
      <c r="CX1048546" s="242"/>
      <c r="CY1048546" s="242"/>
      <c r="CZ1048546" s="242"/>
      <c r="DA1048546" s="242"/>
      <c r="DB1048546" s="242"/>
      <c r="DC1048546" s="242"/>
      <c r="DD1048546" s="242"/>
      <c r="DE1048546" s="242"/>
      <c r="DF1048546" s="242"/>
      <c r="DG1048546" s="242"/>
      <c r="DH1048546" s="242"/>
      <c r="DI1048546" s="242"/>
      <c r="DJ1048546" s="242"/>
      <c r="DK1048546" s="242"/>
      <c r="DL1048546" s="242"/>
      <c r="DM1048546" s="242"/>
      <c r="DN1048546" s="242"/>
      <c r="DO1048546" s="242"/>
      <c r="DP1048546" s="242"/>
      <c r="DQ1048546" s="242"/>
      <c r="DR1048546" s="242"/>
      <c r="DS1048546" s="242"/>
      <c r="DT1048546" s="242"/>
      <c r="DU1048546" s="242"/>
      <c r="DV1048546" s="242"/>
      <c r="DW1048546" s="242"/>
      <c r="DX1048546" s="242"/>
      <c r="DY1048546" s="242"/>
      <c r="DZ1048546" s="242"/>
      <c r="EA1048546" s="242"/>
      <c r="EB1048546" s="242"/>
      <c r="EC1048546" s="242"/>
      <c r="ED1048546" s="242"/>
      <c r="EE1048546" s="242"/>
      <c r="EF1048546" s="242"/>
      <c r="EG1048546" s="242"/>
      <c r="EH1048546" s="242"/>
      <c r="EI1048546" s="242"/>
      <c r="EJ1048546" s="242"/>
      <c r="EK1048546" s="242"/>
      <c r="EL1048546" s="242"/>
      <c r="EM1048546" s="242"/>
      <c r="EN1048546" s="242"/>
      <c r="EO1048546" s="242"/>
      <c r="EP1048546" s="242"/>
      <c r="EQ1048546" s="242"/>
      <c r="ER1048546" s="242"/>
      <c r="ES1048546" s="242"/>
      <c r="ET1048546" s="242"/>
      <c r="EU1048546" s="242"/>
      <c r="EV1048546" s="242"/>
      <c r="EW1048546" s="242"/>
      <c r="EX1048546" s="242"/>
      <c r="EY1048546" s="242"/>
      <c r="EZ1048546" s="242"/>
      <c r="FA1048546" s="242"/>
      <c r="FB1048546" s="242"/>
      <c r="FC1048546" s="242"/>
      <c r="FD1048546" s="242"/>
      <c r="FE1048546" s="242"/>
      <c r="FF1048546" s="242"/>
      <c r="FG1048546" s="242"/>
      <c r="FH1048546" s="242"/>
      <c r="FI1048546" s="242"/>
      <c r="FJ1048546" s="242"/>
      <c r="FK1048546" s="242"/>
      <c r="FL1048546" s="242"/>
      <c r="FM1048546" s="242"/>
      <c r="FN1048546" s="242"/>
      <c r="FO1048546" s="242"/>
      <c r="FP1048546" s="242"/>
      <c r="FQ1048546" s="242"/>
      <c r="FR1048546" s="242"/>
      <c r="FS1048546" s="242"/>
      <c r="FT1048546" s="242"/>
      <c r="FU1048546" s="242"/>
      <c r="FV1048546" s="242"/>
      <c r="FW1048546" s="242"/>
      <c r="FX1048546" s="242"/>
      <c r="FY1048546" s="242"/>
      <c r="FZ1048546" s="242"/>
      <c r="GA1048546" s="242"/>
      <c r="GB1048546" s="242"/>
      <c r="GC1048546" s="242"/>
      <c r="GD1048546" s="242"/>
      <c r="GE1048546" s="242"/>
      <c r="GF1048546" s="242"/>
      <c r="GG1048546" s="242"/>
      <c r="GH1048546" s="242"/>
      <c r="GI1048546" s="242"/>
      <c r="GJ1048546" s="242"/>
      <c r="GK1048546" s="242"/>
      <c r="GL1048546" s="242"/>
      <c r="GM1048546" s="242"/>
      <c r="GN1048546" s="242"/>
      <c r="GO1048546" s="242"/>
      <c r="GP1048546" s="242"/>
      <c r="GQ1048546" s="242"/>
      <c r="GR1048546" s="242"/>
      <c r="GS1048546" s="242"/>
      <c r="GT1048546" s="242"/>
      <c r="GU1048546" s="242"/>
      <c r="GV1048546" s="242"/>
      <c r="GW1048546" s="242"/>
      <c r="GX1048546" s="242"/>
      <c r="GY1048546" s="242"/>
      <c r="GZ1048546" s="242"/>
      <c r="HA1048546" s="242"/>
      <c r="HB1048546" s="242"/>
      <c r="HC1048546" s="242"/>
      <c r="HD1048546" s="242"/>
      <c r="HE1048546" s="242"/>
      <c r="HF1048546" s="242"/>
      <c r="HG1048546" s="242"/>
      <c r="HH1048546" s="242"/>
      <c r="HI1048546" s="242"/>
      <c r="HJ1048546" s="242"/>
      <c r="HK1048546" s="242"/>
      <c r="HL1048546" s="242"/>
      <c r="HM1048546" s="242"/>
      <c r="HN1048546" s="242"/>
      <c r="HO1048546" s="242"/>
      <c r="HP1048546" s="242"/>
      <c r="HQ1048546" s="242"/>
      <c r="HR1048546" s="242"/>
      <c r="HS1048546" s="242"/>
      <c r="HT1048546" s="242"/>
      <c r="HU1048546" s="242"/>
      <c r="HV1048546" s="242"/>
      <c r="HW1048546" s="242"/>
      <c r="HX1048546" s="242"/>
      <c r="HY1048546" s="242"/>
      <c r="HZ1048546" s="242"/>
      <c r="IA1048546" s="242"/>
      <c r="IB1048546" s="242"/>
      <c r="IC1048546" s="242"/>
      <c r="ID1048546" s="242"/>
      <c r="IE1048546" s="242"/>
      <c r="IF1048546" s="242"/>
      <c r="IG1048546" s="242"/>
      <c r="IH1048546" s="242"/>
      <c r="II1048546" s="242"/>
      <c r="IJ1048546" s="242"/>
      <c r="IK1048546" s="242"/>
      <c r="IL1048546" s="242"/>
      <c r="IM1048546" s="242"/>
      <c r="IN1048546" s="242"/>
      <c r="IO1048546" s="242"/>
      <c r="IP1048546" s="242"/>
      <c r="IQ1048546" s="242"/>
    </row>
    <row r="1048547" spans="1:251" s="243" customFormat="1" ht="12.6" customHeight="1">
      <c r="A1048547" s="242"/>
      <c r="B1048547" s="242"/>
      <c r="C1048547" s="242"/>
      <c r="D1048547" s="242"/>
      <c r="E1048547" s="242"/>
      <c r="F1048547" s="242"/>
      <c r="G1048547" s="242"/>
      <c r="H1048547" s="242"/>
      <c r="I1048547" s="242"/>
      <c r="J1048547" s="242"/>
      <c r="K1048547" s="242"/>
      <c r="L1048547" s="242"/>
      <c r="M1048547" s="242"/>
      <c r="N1048547" s="242"/>
      <c r="O1048547" s="242"/>
      <c r="P1048547" s="242"/>
      <c r="Q1048547" s="242"/>
      <c r="R1048547" s="242"/>
      <c r="S1048547" s="242"/>
      <c r="T1048547" s="242"/>
      <c r="U1048547" s="242"/>
      <c r="V1048547" s="242"/>
      <c r="W1048547" s="242"/>
      <c r="X1048547" s="242"/>
      <c r="Y1048547" s="242"/>
      <c r="Z1048547" s="242"/>
      <c r="AA1048547" s="242"/>
      <c r="AB1048547" s="242"/>
      <c r="AC1048547" s="242"/>
      <c r="AD1048547" s="242"/>
      <c r="AE1048547" s="242"/>
      <c r="AF1048547" s="242"/>
      <c r="AG1048547" s="242"/>
      <c r="AH1048547" s="242"/>
      <c r="AI1048547" s="242"/>
      <c r="AJ1048547" s="242"/>
      <c r="AK1048547" s="242"/>
      <c r="AL1048547" s="242"/>
      <c r="AM1048547" s="242"/>
      <c r="AN1048547" s="242"/>
      <c r="AO1048547" s="242"/>
      <c r="AP1048547" s="242"/>
      <c r="AQ1048547" s="242"/>
      <c r="AR1048547" s="242"/>
      <c r="AS1048547" s="242"/>
      <c r="AT1048547" s="242"/>
      <c r="AU1048547" s="242"/>
      <c r="AV1048547" s="242"/>
      <c r="AW1048547" s="242"/>
      <c r="AX1048547" s="242"/>
      <c r="AY1048547" s="242"/>
      <c r="AZ1048547" s="242"/>
      <c r="BA1048547" s="242"/>
      <c r="BB1048547" s="242"/>
      <c r="BC1048547" s="242"/>
      <c r="BD1048547" s="242"/>
      <c r="BE1048547" s="242"/>
      <c r="BF1048547" s="242"/>
      <c r="BG1048547" s="242"/>
      <c r="BH1048547" s="242"/>
      <c r="BI1048547" s="242"/>
      <c r="BJ1048547" s="242"/>
      <c r="BK1048547" s="242"/>
      <c r="BL1048547" s="242"/>
      <c r="BM1048547" s="242"/>
      <c r="BN1048547" s="242"/>
      <c r="BO1048547" s="242"/>
      <c r="BP1048547" s="242"/>
      <c r="BQ1048547" s="242"/>
      <c r="BR1048547" s="242"/>
      <c r="BS1048547" s="242"/>
      <c r="BT1048547" s="242"/>
      <c r="BU1048547" s="242"/>
      <c r="BV1048547" s="242"/>
      <c r="BW1048547" s="242"/>
      <c r="BX1048547" s="242"/>
      <c r="BY1048547" s="242"/>
      <c r="BZ1048547" s="242"/>
      <c r="CA1048547" s="242"/>
      <c r="CB1048547" s="242"/>
      <c r="CC1048547" s="242"/>
      <c r="CD1048547" s="242"/>
      <c r="CE1048547" s="242"/>
      <c r="CF1048547" s="242"/>
      <c r="CG1048547" s="242"/>
      <c r="CH1048547" s="242"/>
      <c r="CI1048547" s="242"/>
      <c r="CJ1048547" s="242"/>
      <c r="CK1048547" s="242"/>
      <c r="CL1048547" s="242"/>
      <c r="CM1048547" s="242"/>
      <c r="CN1048547" s="242"/>
      <c r="CO1048547" s="242"/>
      <c r="CP1048547" s="242"/>
      <c r="CQ1048547" s="242"/>
      <c r="CR1048547" s="242"/>
      <c r="CS1048547" s="242"/>
      <c r="CT1048547" s="242"/>
      <c r="CU1048547" s="242"/>
      <c r="CV1048547" s="242"/>
      <c r="CW1048547" s="242"/>
      <c r="CX1048547" s="242"/>
      <c r="CY1048547" s="242"/>
      <c r="CZ1048547" s="242"/>
      <c r="DA1048547" s="242"/>
      <c r="DB1048547" s="242"/>
      <c r="DC1048547" s="242"/>
      <c r="DD1048547" s="242"/>
      <c r="DE1048547" s="242"/>
      <c r="DF1048547" s="242"/>
      <c r="DG1048547" s="242"/>
      <c r="DH1048547" s="242"/>
      <c r="DI1048547" s="242"/>
      <c r="DJ1048547" s="242"/>
      <c r="DK1048547" s="242"/>
      <c r="DL1048547" s="242"/>
      <c r="DM1048547" s="242"/>
      <c r="DN1048547" s="242"/>
      <c r="DO1048547" s="242"/>
      <c r="DP1048547" s="242"/>
      <c r="DQ1048547" s="242"/>
      <c r="DR1048547" s="242"/>
      <c r="DS1048547" s="242"/>
      <c r="DT1048547" s="242"/>
      <c r="DU1048547" s="242"/>
      <c r="DV1048547" s="242"/>
      <c r="DW1048547" s="242"/>
      <c r="DX1048547" s="242"/>
      <c r="DY1048547" s="242"/>
      <c r="DZ1048547" s="242"/>
      <c r="EA1048547" s="242"/>
      <c r="EB1048547" s="242"/>
      <c r="EC1048547" s="242"/>
      <c r="ED1048547" s="242"/>
      <c r="EE1048547" s="242"/>
      <c r="EF1048547" s="242"/>
      <c r="EG1048547" s="242"/>
      <c r="EH1048547" s="242"/>
      <c r="EI1048547" s="242"/>
      <c r="EJ1048547" s="242"/>
      <c r="EK1048547" s="242"/>
      <c r="EL1048547" s="242"/>
      <c r="EM1048547" s="242"/>
      <c r="EN1048547" s="242"/>
      <c r="EO1048547" s="242"/>
      <c r="EP1048547" s="242"/>
      <c r="EQ1048547" s="242"/>
      <c r="ER1048547" s="242"/>
      <c r="ES1048547" s="242"/>
      <c r="ET1048547" s="242"/>
      <c r="EU1048547" s="242"/>
      <c r="EV1048547" s="242"/>
      <c r="EW1048547" s="242"/>
      <c r="EX1048547" s="242"/>
      <c r="EY1048547" s="242"/>
      <c r="EZ1048547" s="242"/>
      <c r="FA1048547" s="242"/>
      <c r="FB1048547" s="242"/>
      <c r="FC1048547" s="242"/>
      <c r="FD1048547" s="242"/>
      <c r="FE1048547" s="242"/>
      <c r="FF1048547" s="242"/>
      <c r="FG1048547" s="242"/>
      <c r="FH1048547" s="242"/>
      <c r="FI1048547" s="242"/>
      <c r="FJ1048547" s="242"/>
      <c r="FK1048547" s="242"/>
      <c r="FL1048547" s="242"/>
      <c r="FM1048547" s="242"/>
      <c r="FN1048547" s="242"/>
      <c r="FO1048547" s="242"/>
      <c r="FP1048547" s="242"/>
      <c r="FQ1048547" s="242"/>
      <c r="FR1048547" s="242"/>
      <c r="FS1048547" s="242"/>
      <c r="FT1048547" s="242"/>
      <c r="FU1048547" s="242"/>
      <c r="FV1048547" s="242"/>
      <c r="FW1048547" s="242"/>
      <c r="FX1048547" s="242"/>
      <c r="FY1048547" s="242"/>
      <c r="FZ1048547" s="242"/>
      <c r="GA1048547" s="242"/>
      <c r="GB1048547" s="242"/>
      <c r="GC1048547" s="242"/>
      <c r="GD1048547" s="242"/>
      <c r="GE1048547" s="242"/>
      <c r="GF1048547" s="242"/>
      <c r="GG1048547" s="242"/>
      <c r="GH1048547" s="242"/>
      <c r="GI1048547" s="242"/>
      <c r="GJ1048547" s="242"/>
      <c r="GK1048547" s="242"/>
      <c r="GL1048547" s="242"/>
      <c r="GM1048547" s="242"/>
      <c r="GN1048547" s="242"/>
      <c r="GO1048547" s="242"/>
      <c r="GP1048547" s="242"/>
      <c r="GQ1048547" s="242"/>
      <c r="GR1048547" s="242"/>
      <c r="GS1048547" s="242"/>
      <c r="GT1048547" s="242"/>
      <c r="GU1048547" s="242"/>
      <c r="GV1048547" s="242"/>
      <c r="GW1048547" s="242"/>
      <c r="GX1048547" s="242"/>
      <c r="GY1048547" s="242"/>
      <c r="GZ1048547" s="242"/>
      <c r="HA1048547" s="242"/>
      <c r="HB1048547" s="242"/>
      <c r="HC1048547" s="242"/>
      <c r="HD1048547" s="242"/>
      <c r="HE1048547" s="242"/>
      <c r="HF1048547" s="242"/>
      <c r="HG1048547" s="242"/>
      <c r="HH1048547" s="242"/>
      <c r="HI1048547" s="242"/>
      <c r="HJ1048547" s="242"/>
      <c r="HK1048547" s="242"/>
      <c r="HL1048547" s="242"/>
      <c r="HM1048547" s="242"/>
      <c r="HN1048547" s="242"/>
      <c r="HO1048547" s="242"/>
      <c r="HP1048547" s="242"/>
      <c r="HQ1048547" s="242"/>
      <c r="HR1048547" s="242"/>
      <c r="HS1048547" s="242"/>
      <c r="HT1048547" s="242"/>
      <c r="HU1048547" s="242"/>
      <c r="HV1048547" s="242"/>
      <c r="HW1048547" s="242"/>
      <c r="HX1048547" s="242"/>
      <c r="HY1048547" s="242"/>
      <c r="HZ1048547" s="242"/>
      <c r="IA1048547" s="242"/>
      <c r="IB1048547" s="242"/>
      <c r="IC1048547" s="242"/>
      <c r="ID1048547" s="242"/>
      <c r="IE1048547" s="242"/>
      <c r="IF1048547" s="242"/>
      <c r="IG1048547" s="242"/>
      <c r="IH1048547" s="242"/>
      <c r="II1048547" s="242"/>
      <c r="IJ1048547" s="242"/>
      <c r="IK1048547" s="242"/>
      <c r="IL1048547" s="242"/>
      <c r="IM1048547" s="242"/>
      <c r="IN1048547" s="242"/>
      <c r="IO1048547" s="242"/>
      <c r="IP1048547" s="242"/>
      <c r="IQ1048547" s="242"/>
    </row>
    <row r="1048548" spans="1:251" s="243" customFormat="1" ht="12.6" customHeight="1">
      <c r="A1048548" s="242"/>
      <c r="B1048548" s="242"/>
      <c r="C1048548" s="242"/>
      <c r="D1048548" s="242"/>
      <c r="E1048548" s="242"/>
      <c r="F1048548" s="242"/>
      <c r="G1048548" s="242"/>
      <c r="H1048548" s="242"/>
      <c r="I1048548" s="242"/>
      <c r="J1048548" s="242"/>
      <c r="K1048548" s="242"/>
      <c r="L1048548" s="242"/>
      <c r="M1048548" s="242"/>
      <c r="N1048548" s="242"/>
      <c r="O1048548" s="242"/>
      <c r="P1048548" s="242"/>
      <c r="Q1048548" s="242"/>
      <c r="R1048548" s="242"/>
      <c r="S1048548" s="242"/>
      <c r="T1048548" s="242"/>
      <c r="U1048548" s="242"/>
      <c r="V1048548" s="242"/>
      <c r="W1048548" s="242"/>
      <c r="X1048548" s="242"/>
      <c r="Y1048548" s="242"/>
      <c r="Z1048548" s="242"/>
      <c r="AA1048548" s="242"/>
      <c r="AB1048548" s="242"/>
      <c r="AC1048548" s="242"/>
      <c r="AD1048548" s="242"/>
      <c r="AE1048548" s="242"/>
      <c r="AF1048548" s="242"/>
      <c r="AG1048548" s="242"/>
      <c r="AH1048548" s="242"/>
      <c r="AI1048548" s="242"/>
      <c r="AJ1048548" s="242"/>
      <c r="AK1048548" s="242"/>
      <c r="AL1048548" s="242"/>
      <c r="AM1048548" s="242"/>
      <c r="AN1048548" s="242"/>
      <c r="AO1048548" s="242"/>
      <c r="AP1048548" s="242"/>
      <c r="AQ1048548" s="242"/>
      <c r="AR1048548" s="242"/>
      <c r="AS1048548" s="242"/>
      <c r="AT1048548" s="242"/>
      <c r="AU1048548" s="242"/>
      <c r="AV1048548" s="242"/>
      <c r="AW1048548" s="242"/>
      <c r="AX1048548" s="242"/>
      <c r="AY1048548" s="242"/>
      <c r="AZ1048548" s="242"/>
      <c r="BA1048548" s="242"/>
      <c r="BB1048548" s="242"/>
      <c r="BC1048548" s="242"/>
      <c r="BD1048548" s="242"/>
      <c r="BE1048548" s="242"/>
      <c r="BF1048548" s="242"/>
      <c r="BG1048548" s="242"/>
      <c r="BH1048548" s="242"/>
      <c r="BI1048548" s="242"/>
      <c r="BJ1048548" s="242"/>
      <c r="BK1048548" s="242"/>
      <c r="BL1048548" s="242"/>
      <c r="BM1048548" s="242"/>
      <c r="BN1048548" s="242"/>
      <c r="BO1048548" s="242"/>
      <c r="BP1048548" s="242"/>
      <c r="BQ1048548" s="242"/>
      <c r="BR1048548" s="242"/>
      <c r="BS1048548" s="242"/>
      <c r="BT1048548" s="242"/>
      <c r="BU1048548" s="242"/>
      <c r="BV1048548" s="242"/>
      <c r="BW1048548" s="242"/>
      <c r="BX1048548" s="242"/>
      <c r="BY1048548" s="242"/>
      <c r="BZ1048548" s="242"/>
      <c r="CA1048548" s="242"/>
      <c r="CB1048548" s="242"/>
      <c r="CC1048548" s="242"/>
      <c r="CD1048548" s="242"/>
      <c r="CE1048548" s="242"/>
      <c r="CF1048548" s="242"/>
      <c r="CG1048548" s="242"/>
      <c r="CH1048548" s="242"/>
      <c r="CI1048548" s="242"/>
      <c r="CJ1048548" s="242"/>
      <c r="CK1048548" s="242"/>
      <c r="CL1048548" s="242"/>
      <c r="CM1048548" s="242"/>
      <c r="CN1048548" s="242"/>
      <c r="CO1048548" s="242"/>
      <c r="CP1048548" s="242"/>
      <c r="CQ1048548" s="242"/>
      <c r="CR1048548" s="242"/>
      <c r="CS1048548" s="242"/>
      <c r="CT1048548" s="242"/>
      <c r="CU1048548" s="242"/>
      <c r="CV1048548" s="242"/>
      <c r="CW1048548" s="242"/>
      <c r="CX1048548" s="242"/>
      <c r="CY1048548" s="242"/>
      <c r="CZ1048548" s="242"/>
      <c r="DA1048548" s="242"/>
      <c r="DB1048548" s="242"/>
      <c r="DC1048548" s="242"/>
      <c r="DD1048548" s="242"/>
      <c r="DE1048548" s="242"/>
      <c r="DF1048548" s="242"/>
      <c r="DG1048548" s="242"/>
      <c r="DH1048548" s="242"/>
      <c r="DI1048548" s="242"/>
      <c r="DJ1048548" s="242"/>
      <c r="DK1048548" s="242"/>
      <c r="DL1048548" s="242"/>
      <c r="DM1048548" s="242"/>
      <c r="DN1048548" s="242"/>
      <c r="DO1048548" s="242"/>
      <c r="DP1048548" s="242"/>
      <c r="DQ1048548" s="242"/>
      <c r="DR1048548" s="242"/>
      <c r="DS1048548" s="242"/>
      <c r="DT1048548" s="242"/>
      <c r="DU1048548" s="242"/>
      <c r="DV1048548" s="242"/>
      <c r="DW1048548" s="242"/>
      <c r="DX1048548" s="242"/>
      <c r="DY1048548" s="242"/>
      <c r="DZ1048548" s="242"/>
      <c r="EA1048548" s="242"/>
      <c r="EB1048548" s="242"/>
      <c r="EC1048548" s="242"/>
      <c r="ED1048548" s="242"/>
      <c r="EE1048548" s="242"/>
      <c r="EF1048548" s="242"/>
      <c r="EG1048548" s="242"/>
      <c r="EH1048548" s="242"/>
      <c r="EI1048548" s="242"/>
      <c r="EJ1048548" s="242"/>
      <c r="EK1048548" s="242"/>
      <c r="EL1048548" s="242"/>
      <c r="EM1048548" s="242"/>
      <c r="EN1048548" s="242"/>
      <c r="EO1048548" s="242"/>
      <c r="EP1048548" s="242"/>
      <c r="EQ1048548" s="242"/>
      <c r="ER1048548" s="242"/>
      <c r="ES1048548" s="242"/>
      <c r="ET1048548" s="242"/>
      <c r="EU1048548" s="242"/>
      <c r="EV1048548" s="242"/>
      <c r="EW1048548" s="242"/>
      <c r="EX1048548" s="242"/>
      <c r="EY1048548" s="242"/>
      <c r="EZ1048548" s="242"/>
      <c r="FA1048548" s="242"/>
      <c r="FB1048548" s="242"/>
      <c r="FC1048548" s="242"/>
      <c r="FD1048548" s="242"/>
      <c r="FE1048548" s="242"/>
      <c r="FF1048548" s="242"/>
      <c r="FG1048548" s="242"/>
      <c r="FH1048548" s="242"/>
      <c r="FI1048548" s="242"/>
      <c r="FJ1048548" s="242"/>
      <c r="FK1048548" s="242"/>
      <c r="FL1048548" s="242"/>
      <c r="FM1048548" s="242"/>
      <c r="FN1048548" s="242"/>
      <c r="FO1048548" s="242"/>
      <c r="FP1048548" s="242"/>
      <c r="FQ1048548" s="242"/>
      <c r="FR1048548" s="242"/>
      <c r="FS1048548" s="242"/>
      <c r="FT1048548" s="242"/>
      <c r="FU1048548" s="242"/>
      <c r="FV1048548" s="242"/>
      <c r="FW1048548" s="242"/>
      <c r="FX1048548" s="242"/>
      <c r="FY1048548" s="242"/>
      <c r="FZ1048548" s="242"/>
      <c r="GA1048548" s="242"/>
      <c r="GB1048548" s="242"/>
      <c r="GC1048548" s="242"/>
      <c r="GD1048548" s="242"/>
      <c r="GE1048548" s="242"/>
      <c r="GF1048548" s="242"/>
      <c r="GG1048548" s="242"/>
      <c r="GH1048548" s="242"/>
      <c r="GI1048548" s="242"/>
      <c r="GJ1048548" s="242"/>
      <c r="GK1048548" s="242"/>
      <c r="GL1048548" s="242"/>
      <c r="GM1048548" s="242"/>
      <c r="GN1048548" s="242"/>
      <c r="GO1048548" s="242"/>
      <c r="GP1048548" s="242"/>
      <c r="GQ1048548" s="242"/>
      <c r="GR1048548" s="242"/>
      <c r="GS1048548" s="242"/>
      <c r="GT1048548" s="242"/>
      <c r="GU1048548" s="242"/>
      <c r="GV1048548" s="242"/>
      <c r="GW1048548" s="242"/>
      <c r="GX1048548" s="242"/>
      <c r="GY1048548" s="242"/>
      <c r="GZ1048548" s="242"/>
      <c r="HA1048548" s="242"/>
      <c r="HB1048548" s="242"/>
      <c r="HC1048548" s="242"/>
      <c r="HD1048548" s="242"/>
      <c r="HE1048548" s="242"/>
      <c r="HF1048548" s="242"/>
      <c r="HG1048548" s="242"/>
      <c r="HH1048548" s="242"/>
      <c r="HI1048548" s="242"/>
      <c r="HJ1048548" s="242"/>
      <c r="HK1048548" s="242"/>
      <c r="HL1048548" s="242"/>
      <c r="HM1048548" s="242"/>
      <c r="HN1048548" s="242"/>
      <c r="HO1048548" s="242"/>
      <c r="HP1048548" s="242"/>
      <c r="HQ1048548" s="242"/>
      <c r="HR1048548" s="242"/>
      <c r="HS1048548" s="242"/>
      <c r="HT1048548" s="242"/>
      <c r="HU1048548" s="242"/>
      <c r="HV1048548" s="242"/>
      <c r="HW1048548" s="242"/>
      <c r="HX1048548" s="242"/>
      <c r="HY1048548" s="242"/>
      <c r="HZ1048548" s="242"/>
      <c r="IA1048548" s="242"/>
      <c r="IB1048548" s="242"/>
      <c r="IC1048548" s="242"/>
      <c r="ID1048548" s="242"/>
      <c r="IE1048548" s="242"/>
      <c r="IF1048548" s="242"/>
      <c r="IG1048548" s="242"/>
      <c r="IH1048548" s="242"/>
      <c r="II1048548" s="242"/>
      <c r="IJ1048548" s="242"/>
      <c r="IK1048548" s="242"/>
      <c r="IL1048548" s="242"/>
      <c r="IM1048548" s="242"/>
      <c r="IN1048548" s="242"/>
      <c r="IO1048548" s="242"/>
      <c r="IP1048548" s="242"/>
      <c r="IQ1048548" s="242"/>
    </row>
    <row r="1048549" spans="1:251" s="243" customFormat="1" ht="12.6" customHeight="1">
      <c r="A1048549" s="242"/>
      <c r="B1048549" s="242"/>
      <c r="C1048549" s="242"/>
      <c r="D1048549" s="242"/>
      <c r="E1048549" s="242"/>
      <c r="F1048549" s="242"/>
      <c r="G1048549" s="242"/>
      <c r="H1048549" s="242"/>
      <c r="I1048549" s="242"/>
      <c r="J1048549" s="242"/>
      <c r="K1048549" s="242"/>
      <c r="L1048549" s="242"/>
      <c r="M1048549" s="242"/>
      <c r="N1048549" s="242"/>
      <c r="O1048549" s="242"/>
      <c r="P1048549" s="242"/>
      <c r="Q1048549" s="242"/>
      <c r="R1048549" s="242"/>
      <c r="S1048549" s="242"/>
      <c r="T1048549" s="242"/>
      <c r="U1048549" s="242"/>
      <c r="V1048549" s="242"/>
      <c r="W1048549" s="242"/>
      <c r="X1048549" s="242"/>
      <c r="Y1048549" s="242"/>
      <c r="Z1048549" s="242"/>
      <c r="AA1048549" s="242"/>
      <c r="AB1048549" s="242"/>
      <c r="AC1048549" s="242"/>
      <c r="AD1048549" s="242"/>
      <c r="AE1048549" s="242"/>
      <c r="AF1048549" s="242"/>
      <c r="AG1048549" s="242"/>
      <c r="AH1048549" s="242"/>
      <c r="AI1048549" s="242"/>
      <c r="AJ1048549" s="242"/>
      <c r="AK1048549" s="242"/>
      <c r="AL1048549" s="242"/>
      <c r="AM1048549" s="242"/>
      <c r="AN1048549" s="242"/>
      <c r="AO1048549" s="242"/>
      <c r="AP1048549" s="242"/>
      <c r="AQ1048549" s="242"/>
      <c r="AR1048549" s="242"/>
      <c r="AS1048549" s="242"/>
      <c r="AT1048549" s="242"/>
      <c r="AU1048549" s="242"/>
      <c r="AV1048549" s="242"/>
      <c r="AW1048549" s="242"/>
      <c r="AX1048549" s="242"/>
      <c r="AY1048549" s="242"/>
      <c r="AZ1048549" s="242"/>
      <c r="BA1048549" s="242"/>
      <c r="BB1048549" s="242"/>
      <c r="BC1048549" s="242"/>
      <c r="BD1048549" s="242"/>
      <c r="BE1048549" s="242"/>
      <c r="BF1048549" s="242"/>
      <c r="BG1048549" s="242"/>
      <c r="BH1048549" s="242"/>
      <c r="BI1048549" s="242"/>
      <c r="BJ1048549" s="242"/>
      <c r="BK1048549" s="242"/>
      <c r="BL1048549" s="242"/>
      <c r="BM1048549" s="242"/>
      <c r="BN1048549" s="242"/>
      <c r="BO1048549" s="242"/>
      <c r="BP1048549" s="242"/>
      <c r="BQ1048549" s="242"/>
      <c r="BR1048549" s="242"/>
      <c r="BS1048549" s="242"/>
      <c r="BT1048549" s="242"/>
      <c r="BU1048549" s="242"/>
      <c r="BV1048549" s="242"/>
      <c r="BW1048549" s="242"/>
      <c r="BX1048549" s="242"/>
      <c r="BY1048549" s="242"/>
      <c r="BZ1048549" s="242"/>
      <c r="CA1048549" s="242"/>
      <c r="CB1048549" s="242"/>
      <c r="CC1048549" s="242"/>
      <c r="CD1048549" s="242"/>
      <c r="CE1048549" s="242"/>
      <c r="CF1048549" s="242"/>
      <c r="CG1048549" s="242"/>
      <c r="CH1048549" s="242"/>
      <c r="CI1048549" s="242"/>
      <c r="CJ1048549" s="242"/>
      <c r="CK1048549" s="242"/>
      <c r="CL1048549" s="242"/>
      <c r="CM1048549" s="242"/>
      <c r="CN1048549" s="242"/>
      <c r="CO1048549" s="242"/>
      <c r="CP1048549" s="242"/>
      <c r="CQ1048549" s="242"/>
      <c r="CR1048549" s="242"/>
      <c r="CS1048549" s="242"/>
      <c r="CT1048549" s="242"/>
      <c r="CU1048549" s="242"/>
      <c r="CV1048549" s="242"/>
      <c r="CW1048549" s="242"/>
      <c r="CX1048549" s="242"/>
      <c r="CY1048549" s="242"/>
      <c r="CZ1048549" s="242"/>
      <c r="DA1048549" s="242"/>
      <c r="DB1048549" s="242"/>
      <c r="DC1048549" s="242"/>
      <c r="DD1048549" s="242"/>
      <c r="DE1048549" s="242"/>
      <c r="DF1048549" s="242"/>
      <c r="DG1048549" s="242"/>
      <c r="DH1048549" s="242"/>
      <c r="DI1048549" s="242"/>
      <c r="DJ1048549" s="242"/>
      <c r="DK1048549" s="242"/>
      <c r="DL1048549" s="242"/>
      <c r="DM1048549" s="242"/>
      <c r="DN1048549" s="242"/>
      <c r="DO1048549" s="242"/>
      <c r="DP1048549" s="242"/>
      <c r="DQ1048549" s="242"/>
      <c r="DR1048549" s="242"/>
      <c r="DS1048549" s="242"/>
      <c r="DT1048549" s="242"/>
      <c r="DU1048549" s="242"/>
      <c r="DV1048549" s="242"/>
      <c r="DW1048549" s="242"/>
      <c r="DX1048549" s="242"/>
      <c r="DY1048549" s="242"/>
      <c r="DZ1048549" s="242"/>
      <c r="EA1048549" s="242"/>
      <c r="EB1048549" s="242"/>
      <c r="EC1048549" s="242"/>
      <c r="ED1048549" s="242"/>
      <c r="EE1048549" s="242"/>
      <c r="EF1048549" s="242"/>
      <c r="EG1048549" s="242"/>
      <c r="EH1048549" s="242"/>
      <c r="EI1048549" s="242"/>
      <c r="EJ1048549" s="242"/>
      <c r="EK1048549" s="242"/>
      <c r="EL1048549" s="242"/>
      <c r="EM1048549" s="242"/>
      <c r="EN1048549" s="242"/>
      <c r="EO1048549" s="242"/>
      <c r="EP1048549" s="242"/>
      <c r="EQ1048549" s="242"/>
      <c r="ER1048549" s="242"/>
      <c r="ES1048549" s="242"/>
      <c r="ET1048549" s="242"/>
      <c r="EU1048549" s="242"/>
      <c r="EV1048549" s="242"/>
      <c r="EW1048549" s="242"/>
      <c r="EX1048549" s="242"/>
      <c r="EY1048549" s="242"/>
      <c r="EZ1048549" s="242"/>
      <c r="FA1048549" s="242"/>
      <c r="FB1048549" s="242"/>
      <c r="FC1048549" s="242"/>
      <c r="FD1048549" s="242"/>
      <c r="FE1048549" s="242"/>
      <c r="FF1048549" s="242"/>
      <c r="FG1048549" s="242"/>
      <c r="FH1048549" s="242"/>
      <c r="FI1048549" s="242"/>
      <c r="FJ1048549" s="242"/>
      <c r="FK1048549" s="242"/>
      <c r="FL1048549" s="242"/>
      <c r="FM1048549" s="242"/>
      <c r="FN1048549" s="242"/>
      <c r="FO1048549" s="242"/>
      <c r="FP1048549" s="242"/>
      <c r="FQ1048549" s="242"/>
      <c r="FR1048549" s="242"/>
      <c r="FS1048549" s="242"/>
      <c r="FT1048549" s="242"/>
      <c r="FU1048549" s="242"/>
      <c r="FV1048549" s="242"/>
      <c r="FW1048549" s="242"/>
      <c r="FX1048549" s="242"/>
      <c r="FY1048549" s="242"/>
      <c r="FZ1048549" s="242"/>
      <c r="GA1048549" s="242"/>
      <c r="GB1048549" s="242"/>
      <c r="GC1048549" s="242"/>
      <c r="GD1048549" s="242"/>
      <c r="GE1048549" s="242"/>
      <c r="GF1048549" s="242"/>
      <c r="GG1048549" s="242"/>
      <c r="GH1048549" s="242"/>
      <c r="GI1048549" s="242"/>
      <c r="GJ1048549" s="242"/>
      <c r="GK1048549" s="242"/>
      <c r="GL1048549" s="242"/>
      <c r="GM1048549" s="242"/>
      <c r="GN1048549" s="242"/>
      <c r="GO1048549" s="242"/>
      <c r="GP1048549" s="242"/>
      <c r="GQ1048549" s="242"/>
      <c r="GR1048549" s="242"/>
      <c r="GS1048549" s="242"/>
      <c r="GT1048549" s="242"/>
      <c r="GU1048549" s="242"/>
      <c r="GV1048549" s="242"/>
      <c r="GW1048549" s="242"/>
      <c r="GX1048549" s="242"/>
      <c r="GY1048549" s="242"/>
      <c r="GZ1048549" s="242"/>
      <c r="HA1048549" s="242"/>
      <c r="HB1048549" s="242"/>
      <c r="HC1048549" s="242"/>
      <c r="HD1048549" s="242"/>
      <c r="HE1048549" s="242"/>
      <c r="HF1048549" s="242"/>
      <c r="HG1048549" s="242"/>
      <c r="HH1048549" s="242"/>
      <c r="HI1048549" s="242"/>
      <c r="HJ1048549" s="242"/>
      <c r="HK1048549" s="242"/>
      <c r="HL1048549" s="242"/>
      <c r="HM1048549" s="242"/>
      <c r="HN1048549" s="242"/>
      <c r="HO1048549" s="242"/>
      <c r="HP1048549" s="242"/>
      <c r="HQ1048549" s="242"/>
      <c r="HR1048549" s="242"/>
      <c r="HS1048549" s="242"/>
      <c r="HT1048549" s="242"/>
      <c r="HU1048549" s="242"/>
      <c r="HV1048549" s="242"/>
      <c r="HW1048549" s="242"/>
      <c r="HX1048549" s="242"/>
      <c r="HY1048549" s="242"/>
      <c r="HZ1048549" s="242"/>
      <c r="IA1048549" s="242"/>
      <c r="IB1048549" s="242"/>
      <c r="IC1048549" s="242"/>
      <c r="ID1048549" s="242"/>
      <c r="IE1048549" s="242"/>
      <c r="IF1048549" s="242"/>
      <c r="IG1048549" s="242"/>
      <c r="IH1048549" s="242"/>
      <c r="II1048549" s="242"/>
      <c r="IJ1048549" s="242"/>
      <c r="IK1048549" s="242"/>
      <c r="IL1048549" s="242"/>
      <c r="IM1048549" s="242"/>
      <c r="IN1048549" s="242"/>
      <c r="IO1048549" s="242"/>
      <c r="IP1048549" s="242"/>
      <c r="IQ1048549" s="242"/>
    </row>
    <row r="1048550" spans="1:251" s="243" customFormat="1" ht="12.6" customHeight="1">
      <c r="A1048550" s="242"/>
      <c r="B1048550" s="242"/>
      <c r="C1048550" s="242"/>
      <c r="D1048550" s="242"/>
      <c r="E1048550" s="242"/>
      <c r="F1048550" s="242"/>
      <c r="G1048550" s="242"/>
      <c r="H1048550" s="242"/>
      <c r="I1048550" s="242"/>
      <c r="J1048550" s="242"/>
      <c r="K1048550" s="242"/>
      <c r="L1048550" s="242"/>
      <c r="M1048550" s="242"/>
      <c r="N1048550" s="242"/>
      <c r="O1048550" s="242"/>
      <c r="P1048550" s="242"/>
      <c r="Q1048550" s="242"/>
      <c r="R1048550" s="242"/>
      <c r="S1048550" s="242"/>
      <c r="T1048550" s="242"/>
      <c r="U1048550" s="242"/>
      <c r="V1048550" s="242"/>
      <c r="W1048550" s="242"/>
      <c r="X1048550" s="242"/>
      <c r="Y1048550" s="242"/>
      <c r="Z1048550" s="242"/>
      <c r="AA1048550" s="242"/>
      <c r="AB1048550" s="242"/>
      <c r="AC1048550" s="242"/>
      <c r="AD1048550" s="242"/>
      <c r="AE1048550" s="242"/>
      <c r="AF1048550" s="242"/>
      <c r="AG1048550" s="242"/>
      <c r="AH1048550" s="242"/>
      <c r="AI1048550" s="242"/>
      <c r="AJ1048550" s="242"/>
      <c r="AK1048550" s="242"/>
      <c r="AL1048550" s="242"/>
      <c r="AM1048550" s="242"/>
      <c r="AN1048550" s="242"/>
      <c r="AO1048550" s="242"/>
      <c r="AP1048550" s="242"/>
      <c r="AQ1048550" s="242"/>
      <c r="AR1048550" s="242"/>
      <c r="AS1048550" s="242"/>
      <c r="AT1048550" s="242"/>
      <c r="AU1048550" s="242"/>
      <c r="AV1048550" s="242"/>
      <c r="AW1048550" s="242"/>
      <c r="AX1048550" s="242"/>
      <c r="AY1048550" s="242"/>
      <c r="AZ1048550" s="242"/>
      <c r="BA1048550" s="242"/>
      <c r="BB1048550" s="242"/>
      <c r="BC1048550" s="242"/>
      <c r="BD1048550" s="242"/>
      <c r="BE1048550" s="242"/>
      <c r="BF1048550" s="242"/>
      <c r="BG1048550" s="242"/>
      <c r="BH1048550" s="242"/>
      <c r="BI1048550" s="242"/>
      <c r="BJ1048550" s="242"/>
      <c r="BK1048550" s="242"/>
      <c r="BL1048550" s="242"/>
      <c r="BM1048550" s="242"/>
      <c r="BN1048550" s="242"/>
      <c r="BO1048550" s="242"/>
      <c r="BP1048550" s="242"/>
      <c r="BQ1048550" s="242"/>
      <c r="BR1048550" s="242"/>
      <c r="BS1048550" s="242"/>
      <c r="BT1048550" s="242"/>
      <c r="BU1048550" s="242"/>
      <c r="BV1048550" s="242"/>
      <c r="BW1048550" s="242"/>
      <c r="BX1048550" s="242"/>
      <c r="BY1048550" s="242"/>
      <c r="BZ1048550" s="242"/>
      <c r="CA1048550" s="242"/>
      <c r="CB1048550" s="242"/>
      <c r="CC1048550" s="242"/>
      <c r="CD1048550" s="242"/>
      <c r="CE1048550" s="242"/>
      <c r="CF1048550" s="242"/>
      <c r="CG1048550" s="242"/>
      <c r="CH1048550" s="242"/>
      <c r="CI1048550" s="242"/>
      <c r="CJ1048550" s="242"/>
      <c r="CK1048550" s="242"/>
      <c r="CL1048550" s="242"/>
      <c r="CM1048550" s="242"/>
      <c r="CN1048550" s="242"/>
      <c r="CO1048550" s="242"/>
      <c r="CP1048550" s="242"/>
      <c r="CQ1048550" s="242"/>
      <c r="CR1048550" s="242"/>
      <c r="CS1048550" s="242"/>
      <c r="CT1048550" s="242"/>
      <c r="CU1048550" s="242"/>
      <c r="CV1048550" s="242"/>
      <c r="CW1048550" s="242"/>
      <c r="CX1048550" s="242"/>
      <c r="CY1048550" s="242"/>
      <c r="CZ1048550" s="242"/>
      <c r="DA1048550" s="242"/>
      <c r="DB1048550" s="242"/>
      <c r="DC1048550" s="242"/>
      <c r="DD1048550" s="242"/>
      <c r="DE1048550" s="242"/>
      <c r="DF1048550" s="242"/>
      <c r="DG1048550" s="242"/>
      <c r="DH1048550" s="242"/>
      <c r="DI1048550" s="242"/>
      <c r="DJ1048550" s="242"/>
      <c r="DK1048550" s="242"/>
      <c r="DL1048550" s="242"/>
      <c r="DM1048550" s="242"/>
      <c r="DN1048550" s="242"/>
      <c r="DO1048550" s="242"/>
      <c r="DP1048550" s="242"/>
      <c r="DQ1048550" s="242"/>
      <c r="DR1048550" s="242"/>
      <c r="DS1048550" s="242"/>
      <c r="DT1048550" s="242"/>
      <c r="DU1048550" s="242"/>
      <c r="DV1048550" s="242"/>
      <c r="DW1048550" s="242"/>
      <c r="DX1048550" s="242"/>
      <c r="DY1048550" s="242"/>
      <c r="DZ1048550" s="242"/>
      <c r="EA1048550" s="242"/>
      <c r="EB1048550" s="242"/>
      <c r="EC1048550" s="242"/>
      <c r="ED1048550" s="242"/>
      <c r="EE1048550" s="242"/>
      <c r="EF1048550" s="242"/>
      <c r="EG1048550" s="242"/>
      <c r="EH1048550" s="242"/>
      <c r="EI1048550" s="242"/>
      <c r="EJ1048550" s="242"/>
      <c r="EK1048550" s="242"/>
      <c r="EL1048550" s="242"/>
      <c r="EM1048550" s="242"/>
      <c r="EN1048550" s="242"/>
      <c r="EO1048550" s="242"/>
      <c r="EP1048550" s="242"/>
      <c r="EQ1048550" s="242"/>
      <c r="ER1048550" s="242"/>
      <c r="ES1048550" s="242"/>
      <c r="ET1048550" s="242"/>
      <c r="EU1048550" s="242"/>
      <c r="EV1048550" s="242"/>
      <c r="EW1048550" s="242"/>
      <c r="EX1048550" s="242"/>
      <c r="EY1048550" s="242"/>
      <c r="EZ1048550" s="242"/>
      <c r="FA1048550" s="242"/>
      <c r="FB1048550" s="242"/>
      <c r="FC1048550" s="242"/>
      <c r="FD1048550" s="242"/>
      <c r="FE1048550" s="242"/>
      <c r="FF1048550" s="242"/>
      <c r="FG1048550" s="242"/>
      <c r="FH1048550" s="242"/>
      <c r="FI1048550" s="242"/>
      <c r="FJ1048550" s="242"/>
      <c r="FK1048550" s="242"/>
      <c r="FL1048550" s="242"/>
      <c r="FM1048550" s="242"/>
      <c r="FN1048550" s="242"/>
      <c r="FO1048550" s="242"/>
      <c r="FP1048550" s="242"/>
      <c r="FQ1048550" s="242"/>
      <c r="FR1048550" s="242"/>
      <c r="FS1048550" s="242"/>
      <c r="FT1048550" s="242"/>
      <c r="FU1048550" s="242"/>
      <c r="FV1048550" s="242"/>
      <c r="FW1048550" s="242"/>
      <c r="FX1048550" s="242"/>
      <c r="FY1048550" s="242"/>
      <c r="FZ1048550" s="242"/>
      <c r="GA1048550" s="242"/>
      <c r="GB1048550" s="242"/>
      <c r="GC1048550" s="242"/>
      <c r="GD1048550" s="242"/>
      <c r="GE1048550" s="242"/>
      <c r="GF1048550" s="242"/>
      <c r="GG1048550" s="242"/>
      <c r="GH1048550" s="242"/>
      <c r="GI1048550" s="242"/>
      <c r="GJ1048550" s="242"/>
      <c r="GK1048550" s="242"/>
      <c r="GL1048550" s="242"/>
      <c r="GM1048550" s="242"/>
      <c r="GN1048550" s="242"/>
      <c r="GO1048550" s="242"/>
      <c r="GP1048550" s="242"/>
      <c r="GQ1048550" s="242"/>
      <c r="GR1048550" s="242"/>
      <c r="GS1048550" s="242"/>
      <c r="GT1048550" s="242"/>
      <c r="GU1048550" s="242"/>
      <c r="GV1048550" s="242"/>
      <c r="GW1048550" s="242"/>
      <c r="GX1048550" s="242"/>
      <c r="GY1048550" s="242"/>
      <c r="GZ1048550" s="242"/>
      <c r="HA1048550" s="242"/>
      <c r="HB1048550" s="242"/>
      <c r="HC1048550" s="242"/>
      <c r="HD1048550" s="242"/>
      <c r="HE1048550" s="242"/>
      <c r="HF1048550" s="242"/>
      <c r="HG1048550" s="242"/>
      <c r="HH1048550" s="242"/>
      <c r="HI1048550" s="242"/>
      <c r="HJ1048550" s="242"/>
      <c r="HK1048550" s="242"/>
      <c r="HL1048550" s="242"/>
      <c r="HM1048550" s="242"/>
      <c r="HN1048550" s="242"/>
      <c r="HO1048550" s="242"/>
      <c r="HP1048550" s="242"/>
      <c r="HQ1048550" s="242"/>
      <c r="HR1048550" s="242"/>
      <c r="HS1048550" s="242"/>
      <c r="HT1048550" s="242"/>
      <c r="HU1048550" s="242"/>
      <c r="HV1048550" s="242"/>
      <c r="HW1048550" s="242"/>
      <c r="HX1048550" s="242"/>
      <c r="HY1048550" s="242"/>
      <c r="HZ1048550" s="242"/>
      <c r="IA1048550" s="242"/>
      <c r="IB1048550" s="242"/>
      <c r="IC1048550" s="242"/>
      <c r="ID1048550" s="242"/>
      <c r="IE1048550" s="242"/>
      <c r="IF1048550" s="242"/>
      <c r="IG1048550" s="242"/>
      <c r="IH1048550" s="242"/>
      <c r="II1048550" s="242"/>
      <c r="IJ1048550" s="242"/>
      <c r="IK1048550" s="242"/>
      <c r="IL1048550" s="242"/>
      <c r="IM1048550" s="242"/>
      <c r="IN1048550" s="242"/>
      <c r="IO1048550" s="242"/>
      <c r="IP1048550" s="242"/>
      <c r="IQ1048550" s="242"/>
    </row>
    <row r="1048551" spans="1:251" s="243" customFormat="1" ht="12.6" customHeight="1">
      <c r="A1048551" s="242"/>
      <c r="B1048551" s="242"/>
      <c r="C1048551" s="242"/>
      <c r="D1048551" s="242"/>
      <c r="E1048551" s="242"/>
      <c r="F1048551" s="242"/>
      <c r="G1048551" s="242"/>
      <c r="H1048551" s="242"/>
      <c r="I1048551" s="242"/>
      <c r="J1048551" s="242"/>
      <c r="K1048551" s="242"/>
      <c r="L1048551" s="242"/>
      <c r="M1048551" s="242"/>
      <c r="N1048551" s="242"/>
      <c r="O1048551" s="242"/>
      <c r="P1048551" s="242"/>
      <c r="Q1048551" s="242"/>
      <c r="R1048551" s="242"/>
      <c r="S1048551" s="242"/>
      <c r="T1048551" s="242"/>
      <c r="U1048551" s="242"/>
      <c r="V1048551" s="242"/>
      <c r="W1048551" s="242"/>
      <c r="X1048551" s="242"/>
      <c r="Y1048551" s="242"/>
      <c r="Z1048551" s="242"/>
      <c r="AA1048551" s="242"/>
      <c r="AB1048551" s="242"/>
      <c r="AC1048551" s="242"/>
      <c r="AD1048551" s="242"/>
      <c r="AE1048551" s="242"/>
      <c r="AF1048551" s="242"/>
      <c r="AG1048551" s="242"/>
      <c r="AH1048551" s="242"/>
      <c r="AI1048551" s="242"/>
      <c r="AJ1048551" s="242"/>
      <c r="AK1048551" s="242"/>
      <c r="AL1048551" s="242"/>
      <c r="AM1048551" s="242"/>
      <c r="AN1048551" s="242"/>
      <c r="AO1048551" s="242"/>
      <c r="AP1048551" s="242"/>
      <c r="AQ1048551" s="242"/>
      <c r="AR1048551" s="242"/>
      <c r="AS1048551" s="242"/>
      <c r="AT1048551" s="242"/>
      <c r="AU1048551" s="242"/>
      <c r="AV1048551" s="242"/>
      <c r="AW1048551" s="242"/>
      <c r="AX1048551" s="242"/>
      <c r="AY1048551" s="242"/>
      <c r="AZ1048551" s="242"/>
      <c r="BA1048551" s="242"/>
      <c r="BB1048551" s="242"/>
      <c r="BC1048551" s="242"/>
      <c r="BD1048551" s="242"/>
      <c r="BE1048551" s="242"/>
      <c r="BF1048551" s="242"/>
      <c r="BG1048551" s="242"/>
      <c r="BH1048551" s="242"/>
      <c r="BI1048551" s="242"/>
      <c r="BJ1048551" s="242"/>
      <c r="BK1048551" s="242"/>
      <c r="BL1048551" s="242"/>
      <c r="BM1048551" s="242"/>
      <c r="BN1048551" s="242"/>
      <c r="BO1048551" s="242"/>
      <c r="BP1048551" s="242"/>
      <c r="BQ1048551" s="242"/>
      <c r="BR1048551" s="242"/>
      <c r="BS1048551" s="242"/>
      <c r="BT1048551" s="242"/>
      <c r="BU1048551" s="242"/>
      <c r="BV1048551" s="242"/>
      <c r="BW1048551" s="242"/>
      <c r="BX1048551" s="242"/>
      <c r="BY1048551" s="242"/>
      <c r="BZ1048551" s="242"/>
      <c r="CA1048551" s="242"/>
      <c r="CB1048551" s="242"/>
      <c r="CC1048551" s="242"/>
      <c r="CD1048551" s="242"/>
      <c r="CE1048551" s="242"/>
      <c r="CF1048551" s="242"/>
      <c r="CG1048551" s="242"/>
      <c r="CH1048551" s="242"/>
      <c r="CI1048551" s="242"/>
      <c r="CJ1048551" s="242"/>
      <c r="CK1048551" s="242"/>
      <c r="CL1048551" s="242"/>
      <c r="CM1048551" s="242"/>
      <c r="CN1048551" s="242"/>
      <c r="CO1048551" s="242"/>
      <c r="CP1048551" s="242"/>
      <c r="CQ1048551" s="242"/>
      <c r="CR1048551" s="242"/>
      <c r="CS1048551" s="242"/>
      <c r="CT1048551" s="242"/>
      <c r="CU1048551" s="242"/>
      <c r="CV1048551" s="242"/>
      <c r="CW1048551" s="242"/>
      <c r="CX1048551" s="242"/>
      <c r="CY1048551" s="242"/>
      <c r="CZ1048551" s="242"/>
      <c r="DA1048551" s="242"/>
      <c r="DB1048551" s="242"/>
      <c r="DC1048551" s="242"/>
      <c r="DD1048551" s="242"/>
      <c r="DE1048551" s="242"/>
      <c r="DF1048551" s="242"/>
      <c r="DG1048551" s="242"/>
      <c r="DH1048551" s="242"/>
      <c r="DI1048551" s="242"/>
      <c r="DJ1048551" s="242"/>
      <c r="DK1048551" s="242"/>
      <c r="DL1048551" s="242"/>
      <c r="DM1048551" s="242"/>
      <c r="DN1048551" s="242"/>
      <c r="DO1048551" s="242"/>
      <c r="DP1048551" s="242"/>
      <c r="DQ1048551" s="242"/>
      <c r="DR1048551" s="242"/>
      <c r="DS1048551" s="242"/>
      <c r="DT1048551" s="242"/>
      <c r="DU1048551" s="242"/>
      <c r="DV1048551" s="242"/>
      <c r="DW1048551" s="242"/>
      <c r="DX1048551" s="242"/>
      <c r="DY1048551" s="242"/>
      <c r="DZ1048551" s="242"/>
      <c r="EA1048551" s="242"/>
      <c r="EB1048551" s="242"/>
      <c r="EC1048551" s="242"/>
      <c r="ED1048551" s="242"/>
      <c r="EE1048551" s="242"/>
      <c r="EF1048551" s="242"/>
      <c r="EG1048551" s="242"/>
      <c r="EH1048551" s="242"/>
      <c r="EI1048551" s="242"/>
      <c r="EJ1048551" s="242"/>
      <c r="EK1048551" s="242"/>
      <c r="EL1048551" s="242"/>
      <c r="EM1048551" s="242"/>
      <c r="EN1048551" s="242"/>
      <c r="EO1048551" s="242"/>
      <c r="EP1048551" s="242"/>
      <c r="EQ1048551" s="242"/>
      <c r="ER1048551" s="242"/>
      <c r="ES1048551" s="242"/>
      <c r="ET1048551" s="242"/>
      <c r="EU1048551" s="242"/>
      <c r="EV1048551" s="242"/>
      <c r="EW1048551" s="242"/>
      <c r="EX1048551" s="242"/>
      <c r="EY1048551" s="242"/>
      <c r="EZ1048551" s="242"/>
      <c r="FA1048551" s="242"/>
      <c r="FB1048551" s="242"/>
      <c r="FC1048551" s="242"/>
      <c r="FD1048551" s="242"/>
      <c r="FE1048551" s="242"/>
      <c r="FF1048551" s="242"/>
      <c r="FG1048551" s="242"/>
      <c r="FH1048551" s="242"/>
      <c r="FI1048551" s="242"/>
      <c r="FJ1048551" s="242"/>
      <c r="FK1048551" s="242"/>
      <c r="FL1048551" s="242"/>
      <c r="FM1048551" s="242"/>
      <c r="FN1048551" s="242"/>
      <c r="FO1048551" s="242"/>
      <c r="FP1048551" s="242"/>
      <c r="FQ1048551" s="242"/>
      <c r="FR1048551" s="242"/>
      <c r="FS1048551" s="242"/>
      <c r="FT1048551" s="242"/>
      <c r="FU1048551" s="242"/>
      <c r="FV1048551" s="242"/>
      <c r="FW1048551" s="242"/>
      <c r="FX1048551" s="242"/>
      <c r="FY1048551" s="242"/>
      <c r="FZ1048551" s="242"/>
      <c r="GA1048551" s="242"/>
      <c r="GB1048551" s="242"/>
      <c r="GC1048551" s="242"/>
      <c r="GD1048551" s="242"/>
      <c r="GE1048551" s="242"/>
      <c r="GF1048551" s="242"/>
      <c r="GG1048551" s="242"/>
      <c r="GH1048551" s="242"/>
      <c r="GI1048551" s="242"/>
      <c r="GJ1048551" s="242"/>
      <c r="GK1048551" s="242"/>
      <c r="GL1048551" s="242"/>
      <c r="GM1048551" s="242"/>
      <c r="GN1048551" s="242"/>
      <c r="GO1048551" s="242"/>
      <c r="GP1048551" s="242"/>
      <c r="GQ1048551" s="242"/>
      <c r="GR1048551" s="242"/>
      <c r="GS1048551" s="242"/>
      <c r="GT1048551" s="242"/>
      <c r="GU1048551" s="242"/>
      <c r="GV1048551" s="242"/>
      <c r="GW1048551" s="242"/>
      <c r="GX1048551" s="242"/>
      <c r="GY1048551" s="242"/>
      <c r="GZ1048551" s="242"/>
      <c r="HA1048551" s="242"/>
      <c r="HB1048551" s="242"/>
      <c r="HC1048551" s="242"/>
      <c r="HD1048551" s="242"/>
      <c r="HE1048551" s="242"/>
      <c r="HF1048551" s="242"/>
      <c r="HG1048551" s="242"/>
      <c r="HH1048551" s="242"/>
      <c r="HI1048551" s="242"/>
      <c r="HJ1048551" s="242"/>
      <c r="HK1048551" s="242"/>
      <c r="HL1048551" s="242"/>
      <c r="HM1048551" s="242"/>
      <c r="HN1048551" s="242"/>
      <c r="HO1048551" s="242"/>
      <c r="HP1048551" s="242"/>
      <c r="HQ1048551" s="242"/>
      <c r="HR1048551" s="242"/>
      <c r="HS1048551" s="242"/>
      <c r="HT1048551" s="242"/>
      <c r="HU1048551" s="242"/>
      <c r="HV1048551" s="242"/>
      <c r="HW1048551" s="242"/>
      <c r="HX1048551" s="242"/>
      <c r="HY1048551" s="242"/>
      <c r="HZ1048551" s="242"/>
      <c r="IA1048551" s="242"/>
      <c r="IB1048551" s="242"/>
      <c r="IC1048551" s="242"/>
      <c r="ID1048551" s="242"/>
      <c r="IE1048551" s="242"/>
      <c r="IF1048551" s="242"/>
      <c r="IG1048551" s="242"/>
      <c r="IH1048551" s="242"/>
      <c r="II1048551" s="242"/>
      <c r="IJ1048551" s="242"/>
      <c r="IK1048551" s="242"/>
      <c r="IL1048551" s="242"/>
      <c r="IM1048551" s="242"/>
      <c r="IN1048551" s="242"/>
      <c r="IO1048551" s="242"/>
      <c r="IP1048551" s="242"/>
      <c r="IQ1048551" s="242"/>
    </row>
    <row r="1048552" spans="1:251" s="243" customFormat="1" ht="12.6" customHeight="1">
      <c r="A1048552" s="242"/>
      <c r="B1048552" s="242"/>
      <c r="C1048552" s="242"/>
      <c r="D1048552" s="242"/>
      <c r="E1048552" s="242"/>
      <c r="F1048552" s="242"/>
      <c r="G1048552" s="242"/>
      <c r="H1048552" s="242"/>
      <c r="I1048552" s="242"/>
      <c r="J1048552" s="242"/>
      <c r="K1048552" s="242"/>
      <c r="L1048552" s="242"/>
      <c r="M1048552" s="242"/>
      <c r="N1048552" s="242"/>
      <c r="O1048552" s="242"/>
      <c r="P1048552" s="242"/>
      <c r="Q1048552" s="242"/>
      <c r="R1048552" s="242"/>
      <c r="S1048552" s="242"/>
      <c r="T1048552" s="242"/>
      <c r="U1048552" s="242"/>
      <c r="V1048552" s="242"/>
      <c r="W1048552" s="242"/>
      <c r="X1048552" s="242"/>
      <c r="Y1048552" s="242"/>
      <c r="Z1048552" s="242"/>
      <c r="AA1048552" s="242"/>
      <c r="AB1048552" s="242"/>
      <c r="AC1048552" s="242"/>
      <c r="AD1048552" s="242"/>
      <c r="AE1048552" s="242"/>
      <c r="AF1048552" s="242"/>
      <c r="AG1048552" s="242"/>
      <c r="AH1048552" s="242"/>
      <c r="AI1048552" s="242"/>
      <c r="AJ1048552" s="242"/>
      <c r="AK1048552" s="242"/>
      <c r="AL1048552" s="242"/>
      <c r="AM1048552" s="242"/>
      <c r="AN1048552" s="242"/>
      <c r="AO1048552" s="242"/>
      <c r="AP1048552" s="242"/>
      <c r="AQ1048552" s="242"/>
      <c r="AR1048552" s="242"/>
      <c r="AS1048552" s="242"/>
      <c r="AT1048552" s="242"/>
      <c r="AU1048552" s="242"/>
      <c r="AV1048552" s="242"/>
      <c r="AW1048552" s="242"/>
      <c r="AX1048552" s="242"/>
      <c r="AY1048552" s="242"/>
      <c r="AZ1048552" s="242"/>
      <c r="BA1048552" s="242"/>
      <c r="BB1048552" s="242"/>
      <c r="BC1048552" s="242"/>
      <c r="BD1048552" s="242"/>
      <c r="BE1048552" s="242"/>
      <c r="BF1048552" s="242"/>
      <c r="BG1048552" s="242"/>
      <c r="BH1048552" s="242"/>
      <c r="BI1048552" s="242"/>
      <c r="BJ1048552" s="242"/>
      <c r="BK1048552" s="242"/>
      <c r="BL1048552" s="242"/>
      <c r="BM1048552" s="242"/>
      <c r="BN1048552" s="242"/>
      <c r="BO1048552" s="242"/>
      <c r="BP1048552" s="242"/>
      <c r="BQ1048552" s="242"/>
      <c r="BR1048552" s="242"/>
      <c r="BS1048552" s="242"/>
      <c r="BT1048552" s="242"/>
      <c r="BU1048552" s="242"/>
      <c r="BV1048552" s="242"/>
      <c r="BW1048552" s="242"/>
      <c r="BX1048552" s="242"/>
      <c r="BY1048552" s="242"/>
      <c r="BZ1048552" s="242"/>
      <c r="CA1048552" s="242"/>
      <c r="CB1048552" s="242"/>
      <c r="CC1048552" s="242"/>
      <c r="CD1048552" s="242"/>
      <c r="CE1048552" s="242"/>
      <c r="CF1048552" s="242"/>
      <c r="CG1048552" s="242"/>
      <c r="CH1048552" s="242"/>
      <c r="CI1048552" s="242"/>
      <c r="CJ1048552" s="242"/>
      <c r="CK1048552" s="242"/>
      <c r="CL1048552" s="242"/>
      <c r="CM1048552" s="242"/>
      <c r="CN1048552" s="242"/>
      <c r="CO1048552" s="242"/>
      <c r="CP1048552" s="242"/>
      <c r="CQ1048552" s="242"/>
      <c r="CR1048552" s="242"/>
      <c r="CS1048552" s="242"/>
      <c r="CT1048552" s="242"/>
      <c r="CU1048552" s="242"/>
      <c r="CV1048552" s="242"/>
      <c r="CW1048552" s="242"/>
      <c r="CX1048552" s="242"/>
      <c r="CY1048552" s="242"/>
      <c r="CZ1048552" s="242"/>
      <c r="DA1048552" s="242"/>
      <c r="DB1048552" s="242"/>
      <c r="DC1048552" s="242"/>
      <c r="DD1048552" s="242"/>
      <c r="DE1048552" s="242"/>
      <c r="DF1048552" s="242"/>
      <c r="DG1048552" s="242"/>
      <c r="DH1048552" s="242"/>
      <c r="DI1048552" s="242"/>
      <c r="DJ1048552" s="242"/>
      <c r="DK1048552" s="242"/>
      <c r="DL1048552" s="242"/>
      <c r="DM1048552" s="242"/>
      <c r="DN1048552" s="242"/>
      <c r="DO1048552" s="242"/>
      <c r="DP1048552" s="242"/>
      <c r="DQ1048552" s="242"/>
      <c r="DR1048552" s="242"/>
      <c r="DS1048552" s="242"/>
      <c r="DT1048552" s="242"/>
      <c r="DU1048552" s="242"/>
      <c r="DV1048552" s="242"/>
      <c r="DW1048552" s="242"/>
      <c r="DX1048552" s="242"/>
      <c r="DY1048552" s="242"/>
      <c r="DZ1048552" s="242"/>
      <c r="EA1048552" s="242"/>
      <c r="EB1048552" s="242"/>
      <c r="EC1048552" s="242"/>
      <c r="ED1048552" s="242"/>
      <c r="EE1048552" s="242"/>
      <c r="EF1048552" s="242"/>
      <c r="EG1048552" s="242"/>
      <c r="EH1048552" s="242"/>
      <c r="EI1048552" s="242"/>
      <c r="EJ1048552" s="242"/>
      <c r="EK1048552" s="242"/>
      <c r="EL1048552" s="242"/>
      <c r="EM1048552" s="242"/>
      <c r="EN1048552" s="242"/>
      <c r="EO1048552" s="242"/>
      <c r="EP1048552" s="242"/>
      <c r="EQ1048552" s="242"/>
      <c r="ER1048552" s="242"/>
      <c r="ES1048552" s="242"/>
      <c r="ET1048552" s="242"/>
      <c r="EU1048552" s="242"/>
      <c r="EV1048552" s="242"/>
      <c r="EW1048552" s="242"/>
      <c r="EX1048552" s="242"/>
      <c r="EY1048552" s="242"/>
      <c r="EZ1048552" s="242"/>
      <c r="FA1048552" s="242"/>
      <c r="FB1048552" s="242"/>
      <c r="FC1048552" s="242"/>
      <c r="FD1048552" s="242"/>
      <c r="FE1048552" s="242"/>
      <c r="FF1048552" s="242"/>
      <c r="FG1048552" s="242"/>
      <c r="FH1048552" s="242"/>
      <c r="FI1048552" s="242"/>
      <c r="FJ1048552" s="242"/>
      <c r="FK1048552" s="242"/>
      <c r="FL1048552" s="242"/>
      <c r="FM1048552" s="242"/>
      <c r="FN1048552" s="242"/>
      <c r="FO1048552" s="242"/>
      <c r="FP1048552" s="242"/>
      <c r="FQ1048552" s="242"/>
      <c r="FR1048552" s="242"/>
      <c r="FS1048552" s="242"/>
      <c r="FT1048552" s="242"/>
      <c r="FU1048552" s="242"/>
      <c r="FV1048552" s="242"/>
      <c r="FW1048552" s="242"/>
      <c r="FX1048552" s="242"/>
      <c r="FY1048552" s="242"/>
      <c r="FZ1048552" s="242"/>
      <c r="GA1048552" s="242"/>
      <c r="GB1048552" s="242"/>
      <c r="GC1048552" s="242"/>
      <c r="GD1048552" s="242"/>
      <c r="GE1048552" s="242"/>
      <c r="GF1048552" s="242"/>
      <c r="GG1048552" s="242"/>
      <c r="GH1048552" s="242"/>
      <c r="GI1048552" s="242"/>
      <c r="GJ1048552" s="242"/>
      <c r="GK1048552" s="242"/>
      <c r="GL1048552" s="242"/>
      <c r="GM1048552" s="242"/>
      <c r="GN1048552" s="242"/>
      <c r="GO1048552" s="242"/>
      <c r="GP1048552" s="242"/>
      <c r="GQ1048552" s="242"/>
      <c r="GR1048552" s="242"/>
      <c r="GS1048552" s="242"/>
      <c r="GT1048552" s="242"/>
      <c r="GU1048552" s="242"/>
      <c r="GV1048552" s="242"/>
      <c r="GW1048552" s="242"/>
      <c r="GX1048552" s="242"/>
      <c r="GY1048552" s="242"/>
      <c r="GZ1048552" s="242"/>
      <c r="HA1048552" s="242"/>
      <c r="HB1048552" s="242"/>
      <c r="HC1048552" s="242"/>
      <c r="HD1048552" s="242"/>
      <c r="HE1048552" s="242"/>
      <c r="HF1048552" s="242"/>
      <c r="HG1048552" s="242"/>
      <c r="HH1048552" s="242"/>
      <c r="HI1048552" s="242"/>
      <c r="HJ1048552" s="242"/>
      <c r="HK1048552" s="242"/>
      <c r="HL1048552" s="242"/>
      <c r="HM1048552" s="242"/>
      <c r="HN1048552" s="242"/>
      <c r="HO1048552" s="242"/>
      <c r="HP1048552" s="242"/>
      <c r="HQ1048552" s="242"/>
      <c r="HR1048552" s="242"/>
      <c r="HS1048552" s="242"/>
      <c r="HT1048552" s="242"/>
      <c r="HU1048552" s="242"/>
      <c r="HV1048552" s="242"/>
      <c r="HW1048552" s="242"/>
      <c r="HX1048552" s="242"/>
      <c r="HY1048552" s="242"/>
      <c r="HZ1048552" s="242"/>
      <c r="IA1048552" s="242"/>
      <c r="IB1048552" s="242"/>
      <c r="IC1048552" s="242"/>
      <c r="ID1048552" s="242"/>
      <c r="IE1048552" s="242"/>
      <c r="IF1048552" s="242"/>
      <c r="IG1048552" s="242"/>
      <c r="IH1048552" s="242"/>
      <c r="II1048552" s="242"/>
      <c r="IJ1048552" s="242"/>
      <c r="IK1048552" s="242"/>
      <c r="IL1048552" s="242"/>
      <c r="IM1048552" s="242"/>
      <c r="IN1048552" s="242"/>
      <c r="IO1048552" s="242"/>
      <c r="IP1048552" s="242"/>
      <c r="IQ1048552" s="242"/>
    </row>
    <row r="1048553" spans="1:251" s="243" customFormat="1" ht="12.6" customHeight="1">
      <c r="A1048553" s="242"/>
      <c r="B1048553" s="242"/>
      <c r="C1048553" s="242"/>
      <c r="D1048553" s="242"/>
      <c r="E1048553" s="242"/>
      <c r="F1048553" s="242"/>
      <c r="G1048553" s="242"/>
      <c r="H1048553" s="242"/>
      <c r="I1048553" s="242"/>
      <c r="J1048553" s="242"/>
      <c r="K1048553" s="242"/>
      <c r="L1048553" s="242"/>
      <c r="M1048553" s="242"/>
      <c r="N1048553" s="242"/>
      <c r="O1048553" s="242"/>
      <c r="P1048553" s="242"/>
      <c r="Q1048553" s="242"/>
      <c r="R1048553" s="242"/>
      <c r="S1048553" s="242"/>
      <c r="T1048553" s="242"/>
      <c r="U1048553" s="242"/>
      <c r="V1048553" s="242"/>
      <c r="W1048553" s="242"/>
      <c r="X1048553" s="242"/>
      <c r="Y1048553" s="242"/>
      <c r="Z1048553" s="242"/>
      <c r="AA1048553" s="242"/>
      <c r="AB1048553" s="242"/>
      <c r="AC1048553" s="242"/>
      <c r="AD1048553" s="242"/>
      <c r="AE1048553" s="242"/>
      <c r="AF1048553" s="242"/>
      <c r="AG1048553" s="242"/>
      <c r="AH1048553" s="242"/>
      <c r="AI1048553" s="242"/>
      <c r="AJ1048553" s="242"/>
      <c r="AK1048553" s="242"/>
      <c r="AL1048553" s="242"/>
      <c r="AM1048553" s="242"/>
      <c r="AN1048553" s="242"/>
      <c r="AO1048553" s="242"/>
      <c r="AP1048553" s="242"/>
      <c r="AQ1048553" s="242"/>
      <c r="AR1048553" s="242"/>
      <c r="AS1048553" s="242"/>
      <c r="AT1048553" s="242"/>
      <c r="AU1048553" s="242"/>
      <c r="AV1048553" s="242"/>
      <c r="AW1048553" s="242"/>
      <c r="AX1048553" s="242"/>
      <c r="AY1048553" s="242"/>
      <c r="AZ1048553" s="242"/>
      <c r="BA1048553" s="242"/>
      <c r="BB1048553" s="242"/>
      <c r="BC1048553" s="242"/>
      <c r="BD1048553" s="242"/>
      <c r="BE1048553" s="242"/>
      <c r="BF1048553" s="242"/>
      <c r="BG1048553" s="242"/>
      <c r="BH1048553" s="242"/>
      <c r="BI1048553" s="242"/>
      <c r="BJ1048553" s="242"/>
      <c r="BK1048553" s="242"/>
      <c r="BL1048553" s="242"/>
      <c r="BM1048553" s="242"/>
      <c r="BN1048553" s="242"/>
      <c r="BO1048553" s="242"/>
      <c r="BP1048553" s="242"/>
      <c r="BQ1048553" s="242"/>
      <c r="BR1048553" s="242"/>
      <c r="BS1048553" s="242"/>
      <c r="BT1048553" s="242"/>
      <c r="BU1048553" s="242"/>
      <c r="BV1048553" s="242"/>
      <c r="BW1048553" s="242"/>
      <c r="BX1048553" s="242"/>
      <c r="BY1048553" s="242"/>
      <c r="BZ1048553" s="242"/>
      <c r="CA1048553" s="242"/>
      <c r="CB1048553" s="242"/>
      <c r="CC1048553" s="242"/>
      <c r="CD1048553" s="242"/>
      <c r="CE1048553" s="242"/>
      <c r="CF1048553" s="242"/>
      <c r="CG1048553" s="242"/>
      <c r="CH1048553" s="242"/>
      <c r="CI1048553" s="242"/>
      <c r="CJ1048553" s="242"/>
      <c r="CK1048553" s="242"/>
      <c r="CL1048553" s="242"/>
      <c r="CM1048553" s="242"/>
      <c r="CN1048553" s="242"/>
      <c r="CO1048553" s="242"/>
      <c r="CP1048553" s="242"/>
      <c r="CQ1048553" s="242"/>
      <c r="CR1048553" s="242"/>
      <c r="CS1048553" s="242"/>
      <c r="CT1048553" s="242"/>
      <c r="CU1048553" s="242"/>
      <c r="CV1048553" s="242"/>
      <c r="CW1048553" s="242"/>
      <c r="CX1048553" s="242"/>
      <c r="CY1048553" s="242"/>
      <c r="CZ1048553" s="242"/>
      <c r="DA1048553" s="242"/>
      <c r="DB1048553" s="242"/>
      <c r="DC1048553" s="242"/>
      <c r="DD1048553" s="242"/>
      <c r="DE1048553" s="242"/>
      <c r="DF1048553" s="242"/>
      <c r="DG1048553" s="242"/>
      <c r="DH1048553" s="242"/>
      <c r="DI1048553" s="242"/>
      <c r="DJ1048553" s="242"/>
      <c r="DK1048553" s="242"/>
      <c r="DL1048553" s="242"/>
      <c r="DM1048553" s="242"/>
      <c r="DN1048553" s="242"/>
      <c r="DO1048553" s="242"/>
      <c r="DP1048553" s="242"/>
      <c r="DQ1048553" s="242"/>
      <c r="DR1048553" s="242"/>
      <c r="DS1048553" s="242"/>
      <c r="DT1048553" s="242"/>
      <c r="DU1048553" s="242"/>
      <c r="DV1048553" s="242"/>
      <c r="DW1048553" s="242"/>
      <c r="DX1048553" s="242"/>
      <c r="DY1048553" s="242"/>
      <c r="DZ1048553" s="242"/>
      <c r="EA1048553" s="242"/>
      <c r="EB1048553" s="242"/>
      <c r="EC1048553" s="242"/>
      <c r="ED1048553" s="242"/>
      <c r="EE1048553" s="242"/>
      <c r="EF1048553" s="242"/>
      <c r="EG1048553" s="242"/>
      <c r="EH1048553" s="242"/>
      <c r="EI1048553" s="242"/>
      <c r="EJ1048553" s="242"/>
      <c r="EK1048553" s="242"/>
      <c r="EL1048553" s="242"/>
      <c r="EM1048553" s="242"/>
      <c r="EN1048553" s="242"/>
      <c r="EO1048553" s="242"/>
      <c r="EP1048553" s="242"/>
      <c r="EQ1048553" s="242"/>
      <c r="ER1048553" s="242"/>
      <c r="ES1048553" s="242"/>
      <c r="ET1048553" s="242"/>
      <c r="EU1048553" s="242"/>
      <c r="EV1048553" s="242"/>
      <c r="EW1048553" s="242"/>
      <c r="EX1048553" s="242"/>
      <c r="EY1048553" s="242"/>
      <c r="EZ1048553" s="242"/>
      <c r="FA1048553" s="242"/>
      <c r="FB1048553" s="242"/>
      <c r="FC1048553" s="242"/>
      <c r="FD1048553" s="242"/>
      <c r="FE1048553" s="242"/>
      <c r="FF1048553" s="242"/>
      <c r="FG1048553" s="242"/>
      <c r="FH1048553" s="242"/>
      <c r="FI1048553" s="242"/>
      <c r="FJ1048553" s="242"/>
      <c r="FK1048553" s="242"/>
      <c r="FL1048553" s="242"/>
      <c r="FM1048553" s="242"/>
      <c r="FN1048553" s="242"/>
      <c r="FO1048553" s="242"/>
      <c r="FP1048553" s="242"/>
      <c r="FQ1048553" s="242"/>
      <c r="FR1048553" s="242"/>
      <c r="FS1048553" s="242"/>
      <c r="FT1048553" s="242"/>
      <c r="FU1048553" s="242"/>
      <c r="FV1048553" s="242"/>
      <c r="FW1048553" s="242"/>
      <c r="FX1048553" s="242"/>
      <c r="FY1048553" s="242"/>
      <c r="FZ1048553" s="242"/>
      <c r="GA1048553" s="242"/>
      <c r="GB1048553" s="242"/>
      <c r="GC1048553" s="242"/>
      <c r="GD1048553" s="242"/>
      <c r="GE1048553" s="242"/>
      <c r="GF1048553" s="242"/>
      <c r="GG1048553" s="242"/>
      <c r="GH1048553" s="242"/>
      <c r="GI1048553" s="242"/>
      <c r="GJ1048553" s="242"/>
      <c r="GK1048553" s="242"/>
      <c r="GL1048553" s="242"/>
      <c r="GM1048553" s="242"/>
      <c r="GN1048553" s="242"/>
      <c r="GO1048553" s="242"/>
      <c r="GP1048553" s="242"/>
      <c r="GQ1048553" s="242"/>
      <c r="GR1048553" s="242"/>
      <c r="GS1048553" s="242"/>
      <c r="GT1048553" s="242"/>
      <c r="GU1048553" s="242"/>
      <c r="GV1048553" s="242"/>
      <c r="GW1048553" s="242"/>
      <c r="GX1048553" s="242"/>
      <c r="GY1048553" s="242"/>
      <c r="GZ1048553" s="242"/>
      <c r="HA1048553" s="242"/>
      <c r="HB1048553" s="242"/>
      <c r="HC1048553" s="242"/>
      <c r="HD1048553" s="242"/>
      <c r="HE1048553" s="242"/>
      <c r="HF1048553" s="242"/>
      <c r="HG1048553" s="242"/>
      <c r="HH1048553" s="242"/>
      <c r="HI1048553" s="242"/>
      <c r="HJ1048553" s="242"/>
      <c r="HK1048553" s="242"/>
      <c r="HL1048553" s="242"/>
      <c r="HM1048553" s="242"/>
      <c r="HN1048553" s="242"/>
      <c r="HO1048553" s="242"/>
      <c r="HP1048553" s="242"/>
      <c r="HQ1048553" s="242"/>
      <c r="HR1048553" s="242"/>
      <c r="HS1048553" s="242"/>
      <c r="HT1048553" s="242"/>
      <c r="HU1048553" s="242"/>
      <c r="HV1048553" s="242"/>
      <c r="HW1048553" s="242"/>
      <c r="HX1048553" s="242"/>
      <c r="HY1048553" s="242"/>
      <c r="HZ1048553" s="242"/>
      <c r="IA1048553" s="242"/>
      <c r="IB1048553" s="242"/>
      <c r="IC1048553" s="242"/>
      <c r="ID1048553" s="242"/>
      <c r="IE1048553" s="242"/>
      <c r="IF1048553" s="242"/>
      <c r="IG1048553" s="242"/>
      <c r="IH1048553" s="242"/>
      <c r="II1048553" s="242"/>
      <c r="IJ1048553" s="242"/>
      <c r="IK1048553" s="242"/>
      <c r="IL1048553" s="242"/>
      <c r="IM1048553" s="242"/>
      <c r="IN1048553" s="242"/>
      <c r="IO1048553" s="242"/>
      <c r="IP1048553" s="242"/>
      <c r="IQ1048553" s="242"/>
    </row>
    <row r="1048554" spans="1:251" s="243" customFormat="1" ht="12.6" customHeight="1">
      <c r="A1048554" s="242"/>
      <c r="B1048554" s="242"/>
      <c r="C1048554" s="242"/>
      <c r="D1048554" s="242"/>
      <c r="E1048554" s="242"/>
      <c r="F1048554" s="242"/>
      <c r="G1048554" s="242"/>
      <c r="H1048554" s="242"/>
      <c r="I1048554" s="242"/>
      <c r="J1048554" s="242"/>
      <c r="K1048554" s="242"/>
      <c r="L1048554" s="242"/>
      <c r="M1048554" s="242"/>
      <c r="N1048554" s="242"/>
      <c r="O1048554" s="242"/>
      <c r="P1048554" s="242"/>
      <c r="Q1048554" s="242"/>
      <c r="R1048554" s="242"/>
      <c r="S1048554" s="242"/>
      <c r="T1048554" s="242"/>
      <c r="U1048554" s="242"/>
      <c r="V1048554" s="242"/>
      <c r="W1048554" s="242"/>
      <c r="X1048554" s="242"/>
      <c r="Y1048554" s="242"/>
      <c r="Z1048554" s="242"/>
      <c r="AA1048554" s="242"/>
      <c r="AB1048554" s="242"/>
      <c r="AC1048554" s="242"/>
      <c r="AD1048554" s="242"/>
      <c r="AE1048554" s="242"/>
      <c r="AF1048554" s="242"/>
      <c r="AG1048554" s="242"/>
      <c r="AH1048554" s="242"/>
      <c r="AI1048554" s="242"/>
      <c r="AJ1048554" s="242"/>
      <c r="AK1048554" s="242"/>
      <c r="AL1048554" s="242"/>
      <c r="AM1048554" s="242"/>
      <c r="AN1048554" s="242"/>
      <c r="AO1048554" s="242"/>
      <c r="AP1048554" s="242"/>
      <c r="AQ1048554" s="242"/>
      <c r="AR1048554" s="242"/>
      <c r="AS1048554" s="242"/>
      <c r="AT1048554" s="242"/>
      <c r="AU1048554" s="242"/>
      <c r="AV1048554" s="242"/>
      <c r="AW1048554" s="242"/>
      <c r="AX1048554" s="242"/>
      <c r="AY1048554" s="242"/>
      <c r="AZ1048554" s="242"/>
      <c r="BA1048554" s="242"/>
      <c r="BB1048554" s="242"/>
      <c r="BC1048554" s="242"/>
      <c r="BD1048554" s="242"/>
      <c r="BE1048554" s="242"/>
      <c r="BF1048554" s="242"/>
      <c r="BG1048554" s="242"/>
      <c r="BH1048554" s="242"/>
      <c r="BI1048554" s="242"/>
      <c r="BJ1048554" s="242"/>
      <c r="BK1048554" s="242"/>
      <c r="BL1048554" s="242"/>
      <c r="BM1048554" s="242"/>
      <c r="BN1048554" s="242"/>
      <c r="BO1048554" s="242"/>
      <c r="BP1048554" s="242"/>
      <c r="BQ1048554" s="242"/>
      <c r="BR1048554" s="242"/>
      <c r="BS1048554" s="242"/>
      <c r="BT1048554" s="242"/>
      <c r="BU1048554" s="242"/>
      <c r="BV1048554" s="242"/>
      <c r="BW1048554" s="242"/>
      <c r="BX1048554" s="242"/>
      <c r="BY1048554" s="242"/>
      <c r="BZ1048554" s="242"/>
      <c r="CA1048554" s="242"/>
      <c r="CB1048554" s="242"/>
      <c r="CC1048554" s="242"/>
      <c r="CD1048554" s="242"/>
      <c r="CE1048554" s="242"/>
      <c r="CF1048554" s="242"/>
      <c r="CG1048554" s="242"/>
      <c r="CH1048554" s="242"/>
      <c r="CI1048554" s="242"/>
      <c r="CJ1048554" s="242"/>
      <c r="CK1048554" s="242"/>
      <c r="CL1048554" s="242"/>
      <c r="CM1048554" s="242"/>
      <c r="CN1048554" s="242"/>
      <c r="CO1048554" s="242"/>
      <c r="CP1048554" s="242"/>
      <c r="CQ1048554" s="242"/>
      <c r="CR1048554" s="242"/>
      <c r="CS1048554" s="242"/>
      <c r="CT1048554" s="242"/>
      <c r="CU1048554" s="242"/>
      <c r="CV1048554" s="242"/>
      <c r="CW1048554" s="242"/>
      <c r="CX1048554" s="242"/>
      <c r="CY1048554" s="242"/>
      <c r="CZ1048554" s="242"/>
      <c r="DA1048554" s="242"/>
      <c r="DB1048554" s="242"/>
      <c r="DC1048554" s="242"/>
      <c r="DD1048554" s="242"/>
      <c r="DE1048554" s="242"/>
      <c r="DF1048554" s="242"/>
      <c r="DG1048554" s="242"/>
      <c r="DH1048554" s="242"/>
      <c r="DI1048554" s="242"/>
      <c r="DJ1048554" s="242"/>
      <c r="DK1048554" s="242"/>
      <c r="DL1048554" s="242"/>
      <c r="DM1048554" s="242"/>
      <c r="DN1048554" s="242"/>
      <c r="DO1048554" s="242"/>
      <c r="DP1048554" s="242"/>
      <c r="DQ1048554" s="242"/>
      <c r="DR1048554" s="242"/>
      <c r="DS1048554" s="242"/>
      <c r="DT1048554" s="242"/>
      <c r="DU1048554" s="242"/>
      <c r="DV1048554" s="242"/>
      <c r="DW1048554" s="242"/>
      <c r="DX1048554" s="242"/>
      <c r="DY1048554" s="242"/>
      <c r="DZ1048554" s="242"/>
      <c r="EA1048554" s="242"/>
      <c r="EB1048554" s="242"/>
      <c r="EC1048554" s="242"/>
      <c r="ED1048554" s="242"/>
      <c r="EE1048554" s="242"/>
      <c r="EF1048554" s="242"/>
      <c r="EG1048554" s="242"/>
      <c r="EH1048554" s="242"/>
      <c r="EI1048554" s="242"/>
      <c r="EJ1048554" s="242"/>
      <c r="EK1048554" s="242"/>
      <c r="EL1048554" s="242"/>
      <c r="EM1048554" s="242"/>
      <c r="EN1048554" s="242"/>
      <c r="EO1048554" s="242"/>
      <c r="EP1048554" s="242"/>
      <c r="EQ1048554" s="242"/>
      <c r="ER1048554" s="242"/>
      <c r="ES1048554" s="242"/>
      <c r="ET1048554" s="242"/>
      <c r="EU1048554" s="242"/>
      <c r="EV1048554" s="242"/>
      <c r="EW1048554" s="242"/>
      <c r="EX1048554" s="242"/>
      <c r="EY1048554" s="242"/>
      <c r="EZ1048554" s="242"/>
      <c r="FA1048554" s="242"/>
      <c r="FB1048554" s="242"/>
      <c r="FC1048554" s="242"/>
      <c r="FD1048554" s="242"/>
      <c r="FE1048554" s="242"/>
      <c r="FF1048554" s="242"/>
      <c r="FG1048554" s="242"/>
      <c r="FH1048554" s="242"/>
      <c r="FI1048554" s="242"/>
      <c r="FJ1048554" s="242"/>
      <c r="FK1048554" s="242"/>
      <c r="FL1048554" s="242"/>
      <c r="FM1048554" s="242"/>
      <c r="FN1048554" s="242"/>
      <c r="FO1048554" s="242"/>
      <c r="FP1048554" s="242"/>
      <c r="FQ1048554" s="242"/>
      <c r="FR1048554" s="242"/>
      <c r="FS1048554" s="242"/>
      <c r="FT1048554" s="242"/>
      <c r="FU1048554" s="242"/>
      <c r="FV1048554" s="242"/>
      <c r="FW1048554" s="242"/>
      <c r="FX1048554" s="242"/>
      <c r="FY1048554" s="242"/>
      <c r="FZ1048554" s="242"/>
      <c r="GA1048554" s="242"/>
      <c r="GB1048554" s="242"/>
      <c r="GC1048554" s="242"/>
      <c r="GD1048554" s="242"/>
      <c r="GE1048554" s="242"/>
      <c r="GF1048554" s="242"/>
      <c r="GG1048554" s="242"/>
      <c r="GH1048554" s="242"/>
      <c r="GI1048554" s="242"/>
      <c r="GJ1048554" s="242"/>
      <c r="GK1048554" s="242"/>
      <c r="GL1048554" s="242"/>
      <c r="GM1048554" s="242"/>
      <c r="GN1048554" s="242"/>
      <c r="GO1048554" s="242"/>
      <c r="GP1048554" s="242"/>
      <c r="GQ1048554" s="242"/>
      <c r="GR1048554" s="242"/>
      <c r="GS1048554" s="242"/>
      <c r="GT1048554" s="242"/>
      <c r="GU1048554" s="242"/>
      <c r="GV1048554" s="242"/>
      <c r="GW1048554" s="242"/>
      <c r="GX1048554" s="242"/>
      <c r="GY1048554" s="242"/>
      <c r="GZ1048554" s="242"/>
      <c r="HA1048554" s="242"/>
      <c r="HB1048554" s="242"/>
      <c r="HC1048554" s="242"/>
      <c r="HD1048554" s="242"/>
      <c r="HE1048554" s="242"/>
      <c r="HF1048554" s="242"/>
      <c r="HG1048554" s="242"/>
      <c r="HH1048554" s="242"/>
      <c r="HI1048554" s="242"/>
      <c r="HJ1048554" s="242"/>
      <c r="HK1048554" s="242"/>
      <c r="HL1048554" s="242"/>
      <c r="HM1048554" s="242"/>
      <c r="HN1048554" s="242"/>
      <c r="HO1048554" s="242"/>
      <c r="HP1048554" s="242"/>
      <c r="HQ1048554" s="242"/>
      <c r="HR1048554" s="242"/>
      <c r="HS1048554" s="242"/>
      <c r="HT1048554" s="242"/>
      <c r="HU1048554" s="242"/>
      <c r="HV1048554" s="242"/>
      <c r="HW1048554" s="242"/>
      <c r="HX1048554" s="242"/>
      <c r="HY1048554" s="242"/>
      <c r="HZ1048554" s="242"/>
      <c r="IA1048554" s="242"/>
      <c r="IB1048554" s="242"/>
      <c r="IC1048554" s="242"/>
      <c r="ID1048554" s="242"/>
      <c r="IE1048554" s="242"/>
      <c r="IF1048554" s="242"/>
      <c r="IG1048554" s="242"/>
      <c r="IH1048554" s="242"/>
      <c r="II1048554" s="242"/>
      <c r="IJ1048554" s="242"/>
      <c r="IK1048554" s="242"/>
      <c r="IL1048554" s="242"/>
      <c r="IM1048554" s="242"/>
      <c r="IN1048554" s="242"/>
      <c r="IO1048554" s="242"/>
      <c r="IP1048554" s="242"/>
      <c r="IQ1048554" s="242"/>
    </row>
    <row r="1048555" spans="1:251" s="243" customFormat="1" ht="12.6" customHeight="1">
      <c r="A1048555" s="242"/>
      <c r="B1048555" s="242"/>
      <c r="C1048555" s="242"/>
      <c r="D1048555" s="242"/>
      <c r="E1048555" s="242"/>
      <c r="F1048555" s="242"/>
      <c r="G1048555" s="242"/>
      <c r="H1048555" s="242"/>
      <c r="I1048555" s="242"/>
      <c r="J1048555" s="242"/>
      <c r="K1048555" s="242"/>
      <c r="L1048555" s="242"/>
      <c r="M1048555" s="242"/>
      <c r="N1048555" s="242"/>
      <c r="O1048555" s="242"/>
      <c r="P1048555" s="242"/>
      <c r="Q1048555" s="242"/>
      <c r="R1048555" s="242"/>
      <c r="S1048555" s="242"/>
      <c r="T1048555" s="242"/>
      <c r="U1048555" s="242"/>
      <c r="V1048555" s="242"/>
      <c r="W1048555" s="242"/>
      <c r="X1048555" s="242"/>
      <c r="Y1048555" s="242"/>
      <c r="Z1048555" s="242"/>
      <c r="AA1048555" s="242"/>
      <c r="AB1048555" s="242"/>
      <c r="AC1048555" s="242"/>
      <c r="AD1048555" s="242"/>
      <c r="AE1048555" s="242"/>
      <c r="AF1048555" s="242"/>
      <c r="AG1048555" s="242"/>
      <c r="AH1048555" s="242"/>
      <c r="AI1048555" s="242"/>
      <c r="AJ1048555" s="242"/>
      <c r="AK1048555" s="242"/>
      <c r="AL1048555" s="242"/>
      <c r="AM1048555" s="242"/>
      <c r="AN1048555" s="242"/>
      <c r="AO1048555" s="242"/>
      <c r="AP1048555" s="242"/>
      <c r="AQ1048555" s="242"/>
      <c r="AR1048555" s="242"/>
      <c r="AS1048555" s="242"/>
      <c r="AT1048555" s="242"/>
      <c r="AU1048555" s="242"/>
      <c r="AV1048555" s="242"/>
      <c r="AW1048555" s="242"/>
      <c r="AX1048555" s="242"/>
      <c r="AY1048555" s="242"/>
      <c r="AZ1048555" s="242"/>
      <c r="BA1048555" s="242"/>
      <c r="BB1048555" s="242"/>
      <c r="BC1048555" s="242"/>
      <c r="BD1048555" s="242"/>
      <c r="BE1048555" s="242"/>
      <c r="BF1048555" s="242"/>
      <c r="BG1048555" s="242"/>
      <c r="BH1048555" s="242"/>
      <c r="BI1048555" s="242"/>
      <c r="BJ1048555" s="242"/>
      <c r="BK1048555" s="242"/>
      <c r="BL1048555" s="242"/>
      <c r="BM1048555" s="242"/>
      <c r="BN1048555" s="242"/>
      <c r="BO1048555" s="242"/>
      <c r="BP1048555" s="242"/>
      <c r="BQ1048555" s="242"/>
      <c r="BR1048555" s="242"/>
      <c r="BS1048555" s="242"/>
      <c r="BT1048555" s="242"/>
      <c r="BU1048555" s="242"/>
      <c r="BV1048555" s="242"/>
      <c r="BW1048555" s="242"/>
      <c r="BX1048555" s="242"/>
      <c r="BY1048555" s="242"/>
      <c r="BZ1048555" s="242"/>
      <c r="CA1048555" s="242"/>
      <c r="CB1048555" s="242"/>
      <c r="CC1048555" s="242"/>
      <c r="CD1048555" s="242"/>
      <c r="CE1048555" s="242"/>
      <c r="CF1048555" s="242"/>
      <c r="CG1048555" s="242"/>
      <c r="CH1048555" s="242"/>
      <c r="CI1048555" s="242"/>
      <c r="CJ1048555" s="242"/>
      <c r="CK1048555" s="242"/>
      <c r="CL1048555" s="242"/>
      <c r="CM1048555" s="242"/>
      <c r="CN1048555" s="242"/>
      <c r="CO1048555" s="242"/>
      <c r="CP1048555" s="242"/>
      <c r="CQ1048555" s="242"/>
      <c r="CR1048555" s="242"/>
      <c r="CS1048555" s="242"/>
      <c r="CT1048555" s="242"/>
      <c r="CU1048555" s="242"/>
      <c r="CV1048555" s="242"/>
      <c r="CW1048555" s="242"/>
      <c r="CX1048555" s="242"/>
      <c r="CY1048555" s="242"/>
      <c r="CZ1048555" s="242"/>
      <c r="DA1048555" s="242"/>
      <c r="DB1048555" s="242"/>
      <c r="DC1048555" s="242"/>
      <c r="DD1048555" s="242"/>
      <c r="DE1048555" s="242"/>
      <c r="DF1048555" s="242"/>
      <c r="DG1048555" s="242"/>
      <c r="DH1048555" s="242"/>
      <c r="DI1048555" s="242"/>
      <c r="DJ1048555" s="242"/>
      <c r="DK1048555" s="242"/>
      <c r="DL1048555" s="242"/>
      <c r="DM1048555" s="242"/>
      <c r="DN1048555" s="242"/>
      <c r="DO1048555" s="242"/>
      <c r="DP1048555" s="242"/>
      <c r="DQ1048555" s="242"/>
      <c r="DR1048555" s="242"/>
      <c r="DS1048555" s="242"/>
      <c r="DT1048555" s="242"/>
      <c r="DU1048555" s="242"/>
      <c r="DV1048555" s="242"/>
      <c r="DW1048555" s="242"/>
      <c r="DX1048555" s="242"/>
      <c r="DY1048555" s="242"/>
      <c r="DZ1048555" s="242"/>
      <c r="EA1048555" s="242"/>
      <c r="EB1048555" s="242"/>
      <c r="EC1048555" s="242"/>
      <c r="ED1048555" s="242"/>
      <c r="EE1048555" s="242"/>
      <c r="EF1048555" s="242"/>
      <c r="EG1048555" s="242"/>
      <c r="EH1048555" s="242"/>
      <c r="EI1048555" s="242"/>
      <c r="EJ1048555" s="242"/>
      <c r="EK1048555" s="242"/>
      <c r="EL1048555" s="242"/>
      <c r="EM1048555" s="242"/>
      <c r="EN1048555" s="242"/>
      <c r="EO1048555" s="242"/>
      <c r="EP1048555" s="242"/>
      <c r="EQ1048555" s="242"/>
      <c r="ER1048555" s="242"/>
      <c r="ES1048555" s="242"/>
      <c r="ET1048555" s="242"/>
      <c r="EU1048555" s="242"/>
      <c r="EV1048555" s="242"/>
      <c r="EW1048555" s="242"/>
      <c r="EX1048555" s="242"/>
      <c r="EY1048555" s="242"/>
      <c r="EZ1048555" s="242"/>
      <c r="FA1048555" s="242"/>
      <c r="FB1048555" s="242"/>
      <c r="FC1048555" s="242"/>
      <c r="FD1048555" s="242"/>
      <c r="FE1048555" s="242"/>
      <c r="FF1048555" s="242"/>
      <c r="FG1048555" s="242"/>
      <c r="FH1048555" s="242"/>
      <c r="FI1048555" s="242"/>
      <c r="FJ1048555" s="242"/>
      <c r="FK1048555" s="242"/>
      <c r="FL1048555" s="242"/>
      <c r="FM1048555" s="242"/>
      <c r="FN1048555" s="242"/>
      <c r="FO1048555" s="242"/>
      <c r="FP1048555" s="242"/>
      <c r="FQ1048555" s="242"/>
      <c r="FR1048555" s="242"/>
      <c r="FS1048555" s="242"/>
      <c r="FT1048555" s="242"/>
      <c r="FU1048555" s="242"/>
      <c r="FV1048555" s="242"/>
      <c r="FW1048555" s="242"/>
      <c r="FX1048555" s="242"/>
      <c r="FY1048555" s="242"/>
      <c r="FZ1048555" s="242"/>
      <c r="GA1048555" s="242"/>
      <c r="GB1048555" s="242"/>
      <c r="GC1048555" s="242"/>
      <c r="GD1048555" s="242"/>
      <c r="GE1048555" s="242"/>
      <c r="GF1048555" s="242"/>
      <c r="GG1048555" s="242"/>
      <c r="GH1048555" s="242"/>
      <c r="GI1048555" s="242"/>
      <c r="GJ1048555" s="242"/>
      <c r="GK1048555" s="242"/>
      <c r="GL1048555" s="242"/>
      <c r="GM1048555" s="242"/>
      <c r="GN1048555" s="242"/>
      <c r="GO1048555" s="242"/>
      <c r="GP1048555" s="242"/>
      <c r="GQ1048555" s="242"/>
      <c r="GR1048555" s="242"/>
      <c r="GS1048555" s="242"/>
      <c r="GT1048555" s="242"/>
      <c r="GU1048555" s="242"/>
      <c r="GV1048555" s="242"/>
      <c r="GW1048555" s="242"/>
      <c r="GX1048555" s="242"/>
      <c r="GY1048555" s="242"/>
      <c r="GZ1048555" s="242"/>
      <c r="HA1048555" s="242"/>
      <c r="HB1048555" s="242"/>
      <c r="HC1048555" s="242"/>
      <c r="HD1048555" s="242"/>
      <c r="HE1048555" s="242"/>
      <c r="HF1048555" s="242"/>
      <c r="HG1048555" s="242"/>
      <c r="HH1048555" s="242"/>
      <c r="HI1048555" s="242"/>
      <c r="HJ1048555" s="242"/>
      <c r="HK1048555" s="242"/>
      <c r="HL1048555" s="242"/>
      <c r="HM1048555" s="242"/>
      <c r="HN1048555" s="242"/>
      <c r="HO1048555" s="242"/>
      <c r="HP1048555" s="242"/>
      <c r="HQ1048555" s="242"/>
      <c r="HR1048555" s="242"/>
      <c r="HS1048555" s="242"/>
      <c r="HT1048555" s="242"/>
      <c r="HU1048555" s="242"/>
      <c r="HV1048555" s="242"/>
      <c r="HW1048555" s="242"/>
      <c r="HX1048555" s="242"/>
      <c r="HY1048555" s="242"/>
      <c r="HZ1048555" s="242"/>
      <c r="IA1048555" s="242"/>
      <c r="IB1048555" s="242"/>
      <c r="IC1048555" s="242"/>
      <c r="ID1048555" s="242"/>
      <c r="IE1048555" s="242"/>
      <c r="IF1048555" s="242"/>
      <c r="IG1048555" s="242"/>
      <c r="IH1048555" s="242"/>
      <c r="II1048555" s="242"/>
      <c r="IJ1048555" s="242"/>
      <c r="IK1048555" s="242"/>
      <c r="IL1048555" s="242"/>
      <c r="IM1048555" s="242"/>
      <c r="IN1048555" s="242"/>
      <c r="IO1048555" s="242"/>
      <c r="IP1048555" s="242"/>
      <c r="IQ1048555" s="242"/>
    </row>
    <row r="1048556" spans="1:251" s="243" customFormat="1" ht="12.6" customHeight="1">
      <c r="A1048556" s="242"/>
      <c r="B1048556" s="242"/>
      <c r="C1048556" s="242"/>
      <c r="D1048556" s="242"/>
      <c r="E1048556" s="242"/>
      <c r="F1048556" s="242"/>
      <c r="G1048556" s="242"/>
      <c r="H1048556" s="242"/>
      <c r="I1048556" s="242"/>
      <c r="J1048556" s="242"/>
      <c r="K1048556" s="242"/>
      <c r="L1048556" s="242"/>
      <c r="M1048556" s="242"/>
      <c r="N1048556" s="242"/>
      <c r="O1048556" s="242"/>
      <c r="P1048556" s="242"/>
      <c r="Q1048556" s="242"/>
      <c r="R1048556" s="242"/>
      <c r="S1048556" s="242"/>
      <c r="T1048556" s="242"/>
      <c r="U1048556" s="242"/>
      <c r="V1048556" s="242"/>
      <c r="W1048556" s="242"/>
      <c r="X1048556" s="242"/>
      <c r="Y1048556" s="242"/>
      <c r="Z1048556" s="242"/>
      <c r="AA1048556" s="242"/>
      <c r="AB1048556" s="242"/>
      <c r="AC1048556" s="242"/>
      <c r="AD1048556" s="242"/>
      <c r="AE1048556" s="242"/>
      <c r="AF1048556" s="242"/>
      <c r="AG1048556" s="242"/>
      <c r="AH1048556" s="242"/>
      <c r="AI1048556" s="242"/>
      <c r="AJ1048556" s="242"/>
      <c r="AK1048556" s="242"/>
      <c r="AL1048556" s="242"/>
      <c r="AM1048556" s="242"/>
      <c r="AN1048556" s="242"/>
      <c r="AO1048556" s="242"/>
      <c r="AP1048556" s="242"/>
      <c r="AQ1048556" s="242"/>
      <c r="AR1048556" s="242"/>
      <c r="AS1048556" s="242"/>
      <c r="AT1048556" s="242"/>
      <c r="AU1048556" s="242"/>
      <c r="AV1048556" s="242"/>
      <c r="AW1048556" s="242"/>
      <c r="AX1048556" s="242"/>
      <c r="AY1048556" s="242"/>
      <c r="AZ1048556" s="242"/>
      <c r="BA1048556" s="242"/>
      <c r="BB1048556" s="242"/>
      <c r="BC1048556" s="242"/>
      <c r="BD1048556" s="242"/>
      <c r="BE1048556" s="242"/>
      <c r="BF1048556" s="242"/>
      <c r="BG1048556" s="242"/>
      <c r="BH1048556" s="242"/>
      <c r="BI1048556" s="242"/>
      <c r="BJ1048556" s="242"/>
      <c r="BK1048556" s="242"/>
      <c r="BL1048556" s="242"/>
      <c r="BM1048556" s="242"/>
      <c r="BN1048556" s="242"/>
      <c r="BO1048556" s="242"/>
      <c r="BP1048556" s="242"/>
      <c r="BQ1048556" s="242"/>
      <c r="BR1048556" s="242"/>
      <c r="BS1048556" s="242"/>
      <c r="BT1048556" s="242"/>
      <c r="BU1048556" s="242"/>
      <c r="BV1048556" s="242"/>
      <c r="BW1048556" s="242"/>
      <c r="BX1048556" s="242"/>
      <c r="BY1048556" s="242"/>
      <c r="BZ1048556" s="242"/>
      <c r="CA1048556" s="242"/>
      <c r="CB1048556" s="242"/>
      <c r="CC1048556" s="242"/>
      <c r="CD1048556" s="242"/>
      <c r="CE1048556" s="242"/>
      <c r="CF1048556" s="242"/>
      <c r="CG1048556" s="242"/>
      <c r="CH1048556" s="242"/>
      <c r="CI1048556" s="242"/>
      <c r="CJ1048556" s="242"/>
      <c r="CK1048556" s="242"/>
      <c r="CL1048556" s="242"/>
      <c r="CM1048556" s="242"/>
      <c r="CN1048556" s="242"/>
      <c r="CO1048556" s="242"/>
      <c r="CP1048556" s="242"/>
      <c r="CQ1048556" s="242"/>
      <c r="CR1048556" s="242"/>
      <c r="CS1048556" s="242"/>
      <c r="CT1048556" s="242"/>
      <c r="CU1048556" s="242"/>
      <c r="CV1048556" s="242"/>
      <c r="CW1048556" s="242"/>
      <c r="CX1048556" s="242"/>
      <c r="CY1048556" s="242"/>
      <c r="CZ1048556" s="242"/>
      <c r="DA1048556" s="242"/>
      <c r="DB1048556" s="242"/>
      <c r="DC1048556" s="242"/>
      <c r="DD1048556" s="242"/>
      <c r="DE1048556" s="242"/>
      <c r="DF1048556" s="242"/>
      <c r="DG1048556" s="242"/>
      <c r="DH1048556" s="242"/>
      <c r="DI1048556" s="242"/>
      <c r="DJ1048556" s="242"/>
      <c r="DK1048556" s="242"/>
      <c r="DL1048556" s="242"/>
      <c r="DM1048556" s="242"/>
      <c r="DN1048556" s="242"/>
      <c r="DO1048556" s="242"/>
      <c r="DP1048556" s="242"/>
      <c r="DQ1048556" s="242"/>
      <c r="DR1048556" s="242"/>
      <c r="DS1048556" s="242"/>
      <c r="DT1048556" s="242"/>
      <c r="DU1048556" s="242"/>
      <c r="DV1048556" s="242"/>
      <c r="DW1048556" s="242"/>
      <c r="DX1048556" s="242"/>
      <c r="DY1048556" s="242"/>
      <c r="DZ1048556" s="242"/>
      <c r="EA1048556" s="242"/>
      <c r="EB1048556" s="242"/>
      <c r="EC1048556" s="242"/>
      <c r="ED1048556" s="242"/>
      <c r="EE1048556" s="242"/>
      <c r="EF1048556" s="242"/>
      <c r="EG1048556" s="242"/>
      <c r="EH1048556" s="242"/>
      <c r="EI1048556" s="242"/>
      <c r="EJ1048556" s="242"/>
      <c r="EK1048556" s="242"/>
      <c r="EL1048556" s="242"/>
      <c r="EM1048556" s="242"/>
      <c r="EN1048556" s="242"/>
      <c r="EO1048556" s="242"/>
      <c r="EP1048556" s="242"/>
      <c r="EQ1048556" s="242"/>
      <c r="ER1048556" s="242"/>
      <c r="ES1048556" s="242"/>
      <c r="ET1048556" s="242"/>
      <c r="EU1048556" s="242"/>
      <c r="EV1048556" s="242"/>
      <c r="EW1048556" s="242"/>
      <c r="EX1048556" s="242"/>
      <c r="EY1048556" s="242"/>
      <c r="EZ1048556" s="242"/>
      <c r="FA1048556" s="242"/>
      <c r="FB1048556" s="242"/>
      <c r="FC1048556" s="242"/>
      <c r="FD1048556" s="242"/>
      <c r="FE1048556" s="242"/>
      <c r="FF1048556" s="242"/>
      <c r="FG1048556" s="242"/>
      <c r="FH1048556" s="242"/>
      <c r="FI1048556" s="242"/>
      <c r="FJ1048556" s="242"/>
      <c r="FK1048556" s="242"/>
      <c r="FL1048556" s="242"/>
      <c r="FM1048556" s="242"/>
      <c r="FN1048556" s="242"/>
      <c r="FO1048556" s="242"/>
      <c r="FP1048556" s="242"/>
      <c r="FQ1048556" s="242"/>
      <c r="FR1048556" s="242"/>
      <c r="FS1048556" s="242"/>
      <c r="FT1048556" s="242"/>
      <c r="FU1048556" s="242"/>
      <c r="FV1048556" s="242"/>
      <c r="FW1048556" s="242"/>
      <c r="FX1048556" s="242"/>
      <c r="FY1048556" s="242"/>
      <c r="FZ1048556" s="242"/>
      <c r="GA1048556" s="242"/>
      <c r="GB1048556" s="242"/>
      <c r="GC1048556" s="242"/>
      <c r="GD1048556" s="242"/>
      <c r="GE1048556" s="242"/>
      <c r="GF1048556" s="242"/>
      <c r="GG1048556" s="242"/>
      <c r="GH1048556" s="242"/>
      <c r="GI1048556" s="242"/>
      <c r="GJ1048556" s="242"/>
      <c r="GK1048556" s="242"/>
      <c r="GL1048556" s="242"/>
      <c r="GM1048556" s="242"/>
      <c r="GN1048556" s="242"/>
      <c r="GO1048556" s="242"/>
      <c r="GP1048556" s="242"/>
      <c r="GQ1048556" s="242"/>
      <c r="GR1048556" s="242"/>
      <c r="GS1048556" s="242"/>
      <c r="GT1048556" s="242"/>
      <c r="GU1048556" s="242"/>
      <c r="GV1048556" s="242"/>
      <c r="GW1048556" s="242"/>
      <c r="GX1048556" s="242"/>
      <c r="GY1048556" s="242"/>
      <c r="GZ1048556" s="242"/>
      <c r="HA1048556" s="242"/>
      <c r="HB1048556" s="242"/>
      <c r="HC1048556" s="242"/>
      <c r="HD1048556" s="242"/>
      <c r="HE1048556" s="242"/>
      <c r="HF1048556" s="242"/>
      <c r="HG1048556" s="242"/>
      <c r="HH1048556" s="242"/>
      <c r="HI1048556" s="242"/>
      <c r="HJ1048556" s="242"/>
      <c r="HK1048556" s="242"/>
      <c r="HL1048556" s="242"/>
      <c r="HM1048556" s="242"/>
      <c r="HN1048556" s="242"/>
      <c r="HO1048556" s="242"/>
      <c r="HP1048556" s="242"/>
      <c r="HQ1048556" s="242"/>
      <c r="HR1048556" s="242"/>
      <c r="HS1048556" s="242"/>
      <c r="HT1048556" s="242"/>
      <c r="HU1048556" s="242"/>
      <c r="HV1048556" s="242"/>
      <c r="HW1048556" s="242"/>
      <c r="HX1048556" s="242"/>
      <c r="HY1048556" s="242"/>
      <c r="HZ1048556" s="242"/>
      <c r="IA1048556" s="242"/>
      <c r="IB1048556" s="242"/>
      <c r="IC1048556" s="242"/>
      <c r="ID1048556" s="242"/>
      <c r="IE1048556" s="242"/>
      <c r="IF1048556" s="242"/>
      <c r="IG1048556" s="242"/>
      <c r="IH1048556" s="242"/>
      <c r="II1048556" s="242"/>
      <c r="IJ1048556" s="242"/>
      <c r="IK1048556" s="242"/>
      <c r="IL1048556" s="242"/>
      <c r="IM1048556" s="242"/>
      <c r="IN1048556" s="242"/>
      <c r="IO1048556" s="242"/>
      <c r="IP1048556" s="242"/>
      <c r="IQ1048556" s="242"/>
    </row>
    <row r="1048557" spans="1:251" s="243" customFormat="1" ht="12.6" customHeight="1">
      <c r="A1048557" s="242"/>
      <c r="B1048557" s="242"/>
      <c r="C1048557" s="242"/>
      <c r="D1048557" s="242"/>
      <c r="E1048557" s="242"/>
      <c r="F1048557" s="242"/>
      <c r="G1048557" s="242"/>
      <c r="H1048557" s="242"/>
      <c r="I1048557" s="242"/>
      <c r="J1048557" s="242"/>
      <c r="K1048557" s="242"/>
      <c r="L1048557" s="242"/>
      <c r="M1048557" s="242"/>
      <c r="N1048557" s="242"/>
      <c r="O1048557" s="242"/>
      <c r="P1048557" s="242"/>
      <c r="Q1048557" s="242"/>
      <c r="R1048557" s="242"/>
      <c r="S1048557" s="242"/>
      <c r="T1048557" s="242"/>
      <c r="U1048557" s="242"/>
      <c r="V1048557" s="242"/>
      <c r="W1048557" s="242"/>
      <c r="X1048557" s="242"/>
      <c r="Y1048557" s="242"/>
      <c r="Z1048557" s="242"/>
      <c r="AA1048557" s="242"/>
      <c r="AB1048557" s="242"/>
      <c r="AC1048557" s="242"/>
      <c r="AD1048557" s="242"/>
      <c r="AE1048557" s="242"/>
      <c r="AF1048557" s="242"/>
      <c r="AG1048557" s="242"/>
      <c r="AH1048557" s="242"/>
      <c r="AI1048557" s="242"/>
      <c r="AJ1048557" s="242"/>
      <c r="AK1048557" s="242"/>
      <c r="AL1048557" s="242"/>
      <c r="AM1048557" s="242"/>
      <c r="AN1048557" s="242"/>
      <c r="AO1048557" s="242"/>
      <c r="AP1048557" s="242"/>
      <c r="AQ1048557" s="242"/>
      <c r="AR1048557" s="242"/>
      <c r="AS1048557" s="242"/>
      <c r="AT1048557" s="242"/>
      <c r="AU1048557" s="242"/>
      <c r="AV1048557" s="242"/>
      <c r="AW1048557" s="242"/>
      <c r="AX1048557" s="242"/>
      <c r="AY1048557" s="242"/>
      <c r="AZ1048557" s="242"/>
      <c r="BA1048557" s="242"/>
      <c r="BB1048557" s="242"/>
      <c r="BC1048557" s="242"/>
      <c r="BD1048557" s="242"/>
      <c r="BE1048557" s="242"/>
      <c r="BF1048557" s="242"/>
      <c r="BG1048557" s="242"/>
      <c r="BH1048557" s="242"/>
      <c r="BI1048557" s="242"/>
      <c r="BJ1048557" s="242"/>
      <c r="BK1048557" s="242"/>
      <c r="BL1048557" s="242"/>
      <c r="BM1048557" s="242"/>
      <c r="BN1048557" s="242"/>
      <c r="BO1048557" s="242"/>
      <c r="BP1048557" s="242"/>
      <c r="BQ1048557" s="242"/>
      <c r="BR1048557" s="242"/>
      <c r="BS1048557" s="242"/>
      <c r="BT1048557" s="242"/>
      <c r="BU1048557" s="242"/>
      <c r="BV1048557" s="242"/>
      <c r="BW1048557" s="242"/>
      <c r="BX1048557" s="242"/>
      <c r="BY1048557" s="242"/>
      <c r="BZ1048557" s="242"/>
      <c r="CA1048557" s="242"/>
      <c r="CB1048557" s="242"/>
      <c r="CC1048557" s="242"/>
      <c r="CD1048557" s="242"/>
      <c r="CE1048557" s="242"/>
      <c r="CF1048557" s="242"/>
      <c r="CG1048557" s="242"/>
      <c r="CH1048557" s="242"/>
      <c r="CI1048557" s="242"/>
      <c r="CJ1048557" s="242"/>
      <c r="CK1048557" s="242"/>
      <c r="CL1048557" s="242"/>
      <c r="CM1048557" s="242"/>
      <c r="CN1048557" s="242"/>
      <c r="CO1048557" s="242"/>
      <c r="CP1048557" s="242"/>
      <c r="CQ1048557" s="242"/>
      <c r="CR1048557" s="242"/>
      <c r="CS1048557" s="242"/>
      <c r="CT1048557" s="242"/>
      <c r="CU1048557" s="242"/>
      <c r="CV1048557" s="242"/>
      <c r="CW1048557" s="242"/>
      <c r="CX1048557" s="242"/>
      <c r="CY1048557" s="242"/>
      <c r="CZ1048557" s="242"/>
      <c r="DA1048557" s="242"/>
      <c r="DB1048557" s="242"/>
      <c r="DC1048557" s="242"/>
      <c r="DD1048557" s="242"/>
      <c r="DE1048557" s="242"/>
      <c r="DF1048557" s="242"/>
      <c r="DG1048557" s="242"/>
      <c r="DH1048557" s="242"/>
      <c r="DI1048557" s="242"/>
      <c r="DJ1048557" s="242"/>
      <c r="DK1048557" s="242"/>
      <c r="DL1048557" s="242"/>
      <c r="DM1048557" s="242"/>
      <c r="DN1048557" s="242"/>
      <c r="DO1048557" s="242"/>
      <c r="DP1048557" s="242"/>
      <c r="DQ1048557" s="242"/>
      <c r="DR1048557" s="242"/>
      <c r="DS1048557" s="242"/>
      <c r="DT1048557" s="242"/>
      <c r="DU1048557" s="242"/>
      <c r="DV1048557" s="242"/>
      <c r="DW1048557" s="242"/>
      <c r="DX1048557" s="242"/>
      <c r="DY1048557" s="242"/>
      <c r="DZ1048557" s="242"/>
      <c r="EA1048557" s="242"/>
      <c r="EB1048557" s="242"/>
      <c r="EC1048557" s="242"/>
      <c r="ED1048557" s="242"/>
      <c r="EE1048557" s="242"/>
      <c r="EF1048557" s="242"/>
      <c r="EG1048557" s="242"/>
      <c r="EH1048557" s="242"/>
      <c r="EI1048557" s="242"/>
      <c r="EJ1048557" s="242"/>
      <c r="EK1048557" s="242"/>
      <c r="EL1048557" s="242"/>
      <c r="EM1048557" s="242"/>
      <c r="EN1048557" s="242"/>
      <c r="EO1048557" s="242"/>
      <c r="EP1048557" s="242"/>
      <c r="EQ1048557" s="242"/>
      <c r="ER1048557" s="242"/>
      <c r="ES1048557" s="242"/>
      <c r="ET1048557" s="242"/>
      <c r="EU1048557" s="242"/>
      <c r="EV1048557" s="242"/>
      <c r="EW1048557" s="242"/>
      <c r="EX1048557" s="242"/>
      <c r="EY1048557" s="242"/>
      <c r="EZ1048557" s="242"/>
      <c r="FA1048557" s="242"/>
      <c r="FB1048557" s="242"/>
      <c r="FC1048557" s="242"/>
      <c r="FD1048557" s="242"/>
      <c r="FE1048557" s="242"/>
      <c r="FF1048557" s="242"/>
      <c r="FG1048557" s="242"/>
      <c r="FH1048557" s="242"/>
      <c r="FI1048557" s="242"/>
      <c r="FJ1048557" s="242"/>
      <c r="FK1048557" s="242"/>
      <c r="FL1048557" s="242"/>
      <c r="FM1048557" s="242"/>
      <c r="FN1048557" s="242"/>
      <c r="FO1048557" s="242"/>
      <c r="FP1048557" s="242"/>
      <c r="FQ1048557" s="242"/>
      <c r="FR1048557" s="242"/>
      <c r="FS1048557" s="242"/>
      <c r="FT1048557" s="242"/>
      <c r="FU1048557" s="242"/>
      <c r="FV1048557" s="242"/>
      <c r="FW1048557" s="242"/>
      <c r="FX1048557" s="242"/>
      <c r="FY1048557" s="242"/>
      <c r="FZ1048557" s="242"/>
      <c r="GA1048557" s="242"/>
      <c r="GB1048557" s="242"/>
      <c r="GC1048557" s="242"/>
      <c r="GD1048557" s="242"/>
      <c r="GE1048557" s="242"/>
      <c r="GF1048557" s="242"/>
      <c r="GG1048557" s="242"/>
      <c r="GH1048557" s="242"/>
      <c r="GI1048557" s="242"/>
      <c r="GJ1048557" s="242"/>
      <c r="GK1048557" s="242"/>
      <c r="GL1048557" s="242"/>
      <c r="GM1048557" s="242"/>
      <c r="GN1048557" s="242"/>
      <c r="GO1048557" s="242"/>
      <c r="GP1048557" s="242"/>
      <c r="GQ1048557" s="242"/>
      <c r="GR1048557" s="242"/>
      <c r="GS1048557" s="242"/>
      <c r="GT1048557" s="242"/>
      <c r="GU1048557" s="242"/>
      <c r="GV1048557" s="242"/>
      <c r="GW1048557" s="242"/>
      <c r="GX1048557" s="242"/>
      <c r="GY1048557" s="242"/>
      <c r="GZ1048557" s="242"/>
      <c r="HA1048557" s="242"/>
      <c r="HB1048557" s="242"/>
      <c r="HC1048557" s="242"/>
      <c r="HD1048557" s="242"/>
      <c r="HE1048557" s="242"/>
      <c r="HF1048557" s="242"/>
      <c r="HG1048557" s="242"/>
      <c r="HH1048557" s="242"/>
      <c r="HI1048557" s="242"/>
      <c r="HJ1048557" s="242"/>
      <c r="HK1048557" s="242"/>
      <c r="HL1048557" s="242"/>
      <c r="HM1048557" s="242"/>
      <c r="HN1048557" s="242"/>
      <c r="HO1048557" s="242"/>
      <c r="HP1048557" s="242"/>
      <c r="HQ1048557" s="242"/>
      <c r="HR1048557" s="242"/>
      <c r="HS1048557" s="242"/>
      <c r="HT1048557" s="242"/>
      <c r="HU1048557" s="242"/>
      <c r="HV1048557" s="242"/>
      <c r="HW1048557" s="242"/>
      <c r="HX1048557" s="242"/>
      <c r="HY1048557" s="242"/>
      <c r="HZ1048557" s="242"/>
      <c r="IA1048557" s="242"/>
      <c r="IB1048557" s="242"/>
      <c r="IC1048557" s="242"/>
      <c r="ID1048557" s="242"/>
      <c r="IE1048557" s="242"/>
      <c r="IF1048557" s="242"/>
      <c r="IG1048557" s="242"/>
      <c r="IH1048557" s="242"/>
      <c r="II1048557" s="242"/>
      <c r="IJ1048557" s="242"/>
      <c r="IK1048557" s="242"/>
      <c r="IL1048557" s="242"/>
      <c r="IM1048557" s="242"/>
      <c r="IN1048557" s="242"/>
      <c r="IO1048557" s="242"/>
      <c r="IP1048557" s="242"/>
      <c r="IQ1048557" s="242"/>
    </row>
    <row r="1048558" spans="1:251" s="243" customFormat="1" ht="12.6" customHeight="1">
      <c r="A1048558" s="242"/>
      <c r="B1048558" s="242"/>
      <c r="C1048558" s="242"/>
      <c r="D1048558" s="242"/>
      <c r="E1048558" s="242"/>
      <c r="F1048558" s="242"/>
      <c r="G1048558" s="242"/>
      <c r="H1048558" s="242"/>
      <c r="I1048558" s="242"/>
      <c r="J1048558" s="242"/>
      <c r="K1048558" s="242"/>
      <c r="L1048558" s="242"/>
      <c r="M1048558" s="242"/>
      <c r="N1048558" s="242"/>
      <c r="O1048558" s="242"/>
      <c r="P1048558" s="242"/>
      <c r="Q1048558" s="242"/>
      <c r="R1048558" s="242"/>
      <c r="S1048558" s="242"/>
      <c r="T1048558" s="242"/>
      <c r="U1048558" s="242"/>
      <c r="V1048558" s="242"/>
      <c r="W1048558" s="242"/>
      <c r="X1048558" s="242"/>
      <c r="Y1048558" s="242"/>
      <c r="Z1048558" s="242"/>
      <c r="AA1048558" s="242"/>
      <c r="AB1048558" s="242"/>
      <c r="AC1048558" s="242"/>
      <c r="AD1048558" s="242"/>
      <c r="AE1048558" s="242"/>
      <c r="AF1048558" s="242"/>
      <c r="AG1048558" s="242"/>
      <c r="AH1048558" s="242"/>
      <c r="AI1048558" s="242"/>
      <c r="AJ1048558" s="242"/>
      <c r="AK1048558" s="242"/>
      <c r="AL1048558" s="242"/>
      <c r="AM1048558" s="242"/>
      <c r="AN1048558" s="242"/>
      <c r="AO1048558" s="242"/>
      <c r="AP1048558" s="242"/>
      <c r="AQ1048558" s="242"/>
      <c r="AR1048558" s="242"/>
      <c r="AS1048558" s="242"/>
      <c r="AT1048558" s="242"/>
      <c r="AU1048558" s="242"/>
      <c r="AV1048558" s="242"/>
      <c r="AW1048558" s="242"/>
      <c r="AX1048558" s="242"/>
      <c r="AY1048558" s="242"/>
      <c r="AZ1048558" s="242"/>
      <c r="BA1048558" s="242"/>
      <c r="BB1048558" s="242"/>
      <c r="BC1048558" s="242"/>
      <c r="BD1048558" s="242"/>
      <c r="BE1048558" s="242"/>
      <c r="BF1048558" s="242"/>
      <c r="BG1048558" s="242"/>
      <c r="BH1048558" s="242"/>
      <c r="BI1048558" s="242"/>
      <c r="BJ1048558" s="242"/>
      <c r="BK1048558" s="242"/>
      <c r="BL1048558" s="242"/>
      <c r="BM1048558" s="242"/>
      <c r="BN1048558" s="242"/>
      <c r="BO1048558" s="242"/>
      <c r="BP1048558" s="242"/>
      <c r="BQ1048558" s="242"/>
      <c r="BR1048558" s="242"/>
      <c r="BS1048558" s="242"/>
      <c r="BT1048558" s="242"/>
      <c r="BU1048558" s="242"/>
      <c r="BV1048558" s="242"/>
      <c r="BW1048558" s="242"/>
      <c r="BX1048558" s="242"/>
      <c r="BY1048558" s="242"/>
      <c r="BZ1048558" s="242"/>
      <c r="CA1048558" s="242"/>
      <c r="CB1048558" s="242"/>
      <c r="CC1048558" s="242"/>
      <c r="CD1048558" s="242"/>
      <c r="CE1048558" s="242"/>
      <c r="CF1048558" s="242"/>
      <c r="CG1048558" s="242"/>
      <c r="CH1048558" s="242"/>
      <c r="CI1048558" s="242"/>
      <c r="CJ1048558" s="242"/>
      <c r="CK1048558" s="242"/>
      <c r="CL1048558" s="242"/>
      <c r="CM1048558" s="242"/>
      <c r="CN1048558" s="242"/>
      <c r="CO1048558" s="242"/>
      <c r="CP1048558" s="242"/>
      <c r="CQ1048558" s="242"/>
      <c r="CR1048558" s="242"/>
      <c r="CS1048558" s="242"/>
      <c r="CT1048558" s="242"/>
      <c r="CU1048558" s="242"/>
      <c r="CV1048558" s="242"/>
      <c r="CW1048558" s="242"/>
      <c r="CX1048558" s="242"/>
      <c r="CY1048558" s="242"/>
      <c r="CZ1048558" s="242"/>
      <c r="DA1048558" s="242"/>
      <c r="DB1048558" s="242"/>
      <c r="DC1048558" s="242"/>
      <c r="DD1048558" s="242"/>
      <c r="DE1048558" s="242"/>
      <c r="DF1048558" s="242"/>
      <c r="DG1048558" s="242"/>
      <c r="DH1048558" s="242"/>
      <c r="DI1048558" s="242"/>
      <c r="DJ1048558" s="242"/>
      <c r="DK1048558" s="242"/>
      <c r="DL1048558" s="242"/>
      <c r="DM1048558" s="242"/>
      <c r="DN1048558" s="242"/>
      <c r="DO1048558" s="242"/>
      <c r="DP1048558" s="242"/>
      <c r="DQ1048558" s="242"/>
      <c r="DR1048558" s="242"/>
      <c r="DS1048558" s="242"/>
      <c r="DT1048558" s="242"/>
      <c r="DU1048558" s="242"/>
      <c r="DV1048558" s="242"/>
      <c r="DW1048558" s="242"/>
      <c r="DX1048558" s="242"/>
      <c r="DY1048558" s="242"/>
      <c r="DZ1048558" s="242"/>
      <c r="EA1048558" s="242"/>
      <c r="EB1048558" s="242"/>
      <c r="EC1048558" s="242"/>
      <c r="ED1048558" s="242"/>
      <c r="EE1048558" s="242"/>
      <c r="EF1048558" s="242"/>
      <c r="EG1048558" s="242"/>
      <c r="EH1048558" s="242"/>
      <c r="EI1048558" s="242"/>
      <c r="EJ1048558" s="242"/>
      <c r="EK1048558" s="242"/>
      <c r="EL1048558" s="242"/>
      <c r="EM1048558" s="242"/>
      <c r="EN1048558" s="242"/>
      <c r="EO1048558" s="242"/>
      <c r="EP1048558" s="242"/>
      <c r="EQ1048558" s="242"/>
      <c r="ER1048558" s="242"/>
      <c r="ES1048558" s="242"/>
      <c r="ET1048558" s="242"/>
      <c r="EU1048558" s="242"/>
      <c r="EV1048558" s="242"/>
      <c r="EW1048558" s="242"/>
      <c r="EX1048558" s="242"/>
      <c r="EY1048558" s="242"/>
      <c r="EZ1048558" s="242"/>
      <c r="FA1048558" s="242"/>
      <c r="FB1048558" s="242"/>
      <c r="FC1048558" s="242"/>
      <c r="FD1048558" s="242"/>
      <c r="FE1048558" s="242"/>
      <c r="FF1048558" s="242"/>
      <c r="FG1048558" s="242"/>
      <c r="FH1048558" s="242"/>
      <c r="FI1048558" s="242"/>
      <c r="FJ1048558" s="242"/>
      <c r="FK1048558" s="242"/>
      <c r="FL1048558" s="242"/>
      <c r="FM1048558" s="242"/>
      <c r="FN1048558" s="242"/>
      <c r="FO1048558" s="242"/>
      <c r="FP1048558" s="242"/>
      <c r="FQ1048558" s="242"/>
      <c r="FR1048558" s="242"/>
      <c r="FS1048558" s="242"/>
      <c r="FT1048558" s="242"/>
      <c r="FU1048558" s="242"/>
      <c r="FV1048558" s="242"/>
      <c r="FW1048558" s="242"/>
      <c r="FX1048558" s="242"/>
      <c r="FY1048558" s="242"/>
      <c r="FZ1048558" s="242"/>
      <c r="GA1048558" s="242"/>
      <c r="GB1048558" s="242"/>
      <c r="GC1048558" s="242"/>
      <c r="GD1048558" s="242"/>
      <c r="GE1048558" s="242"/>
      <c r="GF1048558" s="242"/>
      <c r="GG1048558" s="242"/>
      <c r="GH1048558" s="242"/>
      <c r="GI1048558" s="242"/>
      <c r="GJ1048558" s="242"/>
      <c r="GK1048558" s="242"/>
      <c r="GL1048558" s="242"/>
      <c r="GM1048558" s="242"/>
      <c r="GN1048558" s="242"/>
      <c r="GO1048558" s="242"/>
      <c r="GP1048558" s="242"/>
      <c r="GQ1048558" s="242"/>
      <c r="GR1048558" s="242"/>
      <c r="GS1048558" s="242"/>
      <c r="GT1048558" s="242"/>
      <c r="GU1048558" s="242"/>
      <c r="GV1048558" s="242"/>
      <c r="GW1048558" s="242"/>
      <c r="GX1048558" s="242"/>
      <c r="GY1048558" s="242"/>
      <c r="GZ1048558" s="242"/>
      <c r="HA1048558" s="242"/>
      <c r="HB1048558" s="242"/>
      <c r="HC1048558" s="242"/>
      <c r="HD1048558" s="242"/>
      <c r="HE1048558" s="242"/>
      <c r="HF1048558" s="242"/>
      <c r="HG1048558" s="242"/>
      <c r="HH1048558" s="242"/>
      <c r="HI1048558" s="242"/>
      <c r="HJ1048558" s="242"/>
      <c r="HK1048558" s="242"/>
      <c r="HL1048558" s="242"/>
      <c r="HM1048558" s="242"/>
      <c r="HN1048558" s="242"/>
      <c r="HO1048558" s="242"/>
      <c r="HP1048558" s="242"/>
      <c r="HQ1048558" s="242"/>
      <c r="HR1048558" s="242"/>
      <c r="HS1048558" s="242"/>
      <c r="HT1048558" s="242"/>
      <c r="HU1048558" s="242"/>
      <c r="HV1048558" s="242"/>
      <c r="HW1048558" s="242"/>
      <c r="HX1048558" s="242"/>
      <c r="HY1048558" s="242"/>
      <c r="HZ1048558" s="242"/>
      <c r="IA1048558" s="242"/>
      <c r="IB1048558" s="242"/>
      <c r="IC1048558" s="242"/>
      <c r="ID1048558" s="242"/>
      <c r="IE1048558" s="242"/>
      <c r="IF1048558" s="242"/>
      <c r="IG1048558" s="242"/>
      <c r="IH1048558" s="242"/>
      <c r="II1048558" s="242"/>
      <c r="IJ1048558" s="242"/>
      <c r="IK1048558" s="242"/>
      <c r="IL1048558" s="242"/>
      <c r="IM1048558" s="242"/>
      <c r="IN1048558" s="242"/>
      <c r="IO1048558" s="242"/>
      <c r="IP1048558" s="242"/>
      <c r="IQ1048558" s="242"/>
    </row>
    <row r="1048559" spans="1:251" s="243" customFormat="1" ht="12.6" customHeight="1">
      <c r="A1048559" s="242"/>
      <c r="B1048559" s="242"/>
      <c r="C1048559" s="242"/>
      <c r="D1048559" s="242"/>
      <c r="E1048559" s="242"/>
      <c r="F1048559" s="242"/>
      <c r="G1048559" s="242"/>
      <c r="H1048559" s="242"/>
      <c r="I1048559" s="242"/>
      <c r="J1048559" s="242"/>
      <c r="K1048559" s="242"/>
      <c r="L1048559" s="242"/>
      <c r="M1048559" s="242"/>
      <c r="N1048559" s="242"/>
      <c r="O1048559" s="242"/>
      <c r="P1048559" s="242"/>
      <c r="Q1048559" s="242"/>
      <c r="R1048559" s="242"/>
      <c r="S1048559" s="242"/>
      <c r="T1048559" s="242"/>
      <c r="U1048559" s="242"/>
      <c r="V1048559" s="242"/>
      <c r="W1048559" s="242"/>
      <c r="X1048559" s="242"/>
      <c r="Y1048559" s="242"/>
      <c r="Z1048559" s="242"/>
      <c r="AA1048559" s="242"/>
      <c r="AB1048559" s="242"/>
      <c r="AC1048559" s="242"/>
      <c r="AD1048559" s="242"/>
      <c r="AE1048559" s="242"/>
      <c r="AF1048559" s="242"/>
      <c r="AG1048559" s="242"/>
      <c r="AH1048559" s="242"/>
      <c r="AI1048559" s="242"/>
      <c r="AJ1048559" s="242"/>
      <c r="AK1048559" s="242"/>
      <c r="AL1048559" s="242"/>
      <c r="AM1048559" s="242"/>
      <c r="AN1048559" s="242"/>
      <c r="AO1048559" s="242"/>
      <c r="AP1048559" s="242"/>
      <c r="AQ1048559" s="242"/>
      <c r="AR1048559" s="242"/>
      <c r="AS1048559" s="242"/>
      <c r="AT1048559" s="242"/>
      <c r="AU1048559" s="242"/>
      <c r="AV1048559" s="242"/>
      <c r="AW1048559" s="242"/>
      <c r="AX1048559" s="242"/>
      <c r="AY1048559" s="242"/>
      <c r="AZ1048559" s="242"/>
      <c r="BA1048559" s="242"/>
      <c r="BB1048559" s="242"/>
      <c r="BC1048559" s="242"/>
      <c r="BD1048559" s="242"/>
      <c r="BE1048559" s="242"/>
      <c r="BF1048559" s="242"/>
      <c r="BG1048559" s="242"/>
      <c r="BH1048559" s="242"/>
      <c r="BI1048559" s="242"/>
      <c r="BJ1048559" s="242"/>
      <c r="BK1048559" s="242"/>
      <c r="BL1048559" s="242"/>
      <c r="BM1048559" s="242"/>
      <c r="BN1048559" s="242"/>
      <c r="BO1048559" s="242"/>
      <c r="BP1048559" s="242"/>
      <c r="BQ1048559" s="242"/>
      <c r="BR1048559" s="242"/>
      <c r="BS1048559" s="242"/>
      <c r="BT1048559" s="242"/>
      <c r="BU1048559" s="242"/>
      <c r="BV1048559" s="242"/>
      <c r="BW1048559" s="242"/>
      <c r="BX1048559" s="242"/>
      <c r="BY1048559" s="242"/>
      <c r="BZ1048559" s="242"/>
      <c r="CA1048559" s="242"/>
      <c r="CB1048559" s="242"/>
      <c r="CC1048559" s="242"/>
      <c r="CD1048559" s="242"/>
      <c r="CE1048559" s="242"/>
      <c r="CF1048559" s="242"/>
      <c r="CG1048559" s="242"/>
      <c r="CH1048559" s="242"/>
      <c r="CI1048559" s="242"/>
      <c r="CJ1048559" s="242"/>
      <c r="CK1048559" s="242"/>
      <c r="CL1048559" s="242"/>
      <c r="CM1048559" s="242"/>
      <c r="CN1048559" s="242"/>
      <c r="CO1048559" s="242"/>
      <c r="CP1048559" s="242"/>
      <c r="CQ1048559" s="242"/>
      <c r="CR1048559" s="242"/>
      <c r="CS1048559" s="242"/>
      <c r="CT1048559" s="242"/>
      <c r="CU1048559" s="242"/>
      <c r="CV1048559" s="242"/>
      <c r="CW1048559" s="242"/>
      <c r="CX1048559" s="242"/>
      <c r="CY1048559" s="242"/>
      <c r="CZ1048559" s="242"/>
      <c r="DA1048559" s="242"/>
      <c r="DB1048559" s="242"/>
      <c r="DC1048559" s="242"/>
      <c r="DD1048559" s="242"/>
      <c r="DE1048559" s="242"/>
      <c r="DF1048559" s="242"/>
      <c r="DG1048559" s="242"/>
      <c r="DH1048559" s="242"/>
      <c r="DI1048559" s="242"/>
      <c r="DJ1048559" s="242"/>
      <c r="DK1048559" s="242"/>
      <c r="DL1048559" s="242"/>
      <c r="DM1048559" s="242"/>
      <c r="DN1048559" s="242"/>
      <c r="DO1048559" s="242"/>
      <c r="DP1048559" s="242"/>
      <c r="DQ1048559" s="242"/>
      <c r="DR1048559" s="242"/>
      <c r="DS1048559" s="242"/>
      <c r="DT1048559" s="242"/>
      <c r="DU1048559" s="242"/>
      <c r="DV1048559" s="242"/>
      <c r="DW1048559" s="242"/>
      <c r="DX1048559" s="242"/>
      <c r="DY1048559" s="242"/>
      <c r="DZ1048559" s="242"/>
      <c r="EA1048559" s="242"/>
      <c r="EB1048559" s="242"/>
      <c r="EC1048559" s="242"/>
      <c r="ED1048559" s="242"/>
      <c r="EE1048559" s="242"/>
      <c r="EF1048559" s="242"/>
      <c r="EG1048559" s="242"/>
      <c r="EH1048559" s="242"/>
      <c r="EI1048559" s="242"/>
      <c r="EJ1048559" s="242"/>
      <c r="EK1048559" s="242"/>
      <c r="EL1048559" s="242"/>
      <c r="EM1048559" s="242"/>
      <c r="EN1048559" s="242"/>
      <c r="EO1048559" s="242"/>
      <c r="EP1048559" s="242"/>
      <c r="EQ1048559" s="242"/>
      <c r="ER1048559" s="242"/>
      <c r="ES1048559" s="242"/>
      <c r="ET1048559" s="242"/>
      <c r="EU1048559" s="242"/>
      <c r="EV1048559" s="242"/>
      <c r="EW1048559" s="242"/>
      <c r="EX1048559" s="242"/>
      <c r="EY1048559" s="242"/>
      <c r="EZ1048559" s="242"/>
      <c r="FA1048559" s="242"/>
      <c r="FB1048559" s="242"/>
      <c r="FC1048559" s="242"/>
      <c r="FD1048559" s="242"/>
      <c r="FE1048559" s="242"/>
      <c r="FF1048559" s="242"/>
      <c r="FG1048559" s="242"/>
      <c r="FH1048559" s="242"/>
      <c r="FI1048559" s="242"/>
      <c r="FJ1048559" s="242"/>
      <c r="FK1048559" s="242"/>
      <c r="FL1048559" s="242"/>
      <c r="FM1048559" s="242"/>
      <c r="FN1048559" s="242"/>
      <c r="FO1048559" s="242"/>
      <c r="FP1048559" s="242"/>
      <c r="FQ1048559" s="242"/>
      <c r="FR1048559" s="242"/>
      <c r="FS1048559" s="242"/>
      <c r="FT1048559" s="242"/>
      <c r="FU1048559" s="242"/>
      <c r="FV1048559" s="242"/>
      <c r="FW1048559" s="242"/>
      <c r="FX1048559" s="242"/>
      <c r="FY1048559" s="242"/>
      <c r="FZ1048559" s="242"/>
      <c r="GA1048559" s="242"/>
      <c r="GB1048559" s="242"/>
      <c r="GC1048559" s="242"/>
      <c r="GD1048559" s="242"/>
      <c r="GE1048559" s="242"/>
      <c r="GF1048559" s="242"/>
      <c r="GG1048559" s="242"/>
      <c r="GH1048559" s="242"/>
      <c r="GI1048559" s="242"/>
      <c r="GJ1048559" s="242"/>
      <c r="GK1048559" s="242"/>
      <c r="GL1048559" s="242"/>
      <c r="GM1048559" s="242"/>
      <c r="GN1048559" s="242"/>
      <c r="GO1048559" s="242"/>
      <c r="GP1048559" s="242"/>
      <c r="GQ1048559" s="242"/>
      <c r="GR1048559" s="242"/>
      <c r="GS1048559" s="242"/>
      <c r="GT1048559" s="242"/>
      <c r="GU1048559" s="242"/>
      <c r="GV1048559" s="242"/>
      <c r="GW1048559" s="242"/>
      <c r="GX1048559" s="242"/>
      <c r="GY1048559" s="242"/>
      <c r="GZ1048559" s="242"/>
      <c r="HA1048559" s="242"/>
      <c r="HB1048559" s="242"/>
      <c r="HC1048559" s="242"/>
      <c r="HD1048559" s="242"/>
      <c r="HE1048559" s="242"/>
      <c r="HF1048559" s="242"/>
      <c r="HG1048559" s="242"/>
      <c r="HH1048559" s="242"/>
      <c r="HI1048559" s="242"/>
      <c r="HJ1048559" s="242"/>
      <c r="HK1048559" s="242"/>
      <c r="HL1048559" s="242"/>
      <c r="HM1048559" s="242"/>
      <c r="HN1048559" s="242"/>
      <c r="HO1048559" s="242"/>
      <c r="HP1048559" s="242"/>
      <c r="HQ1048559" s="242"/>
      <c r="HR1048559" s="242"/>
      <c r="HS1048559" s="242"/>
      <c r="HT1048559" s="242"/>
      <c r="HU1048559" s="242"/>
      <c r="HV1048559" s="242"/>
      <c r="HW1048559" s="242"/>
      <c r="HX1048559" s="242"/>
      <c r="HY1048559" s="242"/>
      <c r="HZ1048559" s="242"/>
      <c r="IA1048559" s="242"/>
      <c r="IB1048559" s="242"/>
      <c r="IC1048559" s="242"/>
      <c r="ID1048559" s="242"/>
      <c r="IE1048559" s="242"/>
      <c r="IF1048559" s="242"/>
      <c r="IG1048559" s="242"/>
      <c r="IH1048559" s="242"/>
      <c r="II1048559" s="242"/>
      <c r="IJ1048559" s="242"/>
      <c r="IK1048559" s="242"/>
      <c r="IL1048559" s="242"/>
      <c r="IM1048559" s="242"/>
      <c r="IN1048559" s="242"/>
      <c r="IO1048559" s="242"/>
      <c r="IP1048559" s="242"/>
      <c r="IQ1048559" s="242"/>
    </row>
    <row r="1048560" spans="1:251" s="243" customFormat="1" ht="12.6" customHeight="1">
      <c r="A1048560" s="242"/>
      <c r="B1048560" s="242"/>
      <c r="C1048560" s="242"/>
      <c r="D1048560" s="242"/>
      <c r="E1048560" s="242"/>
      <c r="F1048560" s="242"/>
      <c r="G1048560" s="242"/>
      <c r="H1048560" s="242"/>
      <c r="I1048560" s="242"/>
      <c r="J1048560" s="242"/>
      <c r="K1048560" s="242"/>
      <c r="L1048560" s="242"/>
      <c r="M1048560" s="242"/>
      <c r="N1048560" s="242"/>
      <c r="O1048560" s="242"/>
      <c r="P1048560" s="242"/>
      <c r="Q1048560" s="242"/>
      <c r="R1048560" s="242"/>
      <c r="S1048560" s="242"/>
      <c r="T1048560" s="242"/>
      <c r="U1048560" s="242"/>
      <c r="V1048560" s="242"/>
      <c r="W1048560" s="242"/>
      <c r="X1048560" s="242"/>
      <c r="Y1048560" s="242"/>
      <c r="Z1048560" s="242"/>
      <c r="AA1048560" s="242"/>
      <c r="AB1048560" s="242"/>
      <c r="AC1048560" s="242"/>
      <c r="AD1048560" s="242"/>
      <c r="AE1048560" s="242"/>
      <c r="AF1048560" s="242"/>
      <c r="AG1048560" s="242"/>
      <c r="AH1048560" s="242"/>
      <c r="AI1048560" s="242"/>
      <c r="AJ1048560" s="242"/>
      <c r="AK1048560" s="242"/>
      <c r="AL1048560" s="242"/>
      <c r="AM1048560" s="242"/>
      <c r="AN1048560" s="242"/>
      <c r="AO1048560" s="242"/>
      <c r="AP1048560" s="242"/>
      <c r="AQ1048560" s="242"/>
      <c r="AR1048560" s="242"/>
      <c r="AS1048560" s="242"/>
      <c r="AT1048560" s="242"/>
      <c r="AU1048560" s="242"/>
      <c r="AV1048560" s="242"/>
      <c r="AW1048560" s="242"/>
      <c r="AX1048560" s="242"/>
      <c r="AY1048560" s="242"/>
      <c r="AZ1048560" s="242"/>
      <c r="BA1048560" s="242"/>
      <c r="BB1048560" s="242"/>
      <c r="BC1048560" s="242"/>
      <c r="BD1048560" s="242"/>
      <c r="BE1048560" s="242"/>
      <c r="BF1048560" s="242"/>
      <c r="BG1048560" s="242"/>
      <c r="BH1048560" s="242"/>
      <c r="BI1048560" s="242"/>
      <c r="BJ1048560" s="242"/>
      <c r="BK1048560" s="242"/>
      <c r="BL1048560" s="242"/>
      <c r="BM1048560" s="242"/>
      <c r="BN1048560" s="242"/>
      <c r="BO1048560" s="242"/>
      <c r="BP1048560" s="242"/>
      <c r="BQ1048560" s="242"/>
      <c r="BR1048560" s="242"/>
      <c r="BS1048560" s="242"/>
      <c r="BT1048560" s="242"/>
      <c r="BU1048560" s="242"/>
      <c r="BV1048560" s="242"/>
      <c r="BW1048560" s="242"/>
      <c r="BX1048560" s="242"/>
      <c r="BY1048560" s="242"/>
      <c r="BZ1048560" s="242"/>
      <c r="CA1048560" s="242"/>
      <c r="CB1048560" s="242"/>
      <c r="CC1048560" s="242"/>
      <c r="CD1048560" s="242"/>
      <c r="CE1048560" s="242"/>
      <c r="CF1048560" s="242"/>
      <c r="CG1048560" s="242"/>
      <c r="CH1048560" s="242"/>
      <c r="CI1048560" s="242"/>
      <c r="CJ1048560" s="242"/>
      <c r="CK1048560" s="242"/>
      <c r="CL1048560" s="242"/>
      <c r="CM1048560" s="242"/>
      <c r="CN1048560" s="242"/>
      <c r="CO1048560" s="242"/>
      <c r="CP1048560" s="242"/>
      <c r="CQ1048560" s="242"/>
      <c r="CR1048560" s="242"/>
      <c r="CS1048560" s="242"/>
      <c r="CT1048560" s="242"/>
      <c r="CU1048560" s="242"/>
      <c r="CV1048560" s="242"/>
      <c r="CW1048560" s="242"/>
      <c r="CX1048560" s="242"/>
      <c r="CY1048560" s="242"/>
      <c r="CZ1048560" s="242"/>
      <c r="DA1048560" s="242"/>
      <c r="DB1048560" s="242"/>
      <c r="DC1048560" s="242"/>
      <c r="DD1048560" s="242"/>
      <c r="DE1048560" s="242"/>
      <c r="DF1048560" s="242"/>
      <c r="DG1048560" s="242"/>
      <c r="DH1048560" s="242"/>
      <c r="DI1048560" s="242"/>
      <c r="DJ1048560" s="242"/>
      <c r="DK1048560" s="242"/>
      <c r="DL1048560" s="242"/>
      <c r="DM1048560" s="242"/>
      <c r="DN1048560" s="242"/>
      <c r="DO1048560" s="242"/>
      <c r="DP1048560" s="242"/>
      <c r="DQ1048560" s="242"/>
      <c r="DR1048560" s="242"/>
      <c r="DS1048560" s="242"/>
      <c r="DT1048560" s="242"/>
      <c r="DU1048560" s="242"/>
      <c r="DV1048560" s="242"/>
      <c r="DW1048560" s="242"/>
      <c r="DX1048560" s="242"/>
      <c r="DY1048560" s="242"/>
      <c r="DZ1048560" s="242"/>
      <c r="EA1048560" s="242"/>
      <c r="EB1048560" s="242"/>
      <c r="EC1048560" s="242"/>
      <c r="ED1048560" s="242"/>
      <c r="EE1048560" s="242"/>
      <c r="EF1048560" s="242"/>
      <c r="EG1048560" s="242"/>
      <c r="EH1048560" s="242"/>
      <c r="EI1048560" s="242"/>
      <c r="EJ1048560" s="242"/>
      <c r="EK1048560" s="242"/>
      <c r="EL1048560" s="242"/>
      <c r="EM1048560" s="242"/>
      <c r="EN1048560" s="242"/>
      <c r="EO1048560" s="242"/>
      <c r="EP1048560" s="242"/>
      <c r="EQ1048560" s="242"/>
      <c r="ER1048560" s="242"/>
      <c r="ES1048560" s="242"/>
      <c r="ET1048560" s="242"/>
      <c r="EU1048560" s="242"/>
      <c r="EV1048560" s="242"/>
      <c r="EW1048560" s="242"/>
      <c r="EX1048560" s="242"/>
      <c r="EY1048560" s="242"/>
      <c r="EZ1048560" s="242"/>
      <c r="FA1048560" s="242"/>
      <c r="FB1048560" s="242"/>
      <c r="FC1048560" s="242"/>
      <c r="FD1048560" s="242"/>
      <c r="FE1048560" s="242"/>
      <c r="FF1048560" s="242"/>
      <c r="FG1048560" s="242"/>
      <c r="FH1048560" s="242"/>
      <c r="FI1048560" s="242"/>
      <c r="FJ1048560" s="242"/>
      <c r="FK1048560" s="242"/>
      <c r="FL1048560" s="242"/>
      <c r="FM1048560" s="242"/>
      <c r="FN1048560" s="242"/>
      <c r="FO1048560" s="242"/>
      <c r="FP1048560" s="242"/>
      <c r="FQ1048560" s="242"/>
      <c r="FR1048560" s="242"/>
      <c r="FS1048560" s="242"/>
      <c r="FT1048560" s="242"/>
      <c r="FU1048560" s="242"/>
      <c r="FV1048560" s="242"/>
      <c r="FW1048560" s="242"/>
      <c r="FX1048560" s="242"/>
      <c r="FY1048560" s="242"/>
      <c r="FZ1048560" s="242"/>
      <c r="GA1048560" s="242"/>
      <c r="GB1048560" s="242"/>
      <c r="GC1048560" s="242"/>
      <c r="GD1048560" s="242"/>
      <c r="GE1048560" s="242"/>
      <c r="GF1048560" s="242"/>
      <c r="GG1048560" s="242"/>
      <c r="GH1048560" s="242"/>
      <c r="GI1048560" s="242"/>
      <c r="GJ1048560" s="242"/>
      <c r="GK1048560" s="242"/>
      <c r="GL1048560" s="242"/>
      <c r="GM1048560" s="242"/>
      <c r="GN1048560" s="242"/>
      <c r="GO1048560" s="242"/>
      <c r="GP1048560" s="242"/>
      <c r="GQ1048560" s="242"/>
      <c r="GR1048560" s="242"/>
      <c r="GS1048560" s="242"/>
      <c r="GT1048560" s="242"/>
      <c r="GU1048560" s="242"/>
      <c r="GV1048560" s="242"/>
      <c r="GW1048560" s="242"/>
      <c r="GX1048560" s="242"/>
      <c r="GY1048560" s="242"/>
      <c r="GZ1048560" s="242"/>
      <c r="HA1048560" s="242"/>
      <c r="HB1048560" s="242"/>
      <c r="HC1048560" s="242"/>
      <c r="HD1048560" s="242"/>
      <c r="HE1048560" s="242"/>
      <c r="HF1048560" s="242"/>
      <c r="HG1048560" s="242"/>
      <c r="HH1048560" s="242"/>
      <c r="HI1048560" s="242"/>
      <c r="HJ1048560" s="242"/>
      <c r="HK1048560" s="242"/>
      <c r="HL1048560" s="242"/>
      <c r="HM1048560" s="242"/>
      <c r="HN1048560" s="242"/>
      <c r="HO1048560" s="242"/>
      <c r="HP1048560" s="242"/>
      <c r="HQ1048560" s="242"/>
      <c r="HR1048560" s="242"/>
      <c r="HS1048560" s="242"/>
      <c r="HT1048560" s="242"/>
      <c r="HU1048560" s="242"/>
      <c r="HV1048560" s="242"/>
      <c r="HW1048560" s="242"/>
      <c r="HX1048560" s="242"/>
      <c r="HY1048560" s="242"/>
      <c r="HZ1048560" s="242"/>
      <c r="IA1048560" s="242"/>
      <c r="IB1048560" s="242"/>
      <c r="IC1048560" s="242"/>
      <c r="ID1048560" s="242"/>
      <c r="IE1048560" s="242"/>
      <c r="IF1048560" s="242"/>
      <c r="IG1048560" s="242"/>
      <c r="IH1048560" s="242"/>
      <c r="II1048560" s="242"/>
      <c r="IJ1048560" s="242"/>
      <c r="IK1048560" s="242"/>
      <c r="IL1048560" s="242"/>
      <c r="IM1048560" s="242"/>
      <c r="IN1048560" s="242"/>
      <c r="IO1048560" s="242"/>
      <c r="IP1048560" s="242"/>
      <c r="IQ1048560" s="242"/>
    </row>
    <row r="1048561" spans="1:251" s="243" customFormat="1" ht="12.6" customHeight="1">
      <c r="A1048561" s="242"/>
      <c r="B1048561" s="242"/>
      <c r="C1048561" s="242"/>
      <c r="D1048561" s="242"/>
      <c r="E1048561" s="242"/>
      <c r="F1048561" s="242"/>
      <c r="G1048561" s="242"/>
      <c r="H1048561" s="242"/>
      <c r="I1048561" s="242"/>
      <c r="J1048561" s="242"/>
      <c r="K1048561" s="242"/>
      <c r="L1048561" s="242"/>
      <c r="M1048561" s="242"/>
      <c r="N1048561" s="242"/>
      <c r="O1048561" s="242"/>
      <c r="P1048561" s="242"/>
      <c r="Q1048561" s="242"/>
      <c r="R1048561" s="242"/>
      <c r="S1048561" s="242"/>
      <c r="T1048561" s="242"/>
      <c r="U1048561" s="242"/>
      <c r="V1048561" s="242"/>
      <c r="W1048561" s="242"/>
      <c r="X1048561" s="242"/>
      <c r="Y1048561" s="242"/>
      <c r="Z1048561" s="242"/>
      <c r="AA1048561" s="242"/>
      <c r="AB1048561" s="242"/>
      <c r="AC1048561" s="242"/>
      <c r="AD1048561" s="242"/>
      <c r="AE1048561" s="242"/>
      <c r="AF1048561" s="242"/>
      <c r="AG1048561" s="242"/>
      <c r="AH1048561" s="242"/>
      <c r="AI1048561" s="242"/>
      <c r="AJ1048561" s="242"/>
      <c r="AK1048561" s="242"/>
      <c r="AL1048561" s="242"/>
      <c r="AM1048561" s="242"/>
      <c r="AN1048561" s="242"/>
      <c r="AO1048561" s="242"/>
      <c r="AP1048561" s="242"/>
      <c r="AQ1048561" s="242"/>
      <c r="AR1048561" s="242"/>
      <c r="AS1048561" s="242"/>
      <c r="AT1048561" s="242"/>
      <c r="AU1048561" s="242"/>
      <c r="AV1048561" s="242"/>
      <c r="AW1048561" s="242"/>
      <c r="AX1048561" s="242"/>
      <c r="AY1048561" s="242"/>
      <c r="AZ1048561" s="242"/>
      <c r="BA1048561" s="242"/>
      <c r="BB1048561" s="242"/>
      <c r="BC1048561" s="242"/>
      <c r="BD1048561" s="242"/>
      <c r="BE1048561" s="242"/>
      <c r="BF1048561" s="242"/>
      <c r="BG1048561" s="242"/>
      <c r="BH1048561" s="242"/>
      <c r="BI1048561" s="242"/>
      <c r="BJ1048561" s="242"/>
      <c r="BK1048561" s="242"/>
      <c r="BL1048561" s="242"/>
      <c r="BM1048561" s="242"/>
      <c r="BN1048561" s="242"/>
      <c r="BO1048561" s="242"/>
      <c r="BP1048561" s="242"/>
      <c r="BQ1048561" s="242"/>
      <c r="BR1048561" s="242"/>
      <c r="BS1048561" s="242"/>
      <c r="BT1048561" s="242"/>
      <c r="BU1048561" s="242"/>
      <c r="BV1048561" s="242"/>
      <c r="BW1048561" s="242"/>
      <c r="BX1048561" s="242"/>
      <c r="BY1048561" s="242"/>
      <c r="BZ1048561" s="242"/>
      <c r="CA1048561" s="242"/>
      <c r="CB1048561" s="242"/>
      <c r="CC1048561" s="242"/>
      <c r="CD1048561" s="242"/>
      <c r="CE1048561" s="242"/>
      <c r="CF1048561" s="242"/>
      <c r="CG1048561" s="242"/>
      <c r="CH1048561" s="242"/>
      <c r="CI1048561" s="242"/>
      <c r="CJ1048561" s="242"/>
      <c r="CK1048561" s="242"/>
      <c r="CL1048561" s="242"/>
      <c r="CM1048561" s="242"/>
      <c r="CN1048561" s="242"/>
      <c r="CO1048561" s="242"/>
      <c r="CP1048561" s="242"/>
      <c r="CQ1048561" s="242"/>
      <c r="CR1048561" s="242"/>
      <c r="CS1048561" s="242"/>
      <c r="CT1048561" s="242"/>
      <c r="CU1048561" s="242"/>
      <c r="CV1048561" s="242"/>
      <c r="CW1048561" s="242"/>
      <c r="CX1048561" s="242"/>
      <c r="CY1048561" s="242"/>
      <c r="CZ1048561" s="242"/>
      <c r="DA1048561" s="242"/>
      <c r="DB1048561" s="242"/>
      <c r="DC1048561" s="242"/>
      <c r="DD1048561" s="242"/>
      <c r="DE1048561" s="242"/>
      <c r="DF1048561" s="242"/>
      <c r="DG1048561" s="242"/>
      <c r="DH1048561" s="242"/>
      <c r="DI1048561" s="242"/>
      <c r="DJ1048561" s="242"/>
      <c r="DK1048561" s="242"/>
      <c r="DL1048561" s="242"/>
      <c r="DM1048561" s="242"/>
      <c r="DN1048561" s="242"/>
      <c r="DO1048561" s="242"/>
      <c r="DP1048561" s="242"/>
      <c r="DQ1048561" s="242"/>
      <c r="DR1048561" s="242"/>
      <c r="DS1048561" s="242"/>
      <c r="DT1048561" s="242"/>
      <c r="DU1048561" s="242"/>
      <c r="DV1048561" s="242"/>
      <c r="DW1048561" s="242"/>
      <c r="DX1048561" s="242"/>
      <c r="DY1048561" s="242"/>
      <c r="DZ1048561" s="242"/>
      <c r="EA1048561" s="242"/>
      <c r="EB1048561" s="242"/>
      <c r="EC1048561" s="242"/>
      <c r="ED1048561" s="242"/>
      <c r="EE1048561" s="242"/>
      <c r="EF1048561" s="242"/>
      <c r="EG1048561" s="242"/>
      <c r="EH1048561" s="242"/>
      <c r="EI1048561" s="242"/>
      <c r="EJ1048561" s="242"/>
      <c r="EK1048561" s="242"/>
      <c r="EL1048561" s="242"/>
      <c r="EM1048561" s="242"/>
      <c r="EN1048561" s="242"/>
      <c r="EO1048561" s="242"/>
      <c r="EP1048561" s="242"/>
      <c r="EQ1048561" s="242"/>
      <c r="ER1048561" s="242"/>
      <c r="ES1048561" s="242"/>
      <c r="ET1048561" s="242"/>
      <c r="EU1048561" s="242"/>
      <c r="EV1048561" s="242"/>
      <c r="EW1048561" s="242"/>
      <c r="EX1048561" s="242"/>
      <c r="EY1048561" s="242"/>
      <c r="EZ1048561" s="242"/>
      <c r="FA1048561" s="242"/>
      <c r="FB1048561" s="242"/>
      <c r="FC1048561" s="242"/>
      <c r="FD1048561" s="242"/>
      <c r="FE1048561" s="242"/>
      <c r="FF1048561" s="242"/>
      <c r="FG1048561" s="242"/>
      <c r="FH1048561" s="242"/>
      <c r="FI1048561" s="242"/>
      <c r="FJ1048561" s="242"/>
      <c r="FK1048561" s="242"/>
      <c r="FL1048561" s="242"/>
      <c r="FM1048561" s="242"/>
      <c r="FN1048561" s="242"/>
      <c r="FO1048561" s="242"/>
      <c r="FP1048561" s="242"/>
      <c r="FQ1048561" s="242"/>
      <c r="FR1048561" s="242"/>
      <c r="FS1048561" s="242"/>
      <c r="FT1048561" s="242"/>
      <c r="FU1048561" s="242"/>
      <c r="FV1048561" s="242"/>
      <c r="FW1048561" s="242"/>
      <c r="FX1048561" s="242"/>
      <c r="FY1048561" s="242"/>
      <c r="FZ1048561" s="242"/>
      <c r="GA1048561" s="242"/>
      <c r="GB1048561" s="242"/>
      <c r="GC1048561" s="242"/>
      <c r="GD1048561" s="242"/>
      <c r="GE1048561" s="242"/>
      <c r="GF1048561" s="242"/>
      <c r="GG1048561" s="242"/>
      <c r="GH1048561" s="242"/>
      <c r="GI1048561" s="242"/>
      <c r="GJ1048561" s="242"/>
      <c r="GK1048561" s="242"/>
      <c r="GL1048561" s="242"/>
      <c r="GM1048561" s="242"/>
      <c r="GN1048561" s="242"/>
      <c r="GO1048561" s="242"/>
      <c r="GP1048561" s="242"/>
      <c r="GQ1048561" s="242"/>
      <c r="GR1048561" s="242"/>
      <c r="GS1048561" s="242"/>
      <c r="GT1048561" s="242"/>
      <c r="GU1048561" s="242"/>
      <c r="GV1048561" s="242"/>
      <c r="GW1048561" s="242"/>
      <c r="GX1048561" s="242"/>
      <c r="GY1048561" s="242"/>
      <c r="GZ1048561" s="242"/>
      <c r="HA1048561" s="242"/>
      <c r="HB1048561" s="242"/>
      <c r="HC1048561" s="242"/>
      <c r="HD1048561" s="242"/>
      <c r="HE1048561" s="242"/>
      <c r="HF1048561" s="242"/>
      <c r="HG1048561" s="242"/>
      <c r="HH1048561" s="242"/>
      <c r="HI1048561" s="242"/>
      <c r="HJ1048561" s="242"/>
      <c r="HK1048561" s="242"/>
      <c r="HL1048561" s="242"/>
      <c r="HM1048561" s="242"/>
      <c r="HN1048561" s="242"/>
      <c r="HO1048561" s="242"/>
      <c r="HP1048561" s="242"/>
      <c r="HQ1048561" s="242"/>
      <c r="HR1048561" s="242"/>
      <c r="HS1048561" s="242"/>
      <c r="HT1048561" s="242"/>
      <c r="HU1048561" s="242"/>
      <c r="HV1048561" s="242"/>
      <c r="HW1048561" s="242"/>
      <c r="HX1048561" s="242"/>
      <c r="HY1048561" s="242"/>
      <c r="HZ1048561" s="242"/>
      <c r="IA1048561" s="242"/>
      <c r="IB1048561" s="242"/>
      <c r="IC1048561" s="242"/>
      <c r="ID1048561" s="242"/>
      <c r="IE1048561" s="242"/>
      <c r="IF1048561" s="242"/>
      <c r="IG1048561" s="242"/>
      <c r="IH1048561" s="242"/>
      <c r="II1048561" s="242"/>
      <c r="IJ1048561" s="242"/>
      <c r="IK1048561" s="242"/>
      <c r="IL1048561" s="242"/>
      <c r="IM1048561" s="242"/>
      <c r="IN1048561" s="242"/>
      <c r="IO1048561" s="242"/>
      <c r="IP1048561" s="242"/>
      <c r="IQ1048561" s="242"/>
    </row>
    <row r="1048562" spans="1:251" s="243" customFormat="1" ht="12.6" customHeight="1">
      <c r="A1048562" s="242"/>
      <c r="B1048562" s="242"/>
      <c r="C1048562" s="242"/>
      <c r="D1048562" s="242"/>
      <c r="E1048562" s="242"/>
      <c r="F1048562" s="242"/>
      <c r="G1048562" s="242"/>
      <c r="H1048562" s="242"/>
      <c r="I1048562" s="242"/>
      <c r="J1048562" s="242"/>
      <c r="K1048562" s="242"/>
      <c r="L1048562" s="242"/>
      <c r="M1048562" s="242"/>
      <c r="N1048562" s="242"/>
      <c r="O1048562" s="242"/>
      <c r="P1048562" s="242"/>
      <c r="Q1048562" s="242"/>
      <c r="R1048562" s="242"/>
      <c r="S1048562" s="242"/>
      <c r="T1048562" s="242"/>
      <c r="U1048562" s="242"/>
      <c r="V1048562" s="242"/>
      <c r="W1048562" s="242"/>
      <c r="X1048562" s="242"/>
      <c r="Y1048562" s="242"/>
      <c r="Z1048562" s="242"/>
      <c r="AA1048562" s="242"/>
      <c r="AB1048562" s="242"/>
      <c r="AC1048562" s="242"/>
      <c r="AD1048562" s="242"/>
      <c r="AE1048562" s="242"/>
      <c r="AF1048562" s="242"/>
      <c r="AG1048562" s="242"/>
      <c r="AH1048562" s="242"/>
      <c r="AI1048562" s="242"/>
      <c r="AJ1048562" s="242"/>
      <c r="AK1048562" s="242"/>
      <c r="AL1048562" s="242"/>
      <c r="AM1048562" s="242"/>
      <c r="AN1048562" s="242"/>
      <c r="AO1048562" s="242"/>
      <c r="AP1048562" s="242"/>
      <c r="AQ1048562" s="242"/>
      <c r="AR1048562" s="242"/>
      <c r="AS1048562" s="242"/>
      <c r="AT1048562" s="242"/>
      <c r="AU1048562" s="242"/>
      <c r="AV1048562" s="242"/>
      <c r="AW1048562" s="242"/>
      <c r="AX1048562" s="242"/>
      <c r="AY1048562" s="242"/>
      <c r="AZ1048562" s="242"/>
      <c r="BA1048562" s="242"/>
      <c r="BB1048562" s="242"/>
      <c r="BC1048562" s="242"/>
      <c r="BD1048562" s="242"/>
      <c r="BE1048562" s="242"/>
      <c r="BF1048562" s="242"/>
      <c r="BG1048562" s="242"/>
      <c r="BH1048562" s="242"/>
      <c r="BI1048562" s="242"/>
      <c r="BJ1048562" s="242"/>
      <c r="BK1048562" s="242"/>
      <c r="BL1048562" s="242"/>
      <c r="BM1048562" s="242"/>
      <c r="BN1048562" s="242"/>
      <c r="BO1048562" s="242"/>
      <c r="BP1048562" s="242"/>
      <c r="BQ1048562" s="242"/>
      <c r="BR1048562" s="242"/>
      <c r="BS1048562" s="242"/>
      <c r="BT1048562" s="242"/>
      <c r="BU1048562" s="242"/>
      <c r="BV1048562" s="242"/>
      <c r="BW1048562" s="242"/>
      <c r="BX1048562" s="242"/>
      <c r="BY1048562" s="242"/>
      <c r="BZ1048562" s="242"/>
      <c r="CA1048562" s="242"/>
      <c r="CB1048562" s="242"/>
      <c r="CC1048562" s="242"/>
      <c r="CD1048562" s="242"/>
      <c r="CE1048562" s="242"/>
      <c r="CF1048562" s="242"/>
      <c r="CG1048562" s="242"/>
      <c r="CH1048562" s="242"/>
      <c r="CI1048562" s="242"/>
      <c r="CJ1048562" s="242"/>
      <c r="CK1048562" s="242"/>
      <c r="CL1048562" s="242"/>
      <c r="CM1048562" s="242"/>
      <c r="CN1048562" s="242"/>
      <c r="CO1048562" s="242"/>
      <c r="CP1048562" s="242"/>
      <c r="CQ1048562" s="242"/>
      <c r="CR1048562" s="242"/>
      <c r="CS1048562" s="242"/>
      <c r="CT1048562" s="242"/>
      <c r="CU1048562" s="242"/>
      <c r="CV1048562" s="242"/>
      <c r="CW1048562" s="242"/>
      <c r="CX1048562" s="242"/>
      <c r="CY1048562" s="242"/>
      <c r="CZ1048562" s="242"/>
      <c r="DA1048562" s="242"/>
      <c r="DB1048562" s="242"/>
      <c r="DC1048562" s="242"/>
      <c r="DD1048562" s="242"/>
      <c r="DE1048562" s="242"/>
      <c r="DF1048562" s="242"/>
      <c r="DG1048562" s="242"/>
      <c r="DH1048562" s="242"/>
      <c r="DI1048562" s="242"/>
      <c r="DJ1048562" s="242"/>
      <c r="DK1048562" s="242"/>
      <c r="DL1048562" s="242"/>
      <c r="DM1048562" s="242"/>
      <c r="DN1048562" s="242"/>
      <c r="DO1048562" s="242"/>
      <c r="DP1048562" s="242"/>
      <c r="DQ1048562" s="242"/>
      <c r="DR1048562" s="242"/>
      <c r="DS1048562" s="242"/>
      <c r="DT1048562" s="242"/>
      <c r="DU1048562" s="242"/>
      <c r="DV1048562" s="242"/>
      <c r="DW1048562" s="242"/>
      <c r="DX1048562" s="242"/>
      <c r="DY1048562" s="242"/>
      <c r="DZ1048562" s="242"/>
      <c r="EA1048562" s="242"/>
      <c r="EB1048562" s="242"/>
      <c r="EC1048562" s="242"/>
      <c r="ED1048562" s="242"/>
      <c r="EE1048562" s="242"/>
      <c r="EF1048562" s="242"/>
      <c r="EG1048562" s="242"/>
      <c r="EH1048562" s="242"/>
      <c r="EI1048562" s="242"/>
      <c r="EJ1048562" s="242"/>
      <c r="EK1048562" s="242"/>
      <c r="EL1048562" s="242"/>
      <c r="EM1048562" s="242"/>
      <c r="EN1048562" s="242"/>
      <c r="EO1048562" s="242"/>
      <c r="EP1048562" s="242"/>
      <c r="EQ1048562" s="242"/>
      <c r="ER1048562" s="242"/>
      <c r="ES1048562" s="242"/>
      <c r="ET1048562" s="242"/>
      <c r="EU1048562" s="242"/>
      <c r="EV1048562" s="242"/>
      <c r="EW1048562" s="242"/>
      <c r="EX1048562" s="242"/>
      <c r="EY1048562" s="242"/>
      <c r="EZ1048562" s="242"/>
      <c r="FA1048562" s="242"/>
      <c r="FB1048562" s="242"/>
      <c r="FC1048562" s="242"/>
      <c r="FD1048562" s="242"/>
      <c r="FE1048562" s="242"/>
      <c r="FF1048562" s="242"/>
      <c r="FG1048562" s="242"/>
      <c r="FH1048562" s="242"/>
      <c r="FI1048562" s="242"/>
      <c r="FJ1048562" s="242"/>
      <c r="FK1048562" s="242"/>
      <c r="FL1048562" s="242"/>
      <c r="FM1048562" s="242"/>
      <c r="FN1048562" s="242"/>
      <c r="FO1048562" s="242"/>
      <c r="FP1048562" s="242"/>
      <c r="FQ1048562" s="242"/>
      <c r="FR1048562" s="242"/>
      <c r="FS1048562" s="242"/>
      <c r="FT1048562" s="242"/>
      <c r="FU1048562" s="242"/>
      <c r="FV1048562" s="242"/>
      <c r="FW1048562" s="242"/>
      <c r="FX1048562" s="242"/>
      <c r="FY1048562" s="242"/>
      <c r="FZ1048562" s="242"/>
      <c r="GA1048562" s="242"/>
      <c r="GB1048562" s="242"/>
      <c r="GC1048562" s="242"/>
      <c r="GD1048562" s="242"/>
      <c r="GE1048562" s="242"/>
      <c r="GF1048562" s="242"/>
      <c r="GG1048562" s="242"/>
      <c r="GH1048562" s="242"/>
      <c r="GI1048562" s="242"/>
      <c r="GJ1048562" s="242"/>
      <c r="GK1048562" s="242"/>
      <c r="GL1048562" s="242"/>
      <c r="GM1048562" s="242"/>
      <c r="GN1048562" s="242"/>
      <c r="GO1048562" s="242"/>
      <c r="GP1048562" s="242"/>
      <c r="GQ1048562" s="242"/>
      <c r="GR1048562" s="242"/>
      <c r="GS1048562" s="242"/>
      <c r="GT1048562" s="242"/>
      <c r="GU1048562" s="242"/>
      <c r="GV1048562" s="242"/>
      <c r="GW1048562" s="242"/>
      <c r="GX1048562" s="242"/>
      <c r="GY1048562" s="242"/>
      <c r="GZ1048562" s="242"/>
      <c r="HA1048562" s="242"/>
      <c r="HB1048562" s="242"/>
      <c r="HC1048562" s="242"/>
      <c r="HD1048562" s="242"/>
      <c r="HE1048562" s="242"/>
      <c r="HF1048562" s="242"/>
      <c r="HG1048562" s="242"/>
      <c r="HH1048562" s="242"/>
      <c r="HI1048562" s="242"/>
      <c r="HJ1048562" s="242"/>
      <c r="HK1048562" s="242"/>
      <c r="HL1048562" s="242"/>
      <c r="HM1048562" s="242"/>
      <c r="HN1048562" s="242"/>
      <c r="HO1048562" s="242"/>
      <c r="HP1048562" s="242"/>
      <c r="HQ1048562" s="242"/>
      <c r="HR1048562" s="242"/>
      <c r="HS1048562" s="242"/>
      <c r="HT1048562" s="242"/>
      <c r="HU1048562" s="242"/>
      <c r="HV1048562" s="242"/>
      <c r="HW1048562" s="242"/>
      <c r="HX1048562" s="242"/>
      <c r="HY1048562" s="242"/>
      <c r="HZ1048562" s="242"/>
      <c r="IA1048562" s="242"/>
      <c r="IB1048562" s="242"/>
      <c r="IC1048562" s="242"/>
      <c r="ID1048562" s="242"/>
      <c r="IE1048562" s="242"/>
      <c r="IF1048562" s="242"/>
      <c r="IG1048562" s="242"/>
      <c r="IH1048562" s="242"/>
      <c r="II1048562" s="242"/>
      <c r="IJ1048562" s="242"/>
      <c r="IK1048562" s="242"/>
      <c r="IL1048562" s="242"/>
      <c r="IM1048562" s="242"/>
      <c r="IN1048562" s="242"/>
      <c r="IO1048562" s="242"/>
      <c r="IP1048562" s="242"/>
      <c r="IQ1048562" s="242"/>
    </row>
    <row r="1048563" spans="1:251" s="243" customFormat="1" ht="12.6" customHeight="1">
      <c r="A1048563" s="242"/>
      <c r="B1048563" s="242"/>
      <c r="C1048563" s="242"/>
      <c r="D1048563" s="242"/>
      <c r="E1048563" s="242"/>
      <c r="F1048563" s="242"/>
      <c r="G1048563" s="242"/>
      <c r="H1048563" s="242"/>
      <c r="I1048563" s="242"/>
      <c r="J1048563" s="242"/>
      <c r="K1048563" s="242"/>
      <c r="L1048563" s="242"/>
      <c r="M1048563" s="242"/>
      <c r="N1048563" s="242"/>
      <c r="O1048563" s="242"/>
      <c r="P1048563" s="242"/>
      <c r="Q1048563" s="242"/>
      <c r="R1048563" s="242"/>
      <c r="S1048563" s="242"/>
      <c r="T1048563" s="242"/>
      <c r="U1048563" s="242"/>
      <c r="V1048563" s="242"/>
      <c r="W1048563" s="242"/>
      <c r="X1048563" s="242"/>
      <c r="Y1048563" s="242"/>
      <c r="Z1048563" s="242"/>
      <c r="AA1048563" s="242"/>
      <c r="AB1048563" s="242"/>
      <c r="AC1048563" s="242"/>
      <c r="AD1048563" s="242"/>
      <c r="AE1048563" s="242"/>
      <c r="AF1048563" s="242"/>
      <c r="AG1048563" s="242"/>
      <c r="AH1048563" s="242"/>
      <c r="AI1048563" s="242"/>
      <c r="AJ1048563" s="242"/>
      <c r="AK1048563" s="242"/>
      <c r="AL1048563" s="242"/>
      <c r="AM1048563" s="242"/>
      <c r="AN1048563" s="242"/>
      <c r="AO1048563" s="242"/>
      <c r="AP1048563" s="242"/>
      <c r="AQ1048563" s="242"/>
      <c r="AR1048563" s="242"/>
      <c r="AS1048563" s="242"/>
      <c r="AT1048563" s="242"/>
      <c r="AU1048563" s="242"/>
      <c r="AV1048563" s="242"/>
      <c r="AW1048563" s="242"/>
      <c r="AX1048563" s="242"/>
      <c r="AY1048563" s="242"/>
      <c r="AZ1048563" s="242"/>
      <c r="BA1048563" s="242"/>
      <c r="BB1048563" s="242"/>
      <c r="BC1048563" s="242"/>
      <c r="BD1048563" s="242"/>
      <c r="BE1048563" s="242"/>
      <c r="BF1048563" s="242"/>
      <c r="BG1048563" s="242"/>
      <c r="BH1048563" s="242"/>
      <c r="BI1048563" s="242"/>
      <c r="BJ1048563" s="242"/>
      <c r="BK1048563" s="242"/>
      <c r="BL1048563" s="242"/>
      <c r="BM1048563" s="242"/>
      <c r="BN1048563" s="242"/>
      <c r="BO1048563" s="242"/>
      <c r="BP1048563" s="242"/>
      <c r="BQ1048563" s="242"/>
      <c r="BR1048563" s="242"/>
      <c r="BS1048563" s="242"/>
      <c r="BT1048563" s="242"/>
      <c r="BU1048563" s="242"/>
      <c r="BV1048563" s="242"/>
      <c r="BW1048563" s="242"/>
      <c r="BX1048563" s="242"/>
      <c r="BY1048563" s="242"/>
      <c r="BZ1048563" s="242"/>
      <c r="CA1048563" s="242"/>
      <c r="CB1048563" s="242"/>
      <c r="CC1048563" s="242"/>
      <c r="CD1048563" s="242"/>
      <c r="CE1048563" s="242"/>
      <c r="CF1048563" s="242"/>
      <c r="CG1048563" s="242"/>
      <c r="CH1048563" s="242"/>
      <c r="CI1048563" s="242"/>
      <c r="CJ1048563" s="242"/>
      <c r="CK1048563" s="242"/>
      <c r="CL1048563" s="242"/>
      <c r="CM1048563" s="242"/>
      <c r="CN1048563" s="242"/>
      <c r="CO1048563" s="242"/>
      <c r="CP1048563" s="242"/>
      <c r="CQ1048563" s="242"/>
      <c r="CR1048563" s="242"/>
      <c r="CS1048563" s="242"/>
      <c r="CT1048563" s="242"/>
      <c r="CU1048563" s="242"/>
      <c r="CV1048563" s="242"/>
      <c r="CW1048563" s="242"/>
      <c r="CX1048563" s="242"/>
      <c r="CY1048563" s="242"/>
      <c r="CZ1048563" s="242"/>
      <c r="DA1048563" s="242"/>
      <c r="DB1048563" s="242"/>
      <c r="DC1048563" s="242"/>
      <c r="DD1048563" s="242"/>
      <c r="DE1048563" s="242"/>
      <c r="DF1048563" s="242"/>
      <c r="DG1048563" s="242"/>
      <c r="DH1048563" s="242"/>
      <c r="DI1048563" s="242"/>
      <c r="DJ1048563" s="242"/>
      <c r="DK1048563" s="242"/>
      <c r="DL1048563" s="242"/>
      <c r="DM1048563" s="242"/>
      <c r="DN1048563" s="242"/>
      <c r="DO1048563" s="242"/>
      <c r="DP1048563" s="242"/>
      <c r="DQ1048563" s="242"/>
      <c r="DR1048563" s="242"/>
      <c r="DS1048563" s="242"/>
      <c r="DT1048563" s="242"/>
      <c r="DU1048563" s="242"/>
      <c r="DV1048563" s="242"/>
      <c r="DW1048563" s="242"/>
      <c r="DX1048563" s="242"/>
      <c r="DY1048563" s="242"/>
      <c r="DZ1048563" s="242"/>
      <c r="EA1048563" s="242"/>
      <c r="EB1048563" s="242"/>
      <c r="EC1048563" s="242"/>
      <c r="ED1048563" s="242"/>
      <c r="EE1048563" s="242"/>
      <c r="EF1048563" s="242"/>
      <c r="EG1048563" s="242"/>
      <c r="EH1048563" s="242"/>
      <c r="EI1048563" s="242"/>
      <c r="EJ1048563" s="242"/>
      <c r="EK1048563" s="242"/>
      <c r="EL1048563" s="242"/>
      <c r="EM1048563" s="242"/>
      <c r="EN1048563" s="242"/>
      <c r="EO1048563" s="242"/>
      <c r="EP1048563" s="242"/>
      <c r="EQ1048563" s="242"/>
      <c r="ER1048563" s="242"/>
      <c r="ES1048563" s="242"/>
      <c r="ET1048563" s="242"/>
      <c r="EU1048563" s="242"/>
      <c r="EV1048563" s="242"/>
      <c r="EW1048563" s="242"/>
      <c r="EX1048563" s="242"/>
      <c r="EY1048563" s="242"/>
      <c r="EZ1048563" s="242"/>
      <c r="FA1048563" s="242"/>
      <c r="FB1048563" s="242"/>
      <c r="FC1048563" s="242"/>
      <c r="FD1048563" s="242"/>
      <c r="FE1048563" s="242"/>
      <c r="FF1048563" s="242"/>
      <c r="FG1048563" s="242"/>
      <c r="FH1048563" s="242"/>
      <c r="FI1048563" s="242"/>
      <c r="FJ1048563" s="242"/>
      <c r="FK1048563" s="242"/>
      <c r="FL1048563" s="242"/>
      <c r="FM1048563" s="242"/>
      <c r="FN1048563" s="242"/>
      <c r="FO1048563" s="242"/>
      <c r="FP1048563" s="242"/>
      <c r="FQ1048563" s="242"/>
      <c r="FR1048563" s="242"/>
      <c r="FS1048563" s="242"/>
      <c r="FT1048563" s="242"/>
      <c r="FU1048563" s="242"/>
      <c r="FV1048563" s="242"/>
      <c r="FW1048563" s="242"/>
      <c r="FX1048563" s="242"/>
      <c r="FY1048563" s="242"/>
      <c r="FZ1048563" s="242"/>
      <c r="GA1048563" s="242"/>
      <c r="GB1048563" s="242"/>
      <c r="GC1048563" s="242"/>
      <c r="GD1048563" s="242"/>
      <c r="GE1048563" s="242"/>
      <c r="GF1048563" s="242"/>
      <c r="GG1048563" s="242"/>
      <c r="GH1048563" s="242"/>
      <c r="GI1048563" s="242"/>
      <c r="GJ1048563" s="242"/>
      <c r="GK1048563" s="242"/>
      <c r="GL1048563" s="242"/>
      <c r="GM1048563" s="242"/>
      <c r="GN1048563" s="242"/>
      <c r="GO1048563" s="242"/>
      <c r="GP1048563" s="242"/>
      <c r="GQ1048563" s="242"/>
      <c r="GR1048563" s="242"/>
      <c r="GS1048563" s="242"/>
      <c r="GT1048563" s="242"/>
      <c r="GU1048563" s="242"/>
      <c r="GV1048563" s="242"/>
      <c r="GW1048563" s="242"/>
      <c r="GX1048563" s="242"/>
      <c r="GY1048563" s="242"/>
      <c r="GZ1048563" s="242"/>
      <c r="HA1048563" s="242"/>
      <c r="HB1048563" s="242"/>
      <c r="HC1048563" s="242"/>
      <c r="HD1048563" s="242"/>
      <c r="HE1048563" s="242"/>
      <c r="HF1048563" s="242"/>
      <c r="HG1048563" s="242"/>
      <c r="HH1048563" s="242"/>
      <c r="HI1048563" s="242"/>
      <c r="HJ1048563" s="242"/>
      <c r="HK1048563" s="242"/>
      <c r="HL1048563" s="242"/>
      <c r="HM1048563" s="242"/>
      <c r="HN1048563" s="242"/>
      <c r="HO1048563" s="242"/>
      <c r="HP1048563" s="242"/>
      <c r="HQ1048563" s="242"/>
      <c r="HR1048563" s="242"/>
      <c r="HS1048563" s="242"/>
      <c r="HT1048563" s="242"/>
      <c r="HU1048563" s="242"/>
      <c r="HV1048563" s="242"/>
      <c r="HW1048563" s="242"/>
      <c r="HX1048563" s="242"/>
      <c r="HY1048563" s="242"/>
      <c r="HZ1048563" s="242"/>
      <c r="IA1048563" s="242"/>
      <c r="IB1048563" s="242"/>
      <c r="IC1048563" s="242"/>
      <c r="ID1048563" s="242"/>
      <c r="IE1048563" s="242"/>
      <c r="IF1048563" s="242"/>
      <c r="IG1048563" s="242"/>
      <c r="IH1048563" s="242"/>
      <c r="II1048563" s="242"/>
      <c r="IJ1048563" s="242"/>
      <c r="IK1048563" s="242"/>
      <c r="IL1048563" s="242"/>
      <c r="IM1048563" s="242"/>
      <c r="IN1048563" s="242"/>
      <c r="IO1048563" s="242"/>
      <c r="IP1048563" s="242"/>
      <c r="IQ1048563" s="242"/>
    </row>
    <row r="1048564" spans="1:251" s="243" customFormat="1" ht="12.6" customHeight="1">
      <c r="A1048564" s="242"/>
      <c r="B1048564" s="242"/>
      <c r="C1048564" s="242"/>
      <c r="D1048564" s="242"/>
      <c r="E1048564" s="242"/>
      <c r="F1048564" s="242"/>
      <c r="G1048564" s="242"/>
      <c r="H1048564" s="242"/>
      <c r="I1048564" s="242"/>
      <c r="J1048564" s="242"/>
      <c r="K1048564" s="242"/>
      <c r="L1048564" s="242"/>
      <c r="M1048564" s="242"/>
      <c r="N1048564" s="242"/>
      <c r="O1048564" s="242"/>
      <c r="P1048564" s="242"/>
      <c r="Q1048564" s="242"/>
      <c r="R1048564" s="242"/>
      <c r="S1048564" s="242"/>
      <c r="T1048564" s="242"/>
      <c r="U1048564" s="242"/>
      <c r="V1048564" s="242"/>
      <c r="W1048564" s="242"/>
      <c r="X1048564" s="242"/>
      <c r="Y1048564" s="242"/>
      <c r="Z1048564" s="242"/>
      <c r="AA1048564" s="242"/>
      <c r="AB1048564" s="242"/>
      <c r="AC1048564" s="242"/>
      <c r="AD1048564" s="242"/>
      <c r="AE1048564" s="242"/>
      <c r="AF1048564" s="242"/>
      <c r="AG1048564" s="242"/>
      <c r="AH1048564" s="242"/>
      <c r="AI1048564" s="242"/>
      <c r="AJ1048564" s="242"/>
      <c r="AK1048564" s="242"/>
      <c r="AL1048564" s="242"/>
      <c r="AM1048564" s="242"/>
      <c r="AN1048564" s="242"/>
      <c r="AO1048564" s="242"/>
      <c r="AP1048564" s="242"/>
      <c r="AQ1048564" s="242"/>
      <c r="AR1048564" s="242"/>
      <c r="AS1048564" s="242"/>
      <c r="AT1048564" s="242"/>
      <c r="AU1048564" s="242"/>
      <c r="AV1048564" s="242"/>
      <c r="AW1048564" s="242"/>
      <c r="AX1048564" s="242"/>
      <c r="AY1048564" s="242"/>
      <c r="AZ1048564" s="242"/>
      <c r="BA1048564" s="242"/>
      <c r="BB1048564" s="242"/>
      <c r="BC1048564" s="242"/>
      <c r="BD1048564" s="242"/>
      <c r="BE1048564" s="242"/>
      <c r="BF1048564" s="242"/>
      <c r="BG1048564" s="242"/>
      <c r="BH1048564" s="242"/>
      <c r="BI1048564" s="242"/>
      <c r="BJ1048564" s="242"/>
      <c r="BK1048564" s="242"/>
      <c r="BL1048564" s="242"/>
      <c r="BM1048564" s="242"/>
      <c r="BN1048564" s="242"/>
      <c r="BO1048564" s="242"/>
      <c r="BP1048564" s="242"/>
      <c r="BQ1048564" s="242"/>
      <c r="BR1048564" s="242"/>
      <c r="BS1048564" s="242"/>
      <c r="BT1048564" s="242"/>
      <c r="BU1048564" s="242"/>
      <c r="BV1048564" s="242"/>
      <c r="BW1048564" s="242"/>
      <c r="BX1048564" s="242"/>
      <c r="BY1048564" s="242"/>
      <c r="BZ1048564" s="242"/>
      <c r="CA1048564" s="242"/>
      <c r="CB1048564" s="242"/>
      <c r="CC1048564" s="242"/>
      <c r="CD1048564" s="242"/>
      <c r="CE1048564" s="242"/>
      <c r="CF1048564" s="242"/>
      <c r="CG1048564" s="242"/>
      <c r="CH1048564" s="242"/>
      <c r="CI1048564" s="242"/>
      <c r="CJ1048564" s="242"/>
      <c r="CK1048564" s="242"/>
      <c r="CL1048564" s="242"/>
      <c r="CM1048564" s="242"/>
      <c r="CN1048564" s="242"/>
      <c r="CO1048564" s="242"/>
      <c r="CP1048564" s="242"/>
      <c r="CQ1048564" s="242"/>
      <c r="CR1048564" s="242"/>
      <c r="CS1048564" s="242"/>
      <c r="CT1048564" s="242"/>
      <c r="CU1048564" s="242"/>
      <c r="CV1048564" s="242"/>
      <c r="CW1048564" s="242"/>
      <c r="CX1048564" s="242"/>
      <c r="CY1048564" s="242"/>
      <c r="CZ1048564" s="242"/>
      <c r="DA1048564" s="242"/>
      <c r="DB1048564" s="242"/>
      <c r="DC1048564" s="242"/>
      <c r="DD1048564" s="242"/>
      <c r="DE1048564" s="242"/>
      <c r="DF1048564" s="242"/>
      <c r="DG1048564" s="242"/>
      <c r="DH1048564" s="242"/>
      <c r="DI1048564" s="242"/>
      <c r="DJ1048564" s="242"/>
      <c r="DK1048564" s="242"/>
      <c r="DL1048564" s="242"/>
      <c r="DM1048564" s="242"/>
      <c r="DN1048564" s="242"/>
      <c r="DO1048564" s="242"/>
      <c r="DP1048564" s="242"/>
      <c r="DQ1048564" s="242"/>
      <c r="DR1048564" s="242"/>
      <c r="DS1048564" s="242"/>
      <c r="DT1048564" s="242"/>
      <c r="DU1048564" s="242"/>
      <c r="DV1048564" s="242"/>
      <c r="DW1048564" s="242"/>
      <c r="DX1048564" s="242"/>
      <c r="DY1048564" s="242"/>
      <c r="DZ1048564" s="242"/>
      <c r="EA1048564" s="242"/>
      <c r="EB1048564" s="242"/>
      <c r="EC1048564" s="242"/>
      <c r="ED1048564" s="242"/>
      <c r="EE1048564" s="242"/>
      <c r="EF1048564" s="242"/>
      <c r="EG1048564" s="242"/>
      <c r="EH1048564" s="242"/>
      <c r="EI1048564" s="242"/>
      <c r="EJ1048564" s="242"/>
      <c r="EK1048564" s="242"/>
      <c r="EL1048564" s="242"/>
      <c r="EM1048564" s="242"/>
      <c r="EN1048564" s="242"/>
      <c r="EO1048564" s="242"/>
      <c r="EP1048564" s="242"/>
      <c r="EQ1048564" s="242"/>
      <c r="ER1048564" s="242"/>
      <c r="ES1048564" s="242"/>
      <c r="ET1048564" s="242"/>
      <c r="EU1048564" s="242"/>
      <c r="EV1048564" s="242"/>
      <c r="EW1048564" s="242"/>
      <c r="EX1048564" s="242"/>
      <c r="EY1048564" s="242"/>
      <c r="EZ1048564" s="242"/>
      <c r="FA1048564" s="242"/>
      <c r="FB1048564" s="242"/>
      <c r="FC1048564" s="242"/>
      <c r="FD1048564" s="242"/>
      <c r="FE1048564" s="242"/>
      <c r="FF1048564" s="242"/>
      <c r="FG1048564" s="242"/>
      <c r="FH1048564" s="242"/>
      <c r="FI1048564" s="242"/>
      <c r="FJ1048564" s="242"/>
      <c r="FK1048564" s="242"/>
      <c r="FL1048564" s="242"/>
      <c r="FM1048564" s="242"/>
      <c r="FN1048564" s="242"/>
      <c r="FO1048564" s="242"/>
      <c r="FP1048564" s="242"/>
      <c r="FQ1048564" s="242"/>
      <c r="FR1048564" s="242"/>
      <c r="FS1048564" s="242"/>
      <c r="FT1048564" s="242"/>
      <c r="FU1048564" s="242"/>
      <c r="FV1048564" s="242"/>
      <c r="FW1048564" s="242"/>
      <c r="FX1048564" s="242"/>
      <c r="FY1048564" s="242"/>
      <c r="FZ1048564" s="242"/>
      <c r="GA1048564" s="242"/>
      <c r="GB1048564" s="242"/>
      <c r="GC1048564" s="242"/>
      <c r="GD1048564" s="242"/>
      <c r="GE1048564" s="242"/>
      <c r="GF1048564" s="242"/>
      <c r="GG1048564" s="242"/>
      <c r="GH1048564" s="242"/>
      <c r="GI1048564" s="242"/>
      <c r="GJ1048564" s="242"/>
      <c r="GK1048564" s="242"/>
      <c r="GL1048564" s="242"/>
      <c r="GM1048564" s="242"/>
      <c r="GN1048564" s="242"/>
      <c r="GO1048564" s="242"/>
      <c r="GP1048564" s="242"/>
      <c r="GQ1048564" s="242"/>
      <c r="GR1048564" s="242"/>
      <c r="GS1048564" s="242"/>
      <c r="GT1048564" s="242"/>
      <c r="GU1048564" s="242"/>
      <c r="GV1048564" s="242"/>
      <c r="GW1048564" s="242"/>
      <c r="GX1048564" s="242"/>
      <c r="GY1048564" s="242"/>
      <c r="GZ1048564" s="242"/>
      <c r="HA1048564" s="242"/>
      <c r="HB1048564" s="242"/>
      <c r="HC1048564" s="242"/>
      <c r="HD1048564" s="242"/>
      <c r="HE1048564" s="242"/>
      <c r="HF1048564" s="242"/>
      <c r="HG1048564" s="242"/>
      <c r="HH1048564" s="242"/>
      <c r="HI1048564" s="242"/>
      <c r="HJ1048564" s="242"/>
      <c r="HK1048564" s="242"/>
      <c r="HL1048564" s="242"/>
      <c r="HM1048564" s="242"/>
      <c r="HN1048564" s="242"/>
      <c r="HO1048564" s="242"/>
      <c r="HP1048564" s="242"/>
      <c r="HQ1048564" s="242"/>
      <c r="HR1048564" s="242"/>
      <c r="HS1048564" s="242"/>
      <c r="HT1048564" s="242"/>
      <c r="HU1048564" s="242"/>
      <c r="HV1048564" s="242"/>
      <c r="HW1048564" s="242"/>
      <c r="HX1048564" s="242"/>
      <c r="HY1048564" s="242"/>
      <c r="HZ1048564" s="242"/>
      <c r="IA1048564" s="242"/>
      <c r="IB1048564" s="242"/>
      <c r="IC1048564" s="242"/>
      <c r="ID1048564" s="242"/>
      <c r="IE1048564" s="242"/>
      <c r="IF1048564" s="242"/>
      <c r="IG1048564" s="242"/>
      <c r="IH1048564" s="242"/>
      <c r="II1048564" s="242"/>
      <c r="IJ1048564" s="242"/>
      <c r="IK1048564" s="242"/>
      <c r="IL1048564" s="242"/>
      <c r="IM1048564" s="242"/>
      <c r="IN1048564" s="242"/>
      <c r="IO1048564" s="242"/>
      <c r="IP1048564" s="242"/>
      <c r="IQ1048564" s="242"/>
    </row>
    <row r="1048565" spans="1:251" s="243" customFormat="1" ht="12.6" customHeight="1">
      <c r="A1048565" s="242"/>
      <c r="B1048565" s="242"/>
      <c r="C1048565" s="242"/>
      <c r="D1048565" s="242"/>
      <c r="E1048565" s="242"/>
      <c r="F1048565" s="242"/>
      <c r="G1048565" s="242"/>
      <c r="H1048565" s="242"/>
      <c r="I1048565" s="242"/>
      <c r="J1048565" s="242"/>
      <c r="K1048565" s="242"/>
      <c r="L1048565" s="242"/>
      <c r="M1048565" s="242"/>
      <c r="N1048565" s="242"/>
      <c r="O1048565" s="242"/>
      <c r="P1048565" s="242"/>
      <c r="Q1048565" s="242"/>
      <c r="R1048565" s="242"/>
      <c r="S1048565" s="242"/>
      <c r="T1048565" s="242"/>
      <c r="U1048565" s="242"/>
      <c r="V1048565" s="242"/>
      <c r="W1048565" s="242"/>
      <c r="X1048565" s="242"/>
      <c r="Y1048565" s="242"/>
      <c r="Z1048565" s="242"/>
      <c r="AA1048565" s="242"/>
      <c r="AB1048565" s="242"/>
      <c r="AC1048565" s="242"/>
      <c r="AD1048565" s="242"/>
      <c r="AE1048565" s="242"/>
      <c r="AF1048565" s="242"/>
      <c r="AG1048565" s="242"/>
      <c r="AH1048565" s="242"/>
      <c r="AI1048565" s="242"/>
      <c r="AJ1048565" s="242"/>
      <c r="AK1048565" s="242"/>
      <c r="AL1048565" s="242"/>
      <c r="AM1048565" s="242"/>
      <c r="AN1048565" s="242"/>
      <c r="AO1048565" s="242"/>
      <c r="AP1048565" s="242"/>
      <c r="AQ1048565" s="242"/>
      <c r="AR1048565" s="242"/>
      <c r="AS1048565" s="242"/>
      <c r="AT1048565" s="242"/>
      <c r="AU1048565" s="242"/>
      <c r="AV1048565" s="242"/>
      <c r="AW1048565" s="242"/>
      <c r="AX1048565" s="242"/>
      <c r="AY1048565" s="242"/>
      <c r="AZ1048565" s="242"/>
      <c r="BA1048565" s="242"/>
      <c r="BB1048565" s="242"/>
      <c r="BC1048565" s="242"/>
      <c r="BD1048565" s="242"/>
      <c r="BE1048565" s="242"/>
      <c r="BF1048565" s="242"/>
      <c r="BG1048565" s="242"/>
      <c r="BH1048565" s="242"/>
      <c r="BI1048565" s="242"/>
      <c r="BJ1048565" s="242"/>
      <c r="BK1048565" s="242"/>
      <c r="BL1048565" s="242"/>
      <c r="BM1048565" s="242"/>
      <c r="BN1048565" s="242"/>
      <c r="BO1048565" s="242"/>
      <c r="BP1048565" s="242"/>
      <c r="BQ1048565" s="242"/>
      <c r="BR1048565" s="242"/>
      <c r="BS1048565" s="242"/>
      <c r="BT1048565" s="242"/>
      <c r="BU1048565" s="242"/>
      <c r="BV1048565" s="242"/>
      <c r="BW1048565" s="242"/>
      <c r="BX1048565" s="242"/>
      <c r="BY1048565" s="242"/>
      <c r="BZ1048565" s="242"/>
      <c r="CA1048565" s="242"/>
      <c r="CB1048565" s="242"/>
      <c r="CC1048565" s="242"/>
      <c r="CD1048565" s="242"/>
      <c r="CE1048565" s="242"/>
      <c r="CF1048565" s="242"/>
      <c r="CG1048565" s="242"/>
      <c r="CH1048565" s="242"/>
      <c r="CI1048565" s="242"/>
      <c r="CJ1048565" s="242"/>
      <c r="CK1048565" s="242"/>
      <c r="CL1048565" s="242"/>
      <c r="CM1048565" s="242"/>
      <c r="CN1048565" s="242"/>
      <c r="CO1048565" s="242"/>
      <c r="CP1048565" s="242"/>
      <c r="CQ1048565" s="242"/>
      <c r="CR1048565" s="242"/>
      <c r="CS1048565" s="242"/>
      <c r="CT1048565" s="242"/>
      <c r="CU1048565" s="242"/>
      <c r="CV1048565" s="242"/>
      <c r="CW1048565" s="242"/>
      <c r="CX1048565" s="242"/>
      <c r="CY1048565" s="242"/>
      <c r="CZ1048565" s="242"/>
      <c r="DA1048565" s="242"/>
      <c r="DB1048565" s="242"/>
      <c r="DC1048565" s="242"/>
      <c r="DD1048565" s="242"/>
      <c r="DE1048565" s="242"/>
      <c r="DF1048565" s="242"/>
      <c r="DG1048565" s="242"/>
      <c r="DH1048565" s="242"/>
      <c r="DI1048565" s="242"/>
      <c r="DJ1048565" s="242"/>
      <c r="DK1048565" s="242"/>
      <c r="DL1048565" s="242"/>
      <c r="DM1048565" s="242"/>
      <c r="DN1048565" s="242"/>
      <c r="DO1048565" s="242"/>
      <c r="DP1048565" s="242"/>
      <c r="DQ1048565" s="242"/>
      <c r="DR1048565" s="242"/>
      <c r="DS1048565" s="242"/>
      <c r="DT1048565" s="242"/>
      <c r="DU1048565" s="242"/>
      <c r="DV1048565" s="242"/>
      <c r="DW1048565" s="242"/>
      <c r="DX1048565" s="242"/>
      <c r="DY1048565" s="242"/>
      <c r="DZ1048565" s="242"/>
      <c r="EA1048565" s="242"/>
      <c r="EB1048565" s="242"/>
      <c r="EC1048565" s="242"/>
      <c r="ED1048565" s="242"/>
      <c r="EE1048565" s="242"/>
      <c r="EF1048565" s="242"/>
      <c r="EG1048565" s="242"/>
      <c r="EH1048565" s="242"/>
      <c r="EI1048565" s="242"/>
      <c r="EJ1048565" s="242"/>
      <c r="EK1048565" s="242"/>
      <c r="EL1048565" s="242"/>
      <c r="EM1048565" s="242"/>
      <c r="EN1048565" s="242"/>
      <c r="EO1048565" s="242"/>
      <c r="EP1048565" s="242"/>
      <c r="EQ1048565" s="242"/>
      <c r="ER1048565" s="242"/>
      <c r="ES1048565" s="242"/>
      <c r="ET1048565" s="242"/>
      <c r="EU1048565" s="242"/>
      <c r="EV1048565" s="242"/>
      <c r="EW1048565" s="242"/>
      <c r="EX1048565" s="242"/>
      <c r="EY1048565" s="242"/>
      <c r="EZ1048565" s="242"/>
      <c r="FA1048565" s="242"/>
      <c r="FB1048565" s="242"/>
      <c r="FC1048565" s="242"/>
      <c r="FD1048565" s="242"/>
      <c r="FE1048565" s="242"/>
      <c r="FF1048565" s="242"/>
      <c r="FG1048565" s="242"/>
      <c r="FH1048565" s="242"/>
      <c r="FI1048565" s="242"/>
      <c r="FJ1048565" s="242"/>
      <c r="FK1048565" s="242"/>
      <c r="FL1048565" s="242"/>
      <c r="FM1048565" s="242"/>
      <c r="FN1048565" s="242"/>
      <c r="FO1048565" s="242"/>
      <c r="FP1048565" s="242"/>
      <c r="FQ1048565" s="242"/>
      <c r="FR1048565" s="242"/>
      <c r="FS1048565" s="242"/>
      <c r="FT1048565" s="242"/>
      <c r="FU1048565" s="242"/>
      <c r="FV1048565" s="242"/>
      <c r="FW1048565" s="242"/>
      <c r="FX1048565" s="242"/>
      <c r="FY1048565" s="242"/>
      <c r="FZ1048565" s="242"/>
      <c r="GA1048565" s="242"/>
      <c r="GB1048565" s="242"/>
      <c r="GC1048565" s="242"/>
      <c r="GD1048565" s="242"/>
      <c r="GE1048565" s="242"/>
      <c r="GF1048565" s="242"/>
      <c r="GG1048565" s="242"/>
      <c r="GH1048565" s="242"/>
      <c r="GI1048565" s="242"/>
      <c r="GJ1048565" s="242"/>
      <c r="GK1048565" s="242"/>
      <c r="GL1048565" s="242"/>
      <c r="GM1048565" s="242"/>
      <c r="GN1048565" s="242"/>
      <c r="GO1048565" s="242"/>
      <c r="GP1048565" s="242"/>
      <c r="GQ1048565" s="242"/>
      <c r="GR1048565" s="242"/>
      <c r="GS1048565" s="242"/>
      <c r="GT1048565" s="242"/>
      <c r="GU1048565" s="242"/>
      <c r="GV1048565" s="242"/>
      <c r="GW1048565" s="242"/>
      <c r="GX1048565" s="242"/>
      <c r="GY1048565" s="242"/>
      <c r="GZ1048565" s="242"/>
      <c r="HA1048565" s="242"/>
      <c r="HB1048565" s="242"/>
      <c r="HC1048565" s="242"/>
      <c r="HD1048565" s="242"/>
      <c r="HE1048565" s="242"/>
      <c r="HF1048565" s="242"/>
      <c r="HG1048565" s="242"/>
      <c r="HH1048565" s="242"/>
      <c r="HI1048565" s="242"/>
      <c r="HJ1048565" s="242"/>
      <c r="HK1048565" s="242"/>
      <c r="HL1048565" s="242"/>
      <c r="HM1048565" s="242"/>
      <c r="HN1048565" s="242"/>
      <c r="HO1048565" s="242"/>
      <c r="HP1048565" s="242"/>
      <c r="HQ1048565" s="242"/>
      <c r="HR1048565" s="242"/>
      <c r="HS1048565" s="242"/>
      <c r="HT1048565" s="242"/>
      <c r="HU1048565" s="242"/>
      <c r="HV1048565" s="242"/>
      <c r="HW1048565" s="242"/>
      <c r="HX1048565" s="242"/>
      <c r="HY1048565" s="242"/>
      <c r="HZ1048565" s="242"/>
      <c r="IA1048565" s="242"/>
      <c r="IB1048565" s="242"/>
      <c r="IC1048565" s="242"/>
      <c r="ID1048565" s="242"/>
      <c r="IE1048565" s="242"/>
      <c r="IF1048565" s="242"/>
      <c r="IG1048565" s="242"/>
      <c r="IH1048565" s="242"/>
      <c r="II1048565" s="242"/>
      <c r="IJ1048565" s="242"/>
      <c r="IK1048565" s="242"/>
      <c r="IL1048565" s="242"/>
      <c r="IM1048565" s="242"/>
      <c r="IN1048565" s="242"/>
      <c r="IO1048565" s="242"/>
      <c r="IP1048565" s="242"/>
      <c r="IQ1048565" s="242"/>
    </row>
    <row r="1048566" spans="1:251" s="243" customFormat="1" ht="12.6" customHeight="1">
      <c r="A1048566" s="242"/>
      <c r="B1048566" s="242"/>
      <c r="C1048566" s="242"/>
      <c r="D1048566" s="242"/>
      <c r="E1048566" s="242"/>
      <c r="F1048566" s="242"/>
      <c r="G1048566" s="242"/>
      <c r="H1048566" s="242"/>
      <c r="I1048566" s="242"/>
      <c r="J1048566" s="242"/>
      <c r="K1048566" s="242"/>
      <c r="L1048566" s="242"/>
      <c r="M1048566" s="242"/>
      <c r="N1048566" s="242"/>
      <c r="O1048566" s="242"/>
      <c r="P1048566" s="242"/>
      <c r="Q1048566" s="242"/>
      <c r="R1048566" s="242"/>
      <c r="S1048566" s="242"/>
      <c r="T1048566" s="242"/>
      <c r="U1048566" s="242"/>
      <c r="V1048566" s="242"/>
      <c r="W1048566" s="242"/>
      <c r="X1048566" s="242"/>
      <c r="Y1048566" s="242"/>
      <c r="Z1048566" s="242"/>
      <c r="AA1048566" s="242"/>
      <c r="AB1048566" s="242"/>
      <c r="AC1048566" s="242"/>
      <c r="AD1048566" s="242"/>
      <c r="AE1048566" s="242"/>
      <c r="AF1048566" s="242"/>
      <c r="AG1048566" s="242"/>
      <c r="AH1048566" s="242"/>
      <c r="AI1048566" s="242"/>
      <c r="AJ1048566" s="242"/>
      <c r="AK1048566" s="242"/>
      <c r="AL1048566" s="242"/>
      <c r="AM1048566" s="242"/>
      <c r="AN1048566" s="242"/>
      <c r="AO1048566" s="242"/>
      <c r="AP1048566" s="242"/>
      <c r="AQ1048566" s="242"/>
      <c r="AR1048566" s="242"/>
      <c r="AS1048566" s="242"/>
      <c r="AT1048566" s="242"/>
      <c r="AU1048566" s="242"/>
      <c r="AV1048566" s="242"/>
      <c r="AW1048566" s="242"/>
      <c r="AX1048566" s="242"/>
      <c r="AY1048566" s="242"/>
      <c r="AZ1048566" s="242"/>
      <c r="BA1048566" s="242"/>
      <c r="BB1048566" s="242"/>
      <c r="BC1048566" s="242"/>
      <c r="BD1048566" s="242"/>
      <c r="BE1048566" s="242"/>
      <c r="BF1048566" s="242"/>
      <c r="BG1048566" s="242"/>
      <c r="BH1048566" s="242"/>
      <c r="BI1048566" s="242"/>
      <c r="BJ1048566" s="242"/>
      <c r="BK1048566" s="242"/>
      <c r="BL1048566" s="242"/>
      <c r="BM1048566" s="242"/>
      <c r="BN1048566" s="242"/>
      <c r="BO1048566" s="242"/>
      <c r="BP1048566" s="242"/>
      <c r="BQ1048566" s="242"/>
      <c r="BR1048566" s="242"/>
      <c r="BS1048566" s="242"/>
      <c r="BT1048566" s="242"/>
      <c r="BU1048566" s="242"/>
      <c r="BV1048566" s="242"/>
      <c r="BW1048566" s="242"/>
      <c r="BX1048566" s="242"/>
      <c r="BY1048566" s="242"/>
      <c r="BZ1048566" s="242"/>
      <c r="CA1048566" s="242"/>
      <c r="CB1048566" s="242"/>
      <c r="CC1048566" s="242"/>
      <c r="CD1048566" s="242"/>
      <c r="CE1048566" s="242"/>
      <c r="CF1048566" s="242"/>
      <c r="CG1048566" s="242"/>
      <c r="CH1048566" s="242"/>
      <c r="CI1048566" s="242"/>
      <c r="CJ1048566" s="242"/>
      <c r="CK1048566" s="242"/>
      <c r="CL1048566" s="242"/>
      <c r="CM1048566" s="242"/>
      <c r="CN1048566" s="242"/>
      <c r="CO1048566" s="242"/>
      <c r="CP1048566" s="242"/>
      <c r="CQ1048566" s="242"/>
      <c r="CR1048566" s="242"/>
      <c r="CS1048566" s="242"/>
      <c r="CT1048566" s="242"/>
      <c r="CU1048566" s="242"/>
      <c r="CV1048566" s="242"/>
      <c r="CW1048566" s="242"/>
      <c r="CX1048566" s="242"/>
      <c r="CY1048566" s="242"/>
      <c r="CZ1048566" s="242"/>
      <c r="DA1048566" s="242"/>
      <c r="DB1048566" s="242"/>
      <c r="DC1048566" s="242"/>
      <c r="DD1048566" s="242"/>
      <c r="DE1048566" s="242"/>
      <c r="DF1048566" s="242"/>
      <c r="DG1048566" s="242"/>
      <c r="DH1048566" s="242"/>
      <c r="DI1048566" s="242"/>
      <c r="DJ1048566" s="242"/>
      <c r="DK1048566" s="242"/>
      <c r="DL1048566" s="242"/>
      <c r="DM1048566" s="242"/>
      <c r="DN1048566" s="242"/>
      <c r="DO1048566" s="242"/>
      <c r="DP1048566" s="242"/>
      <c r="DQ1048566" s="242"/>
      <c r="DR1048566" s="242"/>
      <c r="DS1048566" s="242"/>
      <c r="DT1048566" s="242"/>
      <c r="DU1048566" s="242"/>
      <c r="DV1048566" s="242"/>
      <c r="DW1048566" s="242"/>
      <c r="DX1048566" s="242"/>
      <c r="DY1048566" s="242"/>
      <c r="DZ1048566" s="242"/>
      <c r="EA1048566" s="242"/>
      <c r="EB1048566" s="242"/>
      <c r="EC1048566" s="242"/>
      <c r="ED1048566" s="242"/>
      <c r="EE1048566" s="242"/>
      <c r="EF1048566" s="242"/>
      <c r="EG1048566" s="242"/>
      <c r="EH1048566" s="242"/>
      <c r="EI1048566" s="242"/>
      <c r="EJ1048566" s="242"/>
      <c r="EK1048566" s="242"/>
      <c r="EL1048566" s="242"/>
      <c r="EM1048566" s="242"/>
      <c r="EN1048566" s="242"/>
      <c r="EO1048566" s="242"/>
      <c r="EP1048566" s="242"/>
      <c r="EQ1048566" s="242"/>
      <c r="ER1048566" s="242"/>
      <c r="ES1048566" s="242"/>
      <c r="ET1048566" s="242"/>
      <c r="EU1048566" s="242"/>
      <c r="EV1048566" s="242"/>
      <c r="EW1048566" s="242"/>
      <c r="EX1048566" s="242"/>
      <c r="EY1048566" s="242"/>
      <c r="EZ1048566" s="242"/>
      <c r="FA1048566" s="242"/>
      <c r="FB1048566" s="242"/>
      <c r="FC1048566" s="242"/>
      <c r="FD1048566" s="242"/>
      <c r="FE1048566" s="242"/>
      <c r="FF1048566" s="242"/>
      <c r="FG1048566" s="242"/>
      <c r="FH1048566" s="242"/>
      <c r="FI1048566" s="242"/>
      <c r="FJ1048566" s="242"/>
      <c r="FK1048566" s="242"/>
      <c r="FL1048566" s="242"/>
      <c r="FM1048566" s="242"/>
      <c r="FN1048566" s="242"/>
      <c r="FO1048566" s="242"/>
      <c r="FP1048566" s="242"/>
      <c r="FQ1048566" s="242"/>
      <c r="FR1048566" s="242"/>
      <c r="FS1048566" s="242"/>
      <c r="FT1048566" s="242"/>
      <c r="FU1048566" s="242"/>
      <c r="FV1048566" s="242"/>
      <c r="FW1048566" s="242"/>
      <c r="FX1048566" s="242"/>
      <c r="FY1048566" s="242"/>
      <c r="FZ1048566" s="242"/>
      <c r="GA1048566" s="242"/>
      <c r="GB1048566" s="242"/>
      <c r="GC1048566" s="242"/>
      <c r="GD1048566" s="242"/>
      <c r="GE1048566" s="242"/>
      <c r="GF1048566" s="242"/>
      <c r="GG1048566" s="242"/>
      <c r="GH1048566" s="242"/>
      <c r="GI1048566" s="242"/>
      <c r="GJ1048566" s="242"/>
      <c r="GK1048566" s="242"/>
      <c r="GL1048566" s="242"/>
      <c r="GM1048566" s="242"/>
      <c r="GN1048566" s="242"/>
      <c r="GO1048566" s="242"/>
      <c r="GP1048566" s="242"/>
      <c r="GQ1048566" s="242"/>
      <c r="GR1048566" s="242"/>
      <c r="GS1048566" s="242"/>
      <c r="GT1048566" s="242"/>
      <c r="GU1048566" s="242"/>
      <c r="GV1048566" s="242"/>
      <c r="GW1048566" s="242"/>
      <c r="GX1048566" s="242"/>
      <c r="GY1048566" s="242"/>
      <c r="GZ1048566" s="242"/>
      <c r="HA1048566" s="242"/>
      <c r="HB1048566" s="242"/>
      <c r="HC1048566" s="242"/>
      <c r="HD1048566" s="242"/>
      <c r="HE1048566" s="242"/>
      <c r="HF1048566" s="242"/>
      <c r="HG1048566" s="242"/>
      <c r="HH1048566" s="242"/>
      <c r="HI1048566" s="242"/>
      <c r="HJ1048566" s="242"/>
      <c r="HK1048566" s="242"/>
      <c r="HL1048566" s="242"/>
      <c r="HM1048566" s="242"/>
      <c r="HN1048566" s="242"/>
      <c r="HO1048566" s="242"/>
      <c r="HP1048566" s="242"/>
      <c r="HQ1048566" s="242"/>
      <c r="HR1048566" s="242"/>
      <c r="HS1048566" s="242"/>
      <c r="HT1048566" s="242"/>
      <c r="HU1048566" s="242"/>
      <c r="HV1048566" s="242"/>
      <c r="HW1048566" s="242"/>
      <c r="HX1048566" s="242"/>
      <c r="HY1048566" s="242"/>
      <c r="HZ1048566" s="242"/>
      <c r="IA1048566" s="242"/>
      <c r="IB1048566" s="242"/>
      <c r="IC1048566" s="242"/>
      <c r="ID1048566" s="242"/>
      <c r="IE1048566" s="242"/>
      <c r="IF1048566" s="242"/>
      <c r="IG1048566" s="242"/>
      <c r="IH1048566" s="242"/>
      <c r="II1048566" s="242"/>
      <c r="IJ1048566" s="242"/>
      <c r="IK1048566" s="242"/>
      <c r="IL1048566" s="242"/>
      <c r="IM1048566" s="242"/>
      <c r="IN1048566" s="242"/>
      <c r="IO1048566" s="242"/>
      <c r="IP1048566" s="242"/>
      <c r="IQ1048566" s="242"/>
    </row>
    <row r="1048567" spans="1:251" s="243" customFormat="1" ht="12.6" customHeight="1">
      <c r="A1048567" s="242"/>
      <c r="B1048567" s="242"/>
      <c r="C1048567" s="242"/>
      <c r="D1048567" s="242"/>
      <c r="E1048567" s="242"/>
      <c r="F1048567" s="242"/>
      <c r="G1048567" s="242"/>
      <c r="H1048567" s="242"/>
      <c r="I1048567" s="242"/>
      <c r="J1048567" s="242"/>
      <c r="K1048567" s="242"/>
      <c r="L1048567" s="242"/>
      <c r="M1048567" s="242"/>
      <c r="N1048567" s="242"/>
      <c r="O1048567" s="242"/>
      <c r="P1048567" s="242"/>
      <c r="Q1048567" s="242"/>
      <c r="R1048567" s="242"/>
      <c r="S1048567" s="242"/>
      <c r="T1048567" s="242"/>
      <c r="U1048567" s="242"/>
      <c r="V1048567" s="242"/>
      <c r="W1048567" s="242"/>
      <c r="X1048567" s="242"/>
      <c r="Y1048567" s="242"/>
      <c r="Z1048567" s="242"/>
      <c r="AA1048567" s="242"/>
      <c r="AB1048567" s="242"/>
      <c r="AC1048567" s="242"/>
      <c r="AD1048567" s="242"/>
      <c r="AE1048567" s="242"/>
      <c r="AF1048567" s="242"/>
      <c r="AG1048567" s="242"/>
      <c r="AH1048567" s="242"/>
      <c r="AI1048567" s="242"/>
      <c r="AJ1048567" s="242"/>
      <c r="AK1048567" s="242"/>
      <c r="AL1048567" s="242"/>
      <c r="AM1048567" s="242"/>
      <c r="AN1048567" s="242"/>
      <c r="AO1048567" s="242"/>
      <c r="AP1048567" s="242"/>
      <c r="AQ1048567" s="242"/>
      <c r="AR1048567" s="242"/>
      <c r="AS1048567" s="242"/>
      <c r="AT1048567" s="242"/>
      <c r="AU1048567" s="242"/>
      <c r="AV1048567" s="242"/>
      <c r="AW1048567" s="242"/>
      <c r="AX1048567" s="242"/>
      <c r="AY1048567" s="242"/>
      <c r="AZ1048567" s="242"/>
      <c r="BA1048567" s="242"/>
      <c r="BB1048567" s="242"/>
      <c r="BC1048567" s="242"/>
      <c r="BD1048567" s="242"/>
      <c r="BE1048567" s="242"/>
      <c r="BF1048567" s="242"/>
      <c r="BG1048567" s="242"/>
      <c r="BH1048567" s="242"/>
      <c r="BI1048567" s="242"/>
      <c r="BJ1048567" s="242"/>
      <c r="BK1048567" s="242"/>
      <c r="BL1048567" s="242"/>
      <c r="BM1048567" s="242"/>
      <c r="BN1048567" s="242"/>
      <c r="BO1048567" s="242"/>
      <c r="BP1048567" s="242"/>
      <c r="BQ1048567" s="242"/>
      <c r="BR1048567" s="242"/>
      <c r="BS1048567" s="242"/>
      <c r="BT1048567" s="242"/>
      <c r="BU1048567" s="242"/>
      <c r="BV1048567" s="242"/>
      <c r="BW1048567" s="242"/>
      <c r="BX1048567" s="242"/>
      <c r="BY1048567" s="242"/>
      <c r="BZ1048567" s="242"/>
      <c r="CA1048567" s="242"/>
      <c r="CB1048567" s="242"/>
      <c r="CC1048567" s="242"/>
      <c r="CD1048567" s="242"/>
      <c r="CE1048567" s="242"/>
      <c r="CF1048567" s="242"/>
      <c r="CG1048567" s="242"/>
      <c r="CH1048567" s="242"/>
      <c r="CI1048567" s="242"/>
      <c r="CJ1048567" s="242"/>
      <c r="CK1048567" s="242"/>
      <c r="CL1048567" s="242"/>
      <c r="CM1048567" s="242"/>
      <c r="CN1048567" s="242"/>
      <c r="CO1048567" s="242"/>
      <c r="CP1048567" s="242"/>
      <c r="CQ1048567" s="242"/>
      <c r="CR1048567" s="242"/>
      <c r="CS1048567" s="242"/>
      <c r="CT1048567" s="242"/>
      <c r="CU1048567" s="242"/>
      <c r="CV1048567" s="242"/>
      <c r="CW1048567" s="242"/>
      <c r="CX1048567" s="242"/>
      <c r="CY1048567" s="242"/>
      <c r="CZ1048567" s="242"/>
      <c r="DA1048567" s="242"/>
      <c r="DB1048567" s="242"/>
      <c r="DC1048567" s="242"/>
      <c r="DD1048567" s="242"/>
      <c r="DE1048567" s="242"/>
      <c r="DF1048567" s="242"/>
      <c r="DG1048567" s="242"/>
      <c r="DH1048567" s="242"/>
      <c r="DI1048567" s="242"/>
      <c r="DJ1048567" s="242"/>
      <c r="DK1048567" s="242"/>
      <c r="DL1048567" s="242"/>
      <c r="DM1048567" s="242"/>
      <c r="DN1048567" s="242"/>
      <c r="DO1048567" s="242"/>
      <c r="DP1048567" s="242"/>
      <c r="DQ1048567" s="242"/>
      <c r="DR1048567" s="242"/>
      <c r="DS1048567" s="242"/>
      <c r="DT1048567" s="242"/>
      <c r="DU1048567" s="242"/>
      <c r="DV1048567" s="242"/>
      <c r="DW1048567" s="242"/>
      <c r="DX1048567" s="242"/>
      <c r="DY1048567" s="242"/>
      <c r="DZ1048567" s="242"/>
      <c r="EA1048567" s="242"/>
      <c r="EB1048567" s="242"/>
      <c r="EC1048567" s="242"/>
      <c r="ED1048567" s="242"/>
      <c r="EE1048567" s="242"/>
      <c r="EF1048567" s="242"/>
      <c r="EG1048567" s="242"/>
      <c r="EH1048567" s="242"/>
      <c r="EI1048567" s="242"/>
      <c r="EJ1048567" s="242"/>
      <c r="EK1048567" s="242"/>
      <c r="EL1048567" s="242"/>
      <c r="EM1048567" s="242"/>
      <c r="EN1048567" s="242"/>
      <c r="EO1048567" s="242"/>
      <c r="EP1048567" s="242"/>
      <c r="EQ1048567" s="242"/>
      <c r="ER1048567" s="242"/>
      <c r="ES1048567" s="242"/>
      <c r="ET1048567" s="242"/>
      <c r="EU1048567" s="242"/>
      <c r="EV1048567" s="242"/>
      <c r="EW1048567" s="242"/>
      <c r="EX1048567" s="242"/>
      <c r="EY1048567" s="242"/>
      <c r="EZ1048567" s="242"/>
      <c r="FA1048567" s="242"/>
      <c r="FB1048567" s="242"/>
      <c r="FC1048567" s="242"/>
      <c r="FD1048567" s="242"/>
      <c r="FE1048567" s="242"/>
      <c r="FF1048567" s="242"/>
      <c r="FG1048567" s="242"/>
      <c r="FH1048567" s="242"/>
      <c r="FI1048567" s="242"/>
      <c r="FJ1048567" s="242"/>
      <c r="FK1048567" s="242"/>
      <c r="FL1048567" s="242"/>
      <c r="FM1048567" s="242"/>
      <c r="FN1048567" s="242"/>
      <c r="FO1048567" s="242"/>
      <c r="FP1048567" s="242"/>
      <c r="FQ1048567" s="242"/>
      <c r="FR1048567" s="242"/>
      <c r="FS1048567" s="242"/>
      <c r="FT1048567" s="242"/>
      <c r="FU1048567" s="242"/>
      <c r="FV1048567" s="242"/>
      <c r="FW1048567" s="242"/>
      <c r="FX1048567" s="242"/>
      <c r="FY1048567" s="242"/>
      <c r="FZ1048567" s="242"/>
      <c r="GA1048567" s="242"/>
      <c r="GB1048567" s="242"/>
      <c r="GC1048567" s="242"/>
      <c r="GD1048567" s="242"/>
      <c r="GE1048567" s="242"/>
      <c r="GF1048567" s="242"/>
      <c r="GG1048567" s="242"/>
      <c r="GH1048567" s="242"/>
      <c r="GI1048567" s="242"/>
      <c r="GJ1048567" s="242"/>
      <c r="GK1048567" s="242"/>
      <c r="GL1048567" s="242"/>
      <c r="GM1048567" s="242"/>
      <c r="GN1048567" s="242"/>
      <c r="GO1048567" s="242"/>
      <c r="GP1048567" s="242"/>
      <c r="GQ1048567" s="242"/>
      <c r="GR1048567" s="242"/>
      <c r="GS1048567" s="242"/>
      <c r="GT1048567" s="242"/>
      <c r="GU1048567" s="242"/>
      <c r="GV1048567" s="242"/>
      <c r="GW1048567" s="242"/>
      <c r="GX1048567" s="242"/>
      <c r="GY1048567" s="242"/>
      <c r="GZ1048567" s="242"/>
      <c r="HA1048567" s="242"/>
      <c r="HB1048567" s="242"/>
      <c r="HC1048567" s="242"/>
      <c r="HD1048567" s="242"/>
      <c r="HE1048567" s="242"/>
      <c r="HF1048567" s="242"/>
      <c r="HG1048567" s="242"/>
      <c r="HH1048567" s="242"/>
      <c r="HI1048567" s="242"/>
      <c r="HJ1048567" s="242"/>
      <c r="HK1048567" s="242"/>
      <c r="HL1048567" s="242"/>
      <c r="HM1048567" s="242"/>
      <c r="HN1048567" s="242"/>
      <c r="HO1048567" s="242"/>
      <c r="HP1048567" s="242"/>
      <c r="HQ1048567" s="242"/>
      <c r="HR1048567" s="242"/>
      <c r="HS1048567" s="242"/>
      <c r="HT1048567" s="242"/>
      <c r="HU1048567" s="242"/>
      <c r="HV1048567" s="242"/>
      <c r="HW1048567" s="242"/>
      <c r="HX1048567" s="242"/>
      <c r="HY1048567" s="242"/>
      <c r="HZ1048567" s="242"/>
      <c r="IA1048567" s="242"/>
      <c r="IB1048567" s="242"/>
      <c r="IC1048567" s="242"/>
      <c r="ID1048567" s="242"/>
      <c r="IE1048567" s="242"/>
      <c r="IF1048567" s="242"/>
      <c r="IG1048567" s="242"/>
      <c r="IH1048567" s="242"/>
      <c r="II1048567" s="242"/>
      <c r="IJ1048567" s="242"/>
      <c r="IK1048567" s="242"/>
      <c r="IL1048567" s="242"/>
      <c r="IM1048567" s="242"/>
      <c r="IN1048567" s="242"/>
      <c r="IO1048567" s="242"/>
      <c r="IP1048567" s="242"/>
      <c r="IQ1048567" s="242"/>
    </row>
    <row r="1048568" spans="1:251" s="243" customFormat="1" ht="12.6" customHeight="1">
      <c r="A1048568" s="242"/>
      <c r="B1048568" s="242"/>
      <c r="C1048568" s="242"/>
      <c r="D1048568" s="242"/>
      <c r="E1048568" s="242"/>
      <c r="F1048568" s="242"/>
      <c r="G1048568" s="242"/>
      <c r="H1048568" s="242"/>
      <c r="I1048568" s="242"/>
      <c r="J1048568" s="242"/>
      <c r="K1048568" s="242"/>
      <c r="L1048568" s="242"/>
      <c r="M1048568" s="242"/>
      <c r="N1048568" s="242"/>
      <c r="O1048568" s="242"/>
      <c r="P1048568" s="242"/>
      <c r="Q1048568" s="242"/>
      <c r="R1048568" s="242"/>
      <c r="S1048568" s="242"/>
      <c r="T1048568" s="242"/>
      <c r="U1048568" s="242"/>
      <c r="V1048568" s="242"/>
      <c r="W1048568" s="242"/>
      <c r="X1048568" s="242"/>
      <c r="Y1048568" s="242"/>
      <c r="Z1048568" s="242"/>
      <c r="AA1048568" s="242"/>
      <c r="AB1048568" s="242"/>
      <c r="AC1048568" s="242"/>
      <c r="AD1048568" s="242"/>
      <c r="AE1048568" s="242"/>
      <c r="AF1048568" s="242"/>
      <c r="AG1048568" s="242"/>
      <c r="AH1048568" s="242"/>
      <c r="AI1048568" s="242"/>
      <c r="AJ1048568" s="242"/>
      <c r="AK1048568" s="242"/>
      <c r="AL1048568" s="242"/>
      <c r="AM1048568" s="242"/>
      <c r="AN1048568" s="242"/>
      <c r="AO1048568" s="242"/>
      <c r="AP1048568" s="242"/>
      <c r="AQ1048568" s="242"/>
      <c r="AR1048568" s="242"/>
      <c r="AS1048568" s="242"/>
      <c r="AT1048568" s="242"/>
      <c r="AU1048568" s="242"/>
      <c r="AV1048568" s="242"/>
      <c r="AW1048568" s="242"/>
      <c r="AX1048568" s="242"/>
      <c r="AY1048568" s="242"/>
      <c r="AZ1048568" s="242"/>
      <c r="BA1048568" s="242"/>
      <c r="BB1048568" s="242"/>
      <c r="BC1048568" s="242"/>
      <c r="BD1048568" s="242"/>
      <c r="BE1048568" s="242"/>
      <c r="BF1048568" s="242"/>
      <c r="BG1048568" s="242"/>
      <c r="BH1048568" s="242"/>
      <c r="BI1048568" s="242"/>
      <c r="BJ1048568" s="242"/>
      <c r="BK1048568" s="242"/>
      <c r="BL1048568" s="242"/>
      <c r="BM1048568" s="242"/>
      <c r="BN1048568" s="242"/>
      <c r="BO1048568" s="242"/>
      <c r="BP1048568" s="242"/>
      <c r="BQ1048568" s="242"/>
      <c r="BR1048568" s="242"/>
      <c r="BS1048568" s="242"/>
      <c r="BT1048568" s="242"/>
      <c r="BU1048568" s="242"/>
      <c r="BV1048568" s="242"/>
      <c r="BW1048568" s="242"/>
      <c r="BX1048568" s="242"/>
      <c r="BY1048568" s="242"/>
      <c r="BZ1048568" s="242"/>
      <c r="CA1048568" s="242"/>
      <c r="CB1048568" s="242"/>
      <c r="CC1048568" s="242"/>
      <c r="CD1048568" s="242"/>
      <c r="CE1048568" s="242"/>
      <c r="CF1048568" s="242"/>
      <c r="CG1048568" s="242"/>
      <c r="CH1048568" s="242"/>
      <c r="CI1048568" s="242"/>
      <c r="CJ1048568" s="242"/>
      <c r="CK1048568" s="242"/>
      <c r="CL1048568" s="242"/>
      <c r="CM1048568" s="242"/>
      <c r="CN1048568" s="242"/>
      <c r="CO1048568" s="242"/>
      <c r="CP1048568" s="242"/>
      <c r="CQ1048568" s="242"/>
      <c r="CR1048568" s="242"/>
      <c r="CS1048568" s="242"/>
      <c r="CT1048568" s="242"/>
      <c r="CU1048568" s="242"/>
      <c r="CV1048568" s="242"/>
      <c r="CW1048568" s="242"/>
      <c r="CX1048568" s="242"/>
      <c r="CY1048568" s="242"/>
      <c r="CZ1048568" s="242"/>
      <c r="DA1048568" s="242"/>
      <c r="DB1048568" s="242"/>
      <c r="DC1048568" s="242"/>
      <c r="DD1048568" s="242"/>
      <c r="DE1048568" s="242"/>
      <c r="DF1048568" s="242"/>
      <c r="DG1048568" s="242"/>
      <c r="DH1048568" s="242"/>
      <c r="DI1048568" s="242"/>
      <c r="DJ1048568" s="242"/>
      <c r="DK1048568" s="242"/>
      <c r="DL1048568" s="242"/>
      <c r="DM1048568" s="242"/>
      <c r="DN1048568" s="242"/>
      <c r="DO1048568" s="242"/>
      <c r="DP1048568" s="242"/>
      <c r="DQ1048568" s="242"/>
      <c r="DR1048568" s="242"/>
      <c r="DS1048568" s="242"/>
      <c r="DT1048568" s="242"/>
      <c r="DU1048568" s="242"/>
      <c r="DV1048568" s="242"/>
      <c r="DW1048568" s="242"/>
      <c r="DX1048568" s="242"/>
      <c r="DY1048568" s="242"/>
      <c r="DZ1048568" s="242"/>
      <c r="EA1048568" s="242"/>
      <c r="EB1048568" s="242"/>
      <c r="EC1048568" s="242"/>
      <c r="ED1048568" s="242"/>
      <c r="EE1048568" s="242"/>
      <c r="EF1048568" s="242"/>
      <c r="EG1048568" s="242"/>
      <c r="EH1048568" s="242"/>
      <c r="EI1048568" s="242"/>
      <c r="EJ1048568" s="242"/>
      <c r="EK1048568" s="242"/>
      <c r="EL1048568" s="242"/>
      <c r="EM1048568" s="242"/>
      <c r="EN1048568" s="242"/>
      <c r="EO1048568" s="242"/>
      <c r="EP1048568" s="242"/>
      <c r="EQ1048568" s="242"/>
      <c r="ER1048568" s="242"/>
      <c r="ES1048568" s="242"/>
      <c r="ET1048568" s="242"/>
      <c r="EU1048568" s="242"/>
      <c r="EV1048568" s="242"/>
      <c r="EW1048568" s="242"/>
      <c r="EX1048568" s="242"/>
      <c r="EY1048568" s="242"/>
      <c r="EZ1048568" s="242"/>
      <c r="FA1048568" s="242"/>
      <c r="FB1048568" s="242"/>
      <c r="FC1048568" s="242"/>
      <c r="FD1048568" s="242"/>
      <c r="FE1048568" s="242"/>
      <c r="FF1048568" s="242"/>
      <c r="FG1048568" s="242"/>
      <c r="FH1048568" s="242"/>
      <c r="FI1048568" s="242"/>
      <c r="FJ1048568" s="242"/>
      <c r="FK1048568" s="242"/>
      <c r="FL1048568" s="242"/>
      <c r="FM1048568" s="242"/>
      <c r="FN1048568" s="242"/>
      <c r="FO1048568" s="242"/>
      <c r="FP1048568" s="242"/>
      <c r="FQ1048568" s="242"/>
      <c r="FR1048568" s="242"/>
      <c r="FS1048568" s="242"/>
      <c r="FT1048568" s="242"/>
      <c r="FU1048568" s="242"/>
      <c r="FV1048568" s="242"/>
      <c r="FW1048568" s="242"/>
      <c r="FX1048568" s="242"/>
      <c r="FY1048568" s="242"/>
      <c r="FZ1048568" s="242"/>
      <c r="GA1048568" s="242"/>
      <c r="GB1048568" s="242"/>
      <c r="GC1048568" s="242"/>
      <c r="GD1048568" s="242"/>
      <c r="GE1048568" s="242"/>
      <c r="GF1048568" s="242"/>
      <c r="GG1048568" s="242"/>
      <c r="GH1048568" s="242"/>
      <c r="GI1048568" s="242"/>
      <c r="GJ1048568" s="242"/>
      <c r="GK1048568" s="242"/>
      <c r="GL1048568" s="242"/>
      <c r="GM1048568" s="242"/>
      <c r="GN1048568" s="242"/>
      <c r="GO1048568" s="242"/>
      <c r="GP1048568" s="242"/>
      <c r="GQ1048568" s="242"/>
      <c r="GR1048568" s="242"/>
      <c r="GS1048568" s="242"/>
      <c r="GT1048568" s="242"/>
      <c r="GU1048568" s="242"/>
      <c r="GV1048568" s="242"/>
      <c r="GW1048568" s="242"/>
      <c r="GX1048568" s="242"/>
      <c r="GY1048568" s="242"/>
      <c r="GZ1048568" s="242"/>
      <c r="HA1048568" s="242"/>
      <c r="HB1048568" s="242"/>
      <c r="HC1048568" s="242"/>
      <c r="HD1048568" s="242"/>
      <c r="HE1048568" s="242"/>
      <c r="HF1048568" s="242"/>
      <c r="HG1048568" s="242"/>
      <c r="HH1048568" s="242"/>
      <c r="HI1048568" s="242"/>
      <c r="HJ1048568" s="242"/>
      <c r="HK1048568" s="242"/>
      <c r="HL1048568" s="242"/>
      <c r="HM1048568" s="242"/>
      <c r="HN1048568" s="242"/>
      <c r="HO1048568" s="242"/>
      <c r="HP1048568" s="242"/>
      <c r="HQ1048568" s="242"/>
      <c r="HR1048568" s="242"/>
      <c r="HS1048568" s="242"/>
      <c r="HT1048568" s="242"/>
      <c r="HU1048568" s="242"/>
      <c r="HV1048568" s="242"/>
      <c r="HW1048568" s="242"/>
      <c r="HX1048568" s="242"/>
      <c r="HY1048568" s="242"/>
      <c r="HZ1048568" s="242"/>
      <c r="IA1048568" s="242"/>
      <c r="IB1048568" s="242"/>
      <c r="IC1048568" s="242"/>
      <c r="ID1048568" s="242"/>
      <c r="IE1048568" s="242"/>
      <c r="IF1048568" s="242"/>
      <c r="IG1048568" s="242"/>
      <c r="IH1048568" s="242"/>
      <c r="II1048568" s="242"/>
      <c r="IJ1048568" s="242"/>
      <c r="IK1048568" s="242"/>
      <c r="IL1048568" s="242"/>
      <c r="IM1048568" s="242"/>
      <c r="IN1048568" s="242"/>
      <c r="IO1048568" s="242"/>
      <c r="IP1048568" s="242"/>
      <c r="IQ1048568" s="242"/>
    </row>
    <row r="1048569" spans="1:251" s="243" customFormat="1" ht="12.6" customHeight="1">
      <c r="A1048569" s="242"/>
      <c r="B1048569" s="242"/>
      <c r="C1048569" s="242"/>
      <c r="D1048569" s="242"/>
      <c r="E1048569" s="242"/>
      <c r="F1048569" s="242"/>
      <c r="G1048569" s="242"/>
      <c r="H1048569" s="242"/>
      <c r="I1048569" s="242"/>
      <c r="J1048569" s="242"/>
      <c r="K1048569" s="242"/>
      <c r="L1048569" s="242"/>
      <c r="M1048569" s="242"/>
      <c r="N1048569" s="242"/>
      <c r="O1048569" s="242"/>
      <c r="P1048569" s="242"/>
      <c r="Q1048569" s="242"/>
      <c r="R1048569" s="242"/>
      <c r="S1048569" s="242"/>
      <c r="T1048569" s="242"/>
      <c r="U1048569" s="242"/>
      <c r="V1048569" s="242"/>
      <c r="W1048569" s="242"/>
      <c r="X1048569" s="242"/>
      <c r="Y1048569" s="242"/>
      <c r="Z1048569" s="242"/>
      <c r="AA1048569" s="242"/>
      <c r="AB1048569" s="242"/>
      <c r="AC1048569" s="242"/>
      <c r="AD1048569" s="242"/>
      <c r="AE1048569" s="242"/>
      <c r="AF1048569" s="242"/>
      <c r="AG1048569" s="242"/>
      <c r="AH1048569" s="242"/>
      <c r="AI1048569" s="242"/>
      <c r="AJ1048569" s="242"/>
      <c r="AK1048569" s="242"/>
      <c r="AL1048569" s="242"/>
      <c r="AM1048569" s="242"/>
      <c r="AN1048569" s="242"/>
      <c r="AO1048569" s="242"/>
      <c r="AP1048569" s="242"/>
      <c r="AQ1048569" s="242"/>
      <c r="AR1048569" s="242"/>
      <c r="AS1048569" s="242"/>
      <c r="AT1048569" s="242"/>
      <c r="AU1048569" s="242"/>
      <c r="AV1048569" s="242"/>
      <c r="AW1048569" s="242"/>
      <c r="AX1048569" s="242"/>
      <c r="AY1048569" s="242"/>
      <c r="AZ1048569" s="242"/>
      <c r="BA1048569" s="242"/>
      <c r="BB1048569" s="242"/>
      <c r="BC1048569" s="242"/>
      <c r="BD1048569" s="242"/>
      <c r="BE1048569" s="242"/>
      <c r="BF1048569" s="242"/>
      <c r="BG1048569" s="242"/>
      <c r="BH1048569" s="242"/>
      <c r="BI1048569" s="242"/>
      <c r="BJ1048569" s="242"/>
      <c r="BK1048569" s="242"/>
      <c r="BL1048569" s="242"/>
      <c r="BM1048569" s="242"/>
      <c r="BN1048569" s="242"/>
      <c r="BO1048569" s="242"/>
      <c r="BP1048569" s="242"/>
      <c r="BQ1048569" s="242"/>
      <c r="BR1048569" s="242"/>
      <c r="BS1048569" s="242"/>
      <c r="BT1048569" s="242"/>
      <c r="BU1048569" s="242"/>
      <c r="BV1048569" s="242"/>
      <c r="BW1048569" s="242"/>
      <c r="BX1048569" s="242"/>
      <c r="BY1048569" s="242"/>
      <c r="BZ1048569" s="242"/>
      <c r="CA1048569" s="242"/>
      <c r="CB1048569" s="242"/>
      <c r="CC1048569" s="242"/>
      <c r="CD1048569" s="242"/>
      <c r="CE1048569" s="242"/>
      <c r="CF1048569" s="242"/>
      <c r="CG1048569" s="242"/>
      <c r="CH1048569" s="242"/>
      <c r="CI1048569" s="242"/>
      <c r="CJ1048569" s="242"/>
      <c r="CK1048569" s="242"/>
      <c r="CL1048569" s="242"/>
      <c r="CM1048569" s="242"/>
      <c r="CN1048569" s="242"/>
      <c r="CO1048569" s="242"/>
      <c r="CP1048569" s="242"/>
      <c r="CQ1048569" s="242"/>
      <c r="CR1048569" s="242"/>
      <c r="CS1048569" s="242"/>
      <c r="CT1048569" s="242"/>
      <c r="CU1048569" s="242"/>
      <c r="CV1048569" s="242"/>
      <c r="CW1048569" s="242"/>
      <c r="CX1048569" s="242"/>
      <c r="CY1048569" s="242"/>
      <c r="CZ1048569" s="242"/>
      <c r="DA1048569" s="242"/>
      <c r="DB1048569" s="242"/>
      <c r="DC1048569" s="242"/>
      <c r="DD1048569" s="242"/>
      <c r="DE1048569" s="242"/>
      <c r="DF1048569" s="242"/>
      <c r="DG1048569" s="242"/>
      <c r="DH1048569" s="242"/>
      <c r="DI1048569" s="242"/>
      <c r="DJ1048569" s="242"/>
      <c r="DK1048569" s="242"/>
      <c r="DL1048569" s="242"/>
      <c r="DM1048569" s="242"/>
      <c r="DN1048569" s="242"/>
      <c r="DO1048569" s="242"/>
      <c r="DP1048569" s="242"/>
      <c r="DQ1048569" s="242"/>
      <c r="DR1048569" s="242"/>
      <c r="DS1048569" s="242"/>
      <c r="DT1048569" s="242"/>
      <c r="DU1048569" s="242"/>
      <c r="DV1048569" s="242"/>
      <c r="DW1048569" s="242"/>
      <c r="DX1048569" s="242"/>
      <c r="DY1048569" s="242"/>
      <c r="DZ1048569" s="242"/>
      <c r="EA1048569" s="242"/>
      <c r="EB1048569" s="242"/>
      <c r="EC1048569" s="242"/>
      <c r="ED1048569" s="242"/>
      <c r="EE1048569" s="242"/>
      <c r="EF1048569" s="242"/>
      <c r="EG1048569" s="242"/>
      <c r="EH1048569" s="242"/>
      <c r="EI1048569" s="242"/>
      <c r="EJ1048569" s="242"/>
      <c r="EK1048569" s="242"/>
      <c r="EL1048569" s="242"/>
      <c r="EM1048569" s="242"/>
      <c r="EN1048569" s="242"/>
      <c r="EO1048569" s="242"/>
      <c r="EP1048569" s="242"/>
      <c r="EQ1048569" s="242"/>
      <c r="ER1048569" s="242"/>
      <c r="ES1048569" s="242"/>
      <c r="ET1048569" s="242"/>
      <c r="EU1048569" s="242"/>
      <c r="EV1048569" s="242"/>
      <c r="EW1048569" s="242"/>
      <c r="EX1048569" s="242"/>
      <c r="EY1048569" s="242"/>
      <c r="EZ1048569" s="242"/>
      <c r="FA1048569" s="242"/>
      <c r="FB1048569" s="242"/>
      <c r="FC1048569" s="242"/>
      <c r="FD1048569" s="242"/>
      <c r="FE1048569" s="242"/>
      <c r="FF1048569" s="242"/>
      <c r="FG1048569" s="242"/>
      <c r="FH1048569" s="242"/>
      <c r="FI1048569" s="242"/>
      <c r="FJ1048569" s="242"/>
      <c r="FK1048569" s="242"/>
      <c r="FL1048569" s="242"/>
      <c r="FM1048569" s="242"/>
      <c r="FN1048569" s="242"/>
      <c r="FO1048569" s="242"/>
      <c r="FP1048569" s="242"/>
      <c r="FQ1048569" s="242"/>
      <c r="FR1048569" s="242"/>
      <c r="FS1048569" s="242"/>
      <c r="FT1048569" s="242"/>
      <c r="FU1048569" s="242"/>
      <c r="FV1048569" s="242"/>
      <c r="FW1048569" s="242"/>
      <c r="FX1048569" s="242"/>
      <c r="FY1048569" s="242"/>
      <c r="FZ1048569" s="242"/>
      <c r="GA1048569" s="242"/>
      <c r="GB1048569" s="242"/>
      <c r="GC1048569" s="242"/>
      <c r="GD1048569" s="242"/>
      <c r="GE1048569" s="242"/>
      <c r="GF1048569" s="242"/>
      <c r="GG1048569" s="242"/>
      <c r="GH1048569" s="242"/>
      <c r="GI1048569" s="242"/>
      <c r="GJ1048569" s="242"/>
      <c r="GK1048569" s="242"/>
      <c r="GL1048569" s="242"/>
      <c r="GM1048569" s="242"/>
      <c r="GN1048569" s="242"/>
      <c r="GO1048569" s="242"/>
      <c r="GP1048569" s="242"/>
      <c r="GQ1048569" s="242"/>
      <c r="GR1048569" s="242"/>
      <c r="GS1048569" s="242"/>
      <c r="GT1048569" s="242"/>
      <c r="GU1048569" s="242"/>
      <c r="GV1048569" s="242"/>
      <c r="GW1048569" s="242"/>
      <c r="GX1048569" s="242"/>
      <c r="GY1048569" s="242"/>
      <c r="GZ1048569" s="242"/>
      <c r="HA1048569" s="242"/>
      <c r="HB1048569" s="242"/>
      <c r="HC1048569" s="242"/>
      <c r="HD1048569" s="242"/>
      <c r="HE1048569" s="242"/>
      <c r="HF1048569" s="242"/>
      <c r="HG1048569" s="242"/>
      <c r="HH1048569" s="242"/>
      <c r="HI1048569" s="242"/>
      <c r="HJ1048569" s="242"/>
      <c r="HK1048569" s="242"/>
      <c r="HL1048569" s="242"/>
      <c r="HM1048569" s="242"/>
      <c r="HN1048569" s="242"/>
      <c r="HO1048569" s="242"/>
      <c r="HP1048569" s="242"/>
      <c r="HQ1048569" s="242"/>
      <c r="HR1048569" s="242"/>
      <c r="HS1048569" s="242"/>
      <c r="HT1048569" s="242"/>
      <c r="HU1048569" s="242"/>
      <c r="HV1048569" s="242"/>
      <c r="HW1048569" s="242"/>
      <c r="HX1048569" s="242"/>
      <c r="HY1048569" s="242"/>
      <c r="HZ1048569" s="242"/>
      <c r="IA1048569" s="242"/>
      <c r="IB1048569" s="242"/>
      <c r="IC1048569" s="242"/>
      <c r="ID1048569" s="242"/>
      <c r="IE1048569" s="242"/>
      <c r="IF1048569" s="242"/>
      <c r="IG1048569" s="242"/>
      <c r="IH1048569" s="242"/>
      <c r="II1048569" s="242"/>
      <c r="IJ1048569" s="242"/>
      <c r="IK1048569" s="242"/>
      <c r="IL1048569" s="242"/>
      <c r="IM1048569" s="242"/>
      <c r="IN1048569" s="242"/>
      <c r="IO1048569" s="242"/>
      <c r="IP1048569" s="242"/>
      <c r="IQ1048569" s="242"/>
    </row>
    <row r="1048570" spans="1:251" s="243" customFormat="1" ht="12.6" customHeight="1">
      <c r="A1048570" s="242"/>
      <c r="B1048570" s="242"/>
      <c r="C1048570" s="242"/>
      <c r="D1048570" s="242"/>
      <c r="E1048570" s="242"/>
      <c r="F1048570" s="242"/>
      <c r="G1048570" s="242"/>
      <c r="H1048570" s="242"/>
      <c r="I1048570" s="242"/>
      <c r="J1048570" s="242"/>
      <c r="K1048570" s="242"/>
      <c r="L1048570" s="242"/>
      <c r="M1048570" s="242"/>
      <c r="N1048570" s="242"/>
      <c r="O1048570" s="242"/>
      <c r="P1048570" s="242"/>
      <c r="Q1048570" s="242"/>
      <c r="R1048570" s="242"/>
      <c r="S1048570" s="242"/>
      <c r="T1048570" s="242"/>
      <c r="U1048570" s="242"/>
      <c r="V1048570" s="242"/>
      <c r="W1048570" s="242"/>
      <c r="X1048570" s="242"/>
      <c r="Y1048570" s="242"/>
      <c r="Z1048570" s="242"/>
      <c r="AA1048570" s="242"/>
      <c r="AB1048570" s="242"/>
      <c r="AC1048570" s="242"/>
      <c r="AD1048570" s="242"/>
      <c r="AE1048570" s="242"/>
      <c r="AF1048570" s="242"/>
      <c r="AG1048570" s="242"/>
      <c r="AH1048570" s="242"/>
      <c r="AI1048570" s="242"/>
      <c r="AJ1048570" s="242"/>
      <c r="AK1048570" s="242"/>
      <c r="AL1048570" s="242"/>
      <c r="AM1048570" s="242"/>
      <c r="AN1048570" s="242"/>
      <c r="AO1048570" s="242"/>
      <c r="AP1048570" s="242"/>
      <c r="AQ1048570" s="242"/>
      <c r="AR1048570" s="242"/>
      <c r="AS1048570" s="242"/>
      <c r="AT1048570" s="242"/>
      <c r="AU1048570" s="242"/>
      <c r="AV1048570" s="242"/>
      <c r="AW1048570" s="242"/>
      <c r="AX1048570" s="242"/>
      <c r="AY1048570" s="242"/>
      <c r="AZ1048570" s="242"/>
      <c r="BA1048570" s="242"/>
      <c r="BB1048570" s="242"/>
      <c r="BC1048570" s="242"/>
      <c r="BD1048570" s="242"/>
      <c r="BE1048570" s="242"/>
      <c r="BF1048570" s="242"/>
      <c r="BG1048570" s="242"/>
      <c r="BH1048570" s="242"/>
      <c r="BI1048570" s="242"/>
      <c r="BJ1048570" s="242"/>
      <c r="BK1048570" s="242"/>
      <c r="BL1048570" s="242"/>
      <c r="BM1048570" s="242"/>
      <c r="BN1048570" s="242"/>
      <c r="BO1048570" s="242"/>
      <c r="BP1048570" s="242"/>
      <c r="BQ1048570" s="242"/>
      <c r="BR1048570" s="242"/>
      <c r="BS1048570" s="242"/>
      <c r="BT1048570" s="242"/>
      <c r="BU1048570" s="242"/>
      <c r="BV1048570" s="242"/>
      <c r="BW1048570" s="242"/>
      <c r="BX1048570" s="242"/>
      <c r="BY1048570" s="242"/>
      <c r="BZ1048570" s="242"/>
      <c r="CA1048570" s="242"/>
      <c r="CB1048570" s="242"/>
      <c r="CC1048570" s="242"/>
      <c r="CD1048570" s="242"/>
      <c r="CE1048570" s="242"/>
      <c r="CF1048570" s="242"/>
      <c r="CG1048570" s="242"/>
      <c r="CH1048570" s="242"/>
      <c r="CI1048570" s="242"/>
      <c r="CJ1048570" s="242"/>
      <c r="CK1048570" s="242"/>
      <c r="CL1048570" s="242"/>
      <c r="CM1048570" s="242"/>
      <c r="CN1048570" s="242"/>
      <c r="CO1048570" s="242"/>
      <c r="CP1048570" s="242"/>
      <c r="CQ1048570" s="242"/>
      <c r="CR1048570" s="242"/>
      <c r="CS1048570" s="242"/>
      <c r="CT1048570" s="242"/>
      <c r="CU1048570" s="242"/>
      <c r="CV1048570" s="242"/>
      <c r="CW1048570" s="242"/>
      <c r="CX1048570" s="242"/>
      <c r="CY1048570" s="242"/>
      <c r="CZ1048570" s="242"/>
      <c r="DA1048570" s="242"/>
      <c r="DB1048570" s="242"/>
      <c r="DC1048570" s="242"/>
      <c r="DD1048570" s="242"/>
      <c r="DE1048570" s="242"/>
      <c r="DF1048570" s="242"/>
      <c r="DG1048570" s="242"/>
      <c r="DH1048570" s="242"/>
      <c r="DI1048570" s="242"/>
      <c r="DJ1048570" s="242"/>
      <c r="DK1048570" s="242"/>
      <c r="DL1048570" s="242"/>
      <c r="DM1048570" s="242"/>
      <c r="DN1048570" s="242"/>
      <c r="DO1048570" s="242"/>
      <c r="DP1048570" s="242"/>
      <c r="DQ1048570" s="242"/>
      <c r="DR1048570" s="242"/>
      <c r="DS1048570" s="242"/>
      <c r="DT1048570" s="242"/>
      <c r="DU1048570" s="242"/>
      <c r="DV1048570" s="242"/>
      <c r="DW1048570" s="242"/>
      <c r="DX1048570" s="242"/>
      <c r="DY1048570" s="242"/>
      <c r="DZ1048570" s="242"/>
      <c r="EA1048570" s="242"/>
      <c r="EB1048570" s="242"/>
      <c r="EC1048570" s="242"/>
      <c r="ED1048570" s="242"/>
      <c r="EE1048570" s="242"/>
      <c r="EF1048570" s="242"/>
      <c r="EG1048570" s="242"/>
      <c r="EH1048570" s="242"/>
      <c r="EI1048570" s="242"/>
      <c r="EJ1048570" s="242"/>
      <c r="EK1048570" s="242"/>
      <c r="EL1048570" s="242"/>
      <c r="EM1048570" s="242"/>
      <c r="EN1048570" s="242"/>
      <c r="EO1048570" s="242"/>
      <c r="EP1048570" s="242"/>
      <c r="EQ1048570" s="242"/>
      <c r="ER1048570" s="242"/>
      <c r="ES1048570" s="242"/>
      <c r="ET1048570" s="242"/>
      <c r="EU1048570" s="242"/>
      <c r="EV1048570" s="242"/>
      <c r="EW1048570" s="242"/>
      <c r="EX1048570" s="242"/>
      <c r="EY1048570" s="242"/>
      <c r="EZ1048570" s="242"/>
      <c r="FA1048570" s="242"/>
      <c r="FB1048570" s="242"/>
      <c r="FC1048570" s="242"/>
      <c r="FD1048570" s="242"/>
      <c r="FE1048570" s="242"/>
      <c r="FF1048570" s="242"/>
      <c r="FG1048570" s="242"/>
      <c r="FH1048570" s="242"/>
      <c r="FI1048570" s="242"/>
      <c r="FJ1048570" s="242"/>
      <c r="FK1048570" s="242"/>
      <c r="FL1048570" s="242"/>
      <c r="FM1048570" s="242"/>
      <c r="FN1048570" s="242"/>
      <c r="FO1048570" s="242"/>
      <c r="FP1048570" s="242"/>
      <c r="FQ1048570" s="242"/>
      <c r="FR1048570" s="242"/>
      <c r="FS1048570" s="242"/>
      <c r="FT1048570" s="242"/>
      <c r="FU1048570" s="242"/>
      <c r="FV1048570" s="242"/>
      <c r="FW1048570" s="242"/>
      <c r="FX1048570" s="242"/>
      <c r="FY1048570" s="242"/>
      <c r="FZ1048570" s="242"/>
      <c r="GA1048570" s="242"/>
      <c r="GB1048570" s="242"/>
      <c r="GC1048570" s="242"/>
      <c r="GD1048570" s="242"/>
      <c r="GE1048570" s="242"/>
      <c r="GF1048570" s="242"/>
      <c r="GG1048570" s="242"/>
      <c r="GH1048570" s="242"/>
      <c r="GI1048570" s="242"/>
      <c r="GJ1048570" s="242"/>
      <c r="GK1048570" s="242"/>
      <c r="GL1048570" s="242"/>
      <c r="GM1048570" s="242"/>
      <c r="GN1048570" s="242"/>
      <c r="GO1048570" s="242"/>
      <c r="GP1048570" s="242"/>
      <c r="GQ1048570" s="242"/>
      <c r="GR1048570" s="242"/>
      <c r="GS1048570" s="242"/>
      <c r="GT1048570" s="242"/>
      <c r="GU1048570" s="242"/>
      <c r="GV1048570" s="242"/>
      <c r="GW1048570" s="242"/>
      <c r="GX1048570" s="242"/>
      <c r="GY1048570" s="242"/>
      <c r="GZ1048570" s="242"/>
      <c r="HA1048570" s="242"/>
      <c r="HB1048570" s="242"/>
      <c r="HC1048570" s="242"/>
      <c r="HD1048570" s="242"/>
      <c r="HE1048570" s="242"/>
      <c r="HF1048570" s="242"/>
      <c r="HG1048570" s="242"/>
      <c r="HH1048570" s="242"/>
      <c r="HI1048570" s="242"/>
      <c r="HJ1048570" s="242"/>
      <c r="HK1048570" s="242"/>
      <c r="HL1048570" s="242"/>
      <c r="HM1048570" s="242"/>
      <c r="HN1048570" s="242"/>
      <c r="HO1048570" s="242"/>
      <c r="HP1048570" s="242"/>
      <c r="HQ1048570" s="242"/>
      <c r="HR1048570" s="242"/>
      <c r="HS1048570" s="242"/>
      <c r="HT1048570" s="242"/>
      <c r="HU1048570" s="242"/>
      <c r="HV1048570" s="242"/>
      <c r="HW1048570" s="242"/>
      <c r="HX1048570" s="242"/>
      <c r="HY1048570" s="242"/>
      <c r="HZ1048570" s="242"/>
      <c r="IA1048570" s="242"/>
      <c r="IB1048570" s="242"/>
      <c r="IC1048570" s="242"/>
      <c r="ID1048570" s="242"/>
      <c r="IE1048570" s="242"/>
      <c r="IF1048570" s="242"/>
      <c r="IG1048570" s="242"/>
      <c r="IH1048570" s="242"/>
      <c r="II1048570" s="242"/>
      <c r="IJ1048570" s="242"/>
      <c r="IK1048570" s="242"/>
      <c r="IL1048570" s="242"/>
      <c r="IM1048570" s="242"/>
      <c r="IN1048570" s="242"/>
      <c r="IO1048570" s="242"/>
      <c r="IP1048570" s="242"/>
      <c r="IQ1048570" s="242"/>
    </row>
    <row r="1048571" spans="1:251" s="243" customFormat="1" ht="12.6" customHeight="1">
      <c r="A1048571" s="242"/>
      <c r="B1048571" s="242"/>
      <c r="C1048571" s="242"/>
      <c r="D1048571" s="242"/>
      <c r="E1048571" s="242"/>
      <c r="F1048571" s="242"/>
      <c r="G1048571" s="242"/>
      <c r="H1048571" s="242"/>
      <c r="I1048571" s="242"/>
      <c r="J1048571" s="242"/>
      <c r="K1048571" s="242"/>
      <c r="L1048571" s="242"/>
      <c r="M1048571" s="242"/>
      <c r="N1048571" s="242"/>
      <c r="O1048571" s="242"/>
      <c r="P1048571" s="242"/>
      <c r="Q1048571" s="242"/>
      <c r="R1048571" s="242"/>
      <c r="S1048571" s="242"/>
      <c r="T1048571" s="242"/>
      <c r="U1048571" s="242"/>
      <c r="V1048571" s="242"/>
      <c r="W1048571" s="242"/>
      <c r="X1048571" s="242"/>
      <c r="Y1048571" s="242"/>
      <c r="Z1048571" s="242"/>
      <c r="AA1048571" s="242"/>
      <c r="AB1048571" s="242"/>
      <c r="AC1048571" s="242"/>
      <c r="AD1048571" s="242"/>
      <c r="AE1048571" s="242"/>
      <c r="AF1048571" s="242"/>
      <c r="AG1048571" s="242"/>
      <c r="AH1048571" s="242"/>
      <c r="AI1048571" s="242"/>
      <c r="AJ1048571" s="242"/>
      <c r="AK1048571" s="242"/>
      <c r="AL1048571" s="242"/>
      <c r="AM1048571" s="242"/>
      <c r="AN1048571" s="242"/>
      <c r="AO1048571" s="242"/>
      <c r="AP1048571" s="242"/>
      <c r="AQ1048571" s="242"/>
      <c r="AR1048571" s="242"/>
      <c r="AS1048571" s="242"/>
      <c r="AT1048571" s="242"/>
      <c r="AU1048571" s="242"/>
      <c r="AV1048571" s="242"/>
      <c r="AW1048571" s="242"/>
      <c r="AX1048571" s="242"/>
      <c r="AY1048571" s="242"/>
      <c r="AZ1048571" s="242"/>
      <c r="BA1048571" s="242"/>
      <c r="BB1048571" s="242"/>
      <c r="BC1048571" s="242"/>
      <c r="BD1048571" s="242"/>
      <c r="BE1048571" s="242"/>
      <c r="BF1048571" s="242"/>
      <c r="BG1048571" s="242"/>
      <c r="BH1048571" s="242"/>
      <c r="BI1048571" s="242"/>
      <c r="BJ1048571" s="242"/>
      <c r="BK1048571" s="242"/>
      <c r="BL1048571" s="242"/>
      <c r="BM1048571" s="242"/>
      <c r="BN1048571" s="242"/>
      <c r="BO1048571" s="242"/>
      <c r="BP1048571" s="242"/>
      <c r="BQ1048571" s="242"/>
      <c r="BR1048571" s="242"/>
      <c r="BS1048571" s="242"/>
      <c r="BT1048571" s="242"/>
      <c r="BU1048571" s="242"/>
      <c r="BV1048571" s="242"/>
      <c r="BW1048571" s="242"/>
      <c r="BX1048571" s="242"/>
      <c r="BY1048571" s="242"/>
      <c r="BZ1048571" s="242"/>
      <c r="CA1048571" s="242"/>
      <c r="CB1048571" s="242"/>
      <c r="CC1048571" s="242"/>
      <c r="CD1048571" s="242"/>
      <c r="CE1048571" s="242"/>
      <c r="CF1048571" s="242"/>
      <c r="CG1048571" s="242"/>
      <c r="CH1048571" s="242"/>
      <c r="CI1048571" s="242"/>
      <c r="CJ1048571" s="242"/>
      <c r="CK1048571" s="242"/>
      <c r="CL1048571" s="242"/>
      <c r="CM1048571" s="242"/>
      <c r="CN1048571" s="242"/>
      <c r="CO1048571" s="242"/>
      <c r="CP1048571" s="242"/>
      <c r="CQ1048571" s="242"/>
      <c r="CR1048571" s="242"/>
      <c r="CS1048571" s="242"/>
      <c r="CT1048571" s="242"/>
      <c r="CU1048571" s="242"/>
      <c r="CV1048571" s="242"/>
      <c r="CW1048571" s="242"/>
      <c r="CX1048571" s="242"/>
      <c r="CY1048571" s="242"/>
      <c r="CZ1048571" s="242"/>
      <c r="DA1048571" s="242"/>
      <c r="DB1048571" s="242"/>
      <c r="DC1048571" s="242"/>
      <c r="DD1048571" s="242"/>
      <c r="DE1048571" s="242"/>
      <c r="DF1048571" s="242"/>
      <c r="DG1048571" s="242"/>
      <c r="DH1048571" s="242"/>
      <c r="DI1048571" s="242"/>
      <c r="DJ1048571" s="242"/>
      <c r="DK1048571" s="242"/>
      <c r="DL1048571" s="242"/>
      <c r="DM1048571" s="242"/>
      <c r="DN1048571" s="242"/>
      <c r="DO1048571" s="242"/>
      <c r="DP1048571" s="242"/>
      <c r="DQ1048571" s="242"/>
      <c r="DR1048571" s="242"/>
      <c r="DS1048571" s="242"/>
      <c r="DT1048571" s="242"/>
      <c r="DU1048571" s="242"/>
      <c r="DV1048571" s="242"/>
      <c r="DW1048571" s="242"/>
      <c r="DX1048571" s="242"/>
      <c r="DY1048571" s="242"/>
      <c r="DZ1048571" s="242"/>
      <c r="EA1048571" s="242"/>
      <c r="EB1048571" s="242"/>
      <c r="EC1048571" s="242"/>
      <c r="ED1048571" s="242"/>
      <c r="EE1048571" s="242"/>
      <c r="EF1048571" s="242"/>
      <c r="EG1048571" s="242"/>
      <c r="EH1048571" s="242"/>
      <c r="EI1048571" s="242"/>
      <c r="EJ1048571" s="242"/>
      <c r="EK1048571" s="242"/>
      <c r="EL1048571" s="242"/>
      <c r="EM1048571" s="242"/>
      <c r="EN1048571" s="242"/>
      <c r="EO1048571" s="242"/>
      <c r="EP1048571" s="242"/>
      <c r="EQ1048571" s="242"/>
      <c r="ER1048571" s="242"/>
      <c r="ES1048571" s="242"/>
      <c r="ET1048571" s="242"/>
      <c r="EU1048571" s="242"/>
      <c r="EV1048571" s="242"/>
      <c r="EW1048571" s="242"/>
      <c r="EX1048571" s="242"/>
      <c r="EY1048571" s="242"/>
      <c r="EZ1048571" s="242"/>
      <c r="FA1048571" s="242"/>
      <c r="FB1048571" s="242"/>
      <c r="FC1048571" s="242"/>
      <c r="FD1048571" s="242"/>
      <c r="FE1048571" s="242"/>
      <c r="FF1048571" s="242"/>
      <c r="FG1048571" s="242"/>
      <c r="FH1048571" s="242"/>
      <c r="FI1048571" s="242"/>
      <c r="FJ1048571" s="242"/>
      <c r="FK1048571" s="242"/>
      <c r="FL1048571" s="242"/>
      <c r="FM1048571" s="242"/>
      <c r="FN1048571" s="242"/>
      <c r="FO1048571" s="242"/>
      <c r="FP1048571" s="242"/>
      <c r="FQ1048571" s="242"/>
      <c r="FR1048571" s="242"/>
      <c r="FS1048571" s="242"/>
      <c r="FT1048571" s="242"/>
      <c r="FU1048571" s="242"/>
      <c r="FV1048571" s="242"/>
      <c r="FW1048571" s="242"/>
      <c r="FX1048571" s="242"/>
      <c r="FY1048571" s="242"/>
      <c r="FZ1048571" s="242"/>
      <c r="GA1048571" s="242"/>
      <c r="GB1048571" s="242"/>
      <c r="GC1048571" s="242"/>
      <c r="GD1048571" s="242"/>
      <c r="GE1048571" s="242"/>
      <c r="GF1048571" s="242"/>
      <c r="GG1048571" s="242"/>
      <c r="GH1048571" s="242"/>
      <c r="GI1048571" s="242"/>
      <c r="GJ1048571" s="242"/>
      <c r="GK1048571" s="242"/>
      <c r="GL1048571" s="242"/>
      <c r="GM1048571" s="242"/>
      <c r="GN1048571" s="242"/>
      <c r="GO1048571" s="242"/>
      <c r="GP1048571" s="242"/>
      <c r="GQ1048571" s="242"/>
      <c r="GR1048571" s="242"/>
      <c r="GS1048571" s="242"/>
      <c r="GT1048571" s="242"/>
      <c r="GU1048571" s="242"/>
      <c r="GV1048571" s="242"/>
      <c r="GW1048571" s="242"/>
      <c r="GX1048571" s="242"/>
      <c r="GY1048571" s="242"/>
      <c r="GZ1048571" s="242"/>
      <c r="HA1048571" s="242"/>
      <c r="HB1048571" s="242"/>
      <c r="HC1048571" s="242"/>
      <c r="HD1048571" s="242"/>
      <c r="HE1048571" s="242"/>
      <c r="HF1048571" s="242"/>
      <c r="HG1048571" s="242"/>
      <c r="HH1048571" s="242"/>
      <c r="HI1048571" s="242"/>
      <c r="HJ1048571" s="242"/>
      <c r="HK1048571" s="242"/>
      <c r="HL1048571" s="242"/>
      <c r="HM1048571" s="242"/>
      <c r="HN1048571" s="242"/>
      <c r="HO1048571" s="242"/>
      <c r="HP1048571" s="242"/>
      <c r="HQ1048571" s="242"/>
      <c r="HR1048571" s="242"/>
      <c r="HS1048571" s="242"/>
      <c r="HT1048571" s="242"/>
      <c r="HU1048571" s="242"/>
      <c r="HV1048571" s="242"/>
      <c r="HW1048571" s="242"/>
      <c r="HX1048571" s="242"/>
      <c r="HY1048571" s="242"/>
      <c r="HZ1048571" s="242"/>
      <c r="IA1048571" s="242"/>
      <c r="IB1048571" s="242"/>
      <c r="IC1048571" s="242"/>
      <c r="ID1048571" s="242"/>
      <c r="IE1048571" s="242"/>
      <c r="IF1048571" s="242"/>
      <c r="IG1048571" s="242"/>
      <c r="IH1048571" s="242"/>
      <c r="II1048571" s="242"/>
      <c r="IJ1048571" s="242"/>
      <c r="IK1048571" s="242"/>
      <c r="IL1048571" s="242"/>
      <c r="IM1048571" s="242"/>
      <c r="IN1048571" s="242"/>
      <c r="IO1048571" s="242"/>
      <c r="IP1048571" s="242"/>
      <c r="IQ1048571" s="242"/>
    </row>
    <row r="1048572" spans="1:251" s="243" customFormat="1" ht="12.6" customHeight="1">
      <c r="A1048572" s="242"/>
      <c r="B1048572" s="242"/>
      <c r="C1048572" s="242"/>
      <c r="D1048572" s="242"/>
      <c r="E1048572" s="242"/>
      <c r="F1048572" s="242"/>
      <c r="G1048572" s="242"/>
      <c r="H1048572" s="242"/>
      <c r="I1048572" s="242"/>
      <c r="J1048572" s="242"/>
      <c r="K1048572" s="242"/>
      <c r="L1048572" s="242"/>
      <c r="M1048572" s="242"/>
      <c r="N1048572" s="242"/>
      <c r="O1048572" s="242"/>
      <c r="P1048572" s="242"/>
      <c r="Q1048572" s="242"/>
      <c r="R1048572" s="242"/>
      <c r="S1048572" s="242"/>
      <c r="T1048572" s="242"/>
      <c r="U1048572" s="242"/>
      <c r="V1048572" s="242"/>
      <c r="W1048572" s="242"/>
      <c r="X1048572" s="242"/>
      <c r="Y1048572" s="242"/>
      <c r="Z1048572" s="242"/>
      <c r="AA1048572" s="242"/>
      <c r="AB1048572" s="242"/>
      <c r="AC1048572" s="242"/>
      <c r="AD1048572" s="242"/>
      <c r="AE1048572" s="242"/>
      <c r="AF1048572" s="242"/>
      <c r="AG1048572" s="242"/>
      <c r="AH1048572" s="242"/>
      <c r="AI1048572" s="242"/>
      <c r="AJ1048572" s="242"/>
      <c r="AK1048572" s="242"/>
      <c r="AL1048572" s="242"/>
      <c r="AM1048572" s="242"/>
      <c r="AN1048572" s="242"/>
      <c r="AO1048572" s="242"/>
      <c r="AP1048572" s="242"/>
      <c r="AQ1048572" s="242"/>
      <c r="AR1048572" s="242"/>
      <c r="AS1048572" s="242"/>
      <c r="AT1048572" s="242"/>
      <c r="AU1048572" s="242"/>
      <c r="AV1048572" s="242"/>
      <c r="AW1048572" s="242"/>
      <c r="AX1048572" s="242"/>
      <c r="AY1048572" s="242"/>
      <c r="AZ1048572" s="242"/>
      <c r="BA1048572" s="242"/>
      <c r="BB1048572" s="242"/>
      <c r="BC1048572" s="242"/>
      <c r="BD1048572" s="242"/>
      <c r="BE1048572" s="242"/>
      <c r="BF1048572" s="242"/>
      <c r="BG1048572" s="242"/>
      <c r="BH1048572" s="242"/>
      <c r="BI1048572" s="242"/>
      <c r="BJ1048572" s="242"/>
      <c r="BK1048572" s="242"/>
      <c r="BL1048572" s="242"/>
      <c r="BM1048572" s="242"/>
      <c r="BN1048572" s="242"/>
      <c r="BO1048572" s="242"/>
      <c r="BP1048572" s="242"/>
      <c r="BQ1048572" s="242"/>
      <c r="BR1048572" s="242"/>
      <c r="BS1048572" s="242"/>
      <c r="BT1048572" s="242"/>
      <c r="BU1048572" s="242"/>
      <c r="BV1048572" s="242"/>
      <c r="BW1048572" s="242"/>
      <c r="BX1048572" s="242"/>
      <c r="BY1048572" s="242"/>
      <c r="BZ1048572" s="242"/>
      <c r="CA1048572" s="242"/>
      <c r="CB1048572" s="242"/>
      <c r="CC1048572" s="242"/>
      <c r="CD1048572" s="242"/>
      <c r="CE1048572" s="242"/>
      <c r="CF1048572" s="242"/>
      <c r="CG1048572" s="242"/>
      <c r="CH1048572" s="242"/>
      <c r="CI1048572" s="242"/>
      <c r="CJ1048572" s="242"/>
      <c r="CK1048572" s="242"/>
      <c r="CL1048572" s="242"/>
      <c r="CM1048572" s="242"/>
      <c r="CN1048572" s="242"/>
      <c r="CO1048572" s="242"/>
      <c r="CP1048572" s="242"/>
      <c r="CQ1048572" s="242"/>
      <c r="CR1048572" s="242"/>
      <c r="CS1048572" s="242"/>
      <c r="CT1048572" s="242"/>
      <c r="CU1048572" s="242"/>
      <c r="CV1048572" s="242"/>
      <c r="CW1048572" s="242"/>
      <c r="CX1048572" s="242"/>
      <c r="CY1048572" s="242"/>
      <c r="CZ1048572" s="242"/>
      <c r="DA1048572" s="242"/>
      <c r="DB1048572" s="242"/>
      <c r="DC1048572" s="242"/>
      <c r="DD1048572" s="242"/>
      <c r="DE1048572" s="242"/>
      <c r="DF1048572" s="242"/>
      <c r="DG1048572" s="242"/>
      <c r="DH1048572" s="242"/>
      <c r="DI1048572" s="242"/>
      <c r="DJ1048572" s="242"/>
      <c r="DK1048572" s="242"/>
      <c r="DL1048572" s="242"/>
      <c r="DM1048572" s="242"/>
      <c r="DN1048572" s="242"/>
      <c r="DO1048572" s="242"/>
      <c r="DP1048572" s="242"/>
      <c r="DQ1048572" s="242"/>
      <c r="DR1048572" s="242"/>
      <c r="DS1048572" s="242"/>
      <c r="DT1048572" s="242"/>
      <c r="DU1048572" s="242"/>
      <c r="DV1048572" s="242"/>
      <c r="DW1048572" s="242"/>
      <c r="DX1048572" s="242"/>
      <c r="DY1048572" s="242"/>
      <c r="DZ1048572" s="242"/>
      <c r="EA1048572" s="242"/>
      <c r="EB1048572" s="242"/>
      <c r="EC1048572" s="242"/>
      <c r="ED1048572" s="242"/>
      <c r="EE1048572" s="242"/>
      <c r="EF1048572" s="242"/>
      <c r="EG1048572" s="242"/>
      <c r="EH1048572" s="242"/>
      <c r="EI1048572" s="242"/>
      <c r="EJ1048572" s="242"/>
      <c r="EK1048572" s="242"/>
      <c r="EL1048572" s="242"/>
      <c r="EM1048572" s="242"/>
      <c r="EN1048572" s="242"/>
      <c r="EO1048572" s="242"/>
      <c r="EP1048572" s="242"/>
      <c r="EQ1048572" s="242"/>
      <c r="ER1048572" s="242"/>
      <c r="ES1048572" s="242"/>
      <c r="ET1048572" s="242"/>
      <c r="EU1048572" s="242"/>
      <c r="EV1048572" s="242"/>
      <c r="EW1048572" s="242"/>
      <c r="EX1048572" s="242"/>
      <c r="EY1048572" s="242"/>
      <c r="EZ1048572" s="242"/>
      <c r="FA1048572" s="242"/>
      <c r="FB1048572" s="242"/>
      <c r="FC1048572" s="242"/>
      <c r="FD1048572" s="242"/>
      <c r="FE1048572" s="242"/>
      <c r="FF1048572" s="242"/>
      <c r="FG1048572" s="242"/>
      <c r="FH1048572" s="242"/>
      <c r="FI1048572" s="242"/>
      <c r="FJ1048572" s="242"/>
      <c r="FK1048572" s="242"/>
      <c r="FL1048572" s="242"/>
      <c r="FM1048572" s="242"/>
      <c r="FN1048572" s="242"/>
      <c r="FO1048572" s="242"/>
      <c r="FP1048572" s="242"/>
      <c r="FQ1048572" s="242"/>
      <c r="FR1048572" s="242"/>
      <c r="FS1048572" s="242"/>
      <c r="FT1048572" s="242"/>
      <c r="FU1048572" s="242"/>
      <c r="FV1048572" s="242"/>
      <c r="FW1048572" s="242"/>
      <c r="FX1048572" s="242"/>
      <c r="FY1048572" s="242"/>
      <c r="FZ1048572" s="242"/>
      <c r="GA1048572" s="242"/>
      <c r="GB1048572" s="242"/>
      <c r="GC1048572" s="242"/>
      <c r="GD1048572" s="242"/>
      <c r="GE1048572" s="242"/>
      <c r="GF1048572" s="242"/>
      <c r="GG1048572" s="242"/>
      <c r="GH1048572" s="242"/>
      <c r="GI1048572" s="242"/>
      <c r="GJ1048572" s="242"/>
      <c r="GK1048572" s="242"/>
      <c r="GL1048572" s="242"/>
      <c r="GM1048572" s="242"/>
      <c r="GN1048572" s="242"/>
      <c r="GO1048572" s="242"/>
      <c r="GP1048572" s="242"/>
      <c r="GQ1048572" s="242"/>
      <c r="GR1048572" s="242"/>
      <c r="GS1048572" s="242"/>
      <c r="GT1048572" s="242"/>
      <c r="GU1048572" s="242"/>
      <c r="GV1048572" s="242"/>
      <c r="GW1048572" s="242"/>
      <c r="GX1048572" s="242"/>
      <c r="GY1048572" s="242"/>
      <c r="GZ1048572" s="242"/>
      <c r="HA1048572" s="242"/>
      <c r="HB1048572" s="242"/>
      <c r="HC1048572" s="242"/>
      <c r="HD1048572" s="242"/>
      <c r="HE1048572" s="242"/>
      <c r="HF1048572" s="242"/>
      <c r="HG1048572" s="242"/>
      <c r="HH1048572" s="242"/>
      <c r="HI1048572" s="242"/>
      <c r="HJ1048572" s="242"/>
      <c r="HK1048572" s="242"/>
      <c r="HL1048572" s="242"/>
      <c r="HM1048572" s="242"/>
      <c r="HN1048572" s="242"/>
      <c r="HO1048572" s="242"/>
      <c r="HP1048572" s="242"/>
      <c r="HQ1048572" s="242"/>
      <c r="HR1048572" s="242"/>
      <c r="HS1048572" s="242"/>
      <c r="HT1048572" s="242"/>
      <c r="HU1048572" s="242"/>
      <c r="HV1048572" s="242"/>
      <c r="HW1048572" s="242"/>
      <c r="HX1048572" s="242"/>
      <c r="HY1048572" s="242"/>
      <c r="HZ1048572" s="242"/>
      <c r="IA1048572" s="242"/>
      <c r="IB1048572" s="242"/>
      <c r="IC1048572" s="242"/>
      <c r="ID1048572" s="242"/>
      <c r="IE1048572" s="242"/>
      <c r="IF1048572" s="242"/>
      <c r="IG1048572" s="242"/>
      <c r="IH1048572" s="242"/>
      <c r="II1048572" s="242"/>
      <c r="IJ1048572" s="242"/>
      <c r="IK1048572" s="242"/>
      <c r="IL1048572" s="242"/>
      <c r="IM1048572" s="242"/>
      <c r="IN1048572" s="242"/>
      <c r="IO1048572" s="242"/>
      <c r="IP1048572" s="242"/>
      <c r="IQ1048572" s="242"/>
    </row>
    <row r="1048573" spans="1:251" s="243" customFormat="1" ht="12.6" customHeight="1">
      <c r="A1048573" s="242"/>
      <c r="B1048573" s="242"/>
      <c r="C1048573" s="242"/>
      <c r="D1048573" s="242"/>
      <c r="E1048573" s="242"/>
      <c r="F1048573" s="242"/>
      <c r="G1048573" s="242"/>
      <c r="H1048573" s="242"/>
      <c r="I1048573" s="242"/>
      <c r="J1048573" s="242"/>
      <c r="K1048573" s="242"/>
      <c r="L1048573" s="242"/>
      <c r="M1048573" s="242"/>
      <c r="N1048573" s="242"/>
      <c r="O1048573" s="242"/>
      <c r="P1048573" s="242"/>
      <c r="Q1048573" s="242"/>
      <c r="R1048573" s="242"/>
      <c r="S1048573" s="242"/>
      <c r="T1048573" s="242"/>
      <c r="U1048573" s="242"/>
      <c r="V1048573" s="242"/>
      <c r="W1048573" s="242"/>
      <c r="X1048573" s="242"/>
      <c r="Y1048573" s="242"/>
      <c r="Z1048573" s="242"/>
      <c r="AA1048573" s="242"/>
      <c r="AB1048573" s="242"/>
      <c r="AC1048573" s="242"/>
      <c r="AD1048573" s="242"/>
      <c r="AE1048573" s="242"/>
      <c r="AF1048573" s="242"/>
      <c r="AG1048573" s="242"/>
      <c r="AH1048573" s="242"/>
      <c r="AI1048573" s="242"/>
      <c r="AJ1048573" s="242"/>
      <c r="AK1048573" s="242"/>
      <c r="AL1048573" s="242"/>
      <c r="AM1048573" s="242"/>
      <c r="AN1048573" s="242"/>
      <c r="AO1048573" s="242"/>
      <c r="AP1048573" s="242"/>
      <c r="AQ1048573" s="242"/>
      <c r="AR1048573" s="242"/>
      <c r="AS1048573" s="242"/>
      <c r="AT1048573" s="242"/>
      <c r="AU1048573" s="242"/>
      <c r="AV1048573" s="242"/>
      <c r="AW1048573" s="242"/>
      <c r="AX1048573" s="242"/>
      <c r="AY1048573" s="242"/>
      <c r="AZ1048573" s="242"/>
      <c r="BA1048573" s="242"/>
      <c r="BB1048573" s="242"/>
      <c r="BC1048573" s="242"/>
      <c r="BD1048573" s="242"/>
      <c r="BE1048573" s="242"/>
      <c r="BF1048573" s="242"/>
      <c r="BG1048573" s="242"/>
      <c r="BH1048573" s="242"/>
      <c r="BI1048573" s="242"/>
      <c r="BJ1048573" s="242"/>
      <c r="BK1048573" s="242"/>
      <c r="BL1048573" s="242"/>
      <c r="BM1048573" s="242"/>
      <c r="BN1048573" s="242"/>
      <c r="BO1048573" s="242"/>
      <c r="BP1048573" s="242"/>
      <c r="BQ1048573" s="242"/>
      <c r="BR1048573" s="242"/>
      <c r="BS1048573" s="242"/>
      <c r="BT1048573" s="242"/>
      <c r="BU1048573" s="242"/>
      <c r="BV1048573" s="242"/>
      <c r="BW1048573" s="242"/>
      <c r="BX1048573" s="242"/>
      <c r="BY1048573" s="242"/>
      <c r="BZ1048573" s="242"/>
      <c r="CA1048573" s="242"/>
      <c r="CB1048573" s="242"/>
      <c r="CC1048573" s="242"/>
      <c r="CD1048573" s="242"/>
      <c r="CE1048573" s="242"/>
      <c r="CF1048573" s="242"/>
      <c r="CG1048573" s="242"/>
      <c r="CH1048573" s="242"/>
      <c r="CI1048573" s="242"/>
      <c r="CJ1048573" s="242"/>
      <c r="CK1048573" s="242"/>
      <c r="CL1048573" s="242"/>
      <c r="CM1048573" s="242"/>
      <c r="CN1048573" s="242"/>
      <c r="CO1048573" s="242"/>
      <c r="CP1048573" s="242"/>
      <c r="CQ1048573" s="242"/>
      <c r="CR1048573" s="242"/>
      <c r="CS1048573" s="242"/>
      <c r="CT1048573" s="242"/>
      <c r="CU1048573" s="242"/>
      <c r="CV1048573" s="242"/>
      <c r="CW1048573" s="242"/>
      <c r="CX1048573" s="242"/>
      <c r="CY1048573" s="242"/>
      <c r="CZ1048573" s="242"/>
      <c r="DA1048573" s="242"/>
      <c r="DB1048573" s="242"/>
      <c r="DC1048573" s="242"/>
      <c r="DD1048573" s="242"/>
      <c r="DE1048573" s="242"/>
      <c r="DF1048573" s="242"/>
      <c r="DG1048573" s="242"/>
      <c r="DH1048573" s="242"/>
      <c r="DI1048573" s="242"/>
      <c r="DJ1048573" s="242"/>
      <c r="DK1048573" s="242"/>
      <c r="DL1048573" s="242"/>
      <c r="DM1048573" s="242"/>
      <c r="DN1048573" s="242"/>
      <c r="DO1048573" s="242"/>
      <c r="DP1048573" s="242"/>
      <c r="DQ1048573" s="242"/>
      <c r="DR1048573" s="242"/>
      <c r="DS1048573" s="242"/>
      <c r="DT1048573" s="242"/>
      <c r="DU1048573" s="242"/>
      <c r="DV1048573" s="242"/>
      <c r="DW1048573" s="242"/>
      <c r="DX1048573" s="242"/>
      <c r="DY1048573" s="242"/>
      <c r="DZ1048573" s="242"/>
      <c r="EA1048573" s="242"/>
      <c r="EB1048573" s="242"/>
      <c r="EC1048573" s="242"/>
      <c r="ED1048573" s="242"/>
      <c r="EE1048573" s="242"/>
      <c r="EF1048573" s="242"/>
      <c r="EG1048573" s="242"/>
      <c r="EH1048573" s="242"/>
      <c r="EI1048573" s="242"/>
      <c r="EJ1048573" s="242"/>
      <c r="EK1048573" s="242"/>
      <c r="EL1048573" s="242"/>
      <c r="EM1048573" s="242"/>
      <c r="EN1048573" s="242"/>
      <c r="EO1048573" s="242"/>
      <c r="EP1048573" s="242"/>
      <c r="EQ1048573" s="242"/>
      <c r="ER1048573" s="242"/>
      <c r="ES1048573" s="242"/>
      <c r="ET1048573" s="242"/>
      <c r="EU1048573" s="242"/>
      <c r="EV1048573" s="242"/>
      <c r="EW1048573" s="242"/>
      <c r="EX1048573" s="242"/>
      <c r="EY1048573" s="242"/>
      <c r="EZ1048573" s="242"/>
      <c r="FA1048573" s="242"/>
      <c r="FB1048573" s="242"/>
      <c r="FC1048573" s="242"/>
      <c r="FD1048573" s="242"/>
      <c r="FE1048573" s="242"/>
      <c r="FF1048573" s="242"/>
      <c r="FG1048573" s="242"/>
      <c r="FH1048573" s="242"/>
      <c r="FI1048573" s="242"/>
      <c r="FJ1048573" s="242"/>
      <c r="FK1048573" s="242"/>
      <c r="FL1048573" s="242"/>
      <c r="FM1048573" s="242"/>
      <c r="FN1048573" s="242"/>
      <c r="FO1048573" s="242"/>
      <c r="FP1048573" s="242"/>
      <c r="FQ1048573" s="242"/>
      <c r="FR1048573" s="242"/>
      <c r="FS1048573" s="242"/>
      <c r="FT1048573" s="242"/>
      <c r="FU1048573" s="242"/>
      <c r="FV1048573" s="242"/>
      <c r="FW1048573" s="242"/>
      <c r="FX1048573" s="242"/>
      <c r="FY1048573" s="242"/>
      <c r="FZ1048573" s="242"/>
      <c r="GA1048573" s="242"/>
      <c r="GB1048573" s="242"/>
      <c r="GC1048573" s="242"/>
      <c r="GD1048573" s="242"/>
      <c r="GE1048573" s="242"/>
      <c r="GF1048573" s="242"/>
      <c r="GG1048573" s="242"/>
      <c r="GH1048573" s="242"/>
      <c r="GI1048573" s="242"/>
      <c r="GJ1048573" s="242"/>
      <c r="GK1048573" s="242"/>
      <c r="GL1048573" s="242"/>
      <c r="GM1048573" s="242"/>
      <c r="GN1048573" s="242"/>
      <c r="GO1048573" s="242"/>
      <c r="GP1048573" s="242"/>
      <c r="GQ1048573" s="242"/>
      <c r="GR1048573" s="242"/>
      <c r="GS1048573" s="242"/>
      <c r="GT1048573" s="242"/>
      <c r="GU1048573" s="242"/>
      <c r="GV1048573" s="242"/>
      <c r="GW1048573" s="242"/>
      <c r="GX1048573" s="242"/>
      <c r="GY1048573" s="242"/>
      <c r="GZ1048573" s="242"/>
      <c r="HA1048573" s="242"/>
      <c r="HB1048573" s="242"/>
      <c r="HC1048573" s="242"/>
      <c r="HD1048573" s="242"/>
      <c r="HE1048573" s="242"/>
      <c r="HF1048573" s="242"/>
      <c r="HG1048573" s="242"/>
      <c r="HH1048573" s="242"/>
      <c r="HI1048573" s="242"/>
      <c r="HJ1048573" s="242"/>
      <c r="HK1048573" s="242"/>
      <c r="HL1048573" s="242"/>
      <c r="HM1048573" s="242"/>
      <c r="HN1048573" s="242"/>
      <c r="HO1048573" s="242"/>
      <c r="HP1048573" s="242"/>
      <c r="HQ1048573" s="242"/>
      <c r="HR1048573" s="242"/>
      <c r="HS1048573" s="242"/>
      <c r="HT1048573" s="242"/>
      <c r="HU1048573" s="242"/>
      <c r="HV1048573" s="242"/>
      <c r="HW1048573" s="242"/>
      <c r="HX1048573" s="242"/>
      <c r="HY1048573" s="242"/>
      <c r="HZ1048573" s="242"/>
      <c r="IA1048573" s="242"/>
      <c r="IB1048573" s="242"/>
      <c r="IC1048573" s="242"/>
      <c r="ID1048573" s="242"/>
      <c r="IE1048573" s="242"/>
      <c r="IF1048573" s="242"/>
      <c r="IG1048573" s="242"/>
      <c r="IH1048573" s="242"/>
      <c r="II1048573" s="242"/>
      <c r="IJ1048573" s="242"/>
      <c r="IK1048573" s="242"/>
      <c r="IL1048573" s="242"/>
      <c r="IM1048573" s="242"/>
      <c r="IN1048573" s="242"/>
      <c r="IO1048573" s="242"/>
      <c r="IP1048573" s="242"/>
      <c r="IQ1048573" s="242"/>
    </row>
    <row r="1048574" spans="1:251" s="243" customFormat="1" ht="12.6" customHeight="1">
      <c r="A1048574" s="242"/>
      <c r="B1048574" s="242"/>
      <c r="C1048574" s="242"/>
      <c r="D1048574" s="242"/>
      <c r="E1048574" s="242"/>
      <c r="F1048574" s="242"/>
      <c r="G1048574" s="242"/>
      <c r="H1048574" s="242"/>
      <c r="I1048574" s="242"/>
      <c r="J1048574" s="242"/>
      <c r="K1048574" s="242"/>
      <c r="L1048574" s="242"/>
      <c r="M1048574" s="242"/>
      <c r="N1048574" s="242"/>
      <c r="O1048574" s="242"/>
      <c r="P1048574" s="242"/>
      <c r="Q1048574" s="242"/>
      <c r="R1048574" s="242"/>
      <c r="S1048574" s="242"/>
      <c r="T1048574" s="242"/>
      <c r="U1048574" s="242"/>
      <c r="V1048574" s="242"/>
      <c r="W1048574" s="242"/>
      <c r="X1048574" s="242"/>
      <c r="Y1048574" s="242"/>
      <c r="Z1048574" s="242"/>
      <c r="AA1048574" s="242"/>
      <c r="AB1048574" s="242"/>
      <c r="AC1048574" s="242"/>
      <c r="AD1048574" s="242"/>
      <c r="AE1048574" s="242"/>
      <c r="AF1048574" s="242"/>
      <c r="AG1048574" s="242"/>
      <c r="AH1048574" s="242"/>
      <c r="AI1048574" s="242"/>
      <c r="AJ1048574" s="242"/>
      <c r="AK1048574" s="242"/>
      <c r="AL1048574" s="242"/>
      <c r="AM1048574" s="242"/>
      <c r="AN1048574" s="242"/>
      <c r="AO1048574" s="242"/>
      <c r="AP1048574" s="242"/>
      <c r="AQ1048574" s="242"/>
      <c r="AR1048574" s="242"/>
      <c r="AS1048574" s="242"/>
      <c r="AT1048574" s="242"/>
      <c r="AU1048574" s="242"/>
      <c r="AV1048574" s="242"/>
      <c r="AW1048574" s="242"/>
      <c r="AX1048574" s="242"/>
      <c r="AY1048574" s="242"/>
      <c r="AZ1048574" s="242"/>
      <c r="BA1048574" s="242"/>
      <c r="BB1048574" s="242"/>
      <c r="BC1048574" s="242"/>
      <c r="BD1048574" s="242"/>
      <c r="BE1048574" s="242"/>
      <c r="BF1048574" s="242"/>
      <c r="BG1048574" s="242"/>
      <c r="BH1048574" s="242"/>
      <c r="BI1048574" s="242"/>
      <c r="BJ1048574" s="242"/>
      <c r="BK1048574" s="242"/>
      <c r="BL1048574" s="242"/>
      <c r="BM1048574" s="242"/>
      <c r="BN1048574" s="242"/>
      <c r="BO1048574" s="242"/>
      <c r="BP1048574" s="242"/>
      <c r="BQ1048574" s="242"/>
      <c r="BR1048574" s="242"/>
      <c r="BS1048574" s="242"/>
      <c r="BT1048574" s="242"/>
      <c r="BU1048574" s="242"/>
      <c r="BV1048574" s="242"/>
      <c r="BW1048574" s="242"/>
      <c r="BX1048574" s="242"/>
      <c r="BY1048574" s="242"/>
      <c r="BZ1048574" s="242"/>
      <c r="CA1048574" s="242"/>
      <c r="CB1048574" s="242"/>
      <c r="CC1048574" s="242"/>
      <c r="CD1048574" s="242"/>
      <c r="CE1048574" s="242"/>
      <c r="CF1048574" s="242"/>
      <c r="CG1048574" s="242"/>
      <c r="CH1048574" s="242"/>
      <c r="CI1048574" s="242"/>
      <c r="CJ1048574" s="242"/>
      <c r="CK1048574" s="242"/>
      <c r="CL1048574" s="242"/>
      <c r="CM1048574" s="242"/>
      <c r="CN1048574" s="242"/>
      <c r="CO1048574" s="242"/>
      <c r="CP1048574" s="242"/>
      <c r="CQ1048574" s="242"/>
      <c r="CR1048574" s="242"/>
      <c r="CS1048574" s="242"/>
      <c r="CT1048574" s="242"/>
      <c r="CU1048574" s="242"/>
      <c r="CV1048574" s="242"/>
      <c r="CW1048574" s="242"/>
      <c r="CX1048574" s="242"/>
      <c r="CY1048574" s="242"/>
      <c r="CZ1048574" s="242"/>
      <c r="DA1048574" s="242"/>
      <c r="DB1048574" s="242"/>
      <c r="DC1048574" s="242"/>
      <c r="DD1048574" s="242"/>
      <c r="DE1048574" s="242"/>
      <c r="DF1048574" s="242"/>
      <c r="DG1048574" s="242"/>
      <c r="DH1048574" s="242"/>
      <c r="DI1048574" s="242"/>
      <c r="DJ1048574" s="242"/>
      <c r="DK1048574" s="242"/>
      <c r="DL1048574" s="242"/>
      <c r="DM1048574" s="242"/>
      <c r="DN1048574" s="242"/>
      <c r="DO1048574" s="242"/>
      <c r="DP1048574" s="242"/>
      <c r="DQ1048574" s="242"/>
      <c r="DR1048574" s="242"/>
      <c r="DS1048574" s="242"/>
      <c r="DT1048574" s="242"/>
      <c r="DU1048574" s="242"/>
      <c r="DV1048574" s="242"/>
      <c r="DW1048574" s="242"/>
      <c r="DX1048574" s="242"/>
      <c r="DY1048574" s="242"/>
      <c r="DZ1048574" s="242"/>
      <c r="EA1048574" s="242"/>
      <c r="EB1048574" s="242"/>
      <c r="EC1048574" s="242"/>
      <c r="ED1048574" s="242"/>
      <c r="EE1048574" s="242"/>
      <c r="EF1048574" s="242"/>
      <c r="EG1048574" s="242"/>
      <c r="EH1048574" s="242"/>
      <c r="EI1048574" s="242"/>
      <c r="EJ1048574" s="242"/>
      <c r="EK1048574" s="242"/>
      <c r="EL1048574" s="242"/>
      <c r="EM1048574" s="242"/>
      <c r="EN1048574" s="242"/>
      <c r="EO1048574" s="242"/>
      <c r="EP1048574" s="242"/>
      <c r="EQ1048574" s="242"/>
      <c r="ER1048574" s="242"/>
      <c r="ES1048574" s="242"/>
      <c r="ET1048574" s="242"/>
      <c r="EU1048574" s="242"/>
      <c r="EV1048574" s="242"/>
      <c r="EW1048574" s="242"/>
      <c r="EX1048574" s="242"/>
      <c r="EY1048574" s="242"/>
      <c r="EZ1048574" s="242"/>
      <c r="FA1048574" s="242"/>
      <c r="FB1048574" s="242"/>
      <c r="FC1048574" s="242"/>
      <c r="FD1048574" s="242"/>
      <c r="FE1048574" s="242"/>
      <c r="FF1048574" s="242"/>
      <c r="FG1048574" s="242"/>
      <c r="FH1048574" s="242"/>
      <c r="FI1048574" s="242"/>
      <c r="FJ1048574" s="242"/>
      <c r="FK1048574" s="242"/>
      <c r="FL1048574" s="242"/>
      <c r="FM1048574" s="242"/>
      <c r="FN1048574" s="242"/>
      <c r="FO1048574" s="242"/>
      <c r="FP1048574" s="242"/>
      <c r="FQ1048574" s="242"/>
      <c r="FR1048574" s="242"/>
      <c r="FS1048574" s="242"/>
      <c r="FT1048574" s="242"/>
      <c r="FU1048574" s="242"/>
      <c r="FV1048574" s="242"/>
      <c r="FW1048574" s="242"/>
      <c r="FX1048574" s="242"/>
      <c r="FY1048574" s="242"/>
      <c r="FZ1048574" s="242"/>
      <c r="GA1048574" s="242"/>
      <c r="GB1048574" s="242"/>
      <c r="GC1048574" s="242"/>
      <c r="GD1048574" s="242"/>
      <c r="GE1048574" s="242"/>
      <c r="GF1048574" s="242"/>
      <c r="GG1048574" s="242"/>
      <c r="GH1048574" s="242"/>
      <c r="GI1048574" s="242"/>
      <c r="GJ1048574" s="242"/>
      <c r="GK1048574" s="242"/>
      <c r="GL1048574" s="242"/>
      <c r="GM1048574" s="242"/>
      <c r="GN1048574" s="242"/>
      <c r="GO1048574" s="242"/>
      <c r="GP1048574" s="242"/>
      <c r="GQ1048574" s="242"/>
      <c r="GR1048574" s="242"/>
      <c r="GS1048574" s="242"/>
      <c r="GT1048574" s="242"/>
      <c r="GU1048574" s="242"/>
      <c r="GV1048574" s="242"/>
      <c r="GW1048574" s="242"/>
      <c r="GX1048574" s="242"/>
      <c r="GY1048574" s="242"/>
      <c r="GZ1048574" s="242"/>
      <c r="HA1048574" s="242"/>
      <c r="HB1048574" s="242"/>
      <c r="HC1048574" s="242"/>
      <c r="HD1048574" s="242"/>
      <c r="HE1048574" s="242"/>
      <c r="HF1048574" s="242"/>
      <c r="HG1048574" s="242"/>
      <c r="HH1048574" s="242"/>
      <c r="HI1048574" s="242"/>
      <c r="HJ1048574" s="242"/>
      <c r="HK1048574" s="242"/>
      <c r="HL1048574" s="242"/>
      <c r="HM1048574" s="242"/>
      <c r="HN1048574" s="242"/>
      <c r="HO1048574" s="242"/>
      <c r="HP1048574" s="242"/>
      <c r="HQ1048574" s="242"/>
      <c r="HR1048574" s="242"/>
      <c r="HS1048574" s="242"/>
      <c r="HT1048574" s="242"/>
      <c r="HU1048574" s="242"/>
      <c r="HV1048574" s="242"/>
      <c r="HW1048574" s="242"/>
      <c r="HX1048574" s="242"/>
      <c r="HY1048574" s="242"/>
      <c r="HZ1048574" s="242"/>
      <c r="IA1048574" s="242"/>
      <c r="IB1048574" s="242"/>
      <c r="IC1048574" s="242"/>
      <c r="ID1048574" s="242"/>
      <c r="IE1048574" s="242"/>
      <c r="IF1048574" s="242"/>
      <c r="IG1048574" s="242"/>
      <c r="IH1048574" s="242"/>
      <c r="II1048574" s="242"/>
      <c r="IJ1048574" s="242"/>
      <c r="IK1048574" s="242"/>
      <c r="IL1048574" s="242"/>
      <c r="IM1048574" s="242"/>
      <c r="IN1048574" s="242"/>
      <c r="IO1048574" s="242"/>
      <c r="IP1048574" s="242"/>
      <c r="IQ1048574" s="242"/>
    </row>
    <row r="1048575" spans="1:251" s="243" customFormat="1" ht="12.6" customHeight="1">
      <c r="A1048575" s="242"/>
      <c r="B1048575" s="242"/>
      <c r="C1048575" s="242"/>
      <c r="D1048575" s="242"/>
      <c r="E1048575" s="242"/>
      <c r="F1048575" s="242"/>
      <c r="G1048575" s="242"/>
      <c r="H1048575" s="242"/>
      <c r="I1048575" s="242"/>
      <c r="J1048575" s="242"/>
      <c r="K1048575" s="242"/>
      <c r="L1048575" s="242"/>
      <c r="M1048575" s="242"/>
      <c r="N1048575" s="242"/>
      <c r="O1048575" s="242"/>
      <c r="P1048575" s="242"/>
      <c r="Q1048575" s="242"/>
      <c r="R1048575" s="242"/>
      <c r="S1048575" s="242"/>
      <c r="T1048575" s="242"/>
      <c r="U1048575" s="242"/>
      <c r="V1048575" s="242"/>
      <c r="W1048575" s="242"/>
      <c r="X1048575" s="242"/>
      <c r="Y1048575" s="242"/>
      <c r="Z1048575" s="242"/>
      <c r="AA1048575" s="242"/>
      <c r="AB1048575" s="242"/>
      <c r="AC1048575" s="242"/>
      <c r="AD1048575" s="242"/>
      <c r="AE1048575" s="242"/>
      <c r="AF1048575" s="242"/>
      <c r="AG1048575" s="242"/>
      <c r="AH1048575" s="242"/>
      <c r="AI1048575" s="242"/>
      <c r="AJ1048575" s="242"/>
      <c r="AK1048575" s="242"/>
      <c r="AL1048575" s="242"/>
      <c r="AM1048575" s="242"/>
      <c r="AN1048575" s="242"/>
      <c r="AO1048575" s="242"/>
      <c r="AP1048575" s="242"/>
      <c r="AQ1048575" s="242"/>
      <c r="AR1048575" s="242"/>
      <c r="AS1048575" s="242"/>
      <c r="AT1048575" s="242"/>
      <c r="AU1048575" s="242"/>
      <c r="AV1048575" s="242"/>
      <c r="AW1048575" s="242"/>
      <c r="AX1048575" s="242"/>
      <c r="AY1048575" s="242"/>
      <c r="AZ1048575" s="242"/>
      <c r="BA1048575" s="242"/>
      <c r="BB1048575" s="242"/>
      <c r="BC1048575" s="242"/>
      <c r="BD1048575" s="242"/>
      <c r="BE1048575" s="242"/>
      <c r="BF1048575" s="242"/>
      <c r="BG1048575" s="242"/>
      <c r="BH1048575" s="242"/>
      <c r="BI1048575" s="242"/>
      <c r="BJ1048575" s="242"/>
      <c r="BK1048575" s="242"/>
      <c r="BL1048575" s="242"/>
      <c r="BM1048575" s="242"/>
      <c r="BN1048575" s="242"/>
      <c r="BO1048575" s="242"/>
      <c r="BP1048575" s="242"/>
      <c r="BQ1048575" s="242"/>
      <c r="BR1048575" s="242"/>
      <c r="BS1048575" s="242"/>
      <c r="BT1048575" s="242"/>
      <c r="BU1048575" s="242"/>
      <c r="BV1048575" s="242"/>
      <c r="BW1048575" s="242"/>
      <c r="BX1048575" s="242"/>
      <c r="BY1048575" s="242"/>
      <c r="BZ1048575" s="242"/>
      <c r="CA1048575" s="242"/>
      <c r="CB1048575" s="242"/>
      <c r="CC1048575" s="242"/>
      <c r="CD1048575" s="242"/>
      <c r="CE1048575" s="242"/>
      <c r="CF1048575" s="242"/>
      <c r="CG1048575" s="242"/>
      <c r="CH1048575" s="242"/>
      <c r="CI1048575" s="242"/>
      <c r="CJ1048575" s="242"/>
      <c r="CK1048575" s="242"/>
      <c r="CL1048575" s="242"/>
      <c r="CM1048575" s="242"/>
      <c r="CN1048575" s="242"/>
      <c r="CO1048575" s="242"/>
      <c r="CP1048575" s="242"/>
      <c r="CQ1048575" s="242"/>
      <c r="CR1048575" s="242"/>
      <c r="CS1048575" s="242"/>
      <c r="CT1048575" s="242"/>
      <c r="CU1048575" s="242"/>
      <c r="CV1048575" s="242"/>
      <c r="CW1048575" s="242"/>
      <c r="CX1048575" s="242"/>
      <c r="CY1048575" s="242"/>
      <c r="CZ1048575" s="242"/>
      <c r="DA1048575" s="242"/>
      <c r="DB1048575" s="242"/>
      <c r="DC1048575" s="242"/>
      <c r="DD1048575" s="242"/>
      <c r="DE1048575" s="242"/>
      <c r="DF1048575" s="242"/>
      <c r="DG1048575" s="242"/>
      <c r="DH1048575" s="242"/>
      <c r="DI1048575" s="242"/>
      <c r="DJ1048575" s="242"/>
      <c r="DK1048575" s="242"/>
      <c r="DL1048575" s="242"/>
      <c r="DM1048575" s="242"/>
      <c r="DN1048575" s="242"/>
      <c r="DO1048575" s="242"/>
      <c r="DP1048575" s="242"/>
      <c r="DQ1048575" s="242"/>
      <c r="DR1048575" s="242"/>
      <c r="DS1048575" s="242"/>
      <c r="DT1048575" s="242"/>
      <c r="DU1048575" s="242"/>
      <c r="DV1048575" s="242"/>
      <c r="DW1048575" s="242"/>
      <c r="DX1048575" s="242"/>
      <c r="DY1048575" s="242"/>
      <c r="DZ1048575" s="242"/>
      <c r="EA1048575" s="242"/>
      <c r="EB1048575" s="242"/>
      <c r="EC1048575" s="242"/>
      <c r="ED1048575" s="242"/>
      <c r="EE1048575" s="242"/>
      <c r="EF1048575" s="242"/>
      <c r="EG1048575" s="242"/>
      <c r="EH1048575" s="242"/>
      <c r="EI1048575" s="242"/>
      <c r="EJ1048575" s="242"/>
      <c r="EK1048575" s="242"/>
      <c r="EL1048575" s="242"/>
      <c r="EM1048575" s="242"/>
      <c r="EN1048575" s="242"/>
      <c r="EO1048575" s="242"/>
      <c r="EP1048575" s="242"/>
      <c r="EQ1048575" s="242"/>
      <c r="ER1048575" s="242"/>
      <c r="ES1048575" s="242"/>
      <c r="ET1048575" s="242"/>
      <c r="EU1048575" s="242"/>
      <c r="EV1048575" s="242"/>
      <c r="EW1048575" s="242"/>
      <c r="EX1048575" s="242"/>
      <c r="EY1048575" s="242"/>
      <c r="EZ1048575" s="242"/>
      <c r="FA1048575" s="242"/>
      <c r="FB1048575" s="242"/>
      <c r="FC1048575" s="242"/>
      <c r="FD1048575" s="242"/>
      <c r="FE1048575" s="242"/>
      <c r="FF1048575" s="242"/>
      <c r="FG1048575" s="242"/>
      <c r="FH1048575" s="242"/>
      <c r="FI1048575" s="242"/>
      <c r="FJ1048575" s="242"/>
      <c r="FK1048575" s="242"/>
      <c r="FL1048575" s="242"/>
      <c r="FM1048575" s="242"/>
      <c r="FN1048575" s="242"/>
      <c r="FO1048575" s="242"/>
      <c r="FP1048575" s="242"/>
      <c r="FQ1048575" s="242"/>
      <c r="FR1048575" s="242"/>
      <c r="FS1048575" s="242"/>
      <c r="FT1048575" s="242"/>
      <c r="FU1048575" s="242"/>
      <c r="FV1048575" s="242"/>
      <c r="FW1048575" s="242"/>
      <c r="FX1048575" s="242"/>
      <c r="FY1048575" s="242"/>
      <c r="FZ1048575" s="242"/>
      <c r="GA1048575" s="242"/>
      <c r="GB1048575" s="242"/>
      <c r="GC1048575" s="242"/>
      <c r="GD1048575" s="242"/>
      <c r="GE1048575" s="242"/>
      <c r="GF1048575" s="242"/>
      <c r="GG1048575" s="242"/>
      <c r="GH1048575" s="242"/>
      <c r="GI1048575" s="242"/>
      <c r="GJ1048575" s="242"/>
      <c r="GK1048575" s="242"/>
      <c r="GL1048575" s="242"/>
      <c r="GM1048575" s="242"/>
      <c r="GN1048575" s="242"/>
      <c r="GO1048575" s="242"/>
      <c r="GP1048575" s="242"/>
      <c r="GQ1048575" s="242"/>
      <c r="GR1048575" s="242"/>
      <c r="GS1048575" s="242"/>
      <c r="GT1048575" s="242"/>
      <c r="GU1048575" s="242"/>
      <c r="GV1048575" s="242"/>
      <c r="GW1048575" s="242"/>
      <c r="GX1048575" s="242"/>
      <c r="GY1048575" s="242"/>
      <c r="GZ1048575" s="242"/>
      <c r="HA1048575" s="242"/>
      <c r="HB1048575" s="242"/>
      <c r="HC1048575" s="242"/>
      <c r="HD1048575" s="242"/>
      <c r="HE1048575" s="242"/>
      <c r="HF1048575" s="242"/>
      <c r="HG1048575" s="242"/>
      <c r="HH1048575" s="242"/>
      <c r="HI1048575" s="242"/>
      <c r="HJ1048575" s="242"/>
      <c r="HK1048575" s="242"/>
      <c r="HL1048575" s="242"/>
      <c r="HM1048575" s="242"/>
      <c r="HN1048575" s="242"/>
      <c r="HO1048575" s="242"/>
      <c r="HP1048575" s="242"/>
      <c r="HQ1048575" s="242"/>
      <c r="HR1048575" s="242"/>
      <c r="HS1048575" s="242"/>
      <c r="HT1048575" s="242"/>
      <c r="HU1048575" s="242"/>
      <c r="HV1048575" s="242"/>
      <c r="HW1048575" s="242"/>
      <c r="HX1048575" s="242"/>
      <c r="HY1048575" s="242"/>
      <c r="HZ1048575" s="242"/>
      <c r="IA1048575" s="242"/>
      <c r="IB1048575" s="242"/>
      <c r="IC1048575" s="242"/>
      <c r="ID1048575" s="242"/>
      <c r="IE1048575" s="242"/>
      <c r="IF1048575" s="242"/>
      <c r="IG1048575" s="242"/>
      <c r="IH1048575" s="242"/>
      <c r="II1048575" s="242"/>
      <c r="IJ1048575" s="242"/>
      <c r="IK1048575" s="242"/>
      <c r="IL1048575" s="242"/>
      <c r="IM1048575" s="242"/>
      <c r="IN1048575" s="242"/>
      <c r="IO1048575" s="242"/>
      <c r="IP1048575" s="242"/>
      <c r="IQ1048575" s="242"/>
    </row>
    <row r="1048576" spans="1:251" s="243" customFormat="1" ht="12.6" customHeight="1">
      <c r="A1048576" s="242"/>
      <c r="B1048576" s="242"/>
      <c r="C1048576" s="242"/>
      <c r="D1048576" s="242"/>
      <c r="E1048576" s="242"/>
      <c r="F1048576" s="242"/>
      <c r="G1048576" s="242"/>
      <c r="H1048576" s="242"/>
      <c r="I1048576" s="242"/>
      <c r="J1048576" s="242"/>
      <c r="K1048576" s="242"/>
      <c r="L1048576" s="242"/>
      <c r="M1048576" s="242"/>
      <c r="N1048576" s="242"/>
      <c r="O1048576" s="242"/>
      <c r="P1048576" s="242"/>
      <c r="Q1048576" s="242"/>
      <c r="R1048576" s="242"/>
      <c r="S1048576" s="242"/>
      <c r="T1048576" s="242"/>
      <c r="U1048576" s="242"/>
      <c r="V1048576" s="242"/>
      <c r="W1048576" s="242"/>
      <c r="X1048576" s="242"/>
      <c r="Y1048576" s="242"/>
      <c r="Z1048576" s="242"/>
      <c r="AA1048576" s="242"/>
      <c r="AB1048576" s="242"/>
      <c r="AC1048576" s="242"/>
      <c r="AD1048576" s="242"/>
      <c r="AE1048576" s="242"/>
      <c r="AF1048576" s="242"/>
      <c r="AG1048576" s="242"/>
      <c r="AH1048576" s="242"/>
      <c r="AI1048576" s="242"/>
      <c r="AJ1048576" s="242"/>
      <c r="AK1048576" s="242"/>
      <c r="AL1048576" s="242"/>
      <c r="AM1048576" s="242"/>
      <c r="AN1048576" s="242"/>
      <c r="AO1048576" s="242"/>
      <c r="AP1048576" s="242"/>
      <c r="AQ1048576" s="242"/>
      <c r="AR1048576" s="242"/>
      <c r="AS1048576" s="242"/>
      <c r="AT1048576" s="242"/>
      <c r="AU1048576" s="242"/>
      <c r="AV1048576" s="242"/>
      <c r="AW1048576" s="242"/>
      <c r="AX1048576" s="242"/>
      <c r="AY1048576" s="242"/>
      <c r="AZ1048576" s="242"/>
      <c r="BA1048576" s="242"/>
      <c r="BB1048576" s="242"/>
      <c r="BC1048576" s="242"/>
      <c r="BD1048576" s="242"/>
      <c r="BE1048576" s="242"/>
      <c r="BF1048576" s="242"/>
      <c r="BG1048576" s="242"/>
      <c r="BH1048576" s="242"/>
      <c r="BI1048576" s="242"/>
      <c r="BJ1048576" s="242"/>
      <c r="BK1048576" s="242"/>
      <c r="BL1048576" s="242"/>
      <c r="BM1048576" s="242"/>
      <c r="BN1048576" s="242"/>
      <c r="BO1048576" s="242"/>
      <c r="BP1048576" s="242"/>
      <c r="BQ1048576" s="242"/>
      <c r="BR1048576" s="242"/>
      <c r="BS1048576" s="242"/>
      <c r="BT1048576" s="242"/>
      <c r="BU1048576" s="242"/>
      <c r="BV1048576" s="242"/>
      <c r="BW1048576" s="242"/>
      <c r="BX1048576" s="242"/>
      <c r="BY1048576" s="242"/>
      <c r="BZ1048576" s="242"/>
      <c r="CA1048576" s="242"/>
      <c r="CB1048576" s="242"/>
      <c r="CC1048576" s="242"/>
      <c r="CD1048576" s="242"/>
      <c r="CE1048576" s="242"/>
      <c r="CF1048576" s="242"/>
      <c r="CG1048576" s="242"/>
      <c r="CH1048576" s="242"/>
      <c r="CI1048576" s="242"/>
      <c r="CJ1048576" s="242"/>
      <c r="CK1048576" s="242"/>
      <c r="CL1048576" s="242"/>
      <c r="CM1048576" s="242"/>
      <c r="CN1048576" s="242"/>
      <c r="CO1048576" s="242"/>
      <c r="CP1048576" s="242"/>
      <c r="CQ1048576" s="242"/>
      <c r="CR1048576" s="242"/>
      <c r="CS1048576" s="242"/>
      <c r="CT1048576" s="242"/>
      <c r="CU1048576" s="242"/>
      <c r="CV1048576" s="242"/>
      <c r="CW1048576" s="242"/>
      <c r="CX1048576" s="242"/>
      <c r="CY1048576" s="242"/>
      <c r="CZ1048576" s="242"/>
      <c r="DA1048576" s="242"/>
      <c r="DB1048576" s="242"/>
      <c r="DC1048576" s="242"/>
      <c r="DD1048576" s="242"/>
      <c r="DE1048576" s="242"/>
      <c r="DF1048576" s="242"/>
      <c r="DG1048576" s="242"/>
      <c r="DH1048576" s="242"/>
      <c r="DI1048576" s="242"/>
      <c r="DJ1048576" s="242"/>
      <c r="DK1048576" s="242"/>
      <c r="DL1048576" s="242"/>
      <c r="DM1048576" s="242"/>
      <c r="DN1048576" s="242"/>
      <c r="DO1048576" s="242"/>
      <c r="DP1048576" s="242"/>
      <c r="DQ1048576" s="242"/>
      <c r="DR1048576" s="242"/>
      <c r="DS1048576" s="242"/>
      <c r="DT1048576" s="242"/>
      <c r="DU1048576" s="242"/>
      <c r="DV1048576" s="242"/>
      <c r="DW1048576" s="242"/>
      <c r="DX1048576" s="242"/>
      <c r="DY1048576" s="242"/>
      <c r="DZ1048576" s="242"/>
      <c r="EA1048576" s="242"/>
      <c r="EB1048576" s="242"/>
      <c r="EC1048576" s="242"/>
      <c r="ED1048576" s="242"/>
      <c r="EE1048576" s="242"/>
      <c r="EF1048576" s="242"/>
      <c r="EG1048576" s="242"/>
      <c r="EH1048576" s="242"/>
      <c r="EI1048576" s="242"/>
      <c r="EJ1048576" s="242"/>
      <c r="EK1048576" s="242"/>
      <c r="EL1048576" s="242"/>
      <c r="EM1048576" s="242"/>
      <c r="EN1048576" s="242"/>
      <c r="EO1048576" s="242"/>
      <c r="EP1048576" s="242"/>
      <c r="EQ1048576" s="242"/>
      <c r="ER1048576" s="242"/>
      <c r="ES1048576" s="242"/>
      <c r="ET1048576" s="242"/>
      <c r="EU1048576" s="242"/>
      <c r="EV1048576" s="242"/>
      <c r="EW1048576" s="242"/>
      <c r="EX1048576" s="242"/>
      <c r="EY1048576" s="242"/>
      <c r="EZ1048576" s="242"/>
      <c r="FA1048576" s="242"/>
      <c r="FB1048576" s="242"/>
      <c r="FC1048576" s="242"/>
      <c r="FD1048576" s="242"/>
      <c r="FE1048576" s="242"/>
      <c r="FF1048576" s="242"/>
      <c r="FG1048576" s="242"/>
      <c r="FH1048576" s="242"/>
      <c r="FI1048576" s="242"/>
      <c r="FJ1048576" s="242"/>
      <c r="FK1048576" s="242"/>
      <c r="FL1048576" s="242"/>
      <c r="FM1048576" s="242"/>
      <c r="FN1048576" s="242"/>
      <c r="FO1048576" s="242"/>
      <c r="FP1048576" s="242"/>
      <c r="FQ1048576" s="242"/>
      <c r="FR1048576" s="242"/>
      <c r="FS1048576" s="242"/>
      <c r="FT1048576" s="242"/>
      <c r="FU1048576" s="242"/>
      <c r="FV1048576" s="242"/>
      <c r="FW1048576" s="242"/>
      <c r="FX1048576" s="242"/>
      <c r="FY1048576" s="242"/>
      <c r="FZ1048576" s="242"/>
      <c r="GA1048576" s="242"/>
      <c r="GB1048576" s="242"/>
      <c r="GC1048576" s="242"/>
      <c r="GD1048576" s="242"/>
      <c r="GE1048576" s="242"/>
      <c r="GF1048576" s="242"/>
      <c r="GG1048576" s="242"/>
      <c r="GH1048576" s="242"/>
      <c r="GI1048576" s="242"/>
      <c r="GJ1048576" s="242"/>
      <c r="GK1048576" s="242"/>
      <c r="GL1048576" s="242"/>
      <c r="GM1048576" s="242"/>
      <c r="GN1048576" s="242"/>
      <c r="GO1048576" s="242"/>
      <c r="GP1048576" s="242"/>
      <c r="GQ1048576" s="242"/>
      <c r="GR1048576" s="242"/>
      <c r="GS1048576" s="242"/>
      <c r="GT1048576" s="242"/>
      <c r="GU1048576" s="242"/>
      <c r="GV1048576" s="242"/>
      <c r="GW1048576" s="242"/>
      <c r="GX1048576" s="242"/>
      <c r="GY1048576" s="242"/>
      <c r="GZ1048576" s="242"/>
      <c r="HA1048576" s="242"/>
      <c r="HB1048576" s="242"/>
      <c r="HC1048576" s="242"/>
      <c r="HD1048576" s="242"/>
      <c r="HE1048576" s="242"/>
      <c r="HF1048576" s="242"/>
      <c r="HG1048576" s="242"/>
      <c r="HH1048576" s="242"/>
      <c r="HI1048576" s="242"/>
      <c r="HJ1048576" s="242"/>
      <c r="HK1048576" s="242"/>
      <c r="HL1048576" s="242"/>
      <c r="HM1048576" s="242"/>
      <c r="HN1048576" s="242"/>
      <c r="HO1048576" s="242"/>
      <c r="HP1048576" s="242"/>
      <c r="HQ1048576" s="242"/>
      <c r="HR1048576" s="242"/>
      <c r="HS1048576" s="242"/>
      <c r="HT1048576" s="242"/>
      <c r="HU1048576" s="242"/>
      <c r="HV1048576" s="242"/>
      <c r="HW1048576" s="242"/>
      <c r="HX1048576" s="242"/>
      <c r="HY1048576" s="242"/>
      <c r="HZ1048576" s="242"/>
      <c r="IA1048576" s="242"/>
      <c r="IB1048576" s="242"/>
      <c r="IC1048576" s="242"/>
      <c r="ID1048576" s="242"/>
      <c r="IE1048576" s="242"/>
      <c r="IF1048576" s="242"/>
      <c r="IG1048576" s="242"/>
      <c r="IH1048576" s="242"/>
      <c r="II1048576" s="242"/>
      <c r="IJ1048576" s="242"/>
      <c r="IK1048576" s="242"/>
      <c r="IL1048576" s="242"/>
      <c r="IM1048576" s="242"/>
      <c r="IN1048576" s="242"/>
      <c r="IO1048576" s="242"/>
      <c r="IP1048576" s="242"/>
      <c r="IQ1048576" s="242"/>
    </row>
  </sheetData>
  <mergeCells count="6">
    <mergeCell ref="E8:H8"/>
    <mergeCell ref="I8:K8"/>
    <mergeCell ref="E9:H9"/>
    <mergeCell ref="I9:K9"/>
    <mergeCell ref="A1:K1"/>
    <mergeCell ref="A2:K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CFF9-E4E3-45CE-9189-3BDDCEF48ADD}">
  <sheetPr>
    <tabColor theme="4" tint="0.39997558519241921"/>
  </sheetPr>
  <dimension ref="A1:K386"/>
  <sheetViews>
    <sheetView topLeftCell="A34" workbookViewId="0">
      <selection activeCell="K38" sqref="K38"/>
    </sheetView>
  </sheetViews>
  <sheetFormatPr defaultRowHeight="11.25"/>
  <cols>
    <col min="1" max="1" width="12.5" style="30" customWidth="1"/>
    <col min="2" max="2" width="24.6640625" style="34" customWidth="1"/>
    <col min="3" max="3" width="79" style="32" customWidth="1"/>
    <col min="4" max="5" width="9.33203125" style="31"/>
    <col min="6" max="6" width="79" style="33" customWidth="1"/>
    <col min="7" max="11" width="18.33203125" style="30" customWidth="1"/>
    <col min="12" max="16384" width="9.33203125" style="30"/>
  </cols>
  <sheetData>
    <row r="1" spans="1:11" ht="30.75" customHeight="1" thickBot="1">
      <c r="A1" s="238" t="s">
        <v>1236</v>
      </c>
      <c r="B1" s="239"/>
      <c r="C1" s="239"/>
      <c r="D1" s="239"/>
      <c r="E1" s="239"/>
      <c r="F1" s="239"/>
      <c r="G1" s="239"/>
      <c r="H1" s="239"/>
      <c r="I1" s="1"/>
      <c r="J1" s="1"/>
      <c r="K1" s="1"/>
    </row>
    <row r="2" spans="1:11" ht="60">
      <c r="A2" s="2" t="s">
        <v>1071</v>
      </c>
      <c r="B2" s="3" t="s">
        <v>961</v>
      </c>
      <c r="C2" s="4" t="s">
        <v>1072</v>
      </c>
      <c r="D2" s="5" t="s">
        <v>1073</v>
      </c>
      <c r="E2" s="6" t="s">
        <v>1074</v>
      </c>
      <c r="F2" s="4" t="s">
        <v>1139</v>
      </c>
      <c r="G2" s="7" t="s">
        <v>1140</v>
      </c>
      <c r="H2" s="7" t="s">
        <v>1141</v>
      </c>
      <c r="I2" s="7" t="s">
        <v>1142</v>
      </c>
      <c r="J2" s="7" t="s">
        <v>1143</v>
      </c>
      <c r="K2" s="8" t="s">
        <v>1144</v>
      </c>
    </row>
    <row r="3" spans="1:11" ht="45">
      <c r="A3" s="9">
        <v>1</v>
      </c>
      <c r="B3" s="10" t="s">
        <v>1145</v>
      </c>
      <c r="C3" s="10" t="s">
        <v>1146</v>
      </c>
      <c r="D3" s="11" t="s">
        <v>591</v>
      </c>
      <c r="E3" s="11">
        <v>1</v>
      </c>
      <c r="F3" s="12"/>
      <c r="G3" s="13">
        <v>0</v>
      </c>
      <c r="H3" s="14">
        <f>E3*G3</f>
        <v>0</v>
      </c>
      <c r="I3" s="13">
        <v>0</v>
      </c>
      <c r="J3" s="14">
        <f>E3*I3</f>
        <v>0</v>
      </c>
      <c r="K3" s="15">
        <f>H3+J3</f>
        <v>0</v>
      </c>
    </row>
    <row r="4" spans="1:11" ht="30">
      <c r="A4" s="9">
        <v>6</v>
      </c>
      <c r="B4" s="10" t="s">
        <v>1147</v>
      </c>
      <c r="C4" s="10" t="s">
        <v>1148</v>
      </c>
      <c r="D4" s="11" t="s">
        <v>591</v>
      </c>
      <c r="E4" s="11">
        <v>1</v>
      </c>
      <c r="F4" s="12"/>
      <c r="G4" s="13">
        <v>0</v>
      </c>
      <c r="H4" s="14">
        <f t="shared" ref="H4:H37" si="0">E4*G4</f>
        <v>0</v>
      </c>
      <c r="I4" s="13">
        <v>0</v>
      </c>
      <c r="J4" s="14">
        <f t="shared" ref="J4:J37" si="1">E4*I4</f>
        <v>0</v>
      </c>
      <c r="K4" s="15">
        <f t="shared" ref="K4:K37" si="2">H4+J4</f>
        <v>0</v>
      </c>
    </row>
    <row r="5" spans="1:11" ht="30">
      <c r="A5" s="9">
        <v>7</v>
      </c>
      <c r="B5" s="10" t="s">
        <v>1149</v>
      </c>
      <c r="C5" s="10" t="s">
        <v>1150</v>
      </c>
      <c r="D5" s="11" t="s">
        <v>591</v>
      </c>
      <c r="E5" s="11">
        <v>4</v>
      </c>
      <c r="F5" s="12"/>
      <c r="G5" s="13">
        <v>0</v>
      </c>
      <c r="H5" s="14">
        <f t="shared" si="0"/>
        <v>0</v>
      </c>
      <c r="I5" s="13">
        <v>0</v>
      </c>
      <c r="J5" s="14">
        <f t="shared" si="1"/>
        <v>0</v>
      </c>
      <c r="K5" s="15">
        <f t="shared" si="2"/>
        <v>0</v>
      </c>
    </row>
    <row r="6" spans="1:11" ht="30">
      <c r="A6" s="9">
        <v>8</v>
      </c>
      <c r="B6" s="10" t="s">
        <v>1151</v>
      </c>
      <c r="C6" s="10" t="s">
        <v>1152</v>
      </c>
      <c r="D6" s="11" t="s">
        <v>591</v>
      </c>
      <c r="E6" s="11">
        <v>1</v>
      </c>
      <c r="F6" s="12"/>
      <c r="G6" s="13">
        <v>0</v>
      </c>
      <c r="H6" s="14">
        <f t="shared" si="0"/>
        <v>0</v>
      </c>
      <c r="I6" s="13">
        <v>0</v>
      </c>
      <c r="J6" s="14">
        <f t="shared" si="1"/>
        <v>0</v>
      </c>
      <c r="K6" s="15">
        <f t="shared" si="2"/>
        <v>0</v>
      </c>
    </row>
    <row r="7" spans="1:11" ht="30">
      <c r="A7" s="9">
        <v>9</v>
      </c>
      <c r="B7" s="10" t="s">
        <v>1153</v>
      </c>
      <c r="C7" s="10" t="s">
        <v>1154</v>
      </c>
      <c r="D7" s="11" t="s">
        <v>591</v>
      </c>
      <c r="E7" s="11">
        <v>1</v>
      </c>
      <c r="F7" s="12"/>
      <c r="G7" s="13">
        <v>0</v>
      </c>
      <c r="H7" s="14">
        <f t="shared" si="0"/>
        <v>0</v>
      </c>
      <c r="I7" s="13">
        <v>0</v>
      </c>
      <c r="J7" s="14">
        <f t="shared" si="1"/>
        <v>0</v>
      </c>
      <c r="K7" s="15">
        <f t="shared" si="2"/>
        <v>0</v>
      </c>
    </row>
    <row r="8" spans="1:11" ht="45">
      <c r="A8" s="9">
        <v>10</v>
      </c>
      <c r="B8" s="10" t="s">
        <v>1155</v>
      </c>
      <c r="C8" s="10" t="s">
        <v>1156</v>
      </c>
      <c r="D8" s="11" t="s">
        <v>591</v>
      </c>
      <c r="E8" s="11">
        <v>1</v>
      </c>
      <c r="F8" s="12"/>
      <c r="G8" s="13">
        <v>0</v>
      </c>
      <c r="H8" s="14">
        <f t="shared" si="0"/>
        <v>0</v>
      </c>
      <c r="I8" s="13">
        <v>0</v>
      </c>
      <c r="J8" s="14">
        <f t="shared" si="1"/>
        <v>0</v>
      </c>
      <c r="K8" s="15">
        <f t="shared" si="2"/>
        <v>0</v>
      </c>
    </row>
    <row r="9" spans="1:11" ht="15">
      <c r="A9" s="9">
        <v>11</v>
      </c>
      <c r="B9" s="10" t="s">
        <v>1157</v>
      </c>
      <c r="C9" s="10" t="s">
        <v>1158</v>
      </c>
      <c r="D9" s="11" t="s">
        <v>591</v>
      </c>
      <c r="E9" s="11">
        <v>1</v>
      </c>
      <c r="F9" s="12"/>
      <c r="G9" s="13">
        <v>0</v>
      </c>
      <c r="H9" s="14">
        <f t="shared" si="0"/>
        <v>0</v>
      </c>
      <c r="I9" s="13">
        <v>0</v>
      </c>
      <c r="J9" s="14">
        <f t="shared" si="1"/>
        <v>0</v>
      </c>
      <c r="K9" s="15">
        <f t="shared" si="2"/>
        <v>0</v>
      </c>
    </row>
    <row r="10" spans="1:11" ht="153" customHeight="1">
      <c r="A10" s="9">
        <v>12</v>
      </c>
      <c r="B10" s="10" t="s">
        <v>1159</v>
      </c>
      <c r="C10" s="16" t="s">
        <v>1160</v>
      </c>
      <c r="D10" s="11" t="s">
        <v>591</v>
      </c>
      <c r="E10" s="11">
        <v>1</v>
      </c>
      <c r="F10" s="12"/>
      <c r="G10" s="13">
        <v>0</v>
      </c>
      <c r="H10" s="14">
        <f t="shared" si="0"/>
        <v>0</v>
      </c>
      <c r="I10" s="13">
        <v>0</v>
      </c>
      <c r="J10" s="14">
        <f t="shared" si="1"/>
        <v>0</v>
      </c>
      <c r="K10" s="15">
        <f t="shared" si="2"/>
        <v>0</v>
      </c>
    </row>
    <row r="11" spans="1:11" ht="30">
      <c r="A11" s="9">
        <v>13</v>
      </c>
      <c r="B11" s="10" t="s">
        <v>1161</v>
      </c>
      <c r="C11" s="10" t="s">
        <v>1162</v>
      </c>
      <c r="D11" s="11" t="s">
        <v>591</v>
      </c>
      <c r="E11" s="11">
        <v>1</v>
      </c>
      <c r="F11" s="12"/>
      <c r="G11" s="13">
        <v>0</v>
      </c>
      <c r="H11" s="14">
        <f t="shared" si="0"/>
        <v>0</v>
      </c>
      <c r="I11" s="13">
        <v>0</v>
      </c>
      <c r="J11" s="14">
        <f t="shared" si="1"/>
        <v>0</v>
      </c>
      <c r="K11" s="15">
        <f t="shared" si="2"/>
        <v>0</v>
      </c>
    </row>
    <row r="12" spans="1:11" ht="30">
      <c r="A12" s="9">
        <v>14</v>
      </c>
      <c r="B12" s="10" t="s">
        <v>1163</v>
      </c>
      <c r="C12" s="10" t="s">
        <v>1164</v>
      </c>
      <c r="D12" s="11" t="s">
        <v>591</v>
      </c>
      <c r="E12" s="11">
        <v>1</v>
      </c>
      <c r="F12" s="12"/>
      <c r="G12" s="13">
        <v>0</v>
      </c>
      <c r="H12" s="14">
        <f t="shared" si="0"/>
        <v>0</v>
      </c>
      <c r="I12" s="13">
        <v>0</v>
      </c>
      <c r="J12" s="14">
        <f t="shared" si="1"/>
        <v>0</v>
      </c>
      <c r="K12" s="15">
        <f t="shared" si="2"/>
        <v>0</v>
      </c>
    </row>
    <row r="13" spans="1:11" ht="45">
      <c r="A13" s="9">
        <v>15</v>
      </c>
      <c r="B13" s="10" t="s">
        <v>1165</v>
      </c>
      <c r="C13" s="10" t="s">
        <v>1166</v>
      </c>
      <c r="D13" s="11" t="s">
        <v>591</v>
      </c>
      <c r="E13" s="11">
        <v>1</v>
      </c>
      <c r="F13" s="12"/>
      <c r="G13" s="13">
        <v>0</v>
      </c>
      <c r="H13" s="14">
        <f t="shared" si="0"/>
        <v>0</v>
      </c>
      <c r="I13" s="13">
        <v>0</v>
      </c>
      <c r="J13" s="14">
        <f t="shared" si="1"/>
        <v>0</v>
      </c>
      <c r="K13" s="15">
        <f t="shared" si="2"/>
        <v>0</v>
      </c>
    </row>
    <row r="14" spans="1:11" ht="45">
      <c r="A14" s="9">
        <v>16</v>
      </c>
      <c r="B14" s="10" t="s">
        <v>1167</v>
      </c>
      <c r="C14" s="10" t="s">
        <v>1168</v>
      </c>
      <c r="D14" s="11" t="s">
        <v>591</v>
      </c>
      <c r="E14" s="11">
        <v>2</v>
      </c>
      <c r="F14" s="12"/>
      <c r="G14" s="13">
        <v>0</v>
      </c>
      <c r="H14" s="14">
        <f t="shared" si="0"/>
        <v>0</v>
      </c>
      <c r="I14" s="13">
        <v>0</v>
      </c>
      <c r="J14" s="14">
        <f t="shared" si="1"/>
        <v>0</v>
      </c>
      <c r="K14" s="15">
        <f t="shared" si="2"/>
        <v>0</v>
      </c>
    </row>
    <row r="15" spans="1:11" ht="195">
      <c r="A15" s="9">
        <v>17</v>
      </c>
      <c r="B15" s="10" t="s">
        <v>1169</v>
      </c>
      <c r="C15" s="10" t="s">
        <v>1170</v>
      </c>
      <c r="D15" s="11" t="s">
        <v>591</v>
      </c>
      <c r="E15" s="11">
        <v>2</v>
      </c>
      <c r="F15" s="12"/>
      <c r="G15" s="13">
        <v>0</v>
      </c>
      <c r="H15" s="14">
        <f t="shared" si="0"/>
        <v>0</v>
      </c>
      <c r="I15" s="13">
        <v>0</v>
      </c>
      <c r="J15" s="14">
        <f t="shared" si="1"/>
        <v>0</v>
      </c>
      <c r="K15" s="15">
        <f t="shared" si="2"/>
        <v>0</v>
      </c>
    </row>
    <row r="16" spans="1:11" ht="15">
      <c r="A16" s="9">
        <v>18</v>
      </c>
      <c r="B16" s="10" t="s">
        <v>1171</v>
      </c>
      <c r="C16" s="10" t="s">
        <v>1158</v>
      </c>
      <c r="D16" s="11" t="s">
        <v>591</v>
      </c>
      <c r="E16" s="11">
        <v>1</v>
      </c>
      <c r="F16" s="12"/>
      <c r="G16" s="13">
        <v>0</v>
      </c>
      <c r="H16" s="14">
        <f t="shared" si="0"/>
        <v>0</v>
      </c>
      <c r="I16" s="13">
        <v>0</v>
      </c>
      <c r="J16" s="14">
        <f t="shared" si="1"/>
        <v>0</v>
      </c>
      <c r="K16" s="15">
        <f t="shared" si="2"/>
        <v>0</v>
      </c>
    </row>
    <row r="17" spans="1:11" ht="380.1" customHeight="1">
      <c r="A17" s="9">
        <v>19</v>
      </c>
      <c r="B17" s="17" t="s">
        <v>1172</v>
      </c>
      <c r="C17" s="10" t="s">
        <v>1239</v>
      </c>
      <c r="D17" s="11" t="s">
        <v>591</v>
      </c>
      <c r="E17" s="11">
        <v>1</v>
      </c>
      <c r="F17" s="12"/>
      <c r="G17" s="13">
        <v>0</v>
      </c>
      <c r="H17" s="14">
        <f t="shared" si="0"/>
        <v>0</v>
      </c>
      <c r="I17" s="13">
        <v>0</v>
      </c>
      <c r="J17" s="14">
        <f t="shared" si="1"/>
        <v>0</v>
      </c>
      <c r="K17" s="15">
        <f t="shared" si="2"/>
        <v>0</v>
      </c>
    </row>
    <row r="18" spans="1:11" ht="15">
      <c r="A18" s="9">
        <v>20</v>
      </c>
      <c r="B18" s="10" t="s">
        <v>1173</v>
      </c>
      <c r="C18" s="10" t="s">
        <v>1174</v>
      </c>
      <c r="D18" s="11" t="s">
        <v>591</v>
      </c>
      <c r="E18" s="11">
        <v>1</v>
      </c>
      <c r="F18" s="12"/>
      <c r="G18" s="13">
        <v>0</v>
      </c>
      <c r="H18" s="14">
        <f t="shared" si="0"/>
        <v>0</v>
      </c>
      <c r="I18" s="13">
        <v>0</v>
      </c>
      <c r="J18" s="14">
        <f t="shared" si="1"/>
        <v>0</v>
      </c>
      <c r="K18" s="15">
        <f t="shared" si="2"/>
        <v>0</v>
      </c>
    </row>
    <row r="19" spans="1:11" ht="210">
      <c r="A19" s="9">
        <v>21</v>
      </c>
      <c r="B19" s="10" t="s">
        <v>1175</v>
      </c>
      <c r="C19" s="10" t="s">
        <v>1176</v>
      </c>
      <c r="D19" s="11" t="s">
        <v>591</v>
      </c>
      <c r="E19" s="11">
        <v>1</v>
      </c>
      <c r="F19" s="12"/>
      <c r="G19" s="13">
        <v>0</v>
      </c>
      <c r="H19" s="14">
        <f t="shared" si="0"/>
        <v>0</v>
      </c>
      <c r="I19" s="13">
        <v>0</v>
      </c>
      <c r="J19" s="14">
        <f t="shared" si="1"/>
        <v>0</v>
      </c>
      <c r="K19" s="15">
        <f t="shared" si="2"/>
        <v>0</v>
      </c>
    </row>
    <row r="20" spans="1:11" ht="15">
      <c r="A20" s="9">
        <v>22</v>
      </c>
      <c r="B20" s="10" t="s">
        <v>1161</v>
      </c>
      <c r="C20" s="10" t="s">
        <v>1177</v>
      </c>
      <c r="D20" s="11" t="s">
        <v>591</v>
      </c>
      <c r="E20" s="11">
        <v>1</v>
      </c>
      <c r="F20" s="12"/>
      <c r="G20" s="13">
        <v>0</v>
      </c>
      <c r="H20" s="14">
        <f t="shared" si="0"/>
        <v>0</v>
      </c>
      <c r="I20" s="13">
        <v>0</v>
      </c>
      <c r="J20" s="14">
        <f t="shared" si="1"/>
        <v>0</v>
      </c>
      <c r="K20" s="15">
        <f t="shared" si="2"/>
        <v>0</v>
      </c>
    </row>
    <row r="21" spans="1:11" ht="150">
      <c r="A21" s="9">
        <v>23</v>
      </c>
      <c r="B21" s="10" t="s">
        <v>1178</v>
      </c>
      <c r="C21" s="10" t="s">
        <v>1179</v>
      </c>
      <c r="D21" s="11" t="s">
        <v>591</v>
      </c>
      <c r="E21" s="11">
        <v>1</v>
      </c>
      <c r="F21" s="12"/>
      <c r="G21" s="13">
        <v>0</v>
      </c>
      <c r="H21" s="14">
        <f t="shared" si="0"/>
        <v>0</v>
      </c>
      <c r="I21" s="13">
        <v>0</v>
      </c>
      <c r="J21" s="14">
        <f t="shared" si="1"/>
        <v>0</v>
      </c>
      <c r="K21" s="15">
        <f t="shared" si="2"/>
        <v>0</v>
      </c>
    </row>
    <row r="22" spans="1:11" ht="170.1" customHeight="1">
      <c r="A22" s="9">
        <v>24</v>
      </c>
      <c r="B22" s="10" t="s">
        <v>1180</v>
      </c>
      <c r="C22" s="10" t="s">
        <v>1181</v>
      </c>
      <c r="D22" s="11" t="s">
        <v>591</v>
      </c>
      <c r="E22" s="11">
        <v>1</v>
      </c>
      <c r="F22" s="12"/>
      <c r="G22" s="13">
        <v>0</v>
      </c>
      <c r="H22" s="14">
        <f t="shared" si="0"/>
        <v>0</v>
      </c>
      <c r="I22" s="13">
        <v>0</v>
      </c>
      <c r="J22" s="14">
        <f t="shared" si="1"/>
        <v>0</v>
      </c>
      <c r="K22" s="15">
        <f t="shared" si="2"/>
        <v>0</v>
      </c>
    </row>
    <row r="23" spans="1:11" ht="15">
      <c r="A23" s="9">
        <v>25</v>
      </c>
      <c r="B23" s="10" t="s">
        <v>1173</v>
      </c>
      <c r="C23" s="10" t="s">
        <v>1182</v>
      </c>
      <c r="D23" s="11" t="s">
        <v>591</v>
      </c>
      <c r="E23" s="11">
        <v>1</v>
      </c>
      <c r="F23" s="12"/>
      <c r="G23" s="13">
        <v>0</v>
      </c>
      <c r="H23" s="14">
        <f t="shared" si="0"/>
        <v>0</v>
      </c>
      <c r="I23" s="13">
        <v>0</v>
      </c>
      <c r="J23" s="14">
        <f t="shared" si="1"/>
        <v>0</v>
      </c>
      <c r="K23" s="15">
        <f t="shared" si="2"/>
        <v>0</v>
      </c>
    </row>
    <row r="24" spans="1:11" ht="210">
      <c r="A24" s="9">
        <v>26</v>
      </c>
      <c r="B24" s="10" t="s">
        <v>1183</v>
      </c>
      <c r="C24" s="10" t="s">
        <v>1184</v>
      </c>
      <c r="D24" s="11" t="s">
        <v>591</v>
      </c>
      <c r="E24" s="11">
        <v>1</v>
      </c>
      <c r="F24" s="12"/>
      <c r="G24" s="13">
        <v>0</v>
      </c>
      <c r="H24" s="14">
        <f t="shared" si="0"/>
        <v>0</v>
      </c>
      <c r="I24" s="13">
        <v>0</v>
      </c>
      <c r="J24" s="14">
        <f t="shared" si="1"/>
        <v>0</v>
      </c>
      <c r="K24" s="15">
        <f t="shared" si="2"/>
        <v>0</v>
      </c>
    </row>
    <row r="25" spans="1:11" ht="45">
      <c r="A25" s="9">
        <v>27</v>
      </c>
      <c r="B25" s="10" t="s">
        <v>1185</v>
      </c>
      <c r="C25" s="10" t="s">
        <v>1186</v>
      </c>
      <c r="D25" s="11" t="s">
        <v>591</v>
      </c>
      <c r="E25" s="11">
        <v>1</v>
      </c>
      <c r="F25" s="12"/>
      <c r="G25" s="13">
        <v>0</v>
      </c>
      <c r="H25" s="14">
        <f t="shared" si="0"/>
        <v>0</v>
      </c>
      <c r="I25" s="13">
        <v>0</v>
      </c>
      <c r="J25" s="14">
        <f t="shared" si="1"/>
        <v>0</v>
      </c>
      <c r="K25" s="15">
        <f t="shared" si="2"/>
        <v>0</v>
      </c>
    </row>
    <row r="26" spans="1:11" ht="60">
      <c r="A26" s="9">
        <v>28</v>
      </c>
      <c r="B26" s="10" t="s">
        <v>1187</v>
      </c>
      <c r="C26" s="10" t="s">
        <v>1188</v>
      </c>
      <c r="D26" s="11" t="s">
        <v>591</v>
      </c>
      <c r="E26" s="11">
        <v>1</v>
      </c>
      <c r="F26" s="12"/>
      <c r="G26" s="13">
        <v>0</v>
      </c>
      <c r="H26" s="14">
        <f t="shared" si="0"/>
        <v>0</v>
      </c>
      <c r="I26" s="13">
        <v>0</v>
      </c>
      <c r="J26" s="14">
        <f t="shared" si="1"/>
        <v>0</v>
      </c>
      <c r="K26" s="15">
        <f t="shared" si="2"/>
        <v>0</v>
      </c>
    </row>
    <row r="27" spans="1:11" ht="90">
      <c r="A27" s="9">
        <v>29</v>
      </c>
      <c r="B27" s="10" t="s">
        <v>1189</v>
      </c>
      <c r="C27" s="10" t="s">
        <v>1190</v>
      </c>
      <c r="D27" s="11" t="s">
        <v>591</v>
      </c>
      <c r="E27" s="11">
        <v>2</v>
      </c>
      <c r="F27" s="12"/>
      <c r="G27" s="13">
        <v>0</v>
      </c>
      <c r="H27" s="14">
        <f t="shared" si="0"/>
        <v>0</v>
      </c>
      <c r="I27" s="13">
        <v>0</v>
      </c>
      <c r="J27" s="14">
        <f t="shared" si="1"/>
        <v>0</v>
      </c>
      <c r="K27" s="15">
        <f t="shared" si="2"/>
        <v>0</v>
      </c>
    </row>
    <row r="28" spans="1:11" ht="120">
      <c r="A28" s="9">
        <v>30</v>
      </c>
      <c r="B28" s="10" t="s">
        <v>1191</v>
      </c>
      <c r="C28" s="10" t="s">
        <v>1192</v>
      </c>
      <c r="D28" s="11" t="s">
        <v>591</v>
      </c>
      <c r="E28" s="11">
        <v>2</v>
      </c>
      <c r="F28" s="12"/>
      <c r="G28" s="13">
        <v>0</v>
      </c>
      <c r="H28" s="14">
        <f t="shared" si="0"/>
        <v>0</v>
      </c>
      <c r="I28" s="13">
        <v>0</v>
      </c>
      <c r="J28" s="14">
        <f t="shared" si="1"/>
        <v>0</v>
      </c>
      <c r="K28" s="15">
        <f t="shared" si="2"/>
        <v>0</v>
      </c>
    </row>
    <row r="29" spans="1:11" ht="255" customHeight="1">
      <c r="A29" s="9">
        <v>32</v>
      </c>
      <c r="B29" s="10" t="s">
        <v>1193</v>
      </c>
      <c r="C29" s="10" t="s">
        <v>1194</v>
      </c>
      <c r="D29" s="11" t="s">
        <v>591</v>
      </c>
      <c r="E29" s="11">
        <v>1</v>
      </c>
      <c r="F29" s="12"/>
      <c r="G29" s="13">
        <v>0</v>
      </c>
      <c r="H29" s="14">
        <f t="shared" si="0"/>
        <v>0</v>
      </c>
      <c r="I29" s="13">
        <v>0</v>
      </c>
      <c r="J29" s="14">
        <f t="shared" si="1"/>
        <v>0</v>
      </c>
      <c r="K29" s="15">
        <f t="shared" si="2"/>
        <v>0</v>
      </c>
    </row>
    <row r="30" spans="1:11" ht="30">
      <c r="A30" s="9">
        <v>33</v>
      </c>
      <c r="B30" s="10" t="s">
        <v>1195</v>
      </c>
      <c r="C30" s="10" t="s">
        <v>1196</v>
      </c>
      <c r="D30" s="11" t="s">
        <v>591</v>
      </c>
      <c r="E30" s="11">
        <v>1</v>
      </c>
      <c r="F30" s="12"/>
      <c r="G30" s="13">
        <v>0</v>
      </c>
      <c r="H30" s="14">
        <f t="shared" si="0"/>
        <v>0</v>
      </c>
      <c r="I30" s="13">
        <v>0</v>
      </c>
      <c r="J30" s="14">
        <f t="shared" si="1"/>
        <v>0</v>
      </c>
      <c r="K30" s="15">
        <f t="shared" si="2"/>
        <v>0</v>
      </c>
    </row>
    <row r="31" spans="1:11" ht="75">
      <c r="A31" s="9">
        <v>34</v>
      </c>
      <c r="B31" s="10" t="s">
        <v>1197</v>
      </c>
      <c r="C31" s="10" t="s">
        <v>1198</v>
      </c>
      <c r="D31" s="11" t="s">
        <v>591</v>
      </c>
      <c r="E31" s="11">
        <v>1</v>
      </c>
      <c r="F31" s="12"/>
      <c r="G31" s="13">
        <v>0</v>
      </c>
      <c r="H31" s="18">
        <f>E31*G31</f>
        <v>0</v>
      </c>
      <c r="I31" s="13">
        <v>0</v>
      </c>
      <c r="J31" s="14">
        <f t="shared" si="1"/>
        <v>0</v>
      </c>
      <c r="K31" s="15">
        <f t="shared" si="2"/>
        <v>0</v>
      </c>
    </row>
    <row r="32" spans="1:11" ht="409.5">
      <c r="A32" s="9">
        <v>35</v>
      </c>
      <c r="B32" s="10" t="s">
        <v>1199</v>
      </c>
      <c r="C32" s="16" t="s">
        <v>1200</v>
      </c>
      <c r="D32" s="11" t="s">
        <v>591</v>
      </c>
      <c r="E32" s="11">
        <v>1</v>
      </c>
      <c r="F32" s="12"/>
      <c r="G32" s="13">
        <v>0</v>
      </c>
      <c r="H32" s="14">
        <f t="shared" si="0"/>
        <v>0</v>
      </c>
      <c r="I32" s="13">
        <v>0</v>
      </c>
      <c r="J32" s="14">
        <f t="shared" si="1"/>
        <v>0</v>
      </c>
      <c r="K32" s="15">
        <f t="shared" si="2"/>
        <v>0</v>
      </c>
    </row>
    <row r="33" spans="1:11" ht="15">
      <c r="A33" s="9">
        <v>36</v>
      </c>
      <c r="B33" s="10" t="s">
        <v>1173</v>
      </c>
      <c r="C33" s="10" t="s">
        <v>1201</v>
      </c>
      <c r="D33" s="11" t="s">
        <v>591</v>
      </c>
      <c r="E33" s="11">
        <v>1</v>
      </c>
      <c r="F33" s="12"/>
      <c r="G33" s="13">
        <v>0</v>
      </c>
      <c r="H33" s="14">
        <f t="shared" si="0"/>
        <v>0</v>
      </c>
      <c r="I33" s="13">
        <v>0</v>
      </c>
      <c r="J33" s="14">
        <f t="shared" si="1"/>
        <v>0</v>
      </c>
      <c r="K33" s="15">
        <f t="shared" si="2"/>
        <v>0</v>
      </c>
    </row>
    <row r="34" spans="1:11" ht="45">
      <c r="A34" s="9">
        <v>38</v>
      </c>
      <c r="B34" s="10" t="s">
        <v>1202</v>
      </c>
      <c r="C34" s="10" t="s">
        <v>1203</v>
      </c>
      <c r="D34" s="11" t="s">
        <v>591</v>
      </c>
      <c r="E34" s="11">
        <v>1</v>
      </c>
      <c r="F34" s="12"/>
      <c r="G34" s="13">
        <v>0</v>
      </c>
      <c r="H34" s="14">
        <f t="shared" si="0"/>
        <v>0</v>
      </c>
      <c r="I34" s="13">
        <v>0</v>
      </c>
      <c r="J34" s="14">
        <f t="shared" si="1"/>
        <v>0</v>
      </c>
      <c r="K34" s="15">
        <f t="shared" si="2"/>
        <v>0</v>
      </c>
    </row>
    <row r="35" spans="1:11" ht="15">
      <c r="A35" s="9">
        <v>40</v>
      </c>
      <c r="B35" s="10" t="s">
        <v>1173</v>
      </c>
      <c r="C35" s="10" t="s">
        <v>1204</v>
      </c>
      <c r="D35" s="11" t="s">
        <v>591</v>
      </c>
      <c r="E35" s="11">
        <v>1</v>
      </c>
      <c r="F35" s="12"/>
      <c r="G35" s="13">
        <v>0</v>
      </c>
      <c r="H35" s="14">
        <f t="shared" si="0"/>
        <v>0</v>
      </c>
      <c r="I35" s="13">
        <v>0</v>
      </c>
      <c r="J35" s="14">
        <f t="shared" si="1"/>
        <v>0</v>
      </c>
      <c r="K35" s="15">
        <f t="shared" si="2"/>
        <v>0</v>
      </c>
    </row>
    <row r="36" spans="1:11" ht="30.75" customHeight="1">
      <c r="A36" s="19">
        <v>41</v>
      </c>
      <c r="B36" s="20" t="s">
        <v>1155</v>
      </c>
      <c r="C36" s="20" t="s">
        <v>1205</v>
      </c>
      <c r="D36" s="21" t="s">
        <v>591</v>
      </c>
      <c r="E36" s="21">
        <v>2</v>
      </c>
      <c r="F36" s="22"/>
      <c r="G36" s="23">
        <v>0</v>
      </c>
      <c r="H36" s="24">
        <f t="shared" si="0"/>
        <v>0</v>
      </c>
      <c r="I36" s="23">
        <v>0</v>
      </c>
      <c r="J36" s="24">
        <f t="shared" si="1"/>
        <v>0</v>
      </c>
      <c r="K36" s="25">
        <f t="shared" si="2"/>
        <v>0</v>
      </c>
    </row>
    <row r="37" spans="1:11" ht="339.75" customHeight="1" thickBot="1">
      <c r="A37" s="11">
        <v>42</v>
      </c>
      <c r="B37" s="10" t="s">
        <v>1206</v>
      </c>
      <c r="C37" s="10" t="s">
        <v>1207</v>
      </c>
      <c r="D37" s="11" t="s">
        <v>591</v>
      </c>
      <c r="E37" s="11">
        <v>1</v>
      </c>
      <c r="F37" s="26"/>
      <c r="G37" s="13">
        <v>0</v>
      </c>
      <c r="H37" s="14">
        <f t="shared" si="0"/>
        <v>0</v>
      </c>
      <c r="I37" s="13">
        <v>0</v>
      </c>
      <c r="J37" s="14">
        <f t="shared" si="1"/>
        <v>0</v>
      </c>
      <c r="K37" s="25">
        <f t="shared" si="2"/>
        <v>0</v>
      </c>
    </row>
    <row r="38" spans="1:11" ht="23.25" customHeight="1" thickTop="1" thickBot="1">
      <c r="A38" s="27"/>
      <c r="B38" s="28"/>
      <c r="C38" s="28"/>
      <c r="D38" s="27"/>
      <c r="E38" s="27"/>
      <c r="F38" s="29"/>
      <c r="G38" s="1"/>
      <c r="H38" s="1"/>
      <c r="I38" s="240" t="s">
        <v>1208</v>
      </c>
      <c r="J38" s="240"/>
      <c r="K38" s="174">
        <f>SUM(K3:K37)</f>
        <v>0</v>
      </c>
    </row>
    <row r="39" spans="1:11" ht="12" thickTop="1">
      <c r="A39" s="31"/>
      <c r="B39" s="32"/>
    </row>
    <row r="40" spans="1:11">
      <c r="A40" s="31"/>
      <c r="B40" s="32"/>
    </row>
    <row r="41" spans="1:11">
      <c r="A41" s="31"/>
      <c r="B41" s="32"/>
    </row>
    <row r="42" spans="1:11">
      <c r="A42" s="31"/>
      <c r="B42" s="32"/>
    </row>
    <row r="43" spans="1:11">
      <c r="A43" s="31"/>
      <c r="B43" s="32"/>
    </row>
    <row r="44" spans="1:11">
      <c r="A44" s="31"/>
      <c r="B44" s="32"/>
    </row>
    <row r="45" spans="1:11">
      <c r="A45" s="31"/>
      <c r="B45" s="32"/>
    </row>
    <row r="46" spans="1:11">
      <c r="A46" s="31"/>
      <c r="B46" s="32"/>
    </row>
    <row r="47" spans="1:11">
      <c r="A47" s="31"/>
      <c r="B47" s="32"/>
    </row>
    <row r="48" spans="1:11">
      <c r="A48" s="31"/>
      <c r="B48" s="32"/>
    </row>
    <row r="49" spans="1:2">
      <c r="A49" s="31"/>
      <c r="B49" s="32"/>
    </row>
    <row r="50" spans="1:2">
      <c r="A50" s="31"/>
      <c r="B50" s="32"/>
    </row>
    <row r="51" spans="1:2">
      <c r="A51" s="31"/>
      <c r="B51" s="32"/>
    </row>
    <row r="52" spans="1:2">
      <c r="A52" s="31"/>
      <c r="B52" s="32"/>
    </row>
    <row r="53" spans="1:2">
      <c r="A53" s="31"/>
      <c r="B53" s="32"/>
    </row>
    <row r="54" spans="1:2">
      <c r="A54" s="31"/>
      <c r="B54" s="32"/>
    </row>
    <row r="55" spans="1:2">
      <c r="A55" s="31"/>
      <c r="B55" s="32"/>
    </row>
    <row r="56" spans="1:2">
      <c r="A56" s="31"/>
      <c r="B56" s="32"/>
    </row>
    <row r="57" spans="1:2">
      <c r="A57" s="31"/>
      <c r="B57" s="32"/>
    </row>
    <row r="58" spans="1:2">
      <c r="A58" s="31"/>
      <c r="B58" s="32"/>
    </row>
    <row r="59" spans="1:2">
      <c r="A59" s="31"/>
      <c r="B59" s="32"/>
    </row>
    <row r="60" spans="1:2">
      <c r="A60" s="31"/>
      <c r="B60" s="32"/>
    </row>
    <row r="61" spans="1:2">
      <c r="A61" s="31"/>
      <c r="B61" s="32"/>
    </row>
    <row r="62" spans="1:2">
      <c r="A62" s="31"/>
      <c r="B62" s="32"/>
    </row>
    <row r="63" spans="1:2">
      <c r="A63" s="31"/>
      <c r="B63" s="32"/>
    </row>
    <row r="64" spans="1:2">
      <c r="A64" s="31"/>
      <c r="B64" s="32"/>
    </row>
    <row r="65" spans="1:2">
      <c r="A65" s="31"/>
      <c r="B65" s="32"/>
    </row>
    <row r="66" spans="1:2">
      <c r="A66" s="31"/>
      <c r="B66" s="32"/>
    </row>
    <row r="67" spans="1:2">
      <c r="A67" s="31"/>
      <c r="B67" s="32"/>
    </row>
    <row r="68" spans="1:2">
      <c r="A68" s="31"/>
      <c r="B68" s="32"/>
    </row>
    <row r="69" spans="1:2">
      <c r="A69" s="31"/>
      <c r="B69" s="32"/>
    </row>
    <row r="70" spans="1:2">
      <c r="A70" s="31"/>
      <c r="B70" s="32"/>
    </row>
    <row r="71" spans="1:2">
      <c r="A71" s="31"/>
      <c r="B71" s="32"/>
    </row>
    <row r="72" spans="1:2">
      <c r="A72" s="31"/>
      <c r="B72" s="32"/>
    </row>
    <row r="73" spans="1:2">
      <c r="A73" s="31"/>
      <c r="B73" s="32"/>
    </row>
    <row r="74" spans="1:2">
      <c r="A74" s="31"/>
      <c r="B74" s="32"/>
    </row>
    <row r="75" spans="1:2">
      <c r="A75" s="31"/>
      <c r="B75" s="32"/>
    </row>
    <row r="76" spans="1:2">
      <c r="A76" s="31"/>
      <c r="B76" s="32"/>
    </row>
    <row r="77" spans="1:2">
      <c r="A77" s="31"/>
      <c r="B77" s="32"/>
    </row>
    <row r="78" spans="1:2">
      <c r="A78" s="31"/>
      <c r="B78" s="32"/>
    </row>
    <row r="79" spans="1:2">
      <c r="A79" s="31"/>
      <c r="B79" s="32"/>
    </row>
    <row r="80" spans="1:2">
      <c r="A80" s="31"/>
      <c r="B80" s="32"/>
    </row>
    <row r="81" spans="1:2">
      <c r="A81" s="31"/>
      <c r="B81" s="32"/>
    </row>
    <row r="82" spans="1:2">
      <c r="A82" s="31"/>
      <c r="B82" s="32"/>
    </row>
    <row r="83" spans="1:2">
      <c r="A83" s="31"/>
      <c r="B83" s="32"/>
    </row>
    <row r="84" spans="1:2">
      <c r="A84" s="31"/>
      <c r="B84" s="32"/>
    </row>
    <row r="85" spans="1:2">
      <c r="A85" s="31"/>
      <c r="B85" s="32"/>
    </row>
    <row r="86" spans="1:2">
      <c r="A86" s="31"/>
      <c r="B86" s="32"/>
    </row>
    <row r="87" spans="1:2">
      <c r="A87" s="31"/>
      <c r="B87" s="32"/>
    </row>
    <row r="88" spans="1:2">
      <c r="A88" s="31"/>
      <c r="B88" s="32"/>
    </row>
    <row r="89" spans="1:2">
      <c r="A89" s="31"/>
      <c r="B89" s="32"/>
    </row>
    <row r="90" spans="1:2">
      <c r="A90" s="31"/>
      <c r="B90" s="32"/>
    </row>
    <row r="91" spans="1:2">
      <c r="A91" s="31"/>
      <c r="B91" s="32"/>
    </row>
    <row r="92" spans="1:2">
      <c r="A92" s="31"/>
      <c r="B92" s="32"/>
    </row>
    <row r="93" spans="1:2">
      <c r="A93" s="31"/>
      <c r="B93" s="32"/>
    </row>
    <row r="94" spans="1:2">
      <c r="A94" s="31"/>
      <c r="B94" s="32"/>
    </row>
    <row r="95" spans="1:2">
      <c r="A95" s="31"/>
      <c r="B95" s="32"/>
    </row>
    <row r="96" spans="1:2">
      <c r="A96" s="31"/>
      <c r="B96" s="32"/>
    </row>
    <row r="97" spans="1:2">
      <c r="A97" s="31"/>
      <c r="B97" s="32"/>
    </row>
    <row r="98" spans="1:2">
      <c r="A98" s="31"/>
      <c r="B98" s="32"/>
    </row>
    <row r="99" spans="1:2">
      <c r="A99" s="31"/>
      <c r="B99" s="32"/>
    </row>
    <row r="100" spans="1:2">
      <c r="A100" s="31"/>
      <c r="B100" s="32"/>
    </row>
    <row r="101" spans="1:2">
      <c r="A101" s="31"/>
      <c r="B101" s="32"/>
    </row>
    <row r="102" spans="1:2">
      <c r="A102" s="31"/>
      <c r="B102" s="32"/>
    </row>
    <row r="103" spans="1:2">
      <c r="A103" s="31"/>
      <c r="B103" s="32"/>
    </row>
    <row r="104" spans="1:2">
      <c r="A104" s="31"/>
      <c r="B104" s="32"/>
    </row>
    <row r="105" spans="1:2">
      <c r="A105" s="31"/>
      <c r="B105" s="32"/>
    </row>
    <row r="106" spans="1:2">
      <c r="A106" s="31"/>
      <c r="B106" s="32"/>
    </row>
    <row r="107" spans="1:2">
      <c r="A107" s="31"/>
      <c r="B107" s="32"/>
    </row>
    <row r="108" spans="1:2">
      <c r="A108" s="31"/>
      <c r="B108" s="32"/>
    </row>
    <row r="109" spans="1:2">
      <c r="A109" s="31"/>
      <c r="B109" s="32"/>
    </row>
    <row r="110" spans="1:2">
      <c r="A110" s="31"/>
      <c r="B110" s="32"/>
    </row>
    <row r="111" spans="1:2">
      <c r="A111" s="31"/>
      <c r="B111" s="32"/>
    </row>
    <row r="112" spans="1:2">
      <c r="A112" s="31"/>
      <c r="B112" s="32"/>
    </row>
    <row r="113" spans="1:2">
      <c r="A113" s="31"/>
      <c r="B113" s="32"/>
    </row>
    <row r="114" spans="1:2">
      <c r="A114" s="31"/>
      <c r="B114" s="32"/>
    </row>
    <row r="115" spans="1:2">
      <c r="A115" s="31"/>
      <c r="B115" s="32"/>
    </row>
    <row r="116" spans="1:2">
      <c r="A116" s="31"/>
      <c r="B116" s="32"/>
    </row>
    <row r="117" spans="1:2">
      <c r="A117" s="31"/>
      <c r="B117" s="32"/>
    </row>
    <row r="118" spans="1:2">
      <c r="A118" s="31"/>
      <c r="B118" s="32"/>
    </row>
    <row r="119" spans="1:2">
      <c r="A119" s="31"/>
      <c r="B119" s="32"/>
    </row>
    <row r="120" spans="1:2">
      <c r="A120" s="31"/>
      <c r="B120" s="32"/>
    </row>
    <row r="121" spans="1:2">
      <c r="A121" s="31"/>
      <c r="B121" s="32"/>
    </row>
    <row r="122" spans="1:2">
      <c r="A122" s="31"/>
      <c r="B122" s="32"/>
    </row>
    <row r="123" spans="1:2">
      <c r="A123" s="31"/>
      <c r="B123" s="32"/>
    </row>
    <row r="124" spans="1:2">
      <c r="A124" s="31"/>
      <c r="B124" s="32"/>
    </row>
    <row r="125" spans="1:2">
      <c r="A125" s="31"/>
      <c r="B125" s="32"/>
    </row>
    <row r="126" spans="1:2">
      <c r="A126" s="31"/>
      <c r="B126" s="32"/>
    </row>
    <row r="127" spans="1:2">
      <c r="A127" s="31"/>
      <c r="B127" s="32"/>
    </row>
    <row r="128" spans="1:2">
      <c r="A128" s="31"/>
      <c r="B128" s="32"/>
    </row>
    <row r="129" spans="1:2">
      <c r="A129" s="31"/>
      <c r="B129" s="32"/>
    </row>
    <row r="130" spans="1:2">
      <c r="A130" s="31"/>
      <c r="B130" s="32"/>
    </row>
    <row r="131" spans="1:2">
      <c r="A131" s="31"/>
      <c r="B131" s="32"/>
    </row>
    <row r="132" spans="1:2">
      <c r="A132" s="31"/>
      <c r="B132" s="32"/>
    </row>
    <row r="133" spans="1:2">
      <c r="A133" s="31"/>
      <c r="B133" s="32"/>
    </row>
    <row r="134" spans="1:2">
      <c r="A134" s="31"/>
      <c r="B134" s="32"/>
    </row>
    <row r="135" spans="1:2">
      <c r="A135" s="31"/>
      <c r="B135" s="32"/>
    </row>
    <row r="136" spans="1:2">
      <c r="A136" s="31"/>
      <c r="B136" s="32"/>
    </row>
    <row r="137" spans="1:2">
      <c r="A137" s="31"/>
      <c r="B137" s="32"/>
    </row>
    <row r="138" spans="1:2">
      <c r="A138" s="31"/>
      <c r="B138" s="32"/>
    </row>
    <row r="139" spans="1:2">
      <c r="A139" s="31"/>
      <c r="B139" s="32"/>
    </row>
    <row r="140" spans="1:2">
      <c r="A140" s="31"/>
      <c r="B140" s="32"/>
    </row>
    <row r="141" spans="1:2">
      <c r="A141" s="31"/>
      <c r="B141" s="32"/>
    </row>
    <row r="142" spans="1:2">
      <c r="A142" s="31"/>
      <c r="B142" s="32"/>
    </row>
    <row r="143" spans="1:2">
      <c r="A143" s="31"/>
      <c r="B143" s="32"/>
    </row>
    <row r="144" spans="1:2">
      <c r="A144" s="31"/>
      <c r="B144" s="32"/>
    </row>
    <row r="145" spans="1:2">
      <c r="A145" s="31"/>
      <c r="B145" s="32"/>
    </row>
    <row r="146" spans="1:2">
      <c r="A146" s="31"/>
      <c r="B146" s="32"/>
    </row>
    <row r="147" spans="1:2">
      <c r="A147" s="31"/>
      <c r="B147" s="32"/>
    </row>
    <row r="148" spans="1:2">
      <c r="A148" s="31"/>
      <c r="B148" s="32"/>
    </row>
    <row r="149" spans="1:2">
      <c r="A149" s="31"/>
      <c r="B149" s="32"/>
    </row>
    <row r="150" spans="1:2">
      <c r="A150" s="31"/>
      <c r="B150" s="32"/>
    </row>
    <row r="151" spans="1:2">
      <c r="A151" s="31"/>
      <c r="B151" s="32"/>
    </row>
    <row r="152" spans="1:2">
      <c r="A152" s="31"/>
      <c r="B152" s="32"/>
    </row>
    <row r="153" spans="1:2">
      <c r="A153" s="31"/>
      <c r="B153" s="32"/>
    </row>
    <row r="154" spans="1:2">
      <c r="A154" s="31"/>
      <c r="B154" s="32"/>
    </row>
    <row r="155" spans="1:2">
      <c r="A155" s="31"/>
      <c r="B155" s="32"/>
    </row>
    <row r="156" spans="1:2">
      <c r="A156" s="31"/>
      <c r="B156" s="32"/>
    </row>
    <row r="157" spans="1:2">
      <c r="A157" s="31"/>
      <c r="B157" s="32"/>
    </row>
    <row r="158" spans="1:2">
      <c r="A158" s="31"/>
      <c r="B158" s="32"/>
    </row>
    <row r="159" spans="1:2">
      <c r="A159" s="31"/>
      <c r="B159" s="32"/>
    </row>
    <row r="160" spans="1:2">
      <c r="A160" s="31"/>
      <c r="B160" s="32"/>
    </row>
    <row r="161" spans="1:2">
      <c r="A161" s="31"/>
      <c r="B161" s="32"/>
    </row>
    <row r="162" spans="1:2">
      <c r="A162" s="31"/>
      <c r="B162" s="32"/>
    </row>
    <row r="163" spans="1:2">
      <c r="A163" s="31"/>
      <c r="B163" s="32"/>
    </row>
    <row r="164" spans="1:2">
      <c r="A164" s="31"/>
      <c r="B164" s="32"/>
    </row>
    <row r="165" spans="1:2">
      <c r="A165" s="31"/>
      <c r="B165" s="32"/>
    </row>
    <row r="166" spans="1:2">
      <c r="A166" s="31"/>
      <c r="B166" s="32"/>
    </row>
    <row r="167" spans="1:2">
      <c r="A167" s="31"/>
      <c r="B167" s="32"/>
    </row>
    <row r="168" spans="1:2">
      <c r="A168" s="31"/>
      <c r="B168" s="32"/>
    </row>
    <row r="169" spans="1:2">
      <c r="A169" s="31"/>
      <c r="B169" s="32"/>
    </row>
    <row r="170" spans="1:2">
      <c r="A170" s="31"/>
      <c r="B170" s="32"/>
    </row>
    <row r="171" spans="1:2">
      <c r="A171" s="31"/>
      <c r="B171" s="32"/>
    </row>
    <row r="172" spans="1:2">
      <c r="A172" s="31"/>
      <c r="B172" s="32"/>
    </row>
    <row r="173" spans="1:2">
      <c r="A173" s="31"/>
      <c r="B173" s="32"/>
    </row>
    <row r="174" spans="1:2">
      <c r="A174" s="31"/>
      <c r="B174" s="32"/>
    </row>
    <row r="175" spans="1:2">
      <c r="A175" s="31"/>
      <c r="B175" s="32"/>
    </row>
    <row r="176" spans="1:2">
      <c r="A176" s="31"/>
      <c r="B176" s="32"/>
    </row>
    <row r="177" spans="1:2">
      <c r="A177" s="31"/>
      <c r="B177" s="32"/>
    </row>
    <row r="178" spans="1:2">
      <c r="A178" s="31"/>
      <c r="B178" s="32"/>
    </row>
    <row r="179" spans="1:2">
      <c r="A179" s="31"/>
      <c r="B179" s="32"/>
    </row>
    <row r="180" spans="1:2">
      <c r="A180" s="31"/>
      <c r="B180" s="32"/>
    </row>
    <row r="181" spans="1:2">
      <c r="A181" s="31"/>
      <c r="B181" s="32"/>
    </row>
    <row r="182" spans="1:2">
      <c r="A182" s="31"/>
      <c r="B182" s="32"/>
    </row>
    <row r="183" spans="1:2">
      <c r="A183" s="31"/>
      <c r="B183" s="32"/>
    </row>
    <row r="184" spans="1:2">
      <c r="A184" s="31"/>
      <c r="B184" s="32"/>
    </row>
    <row r="185" spans="1:2">
      <c r="A185" s="31"/>
      <c r="B185" s="32"/>
    </row>
    <row r="186" spans="1:2">
      <c r="A186" s="31"/>
      <c r="B186" s="32"/>
    </row>
    <row r="187" spans="1:2">
      <c r="A187" s="31"/>
      <c r="B187" s="32"/>
    </row>
    <row r="188" spans="1:2">
      <c r="A188" s="31"/>
      <c r="B188" s="32"/>
    </row>
    <row r="189" spans="1:2">
      <c r="A189" s="31"/>
      <c r="B189" s="32"/>
    </row>
    <row r="190" spans="1:2">
      <c r="A190" s="31"/>
      <c r="B190" s="32"/>
    </row>
    <row r="191" spans="1:2">
      <c r="A191" s="31"/>
      <c r="B191" s="32"/>
    </row>
    <row r="192" spans="1:2">
      <c r="A192" s="31"/>
      <c r="B192" s="32"/>
    </row>
    <row r="193" spans="1:2">
      <c r="A193" s="31"/>
      <c r="B193" s="32"/>
    </row>
    <row r="194" spans="1:2">
      <c r="A194" s="31"/>
      <c r="B194" s="32"/>
    </row>
    <row r="195" spans="1:2">
      <c r="A195" s="31"/>
      <c r="B195" s="32"/>
    </row>
    <row r="196" spans="1:2">
      <c r="A196" s="31"/>
      <c r="B196" s="32"/>
    </row>
    <row r="197" spans="1:2">
      <c r="A197" s="31"/>
      <c r="B197" s="32"/>
    </row>
    <row r="198" spans="1:2">
      <c r="A198" s="31"/>
      <c r="B198" s="32"/>
    </row>
    <row r="199" spans="1:2">
      <c r="A199" s="31"/>
      <c r="B199" s="32"/>
    </row>
    <row r="200" spans="1:2">
      <c r="A200" s="31"/>
      <c r="B200" s="32"/>
    </row>
    <row r="201" spans="1:2">
      <c r="A201" s="31"/>
      <c r="B201" s="32"/>
    </row>
    <row r="202" spans="1:2">
      <c r="A202" s="31"/>
      <c r="B202" s="32"/>
    </row>
    <row r="203" spans="1:2">
      <c r="A203" s="31"/>
      <c r="B203" s="32"/>
    </row>
    <row r="204" spans="1:2">
      <c r="A204" s="31"/>
      <c r="B204" s="32"/>
    </row>
    <row r="205" spans="1:2">
      <c r="A205" s="31"/>
      <c r="B205" s="32"/>
    </row>
    <row r="206" spans="1:2">
      <c r="A206" s="31"/>
      <c r="B206" s="32"/>
    </row>
    <row r="207" spans="1:2">
      <c r="A207" s="31"/>
      <c r="B207" s="32"/>
    </row>
    <row r="208" spans="1:2">
      <c r="A208" s="31"/>
      <c r="B208" s="32"/>
    </row>
    <row r="209" spans="1:2">
      <c r="A209" s="31"/>
      <c r="B209" s="32"/>
    </row>
    <row r="210" spans="1:2">
      <c r="A210" s="31"/>
      <c r="B210" s="32"/>
    </row>
    <row r="211" spans="1:2">
      <c r="A211" s="31"/>
      <c r="B211" s="32"/>
    </row>
    <row r="212" spans="1:2">
      <c r="A212" s="31"/>
      <c r="B212" s="32"/>
    </row>
    <row r="213" spans="1:2">
      <c r="A213" s="31"/>
      <c r="B213" s="32"/>
    </row>
    <row r="214" spans="1:2">
      <c r="A214" s="31"/>
      <c r="B214" s="32"/>
    </row>
    <row r="215" spans="1:2">
      <c r="A215" s="31"/>
      <c r="B215" s="32"/>
    </row>
    <row r="216" spans="1:2">
      <c r="A216" s="31"/>
      <c r="B216" s="32"/>
    </row>
    <row r="217" spans="1:2">
      <c r="A217" s="31"/>
      <c r="B217" s="32"/>
    </row>
    <row r="218" spans="1:2">
      <c r="A218" s="31"/>
      <c r="B218" s="32"/>
    </row>
    <row r="219" spans="1:2">
      <c r="A219" s="31"/>
      <c r="B219" s="32"/>
    </row>
    <row r="220" spans="1:2">
      <c r="A220" s="31"/>
      <c r="B220" s="32"/>
    </row>
    <row r="221" spans="1:2">
      <c r="A221" s="31"/>
      <c r="B221" s="32"/>
    </row>
    <row r="222" spans="1:2">
      <c r="A222" s="31"/>
      <c r="B222" s="32"/>
    </row>
    <row r="223" spans="1:2">
      <c r="A223" s="31"/>
      <c r="B223" s="32"/>
    </row>
    <row r="224" spans="1:2">
      <c r="A224" s="31"/>
      <c r="B224" s="32"/>
    </row>
    <row r="225" spans="1:2">
      <c r="A225" s="31"/>
      <c r="B225" s="32"/>
    </row>
    <row r="226" spans="1:2">
      <c r="A226" s="31"/>
      <c r="B226" s="32"/>
    </row>
    <row r="227" spans="1:2">
      <c r="A227" s="31"/>
      <c r="B227" s="32"/>
    </row>
    <row r="228" spans="1:2">
      <c r="A228" s="31"/>
      <c r="B228" s="32"/>
    </row>
    <row r="229" spans="1:2">
      <c r="A229" s="31"/>
      <c r="B229" s="32"/>
    </row>
    <row r="230" spans="1:2">
      <c r="A230" s="31"/>
      <c r="B230" s="32"/>
    </row>
    <row r="231" spans="1:2">
      <c r="A231" s="31"/>
      <c r="B231" s="32"/>
    </row>
    <row r="232" spans="1:2">
      <c r="A232" s="31"/>
      <c r="B232" s="32"/>
    </row>
    <row r="233" spans="1:2">
      <c r="A233" s="31"/>
      <c r="B233" s="32"/>
    </row>
    <row r="234" spans="1:2">
      <c r="A234" s="31"/>
      <c r="B234" s="32"/>
    </row>
    <row r="235" spans="1:2">
      <c r="A235" s="31"/>
      <c r="B235" s="32"/>
    </row>
    <row r="236" spans="1:2">
      <c r="A236" s="31"/>
      <c r="B236" s="32"/>
    </row>
    <row r="237" spans="1:2">
      <c r="A237" s="31"/>
      <c r="B237" s="32"/>
    </row>
    <row r="238" spans="1:2">
      <c r="A238" s="31"/>
      <c r="B238" s="32"/>
    </row>
    <row r="239" spans="1:2">
      <c r="A239" s="31"/>
      <c r="B239" s="32"/>
    </row>
    <row r="240" spans="1:2">
      <c r="A240" s="31"/>
      <c r="B240" s="32"/>
    </row>
    <row r="241" spans="1:2">
      <c r="A241" s="31"/>
      <c r="B241" s="32"/>
    </row>
    <row r="242" spans="1:2">
      <c r="A242" s="31"/>
      <c r="B242" s="32"/>
    </row>
    <row r="243" spans="1:2">
      <c r="A243" s="31"/>
      <c r="B243" s="32"/>
    </row>
    <row r="244" spans="1:2">
      <c r="A244" s="31"/>
      <c r="B244" s="32"/>
    </row>
    <row r="245" spans="1:2">
      <c r="A245" s="31"/>
      <c r="B245" s="32"/>
    </row>
    <row r="246" spans="1:2">
      <c r="A246" s="31"/>
      <c r="B246" s="32"/>
    </row>
    <row r="247" spans="1:2">
      <c r="A247" s="31"/>
      <c r="B247" s="32"/>
    </row>
    <row r="248" spans="1:2">
      <c r="A248" s="31"/>
      <c r="B248" s="32"/>
    </row>
    <row r="249" spans="1:2">
      <c r="A249" s="31"/>
      <c r="B249" s="32"/>
    </row>
    <row r="250" spans="1:2">
      <c r="A250" s="31"/>
      <c r="B250" s="32"/>
    </row>
    <row r="251" spans="1:2">
      <c r="A251" s="31"/>
      <c r="B251" s="32"/>
    </row>
    <row r="252" spans="1:2">
      <c r="A252" s="31"/>
      <c r="B252" s="32"/>
    </row>
    <row r="253" spans="1:2">
      <c r="A253" s="31"/>
      <c r="B253" s="32"/>
    </row>
    <row r="254" spans="1:2">
      <c r="A254" s="31"/>
      <c r="B254" s="32"/>
    </row>
    <row r="255" spans="1:2">
      <c r="A255" s="31"/>
      <c r="B255" s="32"/>
    </row>
    <row r="256" spans="1:2">
      <c r="A256" s="31"/>
      <c r="B256" s="32"/>
    </row>
    <row r="257" spans="1:2">
      <c r="A257" s="31"/>
      <c r="B257" s="32"/>
    </row>
    <row r="258" spans="1:2">
      <c r="A258" s="31"/>
      <c r="B258" s="32"/>
    </row>
    <row r="259" spans="1:2">
      <c r="A259" s="31"/>
      <c r="B259" s="32"/>
    </row>
    <row r="260" spans="1:2">
      <c r="A260" s="31"/>
      <c r="B260" s="32"/>
    </row>
    <row r="261" spans="1:2">
      <c r="A261" s="31"/>
      <c r="B261" s="32"/>
    </row>
    <row r="262" spans="1:2">
      <c r="A262" s="31"/>
      <c r="B262" s="32"/>
    </row>
    <row r="263" spans="1:2">
      <c r="A263" s="31"/>
      <c r="B263" s="32"/>
    </row>
    <row r="264" spans="1:2">
      <c r="A264" s="31"/>
      <c r="B264" s="32"/>
    </row>
    <row r="265" spans="1:2">
      <c r="A265" s="31"/>
      <c r="B265" s="32"/>
    </row>
    <row r="266" spans="1:2">
      <c r="A266" s="31"/>
      <c r="B266" s="32"/>
    </row>
    <row r="267" spans="1:2">
      <c r="A267" s="31"/>
      <c r="B267" s="32"/>
    </row>
    <row r="268" spans="1:2">
      <c r="A268" s="31"/>
      <c r="B268" s="32"/>
    </row>
    <row r="269" spans="1:2">
      <c r="A269" s="31"/>
      <c r="B269" s="32"/>
    </row>
    <row r="270" spans="1:2">
      <c r="A270" s="31"/>
      <c r="B270" s="32"/>
    </row>
    <row r="271" spans="1:2">
      <c r="A271" s="31"/>
      <c r="B271" s="32"/>
    </row>
    <row r="272" spans="1:2">
      <c r="A272" s="31"/>
      <c r="B272" s="32"/>
    </row>
    <row r="273" spans="1:2">
      <c r="A273" s="31"/>
      <c r="B273" s="32"/>
    </row>
    <row r="274" spans="1:2">
      <c r="A274" s="31"/>
      <c r="B274" s="32"/>
    </row>
    <row r="275" spans="1:2">
      <c r="A275" s="31"/>
      <c r="B275" s="32"/>
    </row>
    <row r="276" spans="1:2">
      <c r="A276" s="31"/>
      <c r="B276" s="32"/>
    </row>
    <row r="277" spans="1:2">
      <c r="A277" s="31"/>
      <c r="B277" s="32"/>
    </row>
    <row r="278" spans="1:2">
      <c r="A278" s="31"/>
      <c r="B278" s="32"/>
    </row>
    <row r="279" spans="1:2">
      <c r="A279" s="31"/>
      <c r="B279" s="32"/>
    </row>
    <row r="280" spans="1:2">
      <c r="A280" s="31"/>
      <c r="B280" s="32"/>
    </row>
    <row r="281" spans="1:2">
      <c r="A281" s="31"/>
      <c r="B281" s="32"/>
    </row>
    <row r="282" spans="1:2">
      <c r="A282" s="31"/>
      <c r="B282" s="32"/>
    </row>
    <row r="283" spans="1:2">
      <c r="A283" s="31"/>
      <c r="B283" s="32"/>
    </row>
    <row r="284" spans="1:2">
      <c r="A284" s="31"/>
      <c r="B284" s="32"/>
    </row>
    <row r="285" spans="1:2">
      <c r="A285" s="31"/>
      <c r="B285" s="32"/>
    </row>
    <row r="286" spans="1:2">
      <c r="A286" s="31"/>
      <c r="B286" s="32"/>
    </row>
    <row r="287" spans="1:2">
      <c r="A287" s="31"/>
      <c r="B287" s="32"/>
    </row>
    <row r="288" spans="1:2">
      <c r="A288" s="31"/>
      <c r="B288" s="32"/>
    </row>
    <row r="289" spans="1:2">
      <c r="A289" s="31"/>
      <c r="B289" s="32"/>
    </row>
    <row r="290" spans="1:2">
      <c r="A290" s="31"/>
      <c r="B290" s="32"/>
    </row>
    <row r="291" spans="1:2">
      <c r="A291" s="31"/>
      <c r="B291" s="32"/>
    </row>
    <row r="292" spans="1:2">
      <c r="A292" s="31"/>
      <c r="B292" s="32"/>
    </row>
    <row r="293" spans="1:2">
      <c r="A293" s="31"/>
      <c r="B293" s="32"/>
    </row>
    <row r="294" spans="1:2">
      <c r="A294" s="31"/>
      <c r="B294" s="32"/>
    </row>
    <row r="295" spans="1:2">
      <c r="A295" s="31"/>
      <c r="B295" s="32"/>
    </row>
    <row r="296" spans="1:2">
      <c r="A296" s="31"/>
      <c r="B296" s="32"/>
    </row>
    <row r="297" spans="1:2">
      <c r="A297" s="31"/>
      <c r="B297" s="32"/>
    </row>
    <row r="298" spans="1:2">
      <c r="A298" s="31"/>
      <c r="B298" s="32"/>
    </row>
    <row r="299" spans="1:2">
      <c r="A299" s="31"/>
      <c r="B299" s="32"/>
    </row>
    <row r="300" spans="1:2">
      <c r="A300" s="31"/>
      <c r="B300" s="32"/>
    </row>
    <row r="301" spans="1:2">
      <c r="A301" s="31"/>
      <c r="B301" s="32"/>
    </row>
    <row r="302" spans="1:2">
      <c r="A302" s="31"/>
      <c r="B302" s="32"/>
    </row>
    <row r="303" spans="1:2">
      <c r="A303" s="31"/>
      <c r="B303" s="32"/>
    </row>
    <row r="304" spans="1:2">
      <c r="A304" s="31"/>
      <c r="B304" s="32"/>
    </row>
    <row r="305" spans="1:2">
      <c r="A305" s="31"/>
      <c r="B305" s="32"/>
    </row>
    <row r="306" spans="1:2">
      <c r="A306" s="31"/>
      <c r="B306" s="32"/>
    </row>
    <row r="307" spans="1:2">
      <c r="A307" s="31"/>
      <c r="B307" s="32"/>
    </row>
    <row r="308" spans="1:2">
      <c r="A308" s="31"/>
      <c r="B308" s="32"/>
    </row>
    <row r="309" spans="1:2">
      <c r="A309" s="31"/>
      <c r="B309" s="32"/>
    </row>
    <row r="310" spans="1:2">
      <c r="A310" s="31"/>
      <c r="B310" s="32"/>
    </row>
    <row r="311" spans="1:2">
      <c r="A311" s="31"/>
      <c r="B311" s="32"/>
    </row>
    <row r="312" spans="1:2">
      <c r="A312" s="31"/>
      <c r="B312" s="32"/>
    </row>
    <row r="313" spans="1:2">
      <c r="A313" s="31"/>
      <c r="B313" s="32"/>
    </row>
    <row r="314" spans="1:2">
      <c r="A314" s="31"/>
      <c r="B314" s="32"/>
    </row>
    <row r="315" spans="1:2">
      <c r="A315" s="31"/>
      <c r="B315" s="32"/>
    </row>
    <row r="316" spans="1:2">
      <c r="A316" s="31"/>
      <c r="B316" s="32"/>
    </row>
    <row r="317" spans="1:2">
      <c r="A317" s="31"/>
      <c r="B317" s="32"/>
    </row>
    <row r="318" spans="1:2">
      <c r="A318" s="31"/>
      <c r="B318" s="32"/>
    </row>
    <row r="319" spans="1:2">
      <c r="A319" s="31"/>
      <c r="B319" s="32"/>
    </row>
    <row r="320" spans="1:2">
      <c r="A320" s="31"/>
      <c r="B320" s="32"/>
    </row>
    <row r="321" spans="1:2">
      <c r="A321" s="31"/>
      <c r="B321" s="32"/>
    </row>
    <row r="322" spans="1:2">
      <c r="A322" s="31"/>
      <c r="B322" s="32"/>
    </row>
    <row r="323" spans="1:2">
      <c r="A323" s="31"/>
      <c r="B323" s="32"/>
    </row>
    <row r="324" spans="1:2">
      <c r="A324" s="31"/>
      <c r="B324" s="32"/>
    </row>
    <row r="325" spans="1:2">
      <c r="A325" s="31"/>
      <c r="B325" s="32"/>
    </row>
    <row r="326" spans="1:2">
      <c r="A326" s="31"/>
      <c r="B326" s="32"/>
    </row>
    <row r="327" spans="1:2">
      <c r="A327" s="31"/>
      <c r="B327" s="32"/>
    </row>
    <row r="328" spans="1:2">
      <c r="A328" s="31"/>
      <c r="B328" s="32"/>
    </row>
    <row r="329" spans="1:2">
      <c r="A329" s="31"/>
      <c r="B329" s="32"/>
    </row>
    <row r="330" spans="1:2">
      <c r="A330" s="31"/>
      <c r="B330" s="32"/>
    </row>
    <row r="331" spans="1:2">
      <c r="A331" s="31"/>
      <c r="B331" s="32"/>
    </row>
    <row r="332" spans="1:2">
      <c r="A332" s="31"/>
      <c r="B332" s="32"/>
    </row>
    <row r="333" spans="1:2">
      <c r="A333" s="31"/>
      <c r="B333" s="32"/>
    </row>
    <row r="334" spans="1:2">
      <c r="A334" s="31"/>
      <c r="B334" s="32"/>
    </row>
    <row r="335" spans="1:2">
      <c r="A335" s="31"/>
      <c r="B335" s="32"/>
    </row>
    <row r="336" spans="1:2">
      <c r="A336" s="31"/>
      <c r="B336" s="32"/>
    </row>
    <row r="337" spans="1:2">
      <c r="A337" s="31"/>
      <c r="B337" s="32"/>
    </row>
    <row r="338" spans="1:2">
      <c r="A338" s="31"/>
      <c r="B338" s="32"/>
    </row>
    <row r="339" spans="1:2">
      <c r="A339" s="31"/>
      <c r="B339" s="32"/>
    </row>
    <row r="340" spans="1:2">
      <c r="A340" s="31"/>
      <c r="B340" s="32"/>
    </row>
    <row r="341" spans="1:2">
      <c r="A341" s="31"/>
      <c r="B341" s="32"/>
    </row>
    <row r="342" spans="1:2">
      <c r="A342" s="31"/>
      <c r="B342" s="32"/>
    </row>
    <row r="343" spans="1:2">
      <c r="A343" s="31"/>
      <c r="B343" s="32"/>
    </row>
    <row r="344" spans="1:2">
      <c r="A344" s="31"/>
      <c r="B344" s="32"/>
    </row>
    <row r="345" spans="1:2">
      <c r="A345" s="31"/>
      <c r="B345" s="32"/>
    </row>
    <row r="346" spans="1:2">
      <c r="A346" s="31"/>
      <c r="B346" s="32"/>
    </row>
    <row r="347" spans="1:2">
      <c r="A347" s="31"/>
      <c r="B347" s="32"/>
    </row>
    <row r="348" spans="1:2">
      <c r="A348" s="31"/>
      <c r="B348" s="32"/>
    </row>
    <row r="349" spans="1:2">
      <c r="A349" s="31"/>
      <c r="B349" s="32"/>
    </row>
    <row r="350" spans="1:2">
      <c r="A350" s="31"/>
      <c r="B350" s="32"/>
    </row>
    <row r="351" spans="1:2">
      <c r="A351" s="31"/>
      <c r="B351" s="32"/>
    </row>
    <row r="352" spans="1:2">
      <c r="A352" s="31"/>
      <c r="B352" s="32"/>
    </row>
    <row r="353" spans="1:2">
      <c r="A353" s="31"/>
      <c r="B353" s="32"/>
    </row>
    <row r="354" spans="1:2">
      <c r="A354" s="31"/>
      <c r="B354" s="32"/>
    </row>
    <row r="355" spans="1:2">
      <c r="A355" s="31"/>
      <c r="B355" s="32"/>
    </row>
    <row r="356" spans="1:2">
      <c r="A356" s="31"/>
      <c r="B356" s="32"/>
    </row>
    <row r="357" spans="1:2">
      <c r="A357" s="31"/>
      <c r="B357" s="32"/>
    </row>
    <row r="358" spans="1:2">
      <c r="A358" s="31"/>
      <c r="B358" s="32"/>
    </row>
    <row r="359" spans="1:2">
      <c r="A359" s="31"/>
      <c r="B359" s="32"/>
    </row>
    <row r="360" spans="1:2">
      <c r="A360" s="31"/>
      <c r="B360" s="32"/>
    </row>
    <row r="361" spans="1:2">
      <c r="A361" s="31"/>
      <c r="B361" s="32"/>
    </row>
    <row r="362" spans="1:2">
      <c r="A362" s="31"/>
      <c r="B362" s="32"/>
    </row>
    <row r="363" spans="1:2">
      <c r="A363" s="31"/>
      <c r="B363" s="32"/>
    </row>
    <row r="364" spans="1:2">
      <c r="A364" s="31"/>
      <c r="B364" s="32"/>
    </row>
    <row r="365" spans="1:2">
      <c r="A365" s="31"/>
      <c r="B365" s="32"/>
    </row>
    <row r="366" spans="1:2">
      <c r="A366" s="31"/>
      <c r="B366" s="32"/>
    </row>
    <row r="367" spans="1:2">
      <c r="A367" s="31"/>
      <c r="B367" s="32"/>
    </row>
    <row r="368" spans="1:2">
      <c r="A368" s="31"/>
      <c r="B368" s="32"/>
    </row>
    <row r="369" spans="1:2">
      <c r="A369" s="31"/>
      <c r="B369" s="32"/>
    </row>
    <row r="370" spans="1:2">
      <c r="A370" s="31"/>
      <c r="B370" s="32"/>
    </row>
    <row r="371" spans="1:2">
      <c r="A371" s="31"/>
      <c r="B371" s="32"/>
    </row>
    <row r="372" spans="1:2">
      <c r="A372" s="31"/>
      <c r="B372" s="32"/>
    </row>
    <row r="373" spans="1:2">
      <c r="A373" s="31"/>
      <c r="B373" s="32"/>
    </row>
    <row r="374" spans="1:2">
      <c r="A374" s="31"/>
      <c r="B374" s="32"/>
    </row>
    <row r="375" spans="1:2">
      <c r="A375" s="31"/>
      <c r="B375" s="32"/>
    </row>
    <row r="376" spans="1:2">
      <c r="A376" s="31"/>
      <c r="B376" s="32"/>
    </row>
    <row r="377" spans="1:2">
      <c r="A377" s="31"/>
      <c r="B377" s="32"/>
    </row>
    <row r="378" spans="1:2">
      <c r="A378" s="31"/>
      <c r="B378" s="32"/>
    </row>
    <row r="379" spans="1:2">
      <c r="A379" s="31"/>
      <c r="B379" s="32"/>
    </row>
    <row r="380" spans="1:2">
      <c r="A380" s="31"/>
      <c r="B380" s="32"/>
    </row>
    <row r="381" spans="1:2">
      <c r="A381" s="31"/>
      <c r="B381" s="32"/>
    </row>
    <row r="382" spans="1:2">
      <c r="A382" s="31"/>
      <c r="B382" s="32"/>
    </row>
    <row r="383" spans="1:2">
      <c r="A383" s="31"/>
      <c r="B383" s="32"/>
    </row>
    <row r="384" spans="1:2">
      <c r="A384" s="31"/>
      <c r="B384" s="32"/>
    </row>
    <row r="385" spans="1:2">
      <c r="A385" s="31"/>
      <c r="B385" s="32"/>
    </row>
    <row r="386" spans="1:2">
      <c r="A386" s="31"/>
      <c r="B386" s="32"/>
    </row>
  </sheetData>
  <mergeCells count="2">
    <mergeCell ref="A1:H1"/>
    <mergeCell ref="I38:J3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1902-6C58-45CF-A12F-8023A59D0849}">
  <sheetPr>
    <tabColor theme="4" tint="0.39997558519241921"/>
  </sheetPr>
  <dimension ref="A1:A30"/>
  <sheetViews>
    <sheetView workbookViewId="0">
      <selection activeCell="W36" sqref="W36"/>
    </sheetView>
  </sheetViews>
  <sheetFormatPr defaultRowHeight="15"/>
  <cols>
    <col min="1" max="1" width="10.6640625" style="84" customWidth="1"/>
    <col min="2" max="16384" width="9.33203125" style="84"/>
  </cols>
  <sheetData>
    <row r="1" spans="1:1" ht="15.75">
      <c r="A1" s="83" t="s">
        <v>1209</v>
      </c>
    </row>
    <row r="2" spans="1:1" ht="15.75">
      <c r="A2" s="83"/>
    </row>
    <row r="3" spans="1:1" ht="15.75">
      <c r="A3" s="83" t="s">
        <v>1210</v>
      </c>
    </row>
    <row r="4" spans="1:1" ht="15.75">
      <c r="A4" s="83" t="s">
        <v>1211</v>
      </c>
    </row>
    <row r="6" spans="1:1" ht="15.75">
      <c r="A6" s="83" t="s">
        <v>1212</v>
      </c>
    </row>
    <row r="7" spans="1:1">
      <c r="A7" s="84" t="s">
        <v>1213</v>
      </c>
    </row>
    <row r="8" spans="1:1">
      <c r="A8" s="84" t="s">
        <v>1214</v>
      </c>
    </row>
    <row r="9" spans="1:1">
      <c r="A9" s="84" t="s">
        <v>1215</v>
      </c>
    </row>
    <row r="10" spans="1:1">
      <c r="A10" s="84" t="s">
        <v>1216</v>
      </c>
    </row>
    <row r="11" spans="1:1">
      <c r="A11" s="84" t="s">
        <v>1217</v>
      </c>
    </row>
    <row r="12" spans="1:1">
      <c r="A12" s="84" t="s">
        <v>1218</v>
      </c>
    </row>
    <row r="13" spans="1:1">
      <c r="A13" s="84" t="s">
        <v>1219</v>
      </c>
    </row>
    <row r="14" spans="1:1">
      <c r="A14" s="84" t="s">
        <v>1220</v>
      </c>
    </row>
    <row r="15" spans="1:1">
      <c r="A15" s="84" t="s">
        <v>1221</v>
      </c>
    </row>
    <row r="16" spans="1:1">
      <c r="A16" s="84" t="s">
        <v>1222</v>
      </c>
    </row>
    <row r="17" spans="1:1">
      <c r="A17" s="84" t="s">
        <v>1223</v>
      </c>
    </row>
    <row r="18" spans="1:1">
      <c r="A18" s="84" t="s">
        <v>1224</v>
      </c>
    </row>
    <row r="19" spans="1:1">
      <c r="A19" s="84" t="s">
        <v>1225</v>
      </c>
    </row>
    <row r="21" spans="1:1" ht="15.75">
      <c r="A21" s="83" t="s">
        <v>1226</v>
      </c>
    </row>
    <row r="22" spans="1:1">
      <c r="A22" s="84" t="s">
        <v>1227</v>
      </c>
    </row>
    <row r="23" spans="1:1">
      <c r="A23" s="84" t="s">
        <v>1228</v>
      </c>
    </row>
    <row r="24" spans="1:1">
      <c r="A24" s="84" t="s">
        <v>1229</v>
      </c>
    </row>
    <row r="25" spans="1:1">
      <c r="A25" s="84" t="s">
        <v>1230</v>
      </c>
    </row>
    <row r="27" spans="1:1" ht="15.75">
      <c r="A27" s="83" t="s">
        <v>1231</v>
      </c>
    </row>
    <row r="28" spans="1:1">
      <c r="A28" s="84" t="s">
        <v>1232</v>
      </c>
    </row>
    <row r="29" spans="1:1">
      <c r="A29" s="84" t="s">
        <v>1233</v>
      </c>
    </row>
    <row r="30" spans="1:1">
      <c r="A30" s="84" t="s">
        <v>1217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Rozpočet - součet</vt:lpstr>
      <vt:lpstr>Krycí list rozpočtu</vt:lpstr>
      <vt:lpstr>Stavební práce</vt:lpstr>
      <vt:lpstr>elektroinstalace</vt:lpstr>
      <vt:lpstr>vzduchotechnika</vt:lpstr>
      <vt:lpstr>technologie</vt:lpstr>
      <vt:lpstr>info k instalaci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Smrkovská Zuzana</cp:lastModifiedBy>
  <dcterms:created xsi:type="dcterms:W3CDTF">2021-06-10T20:06:38Z</dcterms:created>
  <dcterms:modified xsi:type="dcterms:W3CDTF">2024-09-18T04:52:13Z</dcterms:modified>
</cp:coreProperties>
</file>