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rdinova\Downloads\"/>
    </mc:Choice>
  </mc:AlternateContent>
  <bookViews>
    <workbookView xWindow="0" yWindow="0" windowWidth="24000" windowHeight="9735"/>
  </bookViews>
  <sheets>
    <sheet name="Stavební rozpočet" sheetId="1" r:id="rId1"/>
    <sheet name="Rozpočet - vybrané sloupce" sheetId="2" r:id="rId2"/>
    <sheet name="Stavební rozpočet - součet" sheetId="3" r:id="rId3"/>
    <sheet name="Výkaz výměr" sheetId="4" r:id="rId4"/>
    <sheet name="Krycí list rozpočtu" sheetId="5" r:id="rId5"/>
  </sheets>
  <calcPr calcId="152511"/>
</workbook>
</file>

<file path=xl/calcChain.xml><?xml version="1.0" encoding="utf-8"?>
<calcChain xmlns="http://schemas.openxmlformats.org/spreadsheetml/2006/main">
  <c r="I22" i="5" l="1"/>
  <c r="F22" i="5"/>
  <c r="I23" i="3"/>
  <c r="F23" i="3"/>
  <c r="I22" i="3"/>
  <c r="F22" i="3"/>
  <c r="I21" i="3"/>
  <c r="F21" i="3"/>
  <c r="I20" i="3"/>
  <c r="F20" i="3"/>
  <c r="I19" i="3"/>
  <c r="F19" i="3"/>
  <c r="I18" i="3"/>
  <c r="F18" i="3"/>
  <c r="I17" i="3"/>
  <c r="F17" i="3"/>
  <c r="I16" i="3"/>
  <c r="F16" i="3"/>
  <c r="I15" i="3"/>
  <c r="F15" i="3"/>
  <c r="I14" i="3"/>
  <c r="F14" i="3"/>
  <c r="I13" i="3"/>
  <c r="F13" i="3"/>
  <c r="I12" i="3"/>
  <c r="F12" i="3"/>
  <c r="I11" i="3"/>
  <c r="F25" i="3" s="1"/>
  <c r="F11" i="3"/>
  <c r="AF57" i="2"/>
  <c r="AE57" i="2"/>
  <c r="L57" i="2"/>
  <c r="AF56" i="2"/>
  <c r="AE56" i="2"/>
  <c r="L56" i="2"/>
  <c r="AF55" i="2"/>
  <c r="AE55" i="2"/>
  <c r="L55" i="2"/>
  <c r="AF54" i="2"/>
  <c r="AE54" i="2"/>
  <c r="L54" i="2"/>
  <c r="AF53" i="2"/>
  <c r="AE53" i="2"/>
  <c r="L53" i="2"/>
  <c r="AF52" i="2"/>
  <c r="AE52" i="2"/>
  <c r="L52" i="2"/>
  <c r="L51" i="2"/>
  <c r="J51" i="2"/>
  <c r="I51" i="2"/>
  <c r="H51" i="2"/>
  <c r="AF50" i="2"/>
  <c r="AE50" i="2"/>
  <c r="L50" i="2"/>
  <c r="AF49" i="2"/>
  <c r="AE49" i="2"/>
  <c r="L49" i="2"/>
  <c r="L48" i="2"/>
  <c r="AF47" i="2"/>
  <c r="AE47" i="2"/>
  <c r="L47" i="2"/>
  <c r="L46" i="2"/>
  <c r="AF45" i="2"/>
  <c r="AE45" i="2"/>
  <c r="L45" i="2"/>
  <c r="L44" i="2"/>
  <c r="AF43" i="2"/>
  <c r="AE43" i="2"/>
  <c r="L43" i="2"/>
  <c r="AF42" i="2"/>
  <c r="AE42" i="2"/>
  <c r="L42" i="2"/>
  <c r="AF41" i="2"/>
  <c r="AE41" i="2"/>
  <c r="L41" i="2"/>
  <c r="L40" i="2"/>
  <c r="AF39" i="2"/>
  <c r="AE39" i="2"/>
  <c r="L39" i="2"/>
  <c r="L38" i="2"/>
  <c r="AF37" i="2"/>
  <c r="AE37" i="2"/>
  <c r="L37" i="2"/>
  <c r="AF36" i="2"/>
  <c r="AE36" i="2"/>
  <c r="L36" i="2"/>
  <c r="AF35" i="2"/>
  <c r="AE35" i="2"/>
  <c r="L35" i="2"/>
  <c r="AF34" i="2"/>
  <c r="AE34" i="2"/>
  <c r="L34" i="2"/>
  <c r="L33" i="2" s="1"/>
  <c r="AF32" i="2"/>
  <c r="AE32" i="2"/>
  <c r="L32" i="2"/>
  <c r="AF31" i="2"/>
  <c r="AE31" i="2"/>
  <c r="L31" i="2"/>
  <c r="AF30" i="2"/>
  <c r="AE30" i="2"/>
  <c r="L30" i="2"/>
  <c r="AF29" i="2"/>
  <c r="AE29" i="2"/>
  <c r="L29" i="2"/>
  <c r="AF28" i="2"/>
  <c r="AE28" i="2"/>
  <c r="L28" i="2"/>
  <c r="AF27" i="2"/>
  <c r="AE27" i="2"/>
  <c r="L27" i="2"/>
  <c r="AF26" i="2"/>
  <c r="AE26" i="2"/>
  <c r="L26" i="2"/>
  <c r="L25" i="2" s="1"/>
  <c r="AF24" i="2"/>
  <c r="AE24" i="2"/>
  <c r="L24" i="2"/>
  <c r="AF23" i="2"/>
  <c r="AE23" i="2"/>
  <c r="L23" i="2"/>
  <c r="AF22" i="2"/>
  <c r="AE22" i="2"/>
  <c r="L22" i="2"/>
  <c r="AF21" i="2"/>
  <c r="AE21" i="2"/>
  <c r="L21" i="2"/>
  <c r="AF20" i="2"/>
  <c r="AE20" i="2"/>
  <c r="L20" i="2"/>
  <c r="L19" i="2" s="1"/>
  <c r="AF18" i="2"/>
  <c r="AE18" i="2"/>
  <c r="L18" i="2"/>
  <c r="AF17" i="2"/>
  <c r="AE17" i="2"/>
  <c r="L17" i="2"/>
  <c r="AF16" i="2"/>
  <c r="AE16" i="2"/>
  <c r="L16" i="2"/>
  <c r="AF15" i="2"/>
  <c r="AE15" i="2"/>
  <c r="L15" i="2"/>
  <c r="L14" i="2"/>
  <c r="AF13" i="2"/>
  <c r="AE13" i="2"/>
  <c r="L13" i="2"/>
  <c r="AF12" i="2"/>
  <c r="AE12" i="2"/>
  <c r="L12" i="2"/>
  <c r="AF11" i="2"/>
  <c r="AE11" i="2"/>
  <c r="L11" i="2"/>
  <c r="AF10" i="2"/>
  <c r="AE10" i="2"/>
  <c r="L10" i="2"/>
  <c r="AF9" i="2"/>
  <c r="AE9" i="2"/>
  <c r="L9" i="2"/>
  <c r="L8" i="2"/>
  <c r="AF7" i="2"/>
  <c r="AE7" i="2"/>
  <c r="L7" i="2"/>
  <c r="AF6" i="2"/>
  <c r="AE6" i="2"/>
  <c r="L6" i="2"/>
  <c r="L5" i="2" s="1"/>
  <c r="AF4" i="2"/>
  <c r="AE4" i="2"/>
  <c r="L4" i="2"/>
  <c r="AF3" i="2"/>
  <c r="AE3" i="2"/>
  <c r="L3" i="2"/>
  <c r="L2" i="2"/>
  <c r="AF67" i="1"/>
  <c r="AN67" i="1" s="1"/>
  <c r="AE67" i="1"/>
  <c r="AM67" i="1" s="1"/>
  <c r="AA67" i="1"/>
  <c r="Z67" i="1"/>
  <c r="O67" i="1"/>
  <c r="L67" i="1"/>
  <c r="J67" i="1"/>
  <c r="AB67" i="1" s="1"/>
  <c r="H67" i="1"/>
  <c r="AF66" i="1"/>
  <c r="AN66" i="1" s="1"/>
  <c r="AE66" i="1"/>
  <c r="AM66" i="1" s="1"/>
  <c r="AA66" i="1"/>
  <c r="Z66" i="1"/>
  <c r="O66" i="1"/>
  <c r="L66" i="1"/>
  <c r="J66" i="1"/>
  <c r="AB66" i="1" s="1"/>
  <c r="H66" i="1"/>
  <c r="AF65" i="1"/>
  <c r="AN65" i="1" s="1"/>
  <c r="AE65" i="1"/>
  <c r="AM65" i="1" s="1"/>
  <c r="AA65" i="1"/>
  <c r="Z65" i="1"/>
  <c r="O65" i="1"/>
  <c r="L65" i="1"/>
  <c r="J65" i="1"/>
  <c r="AB65" i="1" s="1"/>
  <c r="H65" i="1"/>
  <c r="AF64" i="1"/>
  <c r="AN64" i="1" s="1"/>
  <c r="AE64" i="1"/>
  <c r="AM64" i="1" s="1"/>
  <c r="AA64" i="1"/>
  <c r="Z64" i="1"/>
  <c r="O64" i="1"/>
  <c r="L64" i="1"/>
  <c r="J64" i="1"/>
  <c r="AB64" i="1" s="1"/>
  <c r="H64" i="1"/>
  <c r="AF63" i="1"/>
  <c r="AN63" i="1" s="1"/>
  <c r="AE63" i="1"/>
  <c r="AM63" i="1" s="1"/>
  <c r="AA63" i="1"/>
  <c r="Z63" i="1"/>
  <c r="O63" i="1"/>
  <c r="L63" i="1"/>
  <c r="J63" i="1"/>
  <c r="AB63" i="1" s="1"/>
  <c r="H63" i="1"/>
  <c r="AF62" i="1"/>
  <c r="AN62" i="1" s="1"/>
  <c r="AE62" i="1"/>
  <c r="AM62" i="1" s="1"/>
  <c r="AA62" i="1"/>
  <c r="Z62" i="1"/>
  <c r="O62" i="1"/>
  <c r="P61" i="1" s="1"/>
  <c r="L62" i="1"/>
  <c r="J62" i="1"/>
  <c r="AB62" i="1" s="1"/>
  <c r="AK61" i="1" s="1"/>
  <c r="H62" i="1"/>
  <c r="H61" i="1" s="1"/>
  <c r="AJ61" i="1"/>
  <c r="AI61" i="1"/>
  <c r="X61" i="1"/>
  <c r="U61" i="1"/>
  <c r="T61" i="1"/>
  <c r="S61" i="1"/>
  <c r="R61" i="1"/>
  <c r="L61" i="1"/>
  <c r="AF60" i="1"/>
  <c r="AN60" i="1" s="1"/>
  <c r="AE60" i="1"/>
  <c r="AM60" i="1" s="1"/>
  <c r="AB60" i="1"/>
  <c r="AA60" i="1"/>
  <c r="Z60" i="1"/>
  <c r="L60" i="1"/>
  <c r="J60" i="1"/>
  <c r="I60" i="1"/>
  <c r="O60" i="1" s="1"/>
  <c r="H60" i="1"/>
  <c r="AF59" i="1"/>
  <c r="AN59" i="1" s="1"/>
  <c r="AE59" i="1"/>
  <c r="AM59" i="1" s="1"/>
  <c r="AB59" i="1"/>
  <c r="AA59" i="1"/>
  <c r="Z59" i="1"/>
  <c r="L59" i="1"/>
  <c r="L58" i="1" s="1"/>
  <c r="J59" i="1"/>
  <c r="I59" i="1"/>
  <c r="O59" i="1" s="1"/>
  <c r="P58" i="1" s="1"/>
  <c r="H59" i="1"/>
  <c r="AK58" i="1"/>
  <c r="AJ58" i="1"/>
  <c r="AI58" i="1"/>
  <c r="X58" i="1"/>
  <c r="W58" i="1"/>
  <c r="V58" i="1"/>
  <c r="U58" i="1"/>
  <c r="T58" i="1"/>
  <c r="H58" i="1"/>
  <c r="R58" i="1" s="1"/>
  <c r="AF57" i="1"/>
  <c r="AN57" i="1" s="1"/>
  <c r="AE57" i="1"/>
  <c r="AM57" i="1" s="1"/>
  <c r="AA57" i="1"/>
  <c r="Z57" i="1"/>
  <c r="O57" i="1"/>
  <c r="P56" i="1" s="1"/>
  <c r="L57" i="1"/>
  <c r="J57" i="1"/>
  <c r="AB57" i="1" s="1"/>
  <c r="AK56" i="1" s="1"/>
  <c r="H57" i="1"/>
  <c r="H56" i="1" s="1"/>
  <c r="AJ56" i="1"/>
  <c r="AI56" i="1"/>
  <c r="X56" i="1"/>
  <c r="W56" i="1"/>
  <c r="V56" i="1"/>
  <c r="U56" i="1"/>
  <c r="T56" i="1"/>
  <c r="L56" i="1"/>
  <c r="AF55" i="1"/>
  <c r="AN55" i="1" s="1"/>
  <c r="AE55" i="1"/>
  <c r="AM55" i="1" s="1"/>
  <c r="AB55" i="1"/>
  <c r="AA55" i="1"/>
  <c r="Z55" i="1"/>
  <c r="O55" i="1"/>
  <c r="L55" i="1"/>
  <c r="L54" i="1" s="1"/>
  <c r="J55" i="1"/>
  <c r="I55" i="1"/>
  <c r="I54" i="1" s="1"/>
  <c r="S54" i="1" s="1"/>
  <c r="H55" i="1"/>
  <c r="AK54" i="1"/>
  <c r="AJ54" i="1"/>
  <c r="AI54" i="1"/>
  <c r="X54" i="1"/>
  <c r="W54" i="1"/>
  <c r="V54" i="1"/>
  <c r="U54" i="1"/>
  <c r="T54" i="1"/>
  <c r="P54" i="1"/>
  <c r="H54" i="1"/>
  <c r="R54" i="1" s="1"/>
  <c r="AF53" i="1"/>
  <c r="AN53" i="1" s="1"/>
  <c r="AE53" i="1"/>
  <c r="AM53" i="1" s="1"/>
  <c r="AA53" i="1"/>
  <c r="Z53" i="1"/>
  <c r="O53" i="1"/>
  <c r="L53" i="1"/>
  <c r="J53" i="1"/>
  <c r="AB53" i="1" s="1"/>
  <c r="H53" i="1"/>
  <c r="AF52" i="1"/>
  <c r="AN52" i="1" s="1"/>
  <c r="AE52" i="1"/>
  <c r="AM52" i="1" s="1"/>
  <c r="AA52" i="1"/>
  <c r="Z52" i="1"/>
  <c r="O52" i="1"/>
  <c r="L52" i="1"/>
  <c r="J52" i="1"/>
  <c r="AB52" i="1" s="1"/>
  <c r="H52" i="1"/>
  <c r="AF51" i="1"/>
  <c r="AN51" i="1" s="1"/>
  <c r="AE51" i="1"/>
  <c r="AM51" i="1" s="1"/>
  <c r="AA51" i="1"/>
  <c r="Z51" i="1"/>
  <c r="O51" i="1"/>
  <c r="P50" i="1" s="1"/>
  <c r="L51" i="1"/>
  <c r="J51" i="1"/>
  <c r="H51" i="1"/>
  <c r="H50" i="1" s="1"/>
  <c r="AJ50" i="1"/>
  <c r="AI50" i="1"/>
  <c r="X50" i="1"/>
  <c r="W50" i="1"/>
  <c r="V50" i="1"/>
  <c r="T50" i="1"/>
  <c r="S50" i="1"/>
  <c r="R50" i="1"/>
  <c r="L50" i="1"/>
  <c r="AF49" i="1"/>
  <c r="AN49" i="1" s="1"/>
  <c r="AE49" i="1"/>
  <c r="AM49" i="1" s="1"/>
  <c r="AB49" i="1"/>
  <c r="AA49" i="1"/>
  <c r="Z49" i="1"/>
  <c r="O49" i="1"/>
  <c r="L49" i="1"/>
  <c r="L48" i="1" s="1"/>
  <c r="J49" i="1"/>
  <c r="I49" i="1"/>
  <c r="I48" i="1" s="1"/>
  <c r="H49" i="1"/>
  <c r="AK48" i="1"/>
  <c r="AJ48" i="1"/>
  <c r="AI48" i="1"/>
  <c r="X48" i="1"/>
  <c r="W48" i="1"/>
  <c r="V48" i="1"/>
  <c r="U48" i="1"/>
  <c r="S48" i="1"/>
  <c r="R48" i="1"/>
  <c r="P48" i="1"/>
  <c r="J48" i="1"/>
  <c r="H48" i="1"/>
  <c r="T48" i="1" s="1"/>
  <c r="AF47" i="1"/>
  <c r="AN47" i="1" s="1"/>
  <c r="AE47" i="1"/>
  <c r="AM47" i="1" s="1"/>
  <c r="AA47" i="1"/>
  <c r="Z47" i="1"/>
  <c r="O47" i="1"/>
  <c r="L47" i="1"/>
  <c r="J47" i="1"/>
  <c r="H47" i="1"/>
  <c r="AF46" i="1"/>
  <c r="AN46" i="1" s="1"/>
  <c r="AE46" i="1"/>
  <c r="AM46" i="1" s="1"/>
  <c r="AA46" i="1"/>
  <c r="AJ43" i="1" s="1"/>
  <c r="Z46" i="1"/>
  <c r="O46" i="1"/>
  <c r="L46" i="1"/>
  <c r="J46" i="1"/>
  <c r="H46" i="1"/>
  <c r="AF45" i="1"/>
  <c r="AN45" i="1" s="1"/>
  <c r="AE45" i="1"/>
  <c r="AM45" i="1" s="1"/>
  <c r="AA45" i="1"/>
  <c r="Z45" i="1"/>
  <c r="O45" i="1"/>
  <c r="L45" i="1"/>
  <c r="J45" i="1"/>
  <c r="H45" i="1"/>
  <c r="AF44" i="1"/>
  <c r="AN44" i="1" s="1"/>
  <c r="AE44" i="1"/>
  <c r="AM44" i="1" s="1"/>
  <c r="AB44" i="1"/>
  <c r="AA44" i="1"/>
  <c r="Z44" i="1"/>
  <c r="O44" i="1"/>
  <c r="L44" i="1"/>
  <c r="L43" i="1" s="1"/>
  <c r="J44" i="1"/>
  <c r="I44" i="1"/>
  <c r="H44" i="1"/>
  <c r="AI43" i="1"/>
  <c r="X43" i="1"/>
  <c r="W43" i="1"/>
  <c r="V43" i="1"/>
  <c r="S43" i="1"/>
  <c r="R43" i="1"/>
  <c r="P43" i="1"/>
  <c r="H43" i="1"/>
  <c r="T43" i="1" s="1"/>
  <c r="AF42" i="1"/>
  <c r="AN42" i="1" s="1"/>
  <c r="AE42" i="1"/>
  <c r="AM42" i="1" s="1"/>
  <c r="AA42" i="1"/>
  <c r="Z42" i="1"/>
  <c r="O42" i="1"/>
  <c r="L42" i="1"/>
  <c r="J42" i="1"/>
  <c r="AB42" i="1" s="1"/>
  <c r="H42" i="1"/>
  <c r="AF41" i="1"/>
  <c r="AN41" i="1" s="1"/>
  <c r="AE41" i="1"/>
  <c r="AM41" i="1" s="1"/>
  <c r="AA41" i="1"/>
  <c r="Z41" i="1"/>
  <c r="O41" i="1"/>
  <c r="L41" i="1"/>
  <c r="J41" i="1"/>
  <c r="AB41" i="1" s="1"/>
  <c r="H41" i="1"/>
  <c r="AF40" i="1"/>
  <c r="AN40" i="1" s="1"/>
  <c r="AE40" i="1"/>
  <c r="AM40" i="1" s="1"/>
  <c r="AA40" i="1"/>
  <c r="Z40" i="1"/>
  <c r="O40" i="1"/>
  <c r="L40" i="1"/>
  <c r="J40" i="1"/>
  <c r="AB40" i="1" s="1"/>
  <c r="H40" i="1"/>
  <c r="AF39" i="1"/>
  <c r="AN39" i="1" s="1"/>
  <c r="AE39" i="1"/>
  <c r="AM39" i="1" s="1"/>
  <c r="AA39" i="1"/>
  <c r="Z39" i="1"/>
  <c r="O39" i="1"/>
  <c r="L39" i="1"/>
  <c r="J39" i="1"/>
  <c r="AB39" i="1" s="1"/>
  <c r="H39" i="1"/>
  <c r="AF38" i="1"/>
  <c r="AN38" i="1" s="1"/>
  <c r="AE38" i="1"/>
  <c r="AM38" i="1" s="1"/>
  <c r="AA38" i="1"/>
  <c r="Z38" i="1"/>
  <c r="O38" i="1"/>
  <c r="L38" i="1"/>
  <c r="J38" i="1"/>
  <c r="AB38" i="1" s="1"/>
  <c r="H38" i="1"/>
  <c r="AF37" i="1"/>
  <c r="AN37" i="1" s="1"/>
  <c r="AE37" i="1"/>
  <c r="AM37" i="1" s="1"/>
  <c r="AA37" i="1"/>
  <c r="Z37" i="1"/>
  <c r="O37" i="1"/>
  <c r="L37" i="1"/>
  <c r="J37" i="1"/>
  <c r="AB37" i="1" s="1"/>
  <c r="H37" i="1"/>
  <c r="AF36" i="1"/>
  <c r="AN36" i="1" s="1"/>
  <c r="AE36" i="1"/>
  <c r="AM36" i="1" s="1"/>
  <c r="AA36" i="1"/>
  <c r="Z36" i="1"/>
  <c r="O36" i="1"/>
  <c r="P35" i="1" s="1"/>
  <c r="L36" i="1"/>
  <c r="J36" i="1"/>
  <c r="AB36" i="1" s="1"/>
  <c r="AK35" i="1" s="1"/>
  <c r="H36" i="1"/>
  <c r="H35" i="1" s="1"/>
  <c r="AJ35" i="1"/>
  <c r="AI35" i="1"/>
  <c r="X35" i="1"/>
  <c r="W35" i="1"/>
  <c r="V35" i="1"/>
  <c r="S35" i="1"/>
  <c r="R35" i="1"/>
  <c r="L35" i="1"/>
  <c r="AF34" i="1"/>
  <c r="AN34" i="1" s="1"/>
  <c r="AE34" i="1"/>
  <c r="AM34" i="1" s="1"/>
  <c r="AB34" i="1"/>
  <c r="AA34" i="1"/>
  <c r="Z34" i="1"/>
  <c r="O34" i="1"/>
  <c r="L34" i="1"/>
  <c r="J34" i="1"/>
  <c r="I34" i="1"/>
  <c r="H34" i="1"/>
  <c r="AF33" i="1"/>
  <c r="AN33" i="1" s="1"/>
  <c r="AE33" i="1"/>
  <c r="AM33" i="1" s="1"/>
  <c r="AB33" i="1"/>
  <c r="AA33" i="1"/>
  <c r="Z33" i="1"/>
  <c r="O33" i="1"/>
  <c r="L33" i="1"/>
  <c r="J33" i="1"/>
  <c r="I33" i="1"/>
  <c r="H33" i="1"/>
  <c r="AF32" i="1"/>
  <c r="AN32" i="1" s="1"/>
  <c r="AE32" i="1"/>
  <c r="AM32" i="1" s="1"/>
  <c r="AB32" i="1"/>
  <c r="AA32" i="1"/>
  <c r="Z32" i="1"/>
  <c r="O32" i="1"/>
  <c r="L32" i="1"/>
  <c r="J32" i="1"/>
  <c r="I32" i="1"/>
  <c r="H32" i="1"/>
  <c r="AF31" i="1"/>
  <c r="AN31" i="1" s="1"/>
  <c r="AE31" i="1"/>
  <c r="AM31" i="1" s="1"/>
  <c r="AB31" i="1"/>
  <c r="AA31" i="1"/>
  <c r="Z31" i="1"/>
  <c r="O31" i="1"/>
  <c r="L31" i="1"/>
  <c r="J31" i="1"/>
  <c r="I31" i="1"/>
  <c r="H31" i="1"/>
  <c r="AF30" i="1"/>
  <c r="AN30" i="1" s="1"/>
  <c r="AE30" i="1"/>
  <c r="AM30" i="1" s="1"/>
  <c r="AB30" i="1"/>
  <c r="AA30" i="1"/>
  <c r="Z30" i="1"/>
  <c r="O30" i="1"/>
  <c r="L30" i="1"/>
  <c r="L29" i="1" s="1"/>
  <c r="J30" i="1"/>
  <c r="I30" i="1"/>
  <c r="I29" i="1" s="1"/>
  <c r="U29" i="1" s="1"/>
  <c r="H30" i="1"/>
  <c r="AK29" i="1"/>
  <c r="AJ29" i="1"/>
  <c r="AI29" i="1"/>
  <c r="X29" i="1"/>
  <c r="W29" i="1"/>
  <c r="V29" i="1"/>
  <c r="S29" i="1"/>
  <c r="R29" i="1"/>
  <c r="P29" i="1"/>
  <c r="H29" i="1"/>
  <c r="T29" i="1" s="1"/>
  <c r="AF28" i="1"/>
  <c r="AN28" i="1" s="1"/>
  <c r="AE28" i="1"/>
  <c r="AM28" i="1" s="1"/>
  <c r="AA28" i="1"/>
  <c r="Z28" i="1"/>
  <c r="O28" i="1"/>
  <c r="L28" i="1"/>
  <c r="J28" i="1"/>
  <c r="AB28" i="1" s="1"/>
  <c r="H28" i="1"/>
  <c r="AF27" i="1"/>
  <c r="AN27" i="1" s="1"/>
  <c r="AE27" i="1"/>
  <c r="AM27" i="1" s="1"/>
  <c r="AA27" i="1"/>
  <c r="Z27" i="1"/>
  <c r="O27" i="1"/>
  <c r="L27" i="1"/>
  <c r="J27" i="1"/>
  <c r="AB27" i="1" s="1"/>
  <c r="H27" i="1"/>
  <c r="AF26" i="1"/>
  <c r="AN26" i="1" s="1"/>
  <c r="AE26" i="1"/>
  <c r="AM26" i="1" s="1"/>
  <c r="AA26" i="1"/>
  <c r="Z26" i="1"/>
  <c r="O26" i="1"/>
  <c r="L26" i="1"/>
  <c r="J26" i="1"/>
  <c r="AB26" i="1" s="1"/>
  <c r="H26" i="1"/>
  <c r="AF25" i="1"/>
  <c r="AN25" i="1" s="1"/>
  <c r="AE25" i="1"/>
  <c r="AM25" i="1" s="1"/>
  <c r="AA25" i="1"/>
  <c r="Z25" i="1"/>
  <c r="O25" i="1"/>
  <c r="P24" i="1" s="1"/>
  <c r="L25" i="1"/>
  <c r="J25" i="1"/>
  <c r="AB25" i="1" s="1"/>
  <c r="AK24" i="1" s="1"/>
  <c r="H25" i="1"/>
  <c r="H24" i="1" s="1"/>
  <c r="AJ24" i="1"/>
  <c r="AI24" i="1"/>
  <c r="X24" i="1"/>
  <c r="W24" i="1"/>
  <c r="V24" i="1"/>
  <c r="S24" i="1"/>
  <c r="R24" i="1"/>
  <c r="L24" i="1"/>
  <c r="AF23" i="1"/>
  <c r="AN23" i="1" s="1"/>
  <c r="AE23" i="1"/>
  <c r="AM23" i="1" s="1"/>
  <c r="AB23" i="1"/>
  <c r="AA23" i="1"/>
  <c r="Z23" i="1"/>
  <c r="O23" i="1"/>
  <c r="L23" i="1"/>
  <c r="J23" i="1"/>
  <c r="I23" i="1"/>
  <c r="H23" i="1"/>
  <c r="AF22" i="1"/>
  <c r="AN22" i="1" s="1"/>
  <c r="AE22" i="1"/>
  <c r="AM22" i="1" s="1"/>
  <c r="AB22" i="1"/>
  <c r="AA22" i="1"/>
  <c r="Z22" i="1"/>
  <c r="O22" i="1"/>
  <c r="L22" i="1"/>
  <c r="J22" i="1"/>
  <c r="I22" i="1"/>
  <c r="H22" i="1"/>
  <c r="AF21" i="1"/>
  <c r="AN21" i="1" s="1"/>
  <c r="AE21" i="1"/>
  <c r="AM21" i="1" s="1"/>
  <c r="AB21" i="1"/>
  <c r="AA21" i="1"/>
  <c r="Z21" i="1"/>
  <c r="O21" i="1"/>
  <c r="L21" i="1"/>
  <c r="J21" i="1"/>
  <c r="I21" i="1"/>
  <c r="H21" i="1"/>
  <c r="AF20" i="1"/>
  <c r="AN20" i="1" s="1"/>
  <c r="AE20" i="1"/>
  <c r="AM20" i="1" s="1"/>
  <c r="AB20" i="1"/>
  <c r="AA20" i="1"/>
  <c r="Z20" i="1"/>
  <c r="O20" i="1"/>
  <c r="L20" i="1"/>
  <c r="J20" i="1"/>
  <c r="I20" i="1"/>
  <c r="H20" i="1"/>
  <c r="AF19" i="1"/>
  <c r="AN19" i="1" s="1"/>
  <c r="AE19" i="1"/>
  <c r="AM19" i="1" s="1"/>
  <c r="AB19" i="1"/>
  <c r="AA19" i="1"/>
  <c r="Z19" i="1"/>
  <c r="O19" i="1"/>
  <c r="L19" i="1"/>
  <c r="L18" i="1" s="1"/>
  <c r="J19" i="1"/>
  <c r="I19" i="1"/>
  <c r="I18" i="1" s="1"/>
  <c r="U18" i="1" s="1"/>
  <c r="H19" i="1"/>
  <c r="AK18" i="1"/>
  <c r="AJ18" i="1"/>
  <c r="AI18" i="1"/>
  <c r="X18" i="1"/>
  <c r="W18" i="1"/>
  <c r="V18" i="1"/>
  <c r="S18" i="1"/>
  <c r="R18" i="1"/>
  <c r="P18" i="1"/>
  <c r="H18" i="1"/>
  <c r="T18" i="1" s="1"/>
  <c r="AF17" i="1"/>
  <c r="AN17" i="1" s="1"/>
  <c r="AE17" i="1"/>
  <c r="AM17" i="1" s="1"/>
  <c r="AA17" i="1"/>
  <c r="Z17" i="1"/>
  <c r="O17" i="1"/>
  <c r="L17" i="1"/>
  <c r="J17" i="1"/>
  <c r="AB17" i="1" s="1"/>
  <c r="H17" i="1"/>
  <c r="AF16" i="1"/>
  <c r="AN16" i="1" s="1"/>
  <c r="AE16" i="1"/>
  <c r="AM16" i="1" s="1"/>
  <c r="AA16" i="1"/>
  <c r="Z16" i="1"/>
  <c r="O16" i="1"/>
  <c r="P15" i="1" s="1"/>
  <c r="L16" i="1"/>
  <c r="J16" i="1"/>
  <c r="AB16" i="1" s="1"/>
  <c r="AK15" i="1" s="1"/>
  <c r="H16" i="1"/>
  <c r="H15" i="1" s="1"/>
  <c r="AJ15" i="1"/>
  <c r="AI15" i="1"/>
  <c r="X15" i="1"/>
  <c r="W15" i="1"/>
  <c r="V15" i="1"/>
  <c r="U15" i="1"/>
  <c r="T15" i="1"/>
  <c r="L15" i="1"/>
  <c r="AF14" i="1"/>
  <c r="AN14" i="1" s="1"/>
  <c r="AE14" i="1"/>
  <c r="AM14" i="1" s="1"/>
  <c r="AB14" i="1"/>
  <c r="AA14" i="1"/>
  <c r="Z14" i="1"/>
  <c r="O14" i="1"/>
  <c r="L14" i="1"/>
  <c r="J14" i="1"/>
  <c r="I14" i="1"/>
  <c r="H14" i="1"/>
  <c r="AF13" i="1"/>
  <c r="AN13" i="1" s="1"/>
  <c r="AE13" i="1"/>
  <c r="AM13" i="1" s="1"/>
  <c r="AB13" i="1"/>
  <c r="AA13" i="1"/>
  <c r="Z13" i="1"/>
  <c r="O13" i="1"/>
  <c r="L13" i="1"/>
  <c r="L12" i="1" s="1"/>
  <c r="J13" i="1"/>
  <c r="I13" i="1"/>
  <c r="I12" i="1" s="1"/>
  <c r="S12" i="1" s="1"/>
  <c r="H13" i="1"/>
  <c r="AK12" i="1"/>
  <c r="AJ12" i="1"/>
  <c r="AI12" i="1"/>
  <c r="X12" i="1"/>
  <c r="W12" i="1"/>
  <c r="V12" i="1"/>
  <c r="U12" i="1"/>
  <c r="T12" i="1"/>
  <c r="P12" i="1"/>
  <c r="H12" i="1"/>
  <c r="R12" i="1" s="1"/>
  <c r="R15" i="1" l="1"/>
  <c r="C14" i="5" s="1"/>
  <c r="T24" i="1"/>
  <c r="T35" i="1"/>
  <c r="J12" i="1"/>
  <c r="C21" i="5"/>
  <c r="C27" i="5"/>
  <c r="Z68" i="1"/>
  <c r="J18" i="1"/>
  <c r="J29" i="1"/>
  <c r="AB46" i="1"/>
  <c r="I46" i="1"/>
  <c r="R56" i="1"/>
  <c r="C16" i="5"/>
  <c r="C20" i="5"/>
  <c r="C28" i="5"/>
  <c r="F28" i="5" s="1"/>
  <c r="AA68" i="1"/>
  <c r="I16" i="1"/>
  <c r="I15" i="1" s="1"/>
  <c r="S15" i="1" s="1"/>
  <c r="C15" i="5" s="1"/>
  <c r="I17" i="1"/>
  <c r="I25" i="1"/>
  <c r="I26" i="1"/>
  <c r="I27" i="1"/>
  <c r="I28" i="1"/>
  <c r="I36" i="1"/>
  <c r="I37" i="1"/>
  <c r="I38" i="1"/>
  <c r="I39" i="1"/>
  <c r="I40" i="1"/>
  <c r="I41" i="1"/>
  <c r="I42" i="1"/>
  <c r="AB45" i="1"/>
  <c r="I45" i="1"/>
  <c r="I43" i="1" s="1"/>
  <c r="AB47" i="1"/>
  <c r="I47" i="1"/>
  <c r="AB51" i="1"/>
  <c r="AK50" i="1" s="1"/>
  <c r="I51" i="1"/>
  <c r="V61" i="1"/>
  <c r="C18" i="5" s="1"/>
  <c r="J54" i="1"/>
  <c r="I52" i="1"/>
  <c r="I53" i="1"/>
  <c r="I57" i="1"/>
  <c r="I56" i="1" s="1"/>
  <c r="S56" i="1" s="1"/>
  <c r="I58" i="1"/>
  <c r="S58" i="1" s="1"/>
  <c r="I62" i="1"/>
  <c r="I63" i="1"/>
  <c r="I64" i="1"/>
  <c r="I65" i="1"/>
  <c r="I66" i="1"/>
  <c r="I67" i="1"/>
  <c r="U43" i="1" l="1"/>
  <c r="J43" i="1"/>
  <c r="J58" i="1"/>
  <c r="I50" i="1"/>
  <c r="I35" i="1"/>
  <c r="I24" i="1"/>
  <c r="I61" i="1"/>
  <c r="AK43" i="1"/>
  <c r="AB68" i="1"/>
  <c r="I28" i="5"/>
  <c r="I29" i="5" s="1"/>
  <c r="J15" i="1"/>
  <c r="C29" i="5"/>
  <c r="F29" i="5" s="1"/>
  <c r="J56" i="1"/>
  <c r="W61" i="1" l="1"/>
  <c r="C19" i="5" s="1"/>
  <c r="J61" i="1"/>
  <c r="U35" i="1"/>
  <c r="J35" i="1"/>
  <c r="U24" i="1"/>
  <c r="J24" i="1"/>
  <c r="J68" i="1" s="1"/>
  <c r="U50" i="1"/>
  <c r="J50" i="1"/>
  <c r="C17" i="5" l="1"/>
  <c r="C22" i="5" s="1"/>
</calcChain>
</file>

<file path=xl/sharedStrings.xml><?xml version="1.0" encoding="utf-8"?>
<sst xmlns="http://schemas.openxmlformats.org/spreadsheetml/2006/main" count="1175" uniqueCount="290">
  <si>
    <t>Slepý stavební rozpočet</t>
  </si>
  <si>
    <t>Slepý stavební rozpočet - rekapitulace</t>
  </si>
  <si>
    <t>Č</t>
  </si>
  <si>
    <t>Název stavby:</t>
  </si>
  <si>
    <t>Kód</t>
  </si>
  <si>
    <t>Zkrácený popis</t>
  </si>
  <si>
    <t>M.j.</t>
  </si>
  <si>
    <t>Sazba DPH</t>
  </si>
  <si>
    <t>Množství</t>
  </si>
  <si>
    <t>Jednotková cena (Kč)</t>
  </si>
  <si>
    <t>Náklady dodávka (Kč)</t>
  </si>
  <si>
    <t>Náklady montáž (Kč)</t>
  </si>
  <si>
    <t>Náklady celkem (Kč)</t>
  </si>
  <si>
    <t>Jednotková hmotnost(t)</t>
  </si>
  <si>
    <t>Celková hmotnost(t)</t>
  </si>
  <si>
    <t>Oprava podlah a výmalba druhého patra</t>
  </si>
  <si>
    <t>Objednatel:</t>
  </si>
  <si>
    <t xml:space="preserve"> </t>
  </si>
  <si>
    <t>Doba výstavby:</t>
  </si>
  <si>
    <t>34</t>
  </si>
  <si>
    <t>Stěny a příčky</t>
  </si>
  <si>
    <t>92 dní</t>
  </si>
  <si>
    <t>Druh stavby:</t>
  </si>
  <si>
    <t>1</t>
  </si>
  <si>
    <t>Gymnázium Říčany</t>
  </si>
  <si>
    <t>340237211R00</t>
  </si>
  <si>
    <t>Zazdívka otvorů pl. 0,25m2</t>
  </si>
  <si>
    <t>m2</t>
  </si>
  <si>
    <t>21</t>
  </si>
  <si>
    <t>Začátek výstavby:</t>
  </si>
  <si>
    <t>Projektant:</t>
  </si>
  <si>
    <t>Lokalita:</t>
  </si>
  <si>
    <t>Říčany u Prahy</t>
  </si>
  <si>
    <t>Konec výstavby:</t>
  </si>
  <si>
    <t>Zhotovitel:</t>
  </si>
  <si>
    <t>JKSO:</t>
  </si>
  <si>
    <t>Zpracováno dne:</t>
  </si>
  <si>
    <t>Zpracoval:</t>
  </si>
  <si>
    <t>2</t>
  </si>
  <si>
    <t>342212111R00</t>
  </si>
  <si>
    <t>Začištění větrací mřížky, včetné povrchové úpravy</t>
  </si>
  <si>
    <t>Objekt</t>
  </si>
  <si>
    <t>61</t>
  </si>
  <si>
    <t>Úprava povrchů vnitřní</t>
  </si>
  <si>
    <t>Náklady (Kč) - dodávka</t>
  </si>
  <si>
    <t>Náklady (Kč) - Montáž</t>
  </si>
  <si>
    <t>Náklady (Kč) - celkem</t>
  </si>
  <si>
    <t>Celková hmotnost (t)</t>
  </si>
  <si>
    <t>3</t>
  </si>
  <si>
    <t>612421331RT2</t>
  </si>
  <si>
    <t>Oprava vápen.omítek stěn do 30 % pl. - štukových</t>
  </si>
  <si>
    <t>4</t>
  </si>
  <si>
    <t>612401971R00</t>
  </si>
  <si>
    <t>Zakrývání výplní vnitřních otvorů</t>
  </si>
  <si>
    <t>Jednot.</t>
  </si>
  <si>
    <t>725</t>
  </si>
  <si>
    <t>Zařizovací předměty</t>
  </si>
  <si>
    <t>5</t>
  </si>
  <si>
    <t>725112914R00</t>
  </si>
  <si>
    <t>Demontáž baterie, umyvadla a sifonu</t>
  </si>
  <si>
    <t>soubor</t>
  </si>
  <si>
    <t>Náklady (Kč)</t>
  </si>
  <si>
    <t>6</t>
  </si>
  <si>
    <t>725823111RT0</t>
  </si>
  <si>
    <t>Baterie umyvadlová stoján. ruční, bez otvír.odpadu</t>
  </si>
  <si>
    <t>kus</t>
  </si>
  <si>
    <t>7</t>
  </si>
  <si>
    <t>725017163R00</t>
  </si>
  <si>
    <t>F</t>
  </si>
  <si>
    <t>8</t>
  </si>
  <si>
    <t>Hmotnost (t)</t>
  </si>
  <si>
    <t>725529202R00</t>
  </si>
  <si>
    <t>Montáž umyvadla,sifonu a baterie</t>
  </si>
  <si>
    <t>Cenová</t>
  </si>
  <si>
    <t>766</t>
  </si>
  <si>
    <t>9</t>
  </si>
  <si>
    <t>Konstrukce truhlářské</t>
  </si>
  <si>
    <t>725860251R00</t>
  </si>
  <si>
    <t>Sifon umyvadlový chromovaný</t>
  </si>
  <si>
    <t>775</t>
  </si>
  <si>
    <t>Podlahy vlysové a parketové</t>
  </si>
  <si>
    <t>Rozměry</t>
  </si>
  <si>
    <t>776</t>
  </si>
  <si>
    <t>Podlahy povlakové</t>
  </si>
  <si>
    <t>781</t>
  </si>
  <si>
    <t>Obklady (keramické)</t>
  </si>
  <si>
    <t>cena (Kč)</t>
  </si>
  <si>
    <t>783</t>
  </si>
  <si>
    <t>Nátěry</t>
  </si>
  <si>
    <t>Dodávka</t>
  </si>
  <si>
    <t>784</t>
  </si>
  <si>
    <t>Malby</t>
  </si>
  <si>
    <t>90</t>
  </si>
  <si>
    <t>Hodinové zúčtovací sazby (HZS)</t>
  </si>
  <si>
    <t>Montáž</t>
  </si>
  <si>
    <t>94</t>
  </si>
  <si>
    <t>Lešení a stavební výtahy</t>
  </si>
  <si>
    <t>10</t>
  </si>
  <si>
    <t>766111820R00</t>
  </si>
  <si>
    <t>Demontáž dřevěných stěn plných</t>
  </si>
  <si>
    <t>H01</t>
  </si>
  <si>
    <t>Budovy občanské výstavby</t>
  </si>
  <si>
    <t>Celkem</t>
  </si>
  <si>
    <t>M21</t>
  </si>
  <si>
    <t>Elektromontáže</t>
  </si>
  <si>
    <t>soustava</t>
  </si>
  <si>
    <t>Přesuny</t>
  </si>
  <si>
    <t>Typ skupiny</t>
  </si>
  <si>
    <t>HSV mat</t>
  </si>
  <si>
    <t>HSV prac</t>
  </si>
  <si>
    <t>PSV mat</t>
  </si>
  <si>
    <t>PSV prac</t>
  </si>
  <si>
    <t>Mont mat</t>
  </si>
  <si>
    <t>Mont prac</t>
  </si>
  <si>
    <t>Ostatní mat.</t>
  </si>
  <si>
    <t>Celkem:</t>
  </si>
  <si>
    <t>11</t>
  </si>
  <si>
    <t>Obklad - palubky</t>
  </si>
  <si>
    <t>12</t>
  </si>
  <si>
    <t>766114100R00</t>
  </si>
  <si>
    <t>Ostrůvek pro piano</t>
  </si>
  <si>
    <t>13</t>
  </si>
  <si>
    <t>766624064R00</t>
  </si>
  <si>
    <t>Dodávka a montáž prahu na míru do délky 900 cm</t>
  </si>
  <si>
    <t>HS</t>
  </si>
  <si>
    <t>14</t>
  </si>
  <si>
    <t>775592000R00</t>
  </si>
  <si>
    <t>Broušení dřevěných podlah hrubé+střední+jemné</t>
  </si>
  <si>
    <t>15</t>
  </si>
  <si>
    <t>775599130R00</t>
  </si>
  <si>
    <t>Celoplošné tmelení podlahy191,3</t>
  </si>
  <si>
    <t>16</t>
  </si>
  <si>
    <t>775599141R00</t>
  </si>
  <si>
    <t>Lak dřevěných podlah 2x,přebroušení</t>
  </si>
  <si>
    <t>RTS I / 2016</t>
  </si>
  <si>
    <t>17</t>
  </si>
  <si>
    <t>775981114RU2</t>
  </si>
  <si>
    <t>Lišta podlahová krycí</t>
  </si>
  <si>
    <t>m</t>
  </si>
  <si>
    <t>18</t>
  </si>
  <si>
    <t>775981115R00</t>
  </si>
  <si>
    <t>Lišta  podlahová lepená</t>
  </si>
  <si>
    <t>34_</t>
  </si>
  <si>
    <t>3_</t>
  </si>
  <si>
    <t>_</t>
  </si>
  <si>
    <t>19</t>
  </si>
  <si>
    <t>776521100RU3</t>
  </si>
  <si>
    <t>Lepení.podlah z pásů PVC</t>
  </si>
  <si>
    <t>20</t>
  </si>
  <si>
    <t>776991840R00</t>
  </si>
  <si>
    <t>Odstranění ostruvku</t>
  </si>
  <si>
    <t>776511810RT1</t>
  </si>
  <si>
    <t>Odstranění PVC a koberců lepených bez podložky</t>
  </si>
  <si>
    <t>22</t>
  </si>
  <si>
    <t>776101115R00</t>
  </si>
  <si>
    <t>Vyrovnání podkladů samonivelační hmotou</t>
  </si>
  <si>
    <t>23</t>
  </si>
  <si>
    <t>Výkaz výměr</t>
  </si>
  <si>
    <t>24</t>
  </si>
  <si>
    <t>776981101R00</t>
  </si>
  <si>
    <t>Dodávka a  montáž přechodové a podlahové lišty</t>
  </si>
  <si>
    <t>25</t>
  </si>
  <si>
    <t>776973411R00</t>
  </si>
  <si>
    <t>26</t>
  </si>
  <si>
    <t>781101111R00</t>
  </si>
  <si>
    <t>Vyrovnávní podkladu maltou</t>
  </si>
  <si>
    <t>27</t>
  </si>
  <si>
    <t>781101121R00</t>
  </si>
  <si>
    <t>Penetrace podkladu pod obklady</t>
  </si>
  <si>
    <t>celkem</t>
  </si>
  <si>
    <t>Cenová soustava</t>
  </si>
  <si>
    <t>28</t>
  </si>
  <si>
    <t>781471107R00</t>
  </si>
  <si>
    <t>Obklad vnitř.stěn,keram.režný,hladký, MC, 20x20 cm</t>
  </si>
  <si>
    <t>61_</t>
  </si>
  <si>
    <t>6_</t>
  </si>
  <si>
    <t>29</t>
  </si>
  <si>
    <t>781111121R00</t>
  </si>
  <si>
    <t>Odstranění obkladu</t>
  </si>
  <si>
    <t>30</t>
  </si>
  <si>
    <t>783192303R00</t>
  </si>
  <si>
    <t>Nátěr disperzní</t>
  </si>
  <si>
    <t>31</t>
  </si>
  <si>
    <t>784114221R00</t>
  </si>
  <si>
    <t>Malba omyvatelná 2x barva</t>
  </si>
  <si>
    <t>PS</t>
  </si>
  <si>
    <t>32</t>
  </si>
  <si>
    <t>784114222R00</t>
  </si>
  <si>
    <t>Malba tekutá, barva bílá 2x</t>
  </si>
  <si>
    <t>33</t>
  </si>
  <si>
    <t>784111201R00</t>
  </si>
  <si>
    <t>Penetrace podkladu  1 x</t>
  </si>
  <si>
    <t>900      R04</t>
  </si>
  <si>
    <t>Stavební pomocné práce</t>
  </si>
  <si>
    <t>h</t>
  </si>
  <si>
    <t>35</t>
  </si>
  <si>
    <t>941955001R00</t>
  </si>
  <si>
    <t>Lešení lehké pomocné, výška podlahy do 1,2 m</t>
  </si>
  <si>
    <t>36</t>
  </si>
  <si>
    <t>998011017R00</t>
  </si>
  <si>
    <t>Odvoz suti a vyb. hmot do 25 km</t>
  </si>
  <si>
    <t>37</t>
  </si>
  <si>
    <t>998011002R00</t>
  </si>
  <si>
    <t>Přesun hmot pro budovy zděné výšky do 12 m</t>
  </si>
  <si>
    <t>t</t>
  </si>
  <si>
    <t>38</t>
  </si>
  <si>
    <t>210150609R00</t>
  </si>
  <si>
    <t>Kontrola rozvodů elektroinstalace a její proměření po demontáži</t>
  </si>
  <si>
    <t>39</t>
  </si>
  <si>
    <t>210010001R00</t>
  </si>
  <si>
    <t>Elektromontáže - rozvod kabelů a začištění</t>
  </si>
  <si>
    <t>40</t>
  </si>
  <si>
    <t>210020242R00</t>
  </si>
  <si>
    <t>Revize elektro</t>
  </si>
  <si>
    <t>41</t>
  </si>
  <si>
    <t>210010002RT1</t>
  </si>
  <si>
    <t>Proměření  a revize slaboproudu</t>
  </si>
  <si>
    <t>42</t>
  </si>
  <si>
    <t>210160141R00</t>
  </si>
  <si>
    <t>Zásuvka, dodávka</t>
  </si>
  <si>
    <t>43</t>
  </si>
  <si>
    <t>210160271R00</t>
  </si>
  <si>
    <t>Dádavka, vypínač</t>
  </si>
  <si>
    <t>Poznámka:</t>
  </si>
  <si>
    <t>725_</t>
  </si>
  <si>
    <t>72_</t>
  </si>
  <si>
    <t>Krycí list slepého rozpočtu</t>
  </si>
  <si>
    <t>766_</t>
  </si>
  <si>
    <t>76_</t>
  </si>
  <si>
    <t>IČ/DIČ:</t>
  </si>
  <si>
    <t>Položek:</t>
  </si>
  <si>
    <t>Datum:</t>
  </si>
  <si>
    <t>Rozpočtové náklady v Kč</t>
  </si>
  <si>
    <t>A</t>
  </si>
  <si>
    <t>Základní rozpočtové náklady</t>
  </si>
  <si>
    <t>B</t>
  </si>
  <si>
    <t>Doplňkové náklady</t>
  </si>
  <si>
    <t>C</t>
  </si>
  <si>
    <t>Náklady na umístění stavby (NUS)</t>
  </si>
  <si>
    <t>HSV</t>
  </si>
  <si>
    <t>Dodávky</t>
  </si>
  <si>
    <t>Práce přesčas</t>
  </si>
  <si>
    <t>Zařízení staveniště</t>
  </si>
  <si>
    <t>Bez pevné podl.</t>
  </si>
  <si>
    <t>Mimostav. doprava</t>
  </si>
  <si>
    <t>PSV</t>
  </si>
  <si>
    <t>775_</t>
  </si>
  <si>
    <t>77_</t>
  </si>
  <si>
    <t>Kulturní památka</t>
  </si>
  <si>
    <t>Územní vlivy</t>
  </si>
  <si>
    <t>Provozní vlivy</t>
  </si>
  <si>
    <t>"M"</t>
  </si>
  <si>
    <t>Ostatní</t>
  </si>
  <si>
    <t>NUS z rozpočtu</t>
  </si>
  <si>
    <t>Ostatní materiál</t>
  </si>
  <si>
    <t>Přesun hmot a sutí</t>
  </si>
  <si>
    <t>ZRN celkem</t>
  </si>
  <si>
    <t>DN celkem</t>
  </si>
  <si>
    <t>NUS celkem</t>
  </si>
  <si>
    <t>DN celkem z obj.</t>
  </si>
  <si>
    <t>776_</t>
  </si>
  <si>
    <t>NUS celkem z obj.</t>
  </si>
  <si>
    <t>ORN celkem</t>
  </si>
  <si>
    <t>ORN celkem z obj.</t>
  </si>
  <si>
    <t>Základ 0%</t>
  </si>
  <si>
    <t>Základ 15%</t>
  </si>
  <si>
    <t>DPH 15%</t>
  </si>
  <si>
    <t>Celkem bez DPH</t>
  </si>
  <si>
    <t>Základ 21%</t>
  </si>
  <si>
    <t>DPH 21%</t>
  </si>
  <si>
    <t>Celkem včetně DPH</t>
  </si>
  <si>
    <t>Projektant</t>
  </si>
  <si>
    <t>Objednatel</t>
  </si>
  <si>
    <t>Zhotovitel</t>
  </si>
  <si>
    <t>Datum, razítko a podpis</t>
  </si>
  <si>
    <t>781_</t>
  </si>
  <si>
    <t>78_</t>
  </si>
  <si>
    <t>783_</t>
  </si>
  <si>
    <t>784_</t>
  </si>
  <si>
    <t>90_</t>
  </si>
  <si>
    <t>9_</t>
  </si>
  <si>
    <t>94_</t>
  </si>
  <si>
    <t>H01_</t>
  </si>
  <si>
    <t>MP</t>
  </si>
  <si>
    <t>M21_</t>
  </si>
  <si>
    <t>Umyvadlo na šrouby, 60 x 49 cm, bílé</t>
  </si>
  <si>
    <t>Obklad vnitř.stěn,keram.režný,hladký, 20x20 cm</t>
  </si>
  <si>
    <t>Koberec zátěžový 4m</t>
  </si>
  <si>
    <t xml:space="preserve">PVC </t>
  </si>
  <si>
    <t>PVC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</si>
</sst>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color rgb="FF000000"/>
      <name val="Arial"/>
    </font>
    <font>
      <sz val="18"/>
      <color rgb="FF000000"/>
      <name val="Arial"/>
    </font>
    <font>
      <sz val="10"/>
      <name val="Arial"/>
    </font>
    <font>
      <b/>
      <sz val="10"/>
      <color rgb="FF000000"/>
      <name val="Arial"/>
    </font>
    <font>
      <i/>
      <sz val="8"/>
      <color rgb="FF000000"/>
      <name val="Arial"/>
    </font>
    <font>
      <sz val="24"/>
      <color rgb="FF000000"/>
      <name val="Arial"/>
    </font>
    <font>
      <b/>
      <sz val="18"/>
      <color rgb="FF000000"/>
      <name val="Arial"/>
    </font>
    <font>
      <b/>
      <sz val="20"/>
      <color rgb="FF000000"/>
      <name val="Arial"/>
    </font>
    <font>
      <b/>
      <sz val="11"/>
      <color rgb="FF000000"/>
      <name val="Arial"/>
    </font>
    <font>
      <b/>
      <sz val="12"/>
      <color rgb="FF000000"/>
      <name val="Arial"/>
    </font>
    <font>
      <sz val="12"/>
      <color rgb="FF000000"/>
      <name val="Arial"/>
    </font>
    <font>
      <sz val="10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</fills>
  <borders count="5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31">
    <xf numFmtId="0" fontId="0" fillId="0" borderId="0" xfId="0" applyFont="1" applyAlignment="1">
      <alignment vertical="center"/>
    </xf>
    <xf numFmtId="49" fontId="3" fillId="0" borderId="2" xfId="0" applyNumberFormat="1" applyFont="1" applyBorder="1" applyAlignment="1">
      <alignment horizontal="left" vertical="center"/>
    </xf>
    <xf numFmtId="49" fontId="3" fillId="0" borderId="5" xfId="0" applyNumberFormat="1" applyFont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49" fontId="3" fillId="2" borderId="7" xfId="0" applyNumberFormat="1" applyFont="1" applyFill="1" applyBorder="1" applyAlignment="1">
      <alignment horizontal="left" vertical="center"/>
    </xf>
    <xf numFmtId="49" fontId="3" fillId="2" borderId="7" xfId="0" applyNumberFormat="1" applyFont="1" applyFill="1" applyBorder="1" applyAlignment="1">
      <alignment horizontal="right" vertical="center"/>
    </xf>
    <xf numFmtId="4" fontId="3" fillId="2" borderId="7" xfId="0" applyNumberFormat="1" applyFont="1" applyFill="1" applyBorder="1" applyAlignment="1">
      <alignment horizontal="right" vertical="center"/>
    </xf>
    <xf numFmtId="49" fontId="0" fillId="0" borderId="0" xfId="0" applyNumberFormat="1" applyFont="1" applyAlignment="1">
      <alignment horizontal="left" vertical="center"/>
    </xf>
    <xf numFmtId="4" fontId="0" fillId="0" borderId="0" xfId="0" applyNumberFormat="1" applyFont="1" applyAlignment="1">
      <alignment horizontal="right" vertical="center"/>
    </xf>
    <xf numFmtId="49" fontId="0" fillId="0" borderId="0" xfId="0" applyNumberFormat="1" applyFont="1" applyAlignment="1">
      <alignment horizontal="right" vertical="center"/>
    </xf>
    <xf numFmtId="4" fontId="0" fillId="0" borderId="0" xfId="0" applyNumberFormat="1" applyFont="1" applyAlignment="1">
      <alignment horizontal="left" vertical="center"/>
    </xf>
    <xf numFmtId="49" fontId="3" fillId="0" borderId="13" xfId="0" applyNumberFormat="1" applyFont="1" applyBorder="1" applyAlignment="1">
      <alignment horizontal="left" vertical="center"/>
    </xf>
    <xf numFmtId="49" fontId="3" fillId="0" borderId="14" xfId="0" applyNumberFormat="1" applyFont="1" applyBorder="1" applyAlignment="1">
      <alignment horizontal="left" vertical="center"/>
    </xf>
    <xf numFmtId="49" fontId="3" fillId="0" borderId="15" xfId="0" applyNumberFormat="1" applyFont="1" applyBorder="1" applyAlignment="1">
      <alignment horizontal="left" vertical="center"/>
    </xf>
    <xf numFmtId="49" fontId="3" fillId="2" borderId="16" xfId="0" applyNumberFormat="1" applyFont="1" applyFill="1" applyBorder="1" applyAlignment="1">
      <alignment horizontal="left" vertical="center"/>
    </xf>
    <xf numFmtId="49" fontId="3" fillId="0" borderId="17" xfId="0" applyNumberFormat="1" applyFont="1" applyBorder="1" applyAlignment="1">
      <alignment horizontal="left" vertical="center"/>
    </xf>
    <xf numFmtId="49" fontId="3" fillId="2" borderId="16" xfId="0" applyNumberFormat="1" applyFont="1" applyFill="1" applyBorder="1" applyAlignment="1">
      <alignment horizontal="right" vertical="center"/>
    </xf>
    <xf numFmtId="49" fontId="3" fillId="0" borderId="17" xfId="0" applyNumberFormat="1" applyFont="1" applyBorder="1" applyAlignment="1">
      <alignment horizontal="center" vertical="center"/>
    </xf>
    <xf numFmtId="4" fontId="3" fillId="2" borderId="16" xfId="0" applyNumberFormat="1" applyFont="1" applyFill="1" applyBorder="1" applyAlignment="1">
      <alignment horizontal="right" vertical="center"/>
    </xf>
    <xf numFmtId="49" fontId="3" fillId="0" borderId="15" xfId="0" applyNumberFormat="1" applyFont="1" applyBorder="1" applyAlignment="1">
      <alignment horizontal="center" vertical="center"/>
    </xf>
    <xf numFmtId="0" fontId="0" fillId="0" borderId="18" xfId="0" applyFont="1" applyBorder="1" applyAlignment="1">
      <alignment vertical="center"/>
    </xf>
    <xf numFmtId="49" fontId="3" fillId="0" borderId="14" xfId="0" applyNumberFormat="1" applyFont="1" applyBorder="1" applyAlignment="1">
      <alignment horizontal="center" vertical="center"/>
    </xf>
    <xf numFmtId="49" fontId="0" fillId="0" borderId="19" xfId="0" applyNumberFormat="1" applyFont="1" applyBorder="1" applyAlignment="1">
      <alignment horizontal="left" vertical="center"/>
    </xf>
    <xf numFmtId="49" fontId="3" fillId="0" borderId="20" xfId="0" applyNumberFormat="1" applyFont="1" applyBorder="1" applyAlignment="1">
      <alignment horizontal="center" vertical="center"/>
    </xf>
    <xf numFmtId="0" fontId="0" fillId="0" borderId="19" xfId="0" applyFont="1" applyBorder="1" applyAlignment="1">
      <alignment vertical="center"/>
    </xf>
    <xf numFmtId="4" fontId="0" fillId="0" borderId="19" xfId="0" applyNumberFormat="1" applyFont="1" applyBorder="1" applyAlignment="1">
      <alignment horizontal="right" vertical="center"/>
    </xf>
    <xf numFmtId="49" fontId="3" fillId="0" borderId="24" xfId="0" applyNumberFormat="1" applyFont="1" applyBorder="1" applyAlignment="1">
      <alignment horizontal="center" vertical="center"/>
    </xf>
    <xf numFmtId="49" fontId="0" fillId="0" borderId="25" xfId="0" applyNumberFormat="1" applyFont="1" applyBorder="1" applyAlignment="1">
      <alignment horizontal="left" vertical="center"/>
    </xf>
    <xf numFmtId="49" fontId="0" fillId="0" borderId="26" xfId="0" applyNumberFormat="1" applyFont="1" applyBorder="1" applyAlignment="1">
      <alignment horizontal="left" vertical="center"/>
    </xf>
    <xf numFmtId="49" fontId="3" fillId="0" borderId="26" xfId="0" applyNumberFormat="1" applyFont="1" applyBorder="1" applyAlignment="1">
      <alignment horizontal="left" vertical="center"/>
    </xf>
    <xf numFmtId="49" fontId="3" fillId="0" borderId="27" xfId="0" applyNumberFormat="1" applyFont="1" applyBorder="1" applyAlignment="1">
      <alignment horizontal="right" vertical="center"/>
    </xf>
    <xf numFmtId="49" fontId="3" fillId="0" borderId="28" xfId="0" applyNumberFormat="1" applyFont="1" applyBorder="1" applyAlignment="1">
      <alignment horizontal="center" vertical="center"/>
    </xf>
    <xf numFmtId="49" fontId="3" fillId="0" borderId="29" xfId="0" applyNumberFormat="1" applyFont="1" applyBorder="1" applyAlignment="1">
      <alignment horizontal="center" vertical="center"/>
    </xf>
    <xf numFmtId="49" fontId="3" fillId="0" borderId="30" xfId="0" applyNumberFormat="1" applyFont="1" applyBorder="1" applyAlignment="1">
      <alignment horizontal="center" vertical="center"/>
    </xf>
    <xf numFmtId="49" fontId="3" fillId="0" borderId="31" xfId="0" applyNumberFormat="1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49" fontId="0" fillId="2" borderId="7" xfId="0" applyNumberFormat="1" applyFont="1" applyFill="1" applyBorder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4" fontId="3" fillId="0" borderId="0" xfId="0" applyNumberFormat="1" applyFont="1" applyAlignment="1">
      <alignment horizontal="right" vertical="center"/>
    </xf>
    <xf numFmtId="49" fontId="0" fillId="2" borderId="16" xfId="0" applyNumberFormat="1" applyFont="1" applyFill="1" applyBorder="1" applyAlignment="1">
      <alignment horizontal="left" vertical="center"/>
    </xf>
    <xf numFmtId="49" fontId="3" fillId="0" borderId="17" xfId="0" applyNumberFormat="1" applyFont="1" applyBorder="1" applyAlignment="1">
      <alignment horizontal="right" vertical="center"/>
    </xf>
    <xf numFmtId="49" fontId="0" fillId="0" borderId="19" xfId="0" applyNumberFormat="1" applyFont="1" applyBorder="1" applyAlignment="1">
      <alignment horizontal="right" vertical="center"/>
    </xf>
    <xf numFmtId="49" fontId="4" fillId="0" borderId="0" xfId="0" applyNumberFormat="1" applyFont="1" applyAlignment="1">
      <alignment horizontal="left" vertical="center"/>
    </xf>
    <xf numFmtId="0" fontId="0" fillId="0" borderId="1" xfId="0" applyFont="1" applyBorder="1" applyAlignment="1"/>
    <xf numFmtId="49" fontId="3" fillId="0" borderId="0" xfId="0" applyNumberFormat="1" applyFont="1" applyAlignment="1">
      <alignment horizontal="right" vertical="center"/>
    </xf>
    <xf numFmtId="0" fontId="0" fillId="0" borderId="1" xfId="0" applyFont="1" applyBorder="1" applyAlignment="1">
      <alignment vertical="center"/>
    </xf>
    <xf numFmtId="49" fontId="7" fillId="2" borderId="41" xfId="0" applyNumberFormat="1" applyFont="1" applyFill="1" applyBorder="1" applyAlignment="1">
      <alignment horizontal="center" vertical="center"/>
    </xf>
    <xf numFmtId="49" fontId="9" fillId="0" borderId="44" xfId="0" applyNumberFormat="1" applyFont="1" applyBorder="1" applyAlignment="1">
      <alignment horizontal="left" vertical="center"/>
    </xf>
    <xf numFmtId="49" fontId="10" fillId="0" borderId="41" xfId="0" applyNumberFormat="1" applyFont="1" applyBorder="1" applyAlignment="1">
      <alignment horizontal="left" vertical="center"/>
    </xf>
    <xf numFmtId="4" fontId="10" fillId="0" borderId="41" xfId="0" applyNumberFormat="1" applyFont="1" applyBorder="1" applyAlignment="1">
      <alignment horizontal="right" vertical="center"/>
    </xf>
    <xf numFmtId="49" fontId="9" fillId="0" borderId="45" xfId="0" applyNumberFormat="1" applyFont="1" applyBorder="1" applyAlignment="1">
      <alignment horizontal="left" vertical="center"/>
    </xf>
    <xf numFmtId="49" fontId="10" fillId="0" borderId="41" xfId="0" applyNumberFormat="1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4" fontId="10" fillId="0" borderId="29" xfId="0" applyNumberFormat="1" applyFont="1" applyBorder="1" applyAlignment="1">
      <alignment horizontal="right" vertical="center"/>
    </xf>
    <xf numFmtId="0" fontId="0" fillId="0" borderId="46" xfId="0" applyFont="1" applyBorder="1" applyAlignment="1">
      <alignment vertical="center"/>
    </xf>
    <xf numFmtId="0" fontId="0" fillId="0" borderId="42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4" fontId="9" fillId="2" borderId="48" xfId="0" applyNumberFormat="1" applyFont="1" applyFill="1" applyBorder="1" applyAlignment="1">
      <alignment horizontal="right" vertical="center"/>
    </xf>
    <xf numFmtId="0" fontId="0" fillId="0" borderId="38" xfId="0" applyFont="1" applyBorder="1" applyAlignment="1">
      <alignment vertical="center"/>
    </xf>
    <xf numFmtId="0" fontId="0" fillId="0" borderId="49" xfId="0" applyFont="1" applyBorder="1" applyAlignment="1">
      <alignment vertical="center"/>
    </xf>
    <xf numFmtId="49" fontId="4" fillId="0" borderId="19" xfId="0" applyNumberFormat="1" applyFont="1" applyBorder="1" applyAlignment="1">
      <alignment horizontal="left" vertical="center"/>
    </xf>
    <xf numFmtId="49" fontId="0" fillId="0" borderId="1" xfId="0" applyNumberFormat="1" applyFont="1" applyBorder="1" applyAlignment="1">
      <alignment horizontal="left" vertical="center"/>
    </xf>
    <xf numFmtId="4" fontId="0" fillId="0" borderId="1" xfId="0" applyNumberFormat="1" applyFont="1" applyBorder="1" applyAlignment="1">
      <alignment horizontal="right" vertical="center"/>
    </xf>
    <xf numFmtId="49" fontId="0" fillId="0" borderId="1" xfId="0" applyNumberFormat="1" applyFont="1" applyBorder="1" applyAlignment="1">
      <alignment horizontal="right" vertical="center"/>
    </xf>
    <xf numFmtId="4" fontId="3" fillId="0" borderId="4" xfId="0" applyNumberFormat="1" applyFont="1" applyBorder="1" applyAlignment="1">
      <alignment horizontal="right" vertical="center"/>
    </xf>
    <xf numFmtId="4" fontId="0" fillId="0" borderId="0" xfId="0" applyNumberFormat="1" applyFont="1" applyAlignment="1" applyProtection="1">
      <alignment horizontal="right" vertical="center"/>
      <protection locked="0"/>
    </xf>
    <xf numFmtId="4" fontId="0" fillId="0" borderId="1" xfId="0" applyNumberFormat="1" applyFont="1" applyBorder="1" applyAlignment="1" applyProtection="1">
      <alignment horizontal="right" vertical="center"/>
      <protection locked="0"/>
    </xf>
    <xf numFmtId="49" fontId="0" fillId="0" borderId="0" xfId="0" applyNumberFormat="1" applyFont="1" applyAlignment="1" applyProtection="1">
      <alignment horizontal="right"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19" xfId="0" applyFont="1" applyBorder="1" applyAlignment="1" applyProtection="1">
      <alignment vertical="center"/>
      <protection locked="0"/>
    </xf>
    <xf numFmtId="49" fontId="3" fillId="2" borderId="35" xfId="0" applyNumberFormat="1" applyFont="1" applyFill="1" applyBorder="1" applyAlignment="1">
      <alignment horizontal="left" vertical="center"/>
    </xf>
    <xf numFmtId="0" fontId="2" fillId="0" borderId="36" xfId="0" applyFont="1" applyBorder="1" applyAlignment="1">
      <alignment vertical="center"/>
    </xf>
    <xf numFmtId="0" fontId="2" fillId="0" borderId="37" xfId="0" applyFont="1" applyBorder="1" applyAlignment="1">
      <alignment vertical="center"/>
    </xf>
    <xf numFmtId="0" fontId="3" fillId="0" borderId="4" xfId="0" applyFont="1" applyBorder="1" applyAlignment="1">
      <alignment horizontal="left" vertical="center" wrapText="1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left" vertical="center" wrapText="1"/>
    </xf>
    <xf numFmtId="49" fontId="3" fillId="0" borderId="4" xfId="0" applyNumberFormat="1" applyFont="1" applyBorder="1" applyAlignment="1">
      <alignment horizontal="left" vertical="center"/>
    </xf>
    <xf numFmtId="0" fontId="2" fillId="0" borderId="4" xfId="0" applyFont="1" applyBorder="1" applyAlignment="1">
      <alignment vertical="center"/>
    </xf>
    <xf numFmtId="49" fontId="0" fillId="0" borderId="4" xfId="0" applyNumberFormat="1" applyFont="1" applyBorder="1" applyAlignment="1">
      <alignment horizontal="left" vertical="center"/>
    </xf>
    <xf numFmtId="14" fontId="0" fillId="0" borderId="0" xfId="0" applyNumberFormat="1" applyFont="1" applyAlignment="1">
      <alignment horizontal="left" vertical="center"/>
    </xf>
    <xf numFmtId="0" fontId="2" fillId="0" borderId="11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49" fontId="3" fillId="0" borderId="21" xfId="0" applyNumberFormat="1" applyFont="1" applyBorder="1" applyAlignment="1">
      <alignment horizontal="center" vertical="center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49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0" fillId="0" borderId="4" xfId="0" applyFont="1" applyBorder="1" applyAlignment="1">
      <alignment horizontal="left" vertical="center" wrapText="1"/>
    </xf>
    <xf numFmtId="49" fontId="0" fillId="0" borderId="0" xfId="0" applyNumberFormat="1" applyFont="1" applyAlignment="1">
      <alignment horizontal="left" vertical="center"/>
    </xf>
    <xf numFmtId="49" fontId="3" fillId="2" borderId="32" xfId="0" applyNumberFormat="1" applyFont="1" applyFill="1" applyBorder="1" applyAlignment="1">
      <alignment horizontal="left" vertical="center"/>
    </xf>
    <xf numFmtId="0" fontId="2" fillId="0" borderId="33" xfId="0" applyFont="1" applyBorder="1" applyAlignment="1">
      <alignment vertical="center"/>
    </xf>
    <xf numFmtId="0" fontId="2" fillId="0" borderId="34" xfId="0" applyFont="1" applyBorder="1" applyAlignment="1">
      <alignment vertical="center"/>
    </xf>
    <xf numFmtId="0" fontId="0" fillId="0" borderId="3" xfId="0" applyFont="1" applyBorder="1" applyAlignment="1">
      <alignment horizontal="left" vertical="center" wrapText="1"/>
    </xf>
    <xf numFmtId="0" fontId="2" fillId="0" borderId="6" xfId="0" applyFont="1" applyBorder="1" applyAlignment="1">
      <alignment vertical="center"/>
    </xf>
    <xf numFmtId="0" fontId="0" fillId="0" borderId="6" xfId="0" applyFont="1" applyBorder="1" applyAlignment="1">
      <alignment horizontal="left" vertical="center" wrapText="1"/>
    </xf>
    <xf numFmtId="0" fontId="2" fillId="0" borderId="10" xfId="0" applyFont="1" applyBorder="1" applyAlignment="1">
      <alignment vertical="center"/>
    </xf>
    <xf numFmtId="0" fontId="0" fillId="0" borderId="4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vertical="center"/>
      <protection locked="0"/>
    </xf>
    <xf numFmtId="0" fontId="2" fillId="0" borderId="8" xfId="0" applyFont="1" applyBorder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2" fillId="0" borderId="9" xfId="0" applyFont="1" applyBorder="1" applyAlignment="1" applyProtection="1">
      <alignment vertical="center"/>
      <protection locked="0"/>
    </xf>
    <xf numFmtId="0" fontId="0" fillId="0" borderId="0" xfId="0" applyFont="1" applyAlignment="1" applyProtection="1">
      <alignment horizontal="left" vertical="center" wrapText="1"/>
      <protection locked="0"/>
    </xf>
    <xf numFmtId="0" fontId="5" fillId="0" borderId="1" xfId="0" applyFont="1" applyBorder="1" applyAlignment="1">
      <alignment horizontal="center" vertical="center" wrapText="1"/>
    </xf>
    <xf numFmtId="49" fontId="0" fillId="0" borderId="9" xfId="0" applyNumberFormat="1" applyFont="1" applyBorder="1" applyAlignment="1">
      <alignment horizontal="left" vertical="center"/>
    </xf>
    <xf numFmtId="49" fontId="10" fillId="0" borderId="18" xfId="0" applyNumberFormat="1" applyFont="1" applyBorder="1" applyAlignment="1">
      <alignment horizontal="left" vertical="center"/>
    </xf>
    <xf numFmtId="0" fontId="2" fillId="0" borderId="52" xfId="0" applyFont="1" applyBorder="1" applyAlignment="1">
      <alignment vertical="center"/>
    </xf>
    <xf numFmtId="49" fontId="9" fillId="2" borderId="42" xfId="0" applyNumberFormat="1" applyFont="1" applyFill="1" applyBorder="1" applyAlignment="1">
      <alignment horizontal="left" vertical="center"/>
    </xf>
    <xf numFmtId="0" fontId="2" fillId="0" borderId="47" xfId="0" applyFont="1" applyBorder="1" applyAlignment="1">
      <alignment vertical="center"/>
    </xf>
    <xf numFmtId="14" fontId="0" fillId="0" borderId="9" xfId="0" applyNumberFormat="1" applyFont="1" applyBorder="1" applyAlignment="1">
      <alignment horizontal="left" vertical="center"/>
    </xf>
    <xf numFmtId="0" fontId="2" fillId="0" borderId="39" xfId="0" applyFont="1" applyBorder="1" applyAlignment="1">
      <alignment vertical="center"/>
    </xf>
    <xf numFmtId="49" fontId="10" fillId="0" borderId="42" xfId="0" applyNumberFormat="1" applyFont="1" applyBorder="1" applyAlignment="1">
      <alignment horizontal="left" vertical="center"/>
    </xf>
    <xf numFmtId="0" fontId="2" fillId="0" borderId="43" xfId="0" applyFont="1" applyBorder="1" applyAlignment="1">
      <alignment vertical="center"/>
    </xf>
    <xf numFmtId="49" fontId="8" fillId="0" borderId="42" xfId="0" applyNumberFormat="1" applyFont="1" applyBorder="1" applyAlignment="1">
      <alignment horizontal="left" vertical="center"/>
    </xf>
    <xf numFmtId="49" fontId="10" fillId="0" borderId="50" xfId="0" applyNumberFormat="1" applyFont="1" applyBorder="1" applyAlignment="1">
      <alignment horizontal="left" vertical="center"/>
    </xf>
    <xf numFmtId="0" fontId="2" fillId="0" borderId="19" xfId="0" applyFont="1" applyBorder="1" applyAlignment="1">
      <alignment vertical="center"/>
    </xf>
    <xf numFmtId="0" fontId="2" fillId="0" borderId="51" xfId="0" applyFont="1" applyBorder="1" applyAlignment="1">
      <alignment vertical="center"/>
    </xf>
    <xf numFmtId="49" fontId="9" fillId="0" borderId="42" xfId="0" applyNumberFormat="1" applyFont="1" applyBorder="1" applyAlignment="1">
      <alignment horizontal="left" vertical="center"/>
    </xf>
    <xf numFmtId="49" fontId="0" fillId="0" borderId="8" xfId="0" applyNumberFormat="1" applyFont="1" applyBorder="1" applyAlignment="1">
      <alignment horizontal="left" vertical="center"/>
    </xf>
    <xf numFmtId="49" fontId="6" fillId="0" borderId="40" xfId="0" applyNumberFormat="1" applyFont="1" applyBorder="1" applyAlignment="1">
      <alignment horizontal="center" vertical="center"/>
    </xf>
    <xf numFmtId="0" fontId="2" fillId="0" borderId="40" xfId="0" applyFont="1" applyBorder="1" applyAlignment="1">
      <alignment vertical="center"/>
    </xf>
    <xf numFmtId="0" fontId="2" fillId="0" borderId="38" xfId="0" applyFont="1" applyBorder="1" applyAlignment="1">
      <alignment vertical="center"/>
    </xf>
    <xf numFmtId="49" fontId="10" fillId="0" borderId="53" xfId="0" applyNumberFormat="1" applyFont="1" applyBorder="1" applyAlignment="1">
      <alignment horizontal="left" vertical="center"/>
    </xf>
    <xf numFmtId="0" fontId="2" fillId="0" borderId="54" xfId="0" applyFont="1" applyBorder="1" applyAlignment="1">
      <alignment vertical="center"/>
    </xf>
    <xf numFmtId="49" fontId="0" fillId="0" borderId="19" xfId="0" applyNumberFormat="1" applyFont="1" applyBorder="1" applyAlignment="1" applyProtection="1">
      <alignment horizontal="left" vertical="center"/>
      <protection locked="0"/>
    </xf>
    <xf numFmtId="49" fontId="0" fillId="0" borderId="0" xfId="0" applyNumberFormat="1" applyFont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vertical="center"/>
      <protection locked="0"/>
    </xf>
    <xf numFmtId="0" fontId="11" fillId="0" borderId="0" xfId="0" applyFont="1" applyAlignment="1" applyProtection="1">
      <alignment vertical="center"/>
      <protection locked="0"/>
    </xf>
    <xf numFmtId="49" fontId="11" fillId="0" borderId="0" xfId="0" applyNumberFormat="1" applyFont="1" applyAlignment="1">
      <alignment horizontal="left" vertical="center"/>
    </xf>
    <xf numFmtId="0" fontId="2" fillId="0" borderId="12" xfId="0" applyFont="1" applyBorder="1" applyAlignment="1" applyProtection="1">
      <alignment vertic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000"/>
  <sheetViews>
    <sheetView tabSelected="1" topLeftCell="A37" workbookViewId="0">
      <selection activeCell="D8" activeCellId="1" sqref="J2:M9 D8:D9"/>
    </sheetView>
  </sheetViews>
  <sheetFormatPr defaultColWidth="14.42578125" defaultRowHeight="15" customHeight="1" x14ac:dyDescent="0.2"/>
  <cols>
    <col min="1" max="1" width="3.7109375" customWidth="1"/>
    <col min="2" max="2" width="6.85546875" customWidth="1"/>
    <col min="3" max="3" width="13.28515625" customWidth="1"/>
    <col min="4" max="4" width="66.5703125" customWidth="1"/>
    <col min="5" max="5" width="8.140625" customWidth="1"/>
    <col min="6" max="6" width="12.7109375" customWidth="1"/>
    <col min="7" max="7" width="12" customWidth="1"/>
    <col min="8" max="10" width="14.28515625" customWidth="1"/>
    <col min="11" max="13" width="11.7109375" customWidth="1"/>
    <col min="14" max="14" width="8" hidden="1" customWidth="1"/>
    <col min="15" max="47" width="9.7109375" hidden="1" customWidth="1"/>
    <col min="48" max="53" width="11.5703125" customWidth="1"/>
  </cols>
  <sheetData>
    <row r="1" spans="1:43" ht="72.75" customHeight="1" x14ac:dyDescent="0.35">
      <c r="A1" s="87" t="s">
        <v>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</row>
    <row r="2" spans="1:43" ht="12.75" customHeight="1" x14ac:dyDescent="0.2">
      <c r="A2" s="94" t="s">
        <v>3</v>
      </c>
      <c r="B2" s="78"/>
      <c r="C2" s="78"/>
      <c r="D2" s="74" t="s">
        <v>15</v>
      </c>
      <c r="E2" s="79" t="s">
        <v>18</v>
      </c>
      <c r="F2" s="78"/>
      <c r="G2" s="79" t="s">
        <v>21</v>
      </c>
      <c r="H2" s="78"/>
      <c r="I2" s="89" t="s">
        <v>16</v>
      </c>
      <c r="J2" s="98"/>
      <c r="K2" s="99"/>
      <c r="L2" s="99"/>
      <c r="M2" s="100"/>
      <c r="N2" s="3"/>
    </row>
    <row r="3" spans="1:43" ht="12.75" customHeight="1" x14ac:dyDescent="0.2">
      <c r="A3" s="95"/>
      <c r="B3" s="75"/>
      <c r="C3" s="75"/>
      <c r="D3" s="75"/>
      <c r="E3" s="75"/>
      <c r="F3" s="75"/>
      <c r="G3" s="75"/>
      <c r="H3" s="75"/>
      <c r="I3" s="75"/>
      <c r="J3" s="101"/>
      <c r="K3" s="101"/>
      <c r="L3" s="101"/>
      <c r="M3" s="102"/>
      <c r="N3" s="3"/>
    </row>
    <row r="4" spans="1:43" ht="12.75" customHeight="1" x14ac:dyDescent="0.2">
      <c r="A4" s="96" t="s">
        <v>22</v>
      </c>
      <c r="B4" s="75"/>
      <c r="C4" s="75"/>
      <c r="D4" s="76" t="s">
        <v>24</v>
      </c>
      <c r="E4" s="90" t="s">
        <v>29</v>
      </c>
      <c r="F4" s="75"/>
      <c r="G4" s="90" t="s">
        <v>17</v>
      </c>
      <c r="H4" s="75"/>
      <c r="I4" s="76" t="s">
        <v>30</v>
      </c>
      <c r="J4" s="103"/>
      <c r="K4" s="101"/>
      <c r="L4" s="101"/>
      <c r="M4" s="102"/>
      <c r="N4" s="3"/>
    </row>
    <row r="5" spans="1:43" ht="12.75" customHeight="1" x14ac:dyDescent="0.2">
      <c r="A5" s="95"/>
      <c r="B5" s="75"/>
      <c r="C5" s="75"/>
      <c r="D5" s="75"/>
      <c r="E5" s="75"/>
      <c r="F5" s="75"/>
      <c r="G5" s="75"/>
      <c r="H5" s="75"/>
      <c r="I5" s="75"/>
      <c r="J5" s="101"/>
      <c r="K5" s="101"/>
      <c r="L5" s="101"/>
      <c r="M5" s="102"/>
      <c r="N5" s="3"/>
    </row>
    <row r="6" spans="1:43" ht="12.75" customHeight="1" x14ac:dyDescent="0.2">
      <c r="A6" s="96" t="s">
        <v>31</v>
      </c>
      <c r="B6" s="75"/>
      <c r="C6" s="75"/>
      <c r="D6" s="76" t="s">
        <v>32</v>
      </c>
      <c r="E6" s="90" t="s">
        <v>33</v>
      </c>
      <c r="F6" s="75"/>
      <c r="G6" s="80">
        <v>43343</v>
      </c>
      <c r="H6" s="75"/>
      <c r="I6" s="76" t="s">
        <v>34</v>
      </c>
      <c r="J6" s="103"/>
      <c r="K6" s="101"/>
      <c r="L6" s="101"/>
      <c r="M6" s="102"/>
      <c r="N6" s="3"/>
    </row>
    <row r="7" spans="1:43" ht="12.75" customHeight="1" x14ac:dyDescent="0.2">
      <c r="A7" s="95"/>
      <c r="B7" s="75"/>
      <c r="C7" s="75"/>
      <c r="D7" s="75"/>
      <c r="E7" s="75"/>
      <c r="F7" s="75"/>
      <c r="G7" s="75"/>
      <c r="H7" s="75"/>
      <c r="I7" s="75"/>
      <c r="J7" s="101"/>
      <c r="K7" s="101"/>
      <c r="L7" s="101"/>
      <c r="M7" s="102"/>
      <c r="N7" s="3"/>
    </row>
    <row r="8" spans="1:43" ht="12.75" customHeight="1" x14ac:dyDescent="0.2">
      <c r="A8" s="96" t="s">
        <v>35</v>
      </c>
      <c r="B8" s="75"/>
      <c r="C8" s="75"/>
      <c r="D8" s="103"/>
      <c r="E8" s="90" t="s">
        <v>36</v>
      </c>
      <c r="F8" s="75"/>
      <c r="G8" s="80">
        <v>43215</v>
      </c>
      <c r="H8" s="75"/>
      <c r="I8" s="76" t="s">
        <v>37</v>
      </c>
      <c r="J8" s="103"/>
      <c r="K8" s="101"/>
      <c r="L8" s="101"/>
      <c r="M8" s="102"/>
      <c r="N8" s="3"/>
    </row>
    <row r="9" spans="1:43" ht="12.75" customHeight="1" x14ac:dyDescent="0.2">
      <c r="A9" s="97"/>
      <c r="B9" s="81"/>
      <c r="C9" s="81"/>
      <c r="D9" s="127"/>
      <c r="E9" s="81"/>
      <c r="F9" s="81"/>
      <c r="G9" s="81"/>
      <c r="H9" s="81"/>
      <c r="I9" s="81"/>
      <c r="J9" s="127"/>
      <c r="K9" s="127"/>
      <c r="L9" s="127"/>
      <c r="M9" s="130"/>
      <c r="N9" s="3"/>
    </row>
    <row r="10" spans="1:43" ht="12.75" customHeight="1" x14ac:dyDescent="0.2">
      <c r="A10" s="11" t="s">
        <v>2</v>
      </c>
      <c r="B10" s="12" t="s">
        <v>41</v>
      </c>
      <c r="C10" s="12" t="s">
        <v>4</v>
      </c>
      <c r="D10" s="12" t="s">
        <v>5</v>
      </c>
      <c r="E10" s="12" t="s">
        <v>6</v>
      </c>
      <c r="F10" s="21" t="s">
        <v>8</v>
      </c>
      <c r="G10" s="23" t="s">
        <v>54</v>
      </c>
      <c r="H10" s="84" t="s">
        <v>61</v>
      </c>
      <c r="I10" s="85"/>
      <c r="J10" s="86"/>
      <c r="K10" s="84" t="s">
        <v>70</v>
      </c>
      <c r="L10" s="86"/>
      <c r="M10" s="26" t="s">
        <v>73</v>
      </c>
      <c r="N10" s="20"/>
    </row>
    <row r="11" spans="1:43" ht="12.75" customHeight="1" x14ac:dyDescent="0.2">
      <c r="A11" s="27" t="s">
        <v>17</v>
      </c>
      <c r="B11" s="28" t="s">
        <v>17</v>
      </c>
      <c r="C11" s="28" t="s">
        <v>17</v>
      </c>
      <c r="D11" s="29" t="s">
        <v>81</v>
      </c>
      <c r="E11" s="28" t="s">
        <v>17</v>
      </c>
      <c r="F11" s="28" t="s">
        <v>17</v>
      </c>
      <c r="G11" s="30" t="s">
        <v>86</v>
      </c>
      <c r="H11" s="31" t="s">
        <v>89</v>
      </c>
      <c r="I11" s="32" t="s">
        <v>94</v>
      </c>
      <c r="J11" s="33" t="s">
        <v>102</v>
      </c>
      <c r="K11" s="31" t="s">
        <v>54</v>
      </c>
      <c r="L11" s="33" t="s">
        <v>102</v>
      </c>
      <c r="M11" s="34" t="s">
        <v>105</v>
      </c>
      <c r="N11" s="20"/>
      <c r="P11" s="16" t="s">
        <v>106</v>
      </c>
      <c r="Q11" s="16" t="s">
        <v>107</v>
      </c>
      <c r="R11" s="16" t="s">
        <v>108</v>
      </c>
      <c r="S11" s="16" t="s">
        <v>109</v>
      </c>
      <c r="T11" s="16" t="s">
        <v>110</v>
      </c>
      <c r="U11" s="16" t="s">
        <v>111</v>
      </c>
      <c r="V11" s="16" t="s">
        <v>112</v>
      </c>
      <c r="W11" s="16" t="s">
        <v>113</v>
      </c>
      <c r="X11" s="16" t="s">
        <v>114</v>
      </c>
    </row>
    <row r="12" spans="1:43" ht="12.75" customHeight="1" x14ac:dyDescent="0.2">
      <c r="A12" s="36"/>
      <c r="B12" s="4"/>
      <c r="C12" s="4" t="s">
        <v>19</v>
      </c>
      <c r="D12" s="91" t="s">
        <v>20</v>
      </c>
      <c r="E12" s="92"/>
      <c r="F12" s="92"/>
      <c r="G12" s="93"/>
      <c r="H12" s="6">
        <f t="shared" ref="H12:I12" si="0">SUM(H13:H14)</f>
        <v>0</v>
      </c>
      <c r="I12" s="6">
        <f t="shared" si="0"/>
        <v>0</v>
      </c>
      <c r="J12" s="6">
        <f>H12+I12</f>
        <v>0</v>
      </c>
      <c r="K12" s="5"/>
      <c r="L12" s="6">
        <f>SUM(L13:L14)</f>
        <v>0.87575000000000003</v>
      </c>
      <c r="M12" s="5"/>
      <c r="P12" s="18">
        <f>IF(Q12="PR",J12,SUM(O13:O14))</f>
        <v>0</v>
      </c>
      <c r="Q12" s="16" t="s">
        <v>124</v>
      </c>
      <c r="R12" s="18">
        <f>IF(Q12="HS",H12,0)</f>
        <v>0</v>
      </c>
      <c r="S12" s="18">
        <f>IF(Q12="HS",I12-P12,0)</f>
        <v>0</v>
      </c>
      <c r="T12" s="18">
        <f>IF(Q12="PS",H12,0)</f>
        <v>0</v>
      </c>
      <c r="U12" s="18">
        <f>IF(Q12="PS",I12-P12,0)</f>
        <v>0</v>
      </c>
      <c r="V12" s="18">
        <f>IF(Q12="MP",H12,0)</f>
        <v>0</v>
      </c>
      <c r="W12" s="18">
        <f>IF(Q12="MP",I12-P12,0)</f>
        <v>0</v>
      </c>
      <c r="X12" s="18">
        <f>IF(Q12="OM",H12,0)</f>
        <v>0</v>
      </c>
      <c r="Y12" s="16"/>
      <c r="AI12" s="18">
        <f t="shared" ref="AI12:AK12" si="1">SUM(Z13:Z14)</f>
        <v>0</v>
      </c>
      <c r="AJ12" s="18">
        <f t="shared" si="1"/>
        <v>0</v>
      </c>
      <c r="AK12" s="18">
        <f t="shared" si="1"/>
        <v>0</v>
      </c>
    </row>
    <row r="13" spans="1:43" ht="12.75" customHeight="1" x14ac:dyDescent="0.2">
      <c r="A13" s="7" t="s">
        <v>23</v>
      </c>
      <c r="B13" s="7"/>
      <c r="C13" s="7" t="s">
        <v>25</v>
      </c>
      <c r="D13" s="7" t="s">
        <v>26</v>
      </c>
      <c r="E13" s="7" t="s">
        <v>27</v>
      </c>
      <c r="F13" s="8">
        <v>26</v>
      </c>
      <c r="G13" s="66">
        <v>0</v>
      </c>
      <c r="H13" s="8">
        <f t="shared" ref="H13:H14" si="2">F13*AE13</f>
        <v>0</v>
      </c>
      <c r="I13" s="8">
        <f t="shared" ref="I13:I14" si="3">J13-H13</f>
        <v>0</v>
      </c>
      <c r="J13" s="8">
        <f t="shared" ref="J13:J14" si="4">F13*G13</f>
        <v>0</v>
      </c>
      <c r="K13" s="8">
        <v>2.6950000000000002E-2</v>
      </c>
      <c r="L13" s="8">
        <f t="shared" ref="L13:L14" si="5">F13*K13</f>
        <v>0.7007000000000001</v>
      </c>
      <c r="M13" s="9" t="s">
        <v>134</v>
      </c>
      <c r="N13" s="9" t="s">
        <v>23</v>
      </c>
      <c r="O13" s="8">
        <f t="shared" ref="O13:O14" si="6">IF(N13="5",I13,0)</f>
        <v>0</v>
      </c>
      <c r="Z13" s="8">
        <f t="shared" ref="Z13:Z14" si="7">IF(AD13=0,J13,0)</f>
        <v>0</v>
      </c>
      <c r="AA13" s="8">
        <f t="shared" ref="AA13:AA14" si="8">IF(AD13=15,J13,0)</f>
        <v>0</v>
      </c>
      <c r="AB13" s="8">
        <f t="shared" ref="AB13:AB14" si="9">IF(AD13=21,J13,0)</f>
        <v>0</v>
      </c>
      <c r="AD13" s="8">
        <v>21</v>
      </c>
      <c r="AE13" s="8">
        <f>G13*0.6231765134938</f>
        <v>0</v>
      </c>
      <c r="AF13" s="8">
        <f>G13*(1-0.6231765134938)</f>
        <v>0</v>
      </c>
      <c r="AM13" s="8">
        <f t="shared" ref="AM13:AM14" si="10">F13*AE13</f>
        <v>0</v>
      </c>
      <c r="AN13" s="8">
        <f t="shared" ref="AN13:AN14" si="11">F13*AF13</f>
        <v>0</v>
      </c>
      <c r="AO13" s="9" t="s">
        <v>142</v>
      </c>
      <c r="AP13" s="9" t="s">
        <v>143</v>
      </c>
      <c r="AQ13" s="16" t="s">
        <v>144</v>
      </c>
    </row>
    <row r="14" spans="1:43" ht="12.75" customHeight="1" x14ac:dyDescent="0.2">
      <c r="A14" s="7" t="s">
        <v>38</v>
      </c>
      <c r="B14" s="7"/>
      <c r="C14" s="7" t="s">
        <v>39</v>
      </c>
      <c r="D14" s="7" t="s">
        <v>40</v>
      </c>
      <c r="E14" s="7" t="s">
        <v>27</v>
      </c>
      <c r="F14" s="8">
        <v>4.5</v>
      </c>
      <c r="G14" s="66">
        <v>0</v>
      </c>
      <c r="H14" s="8">
        <f t="shared" si="2"/>
        <v>0</v>
      </c>
      <c r="I14" s="8">
        <f t="shared" si="3"/>
        <v>0</v>
      </c>
      <c r="J14" s="8">
        <f t="shared" si="4"/>
        <v>0</v>
      </c>
      <c r="K14" s="8">
        <v>3.8899999999999997E-2</v>
      </c>
      <c r="L14" s="8">
        <f t="shared" si="5"/>
        <v>0.17504999999999998</v>
      </c>
      <c r="M14" s="9" t="s">
        <v>134</v>
      </c>
      <c r="N14" s="9" t="s">
        <v>23</v>
      </c>
      <c r="O14" s="8">
        <f t="shared" si="6"/>
        <v>0</v>
      </c>
      <c r="Z14" s="8">
        <f t="shared" si="7"/>
        <v>0</v>
      </c>
      <c r="AA14" s="8">
        <f t="shared" si="8"/>
        <v>0</v>
      </c>
      <c r="AB14" s="8">
        <f t="shared" si="9"/>
        <v>0</v>
      </c>
      <c r="AD14" s="8">
        <v>21</v>
      </c>
      <c r="AE14" s="8">
        <f>G14*0.693281811117878</f>
        <v>0</v>
      </c>
      <c r="AF14" s="8">
        <f>G14*(1-0.693281811117878)</f>
        <v>0</v>
      </c>
      <c r="AM14" s="8">
        <f t="shared" si="10"/>
        <v>0</v>
      </c>
      <c r="AN14" s="8">
        <f t="shared" si="11"/>
        <v>0</v>
      </c>
      <c r="AO14" s="9" t="s">
        <v>142</v>
      </c>
      <c r="AP14" s="9" t="s">
        <v>143</v>
      </c>
      <c r="AQ14" s="16" t="s">
        <v>144</v>
      </c>
    </row>
    <row r="15" spans="1:43" ht="12.75" customHeight="1" x14ac:dyDescent="0.2">
      <c r="A15" s="39"/>
      <c r="B15" s="14"/>
      <c r="C15" s="14" t="s">
        <v>42</v>
      </c>
      <c r="D15" s="71" t="s">
        <v>43</v>
      </c>
      <c r="E15" s="72"/>
      <c r="F15" s="72"/>
      <c r="G15" s="73"/>
      <c r="H15" s="18">
        <f t="shared" ref="H15:I15" si="12">SUM(H16:H17)</f>
        <v>0</v>
      </c>
      <c r="I15" s="18">
        <f t="shared" si="12"/>
        <v>0</v>
      </c>
      <c r="J15" s="18">
        <f>H15+I15</f>
        <v>0</v>
      </c>
      <c r="K15" s="16"/>
      <c r="L15" s="18">
        <f>SUM(L16:L17)</f>
        <v>5.5112000000000005</v>
      </c>
      <c r="M15" s="16"/>
      <c r="P15" s="18">
        <f>IF(Q15="PR",J15,SUM(O16:O17))</f>
        <v>0</v>
      </c>
      <c r="Q15" s="16" t="s">
        <v>124</v>
      </c>
      <c r="R15" s="18">
        <f>IF(Q15="HS",H15,0)</f>
        <v>0</v>
      </c>
      <c r="S15" s="18">
        <f>IF(Q15="HS",I15-P15,0)</f>
        <v>0</v>
      </c>
      <c r="T15" s="18">
        <f>IF(Q15="PS",H15,0)</f>
        <v>0</v>
      </c>
      <c r="U15" s="18">
        <f>IF(Q15="PS",I15-P15,0)</f>
        <v>0</v>
      </c>
      <c r="V15" s="18">
        <f>IF(Q15="MP",H15,0)</f>
        <v>0</v>
      </c>
      <c r="W15" s="18">
        <f>IF(Q15="MP",I15-P15,0)</f>
        <v>0</v>
      </c>
      <c r="X15" s="18">
        <f>IF(Q15="OM",H15,0)</f>
        <v>0</v>
      </c>
      <c r="Y15" s="16"/>
      <c r="AI15" s="18">
        <f t="shared" ref="AI15:AK15" si="13">SUM(Z16:Z17)</f>
        <v>0</v>
      </c>
      <c r="AJ15" s="18">
        <f t="shared" si="13"/>
        <v>0</v>
      </c>
      <c r="AK15" s="18">
        <f t="shared" si="13"/>
        <v>0</v>
      </c>
    </row>
    <row r="16" spans="1:43" ht="12.75" customHeight="1" x14ac:dyDescent="0.2">
      <c r="A16" s="7" t="s">
        <v>48</v>
      </c>
      <c r="B16" s="7"/>
      <c r="C16" s="7" t="s">
        <v>49</v>
      </c>
      <c r="D16" s="7" t="s">
        <v>50</v>
      </c>
      <c r="E16" s="7" t="s">
        <v>27</v>
      </c>
      <c r="F16" s="8">
        <v>530</v>
      </c>
      <c r="G16" s="66">
        <v>0</v>
      </c>
      <c r="H16" s="8">
        <f t="shared" ref="H16:H17" si="14">F16*AE16</f>
        <v>0</v>
      </c>
      <c r="I16" s="8">
        <f t="shared" ref="I16:I17" si="15">J16-H16</f>
        <v>0</v>
      </c>
      <c r="J16" s="8">
        <f t="shared" ref="J16:J17" si="16">F16*G16</f>
        <v>0</v>
      </c>
      <c r="K16" s="8">
        <v>1.038E-2</v>
      </c>
      <c r="L16" s="8">
        <f t="shared" ref="L16:L17" si="17">F16*K16</f>
        <v>5.5014000000000003</v>
      </c>
      <c r="M16" s="9" t="s">
        <v>134</v>
      </c>
      <c r="N16" s="9" t="s">
        <v>23</v>
      </c>
      <c r="O16" s="8">
        <f t="shared" ref="O16:O17" si="18">IF(N16="5",I16,0)</f>
        <v>0</v>
      </c>
      <c r="Z16" s="8">
        <f t="shared" ref="Z16:Z17" si="19">IF(AD16=0,J16,0)</f>
        <v>0</v>
      </c>
      <c r="AA16" s="8">
        <f t="shared" ref="AA16:AA17" si="20">IF(AD16=15,J16,0)</f>
        <v>0</v>
      </c>
      <c r="AB16" s="8">
        <f t="shared" ref="AB16:AB17" si="21">IF(AD16=21,J16,0)</f>
        <v>0</v>
      </c>
      <c r="AD16" s="8">
        <v>21</v>
      </c>
      <c r="AE16" s="8">
        <f>G16*0.277332660399975</f>
        <v>0</v>
      </c>
      <c r="AF16" s="8">
        <f>G16*(1-0.277332660399975)</f>
        <v>0</v>
      </c>
      <c r="AM16" s="8">
        <f t="shared" ref="AM16:AM17" si="22">F16*AE16</f>
        <v>0</v>
      </c>
      <c r="AN16" s="8">
        <f t="shared" ref="AN16:AN17" si="23">F16*AF16</f>
        <v>0</v>
      </c>
      <c r="AO16" s="9" t="s">
        <v>174</v>
      </c>
      <c r="AP16" s="9" t="s">
        <v>175</v>
      </c>
      <c r="AQ16" s="16" t="s">
        <v>144</v>
      </c>
    </row>
    <row r="17" spans="1:43" ht="12.75" customHeight="1" x14ac:dyDescent="0.2">
      <c r="A17" s="7" t="s">
        <v>51</v>
      </c>
      <c r="B17" s="7"/>
      <c r="C17" s="7" t="s">
        <v>52</v>
      </c>
      <c r="D17" s="7" t="s">
        <v>53</v>
      </c>
      <c r="E17" s="7" t="s">
        <v>27</v>
      </c>
      <c r="F17" s="8">
        <v>980</v>
      </c>
      <c r="G17" s="66">
        <v>0</v>
      </c>
      <c r="H17" s="8">
        <f t="shared" si="14"/>
        <v>0</v>
      </c>
      <c r="I17" s="8">
        <f t="shared" si="15"/>
        <v>0</v>
      </c>
      <c r="J17" s="8">
        <f t="shared" si="16"/>
        <v>0</v>
      </c>
      <c r="K17" s="8">
        <v>1.0000000000000001E-5</v>
      </c>
      <c r="L17" s="8">
        <f t="shared" si="17"/>
        <v>9.8000000000000014E-3</v>
      </c>
      <c r="M17" s="9" t="s">
        <v>134</v>
      </c>
      <c r="N17" s="9" t="s">
        <v>23</v>
      </c>
      <c r="O17" s="8">
        <f t="shared" si="18"/>
        <v>0</v>
      </c>
      <c r="Z17" s="8">
        <f t="shared" si="19"/>
        <v>0</v>
      </c>
      <c r="AA17" s="8">
        <f t="shared" si="20"/>
        <v>0</v>
      </c>
      <c r="AB17" s="8">
        <f t="shared" si="21"/>
        <v>0</v>
      </c>
      <c r="AD17" s="8">
        <v>21</v>
      </c>
      <c r="AE17" s="8">
        <f>G17*0.5012</f>
        <v>0</v>
      </c>
      <c r="AF17" s="8">
        <f>G17*(1-0.5012)</f>
        <v>0</v>
      </c>
      <c r="AM17" s="8">
        <f t="shared" si="22"/>
        <v>0</v>
      </c>
      <c r="AN17" s="8">
        <f t="shared" si="23"/>
        <v>0</v>
      </c>
      <c r="AO17" s="9" t="s">
        <v>174</v>
      </c>
      <c r="AP17" s="9" t="s">
        <v>175</v>
      </c>
      <c r="AQ17" s="16" t="s">
        <v>144</v>
      </c>
    </row>
    <row r="18" spans="1:43" ht="12.75" customHeight="1" x14ac:dyDescent="0.2">
      <c r="A18" s="39"/>
      <c r="B18" s="14"/>
      <c r="C18" s="14" t="s">
        <v>55</v>
      </c>
      <c r="D18" s="71" t="s">
        <v>56</v>
      </c>
      <c r="E18" s="72"/>
      <c r="F18" s="72"/>
      <c r="G18" s="73"/>
      <c r="H18" s="18">
        <f t="shared" ref="H18:I18" si="24">SUM(H19:H23)</f>
        <v>0</v>
      </c>
      <c r="I18" s="18">
        <f t="shared" si="24"/>
        <v>0</v>
      </c>
      <c r="J18" s="18">
        <f>H18+I18</f>
        <v>0</v>
      </c>
      <c r="K18" s="16"/>
      <c r="L18" s="18">
        <f>SUM(L19:L23)</f>
        <v>0.14315</v>
      </c>
      <c r="M18" s="16"/>
      <c r="P18" s="18">
        <f>IF(Q18="PR",J18,SUM(O19:O23))</f>
        <v>0</v>
      </c>
      <c r="Q18" s="16" t="s">
        <v>185</v>
      </c>
      <c r="R18" s="18">
        <f>IF(Q18="HS",H18,0)</f>
        <v>0</v>
      </c>
      <c r="S18" s="18">
        <f>IF(Q18="HS",I18-P18,0)</f>
        <v>0</v>
      </c>
      <c r="T18" s="18">
        <f>IF(Q18="PS",H18,0)</f>
        <v>0</v>
      </c>
      <c r="U18" s="18">
        <f>IF(Q18="PS",I18-P18,0)</f>
        <v>0</v>
      </c>
      <c r="V18" s="18">
        <f>IF(Q18="MP",H18,0)</f>
        <v>0</v>
      </c>
      <c r="W18" s="18">
        <f>IF(Q18="MP",I18-P18,0)</f>
        <v>0</v>
      </c>
      <c r="X18" s="18">
        <f>IF(Q18="OM",H18,0)</f>
        <v>0</v>
      </c>
      <c r="Y18" s="16"/>
      <c r="AI18" s="18">
        <f t="shared" ref="AI18:AK18" si="25">SUM(Z19:Z23)</f>
        <v>0</v>
      </c>
      <c r="AJ18" s="18">
        <f t="shared" si="25"/>
        <v>0</v>
      </c>
      <c r="AK18" s="18">
        <f t="shared" si="25"/>
        <v>0</v>
      </c>
    </row>
    <row r="19" spans="1:43" ht="12.75" customHeight="1" x14ac:dyDescent="0.2">
      <c r="A19" s="7" t="s">
        <v>57</v>
      </c>
      <c r="B19" s="7"/>
      <c r="C19" s="7" t="s">
        <v>58</v>
      </c>
      <c r="D19" s="7" t="s">
        <v>59</v>
      </c>
      <c r="E19" s="7" t="s">
        <v>60</v>
      </c>
      <c r="F19" s="8">
        <v>7</v>
      </c>
      <c r="G19" s="66">
        <v>0</v>
      </c>
      <c r="H19" s="8">
        <f t="shared" ref="H19:H23" si="26">F19*AE19</f>
        <v>0</v>
      </c>
      <c r="I19" s="8">
        <f t="shared" ref="I19:I23" si="27">J19-H19</f>
        <v>0</v>
      </c>
      <c r="J19" s="8">
        <f t="shared" ref="J19:J23" si="28">F19*G19</f>
        <v>0</v>
      </c>
      <c r="K19" s="8">
        <v>9.5E-4</v>
      </c>
      <c r="L19" s="8">
        <f t="shared" ref="L19:L23" si="29">F19*K19</f>
        <v>6.6499999999999997E-3</v>
      </c>
      <c r="M19" s="9" t="s">
        <v>134</v>
      </c>
      <c r="N19" s="9" t="s">
        <v>23</v>
      </c>
      <c r="O19" s="8">
        <f t="shared" ref="O19:O23" si="30">IF(N19="5",I19,0)</f>
        <v>0</v>
      </c>
      <c r="Z19" s="8">
        <f t="shared" ref="Z19:Z23" si="31">IF(AD19=0,J19,0)</f>
        <v>0</v>
      </c>
      <c r="AA19" s="8">
        <f t="shared" ref="AA19:AA23" si="32">IF(AD19=15,J19,0)</f>
        <v>0</v>
      </c>
      <c r="AB19" s="8">
        <f t="shared" ref="AB19:AB23" si="33">IF(AD19=21,J19,0)</f>
        <v>0</v>
      </c>
      <c r="AD19" s="8">
        <v>21</v>
      </c>
      <c r="AE19" s="8">
        <f>G19*0.072189135535102</f>
        <v>0</v>
      </c>
      <c r="AF19" s="8">
        <f>G19*(1-0.072189135535102)</f>
        <v>0</v>
      </c>
      <c r="AM19" s="8">
        <f t="shared" ref="AM19:AM23" si="34">F19*AE19</f>
        <v>0</v>
      </c>
      <c r="AN19" s="8">
        <f t="shared" ref="AN19:AN23" si="35">F19*AF19</f>
        <v>0</v>
      </c>
      <c r="AO19" s="9" t="s">
        <v>224</v>
      </c>
      <c r="AP19" s="9" t="s">
        <v>225</v>
      </c>
      <c r="AQ19" s="16" t="s">
        <v>144</v>
      </c>
    </row>
    <row r="20" spans="1:43" ht="12.75" customHeight="1" x14ac:dyDescent="0.2">
      <c r="A20" s="7" t="s">
        <v>62</v>
      </c>
      <c r="B20" s="7"/>
      <c r="C20" s="7" t="s">
        <v>63</v>
      </c>
      <c r="D20" s="7" t="s">
        <v>64</v>
      </c>
      <c r="E20" s="7" t="s">
        <v>65</v>
      </c>
      <c r="F20" s="8">
        <v>7</v>
      </c>
      <c r="G20" s="66">
        <v>0</v>
      </c>
      <c r="H20" s="8">
        <f t="shared" si="26"/>
        <v>0</v>
      </c>
      <c r="I20" s="8">
        <f t="shared" si="27"/>
        <v>0</v>
      </c>
      <c r="J20" s="8">
        <f t="shared" si="28"/>
        <v>0</v>
      </c>
      <c r="K20" s="8">
        <v>1E-3</v>
      </c>
      <c r="L20" s="8">
        <f t="shared" si="29"/>
        <v>7.0000000000000001E-3</v>
      </c>
      <c r="M20" s="9" t="s">
        <v>134</v>
      </c>
      <c r="N20" s="9" t="s">
        <v>23</v>
      </c>
      <c r="O20" s="8">
        <f t="shared" si="30"/>
        <v>0</v>
      </c>
      <c r="Z20" s="8">
        <f t="shared" si="31"/>
        <v>0</v>
      </c>
      <c r="AA20" s="8">
        <f t="shared" si="32"/>
        <v>0</v>
      </c>
      <c r="AB20" s="8">
        <f t="shared" si="33"/>
        <v>0</v>
      </c>
      <c r="AD20" s="8">
        <v>21</v>
      </c>
      <c r="AE20" s="8">
        <f>G20*0.825248275862069</f>
        <v>0</v>
      </c>
      <c r="AF20" s="8">
        <f>G20*(1-0.825248275862069)</f>
        <v>0</v>
      </c>
      <c r="AM20" s="8">
        <f t="shared" si="34"/>
        <v>0</v>
      </c>
      <c r="AN20" s="8">
        <f t="shared" si="35"/>
        <v>0</v>
      </c>
      <c r="AO20" s="9" t="s">
        <v>224</v>
      </c>
      <c r="AP20" s="9" t="s">
        <v>225</v>
      </c>
      <c r="AQ20" s="16" t="s">
        <v>144</v>
      </c>
    </row>
    <row r="21" spans="1:43" ht="12.75" customHeight="1" x14ac:dyDescent="0.2">
      <c r="A21" s="7" t="s">
        <v>66</v>
      </c>
      <c r="B21" s="7"/>
      <c r="C21" s="7" t="s">
        <v>67</v>
      </c>
      <c r="D21" s="129" t="s">
        <v>285</v>
      </c>
      <c r="E21" s="7" t="s">
        <v>65</v>
      </c>
      <c r="F21" s="8">
        <v>7</v>
      </c>
      <c r="G21" s="66">
        <v>0</v>
      </c>
      <c r="H21" s="8">
        <f t="shared" si="26"/>
        <v>0</v>
      </c>
      <c r="I21" s="8">
        <f t="shared" si="27"/>
        <v>0</v>
      </c>
      <c r="J21" s="8">
        <f t="shared" si="28"/>
        <v>0</v>
      </c>
      <c r="K21" s="8">
        <v>1.651E-2</v>
      </c>
      <c r="L21" s="8">
        <f t="shared" si="29"/>
        <v>0.11557000000000001</v>
      </c>
      <c r="M21" s="9" t="s">
        <v>134</v>
      </c>
      <c r="N21" s="9" t="s">
        <v>23</v>
      </c>
      <c r="O21" s="8">
        <f t="shared" si="30"/>
        <v>0</v>
      </c>
      <c r="Z21" s="8">
        <f t="shared" si="31"/>
        <v>0</v>
      </c>
      <c r="AA21" s="8">
        <f t="shared" si="32"/>
        <v>0</v>
      </c>
      <c r="AB21" s="8">
        <f t="shared" si="33"/>
        <v>0</v>
      </c>
      <c r="AD21" s="8">
        <v>21</v>
      </c>
      <c r="AE21" s="8">
        <f>G21*0.699406608226568</f>
        <v>0</v>
      </c>
      <c r="AF21" s="8">
        <f>G21*(1-0.699406608226568)</f>
        <v>0</v>
      </c>
      <c r="AM21" s="8">
        <f t="shared" si="34"/>
        <v>0</v>
      </c>
      <c r="AN21" s="8">
        <f t="shared" si="35"/>
        <v>0</v>
      </c>
      <c r="AO21" s="9" t="s">
        <v>224</v>
      </c>
      <c r="AP21" s="9" t="s">
        <v>225</v>
      </c>
      <c r="AQ21" s="16" t="s">
        <v>144</v>
      </c>
    </row>
    <row r="22" spans="1:43" ht="12.75" customHeight="1" x14ac:dyDescent="0.2">
      <c r="A22" s="7" t="s">
        <v>69</v>
      </c>
      <c r="B22" s="7"/>
      <c r="C22" s="7" t="s">
        <v>71</v>
      </c>
      <c r="D22" s="7" t="s">
        <v>72</v>
      </c>
      <c r="E22" s="7" t="s">
        <v>65</v>
      </c>
      <c r="F22" s="8">
        <v>7</v>
      </c>
      <c r="G22" s="66">
        <v>0</v>
      </c>
      <c r="H22" s="8">
        <f t="shared" si="26"/>
        <v>0</v>
      </c>
      <c r="I22" s="8">
        <f t="shared" si="27"/>
        <v>0</v>
      </c>
      <c r="J22" s="8">
        <f t="shared" si="28"/>
        <v>0</v>
      </c>
      <c r="K22" s="8">
        <v>1.99E-3</v>
      </c>
      <c r="L22" s="8">
        <f t="shared" si="29"/>
        <v>1.393E-2</v>
      </c>
      <c r="M22" s="9" t="s">
        <v>134</v>
      </c>
      <c r="N22" s="9" t="s">
        <v>23</v>
      </c>
      <c r="O22" s="8">
        <f t="shared" si="30"/>
        <v>0</v>
      </c>
      <c r="Z22" s="8">
        <f t="shared" si="31"/>
        <v>0</v>
      </c>
      <c r="AA22" s="8">
        <f t="shared" si="32"/>
        <v>0</v>
      </c>
      <c r="AB22" s="8">
        <f t="shared" si="33"/>
        <v>0</v>
      </c>
      <c r="AD22" s="8">
        <v>21</v>
      </c>
      <c r="AE22" s="8">
        <f>G22*0.538545454545455</f>
        <v>0</v>
      </c>
      <c r="AF22" s="8">
        <f>G22*(1-0.538545454545455)</f>
        <v>0</v>
      </c>
      <c r="AM22" s="8">
        <f t="shared" si="34"/>
        <v>0</v>
      </c>
      <c r="AN22" s="8">
        <f t="shared" si="35"/>
        <v>0</v>
      </c>
      <c r="AO22" s="9" t="s">
        <v>224</v>
      </c>
      <c r="AP22" s="9" t="s">
        <v>225</v>
      </c>
      <c r="AQ22" s="16" t="s">
        <v>144</v>
      </c>
    </row>
    <row r="23" spans="1:43" ht="12.75" customHeight="1" x14ac:dyDescent="0.2">
      <c r="A23" s="7" t="s">
        <v>75</v>
      </c>
      <c r="B23" s="7"/>
      <c r="C23" s="7" t="s">
        <v>77</v>
      </c>
      <c r="D23" s="7" t="s">
        <v>78</v>
      </c>
      <c r="E23" s="7" t="s">
        <v>65</v>
      </c>
      <c r="F23" s="8">
        <v>7</v>
      </c>
      <c r="G23" s="66">
        <v>0</v>
      </c>
      <c r="H23" s="8">
        <f t="shared" si="26"/>
        <v>0</v>
      </c>
      <c r="I23" s="8">
        <f t="shared" si="27"/>
        <v>0</v>
      </c>
      <c r="J23" s="8">
        <f t="shared" si="28"/>
        <v>0</v>
      </c>
      <c r="K23" s="8">
        <v>0</v>
      </c>
      <c r="L23" s="8">
        <f t="shared" si="29"/>
        <v>0</v>
      </c>
      <c r="M23" s="9" t="s">
        <v>134</v>
      </c>
      <c r="N23" s="9" t="s">
        <v>23</v>
      </c>
      <c r="O23" s="8">
        <f t="shared" si="30"/>
        <v>0</v>
      </c>
      <c r="Z23" s="8">
        <f t="shared" si="31"/>
        <v>0</v>
      </c>
      <c r="AA23" s="8">
        <f t="shared" si="32"/>
        <v>0</v>
      </c>
      <c r="AB23" s="8">
        <f t="shared" si="33"/>
        <v>0</v>
      </c>
      <c r="AD23" s="8">
        <v>21</v>
      </c>
      <c r="AE23" s="8">
        <f>G23*0.904441666666667</f>
        <v>0</v>
      </c>
      <c r="AF23" s="8">
        <f>G23*(1-0.904441666666667)</f>
        <v>0</v>
      </c>
      <c r="AM23" s="8">
        <f t="shared" si="34"/>
        <v>0</v>
      </c>
      <c r="AN23" s="8">
        <f t="shared" si="35"/>
        <v>0</v>
      </c>
      <c r="AO23" s="9" t="s">
        <v>224</v>
      </c>
      <c r="AP23" s="9" t="s">
        <v>225</v>
      </c>
      <c r="AQ23" s="16" t="s">
        <v>144</v>
      </c>
    </row>
    <row r="24" spans="1:43" ht="12.75" customHeight="1" x14ac:dyDescent="0.2">
      <c r="A24" s="39"/>
      <c r="B24" s="14"/>
      <c r="C24" s="14" t="s">
        <v>74</v>
      </c>
      <c r="D24" s="71" t="s">
        <v>76</v>
      </c>
      <c r="E24" s="72"/>
      <c r="F24" s="72"/>
      <c r="G24" s="73"/>
      <c r="H24" s="18">
        <f t="shared" ref="H24:I24" si="36">SUM(H25:H28)</f>
        <v>0</v>
      </c>
      <c r="I24" s="18">
        <f t="shared" si="36"/>
        <v>0</v>
      </c>
      <c r="J24" s="18">
        <f>H24+I24</f>
        <v>0</v>
      </c>
      <c r="K24" s="16"/>
      <c r="L24" s="18">
        <f>SUM(L25:L28)</f>
        <v>3.3443499999999995</v>
      </c>
      <c r="M24" s="16"/>
      <c r="P24" s="18">
        <f>IF(Q24="PR",J24,SUM(O25:O28))</f>
        <v>0</v>
      </c>
      <c r="Q24" s="16" t="s">
        <v>185</v>
      </c>
      <c r="R24" s="18">
        <f>IF(Q24="HS",H24,0)</f>
        <v>0</v>
      </c>
      <c r="S24" s="18">
        <f>IF(Q24="HS",I24-P24,0)</f>
        <v>0</v>
      </c>
      <c r="T24" s="18">
        <f>IF(Q24="PS",H24,0)</f>
        <v>0</v>
      </c>
      <c r="U24" s="18">
        <f>IF(Q24="PS",I24-P24,0)</f>
        <v>0</v>
      </c>
      <c r="V24" s="18">
        <f>IF(Q24="MP",H24,0)</f>
        <v>0</v>
      </c>
      <c r="W24" s="18">
        <f>IF(Q24="MP",I24-P24,0)</f>
        <v>0</v>
      </c>
      <c r="X24" s="18">
        <f>IF(Q24="OM",H24,0)</f>
        <v>0</v>
      </c>
      <c r="Y24" s="16"/>
      <c r="AI24" s="18">
        <f t="shared" ref="AI24:AK24" si="37">SUM(Z25:Z28)</f>
        <v>0</v>
      </c>
      <c r="AJ24" s="18">
        <f t="shared" si="37"/>
        <v>0</v>
      </c>
      <c r="AK24" s="18">
        <f t="shared" si="37"/>
        <v>0</v>
      </c>
    </row>
    <row r="25" spans="1:43" ht="12.75" customHeight="1" x14ac:dyDescent="0.2">
      <c r="A25" s="7" t="s">
        <v>97</v>
      </c>
      <c r="B25" s="7"/>
      <c r="C25" s="7" t="s">
        <v>98</v>
      </c>
      <c r="D25" s="7" t="s">
        <v>99</v>
      </c>
      <c r="E25" s="7" t="s">
        <v>27</v>
      </c>
      <c r="F25" s="8">
        <v>185</v>
      </c>
      <c r="G25" s="66">
        <v>0</v>
      </c>
      <c r="H25" s="8">
        <f t="shared" ref="H25:H28" si="38">F25*AE25</f>
        <v>0</v>
      </c>
      <c r="I25" s="8">
        <f t="shared" ref="I25:I28" si="39">J25-H25</f>
        <v>0</v>
      </c>
      <c r="J25" s="8">
        <f t="shared" ref="J25:J28" si="40">F25*G25</f>
        <v>0</v>
      </c>
      <c r="K25" s="8">
        <v>1.695E-2</v>
      </c>
      <c r="L25" s="8">
        <f t="shared" ref="L25:L28" si="41">F25*K25</f>
        <v>3.1357499999999998</v>
      </c>
      <c r="M25" s="9" t="s">
        <v>134</v>
      </c>
      <c r="N25" s="9" t="s">
        <v>23</v>
      </c>
      <c r="O25" s="8">
        <f t="shared" ref="O25:O28" si="42">IF(N25="5",I25,0)</f>
        <v>0</v>
      </c>
      <c r="Z25" s="8">
        <f t="shared" ref="Z25:Z28" si="43">IF(AD25=0,J25,0)</f>
        <v>0</v>
      </c>
      <c r="AA25" s="8">
        <f t="shared" ref="AA25:AA28" si="44">IF(AD25=15,J25,0)</f>
        <v>0</v>
      </c>
      <c r="AB25" s="8">
        <f t="shared" ref="AB25:AB28" si="45">IF(AD25=21,J25,0)</f>
        <v>0</v>
      </c>
      <c r="AD25" s="8">
        <v>21</v>
      </c>
      <c r="AE25" s="8">
        <f>G25*0</f>
        <v>0</v>
      </c>
      <c r="AF25" s="8">
        <f>G25*(1-0)</f>
        <v>0</v>
      </c>
      <c r="AM25" s="8">
        <f t="shared" ref="AM25:AM28" si="46">F25*AE25</f>
        <v>0</v>
      </c>
      <c r="AN25" s="8">
        <f t="shared" ref="AN25:AN28" si="47">F25*AF25</f>
        <v>0</v>
      </c>
      <c r="AO25" s="9" t="s">
        <v>227</v>
      </c>
      <c r="AP25" s="9" t="s">
        <v>228</v>
      </c>
      <c r="AQ25" s="16" t="s">
        <v>144</v>
      </c>
    </row>
    <row r="26" spans="1:43" ht="12.75" customHeight="1" x14ac:dyDescent="0.2">
      <c r="A26" s="7" t="s">
        <v>116</v>
      </c>
      <c r="B26" s="7"/>
      <c r="C26" s="7" t="s">
        <v>98</v>
      </c>
      <c r="D26" s="7" t="s">
        <v>117</v>
      </c>
      <c r="E26" s="7" t="s">
        <v>27</v>
      </c>
      <c r="F26" s="8">
        <v>12</v>
      </c>
      <c r="G26" s="66">
        <v>0</v>
      </c>
      <c r="H26" s="8">
        <f t="shared" si="38"/>
        <v>0</v>
      </c>
      <c r="I26" s="8">
        <f t="shared" si="39"/>
        <v>0</v>
      </c>
      <c r="J26" s="8">
        <f t="shared" si="40"/>
        <v>0</v>
      </c>
      <c r="K26" s="8">
        <v>1.695E-2</v>
      </c>
      <c r="L26" s="8">
        <f t="shared" si="41"/>
        <v>0.2034</v>
      </c>
      <c r="M26" s="9" t="s">
        <v>134</v>
      </c>
      <c r="N26" s="9" t="s">
        <v>23</v>
      </c>
      <c r="O26" s="8">
        <f t="shared" si="42"/>
        <v>0</v>
      </c>
      <c r="Z26" s="8">
        <f t="shared" si="43"/>
        <v>0</v>
      </c>
      <c r="AA26" s="8">
        <f t="shared" si="44"/>
        <v>0</v>
      </c>
      <c r="AB26" s="8">
        <f t="shared" si="45"/>
        <v>0</v>
      </c>
      <c r="AD26" s="8">
        <v>21</v>
      </c>
      <c r="AE26" s="8">
        <f>G26*0.737334732423924</f>
        <v>0</v>
      </c>
      <c r="AF26" s="8">
        <f>G26*(1-0.737334732423924)</f>
        <v>0</v>
      </c>
      <c r="AM26" s="8">
        <f t="shared" si="46"/>
        <v>0</v>
      </c>
      <c r="AN26" s="8">
        <f t="shared" si="47"/>
        <v>0</v>
      </c>
      <c r="AO26" s="9" t="s">
        <v>227</v>
      </c>
      <c r="AP26" s="9" t="s">
        <v>228</v>
      </c>
      <c r="AQ26" s="16" t="s">
        <v>144</v>
      </c>
    </row>
    <row r="27" spans="1:43" ht="12.75" customHeight="1" x14ac:dyDescent="0.2">
      <c r="A27" s="7" t="s">
        <v>118</v>
      </c>
      <c r="B27" s="7"/>
      <c r="C27" s="7" t="s">
        <v>119</v>
      </c>
      <c r="D27" s="7" t="s">
        <v>120</v>
      </c>
      <c r="E27" s="7" t="s">
        <v>27</v>
      </c>
      <c r="F27" s="8">
        <v>8</v>
      </c>
      <c r="G27" s="66">
        <v>0</v>
      </c>
      <c r="H27" s="8">
        <f t="shared" si="38"/>
        <v>0</v>
      </c>
      <c r="I27" s="8">
        <f t="shared" si="39"/>
        <v>0</v>
      </c>
      <c r="J27" s="8">
        <f t="shared" si="40"/>
        <v>0</v>
      </c>
      <c r="K27" s="8">
        <v>2.3000000000000001E-4</v>
      </c>
      <c r="L27" s="8">
        <f t="shared" si="41"/>
        <v>1.8400000000000001E-3</v>
      </c>
      <c r="M27" s="9" t="s">
        <v>134</v>
      </c>
      <c r="N27" s="9" t="s">
        <v>23</v>
      </c>
      <c r="O27" s="8">
        <f t="shared" si="42"/>
        <v>0</v>
      </c>
      <c r="Z27" s="8">
        <f t="shared" si="43"/>
        <v>0</v>
      </c>
      <c r="AA27" s="8">
        <f t="shared" si="44"/>
        <v>0</v>
      </c>
      <c r="AB27" s="8">
        <f t="shared" si="45"/>
        <v>0</v>
      </c>
      <c r="AD27" s="8">
        <v>21</v>
      </c>
      <c r="AE27" s="8">
        <f>G27*0.046839552238806</f>
        <v>0</v>
      </c>
      <c r="AF27" s="8">
        <f>G27*(1-0.046839552238806)</f>
        <v>0</v>
      </c>
      <c r="AM27" s="8">
        <f t="shared" si="46"/>
        <v>0</v>
      </c>
      <c r="AN27" s="8">
        <f t="shared" si="47"/>
        <v>0</v>
      </c>
      <c r="AO27" s="9" t="s">
        <v>227</v>
      </c>
      <c r="AP27" s="9" t="s">
        <v>228</v>
      </c>
      <c r="AQ27" s="16" t="s">
        <v>144</v>
      </c>
    </row>
    <row r="28" spans="1:43" ht="12.75" customHeight="1" x14ac:dyDescent="0.2">
      <c r="A28" s="7" t="s">
        <v>121</v>
      </c>
      <c r="B28" s="7"/>
      <c r="C28" s="7" t="s">
        <v>122</v>
      </c>
      <c r="D28" s="7" t="s">
        <v>123</v>
      </c>
      <c r="E28" s="7" t="s">
        <v>65</v>
      </c>
      <c r="F28" s="8">
        <v>12</v>
      </c>
      <c r="G28" s="66">
        <v>0</v>
      </c>
      <c r="H28" s="8">
        <f t="shared" si="38"/>
        <v>0</v>
      </c>
      <c r="I28" s="8">
        <f t="shared" si="39"/>
        <v>0</v>
      </c>
      <c r="J28" s="8">
        <f t="shared" si="40"/>
        <v>0</v>
      </c>
      <c r="K28" s="8">
        <v>2.7999999999999998E-4</v>
      </c>
      <c r="L28" s="8">
        <f t="shared" si="41"/>
        <v>3.3599999999999997E-3</v>
      </c>
      <c r="M28" s="9" t="s">
        <v>134</v>
      </c>
      <c r="N28" s="9" t="s">
        <v>23</v>
      </c>
      <c r="O28" s="8">
        <f t="shared" si="42"/>
        <v>0</v>
      </c>
      <c r="Z28" s="8">
        <f t="shared" si="43"/>
        <v>0</v>
      </c>
      <c r="AA28" s="8">
        <f t="shared" si="44"/>
        <v>0</v>
      </c>
      <c r="AB28" s="8">
        <f t="shared" si="45"/>
        <v>0</v>
      </c>
      <c r="AD28" s="8">
        <v>21</v>
      </c>
      <c r="AE28" s="8">
        <f>G28*0.653755005311759</f>
        <v>0</v>
      </c>
      <c r="AF28" s="8">
        <f>G28*(1-0.653755005311759)</f>
        <v>0</v>
      </c>
      <c r="AM28" s="8">
        <f t="shared" si="46"/>
        <v>0</v>
      </c>
      <c r="AN28" s="8">
        <f t="shared" si="47"/>
        <v>0</v>
      </c>
      <c r="AO28" s="9" t="s">
        <v>227</v>
      </c>
      <c r="AP28" s="9" t="s">
        <v>228</v>
      </c>
      <c r="AQ28" s="16" t="s">
        <v>144</v>
      </c>
    </row>
    <row r="29" spans="1:43" ht="12.75" customHeight="1" x14ac:dyDescent="0.2">
      <c r="A29" s="39"/>
      <c r="B29" s="14"/>
      <c r="C29" s="14" t="s">
        <v>79</v>
      </c>
      <c r="D29" s="71" t="s">
        <v>80</v>
      </c>
      <c r="E29" s="72"/>
      <c r="F29" s="72"/>
      <c r="G29" s="73"/>
      <c r="H29" s="18">
        <f t="shared" ref="H29:I29" si="48">SUM(H30:H34)</f>
        <v>0</v>
      </c>
      <c r="I29" s="18">
        <f t="shared" si="48"/>
        <v>0</v>
      </c>
      <c r="J29" s="18">
        <f>H29+I29</f>
        <v>0</v>
      </c>
      <c r="K29" s="16"/>
      <c r="L29" s="18">
        <f>SUM(L30:L34)</f>
        <v>0.16153000000000001</v>
      </c>
      <c r="M29" s="16"/>
      <c r="P29" s="18">
        <f>IF(Q29="PR",J29,SUM(O30:O34))</f>
        <v>0</v>
      </c>
      <c r="Q29" s="16" t="s">
        <v>185</v>
      </c>
      <c r="R29" s="18">
        <f>IF(Q29="HS",H29,0)</f>
        <v>0</v>
      </c>
      <c r="S29" s="18">
        <f>IF(Q29="HS",I29-P29,0)</f>
        <v>0</v>
      </c>
      <c r="T29" s="18">
        <f>IF(Q29="PS",H29,0)</f>
        <v>0</v>
      </c>
      <c r="U29" s="18">
        <f>IF(Q29="PS",I29-P29,0)</f>
        <v>0</v>
      </c>
      <c r="V29" s="18">
        <f>IF(Q29="MP",H29,0)</f>
        <v>0</v>
      </c>
      <c r="W29" s="18">
        <f>IF(Q29="MP",I29-P29,0)</f>
        <v>0</v>
      </c>
      <c r="X29" s="18">
        <f>IF(Q29="OM",H29,0)</f>
        <v>0</v>
      </c>
      <c r="Y29" s="16"/>
      <c r="AI29" s="18">
        <f t="shared" ref="AI29:AK29" si="49">SUM(Z30:Z34)</f>
        <v>0</v>
      </c>
      <c r="AJ29" s="18">
        <f t="shared" si="49"/>
        <v>0</v>
      </c>
      <c r="AK29" s="18">
        <f t="shared" si="49"/>
        <v>0</v>
      </c>
    </row>
    <row r="30" spans="1:43" ht="12.75" customHeight="1" x14ac:dyDescent="0.2">
      <c r="A30" s="7" t="s">
        <v>125</v>
      </c>
      <c r="B30" s="7"/>
      <c r="C30" s="7" t="s">
        <v>126</v>
      </c>
      <c r="D30" s="7" t="s">
        <v>127</v>
      </c>
      <c r="E30" s="7" t="s">
        <v>27</v>
      </c>
      <c r="F30" s="8">
        <v>185</v>
      </c>
      <c r="G30" s="66">
        <v>0</v>
      </c>
      <c r="H30" s="8">
        <f t="shared" ref="H30:H34" si="50">F30*AE30</f>
        <v>0</v>
      </c>
      <c r="I30" s="8">
        <f t="shared" ref="I30:I34" si="51">J30-H30</f>
        <v>0</v>
      </c>
      <c r="J30" s="8">
        <f t="shared" ref="J30:J34" si="52">F30*G30</f>
        <v>0</v>
      </c>
      <c r="K30" s="8">
        <v>1.0000000000000001E-5</v>
      </c>
      <c r="L30" s="8">
        <f t="shared" ref="L30:L34" si="53">F30*K30</f>
        <v>1.8500000000000001E-3</v>
      </c>
      <c r="M30" s="9" t="s">
        <v>134</v>
      </c>
      <c r="N30" s="9" t="s">
        <v>23</v>
      </c>
      <c r="O30" s="8">
        <f t="shared" ref="O30:O34" si="54">IF(N30="5",I30,0)</f>
        <v>0</v>
      </c>
      <c r="Z30" s="8">
        <f t="shared" ref="Z30:Z34" si="55">IF(AD30=0,J30,0)</f>
        <v>0</v>
      </c>
      <c r="AA30" s="8">
        <f t="shared" ref="AA30:AA34" si="56">IF(AD30=15,J30,0)</f>
        <v>0</v>
      </c>
      <c r="AB30" s="8">
        <f t="shared" ref="AB30:AB34" si="57">IF(AD30=21,J30,0)</f>
        <v>0</v>
      </c>
      <c r="AD30" s="8">
        <v>21</v>
      </c>
      <c r="AE30" s="8">
        <f>G30*0.102810810810811</f>
        <v>0</v>
      </c>
      <c r="AF30" s="8">
        <f>G30*(1-0.102810810810811)</f>
        <v>0</v>
      </c>
      <c r="AM30" s="8">
        <f t="shared" ref="AM30:AM34" si="58">F30*AE30</f>
        <v>0</v>
      </c>
      <c r="AN30" s="8">
        <f t="shared" ref="AN30:AN34" si="59">F30*AF30</f>
        <v>0</v>
      </c>
      <c r="AO30" s="9" t="s">
        <v>246</v>
      </c>
      <c r="AP30" s="9" t="s">
        <v>247</v>
      </c>
      <c r="AQ30" s="16" t="s">
        <v>144</v>
      </c>
    </row>
    <row r="31" spans="1:43" ht="12.75" customHeight="1" x14ac:dyDescent="0.2">
      <c r="A31" s="7" t="s">
        <v>128</v>
      </c>
      <c r="B31" s="7"/>
      <c r="C31" s="7" t="s">
        <v>129</v>
      </c>
      <c r="D31" s="7" t="s">
        <v>130</v>
      </c>
      <c r="E31" s="7" t="s">
        <v>27</v>
      </c>
      <c r="F31" s="8">
        <v>185</v>
      </c>
      <c r="G31" s="66">
        <v>0</v>
      </c>
      <c r="H31" s="8">
        <f t="shared" si="50"/>
        <v>0</v>
      </c>
      <c r="I31" s="8">
        <f t="shared" si="51"/>
        <v>0</v>
      </c>
      <c r="J31" s="8">
        <f t="shared" si="52"/>
        <v>0</v>
      </c>
      <c r="K31" s="8">
        <v>4.8999999999999998E-4</v>
      </c>
      <c r="L31" s="8">
        <f t="shared" si="53"/>
        <v>9.0649999999999994E-2</v>
      </c>
      <c r="M31" s="9" t="s">
        <v>134</v>
      </c>
      <c r="N31" s="9" t="s">
        <v>23</v>
      </c>
      <c r="O31" s="8">
        <f t="shared" si="54"/>
        <v>0</v>
      </c>
      <c r="Z31" s="8">
        <f t="shared" si="55"/>
        <v>0</v>
      </c>
      <c r="AA31" s="8">
        <f t="shared" si="56"/>
        <v>0</v>
      </c>
      <c r="AB31" s="8">
        <f t="shared" si="57"/>
        <v>0</v>
      </c>
      <c r="AD31" s="8">
        <v>21</v>
      </c>
      <c r="AE31" s="8">
        <f>G31*0.739862068965517</f>
        <v>0</v>
      </c>
      <c r="AF31" s="8">
        <f>G31*(1-0.739862068965517)</f>
        <v>0</v>
      </c>
      <c r="AM31" s="8">
        <f t="shared" si="58"/>
        <v>0</v>
      </c>
      <c r="AN31" s="8">
        <f t="shared" si="59"/>
        <v>0</v>
      </c>
      <c r="AO31" s="9" t="s">
        <v>246</v>
      </c>
      <c r="AP31" s="9" t="s">
        <v>247</v>
      </c>
      <c r="AQ31" s="16" t="s">
        <v>144</v>
      </c>
    </row>
    <row r="32" spans="1:43" ht="12.75" customHeight="1" x14ac:dyDescent="0.2">
      <c r="A32" s="7" t="s">
        <v>131</v>
      </c>
      <c r="B32" s="7"/>
      <c r="C32" s="7" t="s">
        <v>132</v>
      </c>
      <c r="D32" s="7" t="s">
        <v>133</v>
      </c>
      <c r="E32" s="7" t="s">
        <v>27</v>
      </c>
      <c r="F32" s="8">
        <v>63</v>
      </c>
      <c r="G32" s="66">
        <v>0</v>
      </c>
      <c r="H32" s="8">
        <f t="shared" si="50"/>
        <v>0</v>
      </c>
      <c r="I32" s="8">
        <f t="shared" si="51"/>
        <v>0</v>
      </c>
      <c r="J32" s="8">
        <f t="shared" si="52"/>
        <v>0</v>
      </c>
      <c r="K32" s="8">
        <v>3.8000000000000002E-4</v>
      </c>
      <c r="L32" s="8">
        <f t="shared" si="53"/>
        <v>2.3940000000000003E-2</v>
      </c>
      <c r="M32" s="9" t="s">
        <v>134</v>
      </c>
      <c r="N32" s="9" t="s">
        <v>23</v>
      </c>
      <c r="O32" s="8">
        <f t="shared" si="54"/>
        <v>0</v>
      </c>
      <c r="Z32" s="8">
        <f t="shared" si="55"/>
        <v>0</v>
      </c>
      <c r="AA32" s="8">
        <f t="shared" si="56"/>
        <v>0</v>
      </c>
      <c r="AB32" s="8">
        <f t="shared" si="57"/>
        <v>0</v>
      </c>
      <c r="AD32" s="8">
        <v>21</v>
      </c>
      <c r="AE32" s="8">
        <f>G32*0.450690909090909</f>
        <v>0</v>
      </c>
      <c r="AF32" s="8">
        <f>G32*(1-0.450690909090909)</f>
        <v>0</v>
      </c>
      <c r="AM32" s="8">
        <f t="shared" si="58"/>
        <v>0</v>
      </c>
      <c r="AN32" s="8">
        <f t="shared" si="59"/>
        <v>0</v>
      </c>
      <c r="AO32" s="9" t="s">
        <v>246</v>
      </c>
      <c r="AP32" s="9" t="s">
        <v>247</v>
      </c>
      <c r="AQ32" s="16" t="s">
        <v>144</v>
      </c>
    </row>
    <row r="33" spans="1:43" ht="12.75" customHeight="1" x14ac:dyDescent="0.2">
      <c r="A33" s="7" t="s">
        <v>135</v>
      </c>
      <c r="B33" s="7"/>
      <c r="C33" s="7" t="s">
        <v>136</v>
      </c>
      <c r="D33" s="7" t="s">
        <v>137</v>
      </c>
      <c r="E33" s="7" t="s">
        <v>138</v>
      </c>
      <c r="F33" s="8">
        <v>45</v>
      </c>
      <c r="G33" s="66">
        <v>0</v>
      </c>
      <c r="H33" s="8">
        <f t="shared" si="50"/>
        <v>0</v>
      </c>
      <c r="I33" s="8">
        <f t="shared" si="51"/>
        <v>0</v>
      </c>
      <c r="J33" s="8">
        <f t="shared" si="52"/>
        <v>0</v>
      </c>
      <c r="K33" s="8">
        <v>5.6999999999999998E-4</v>
      </c>
      <c r="L33" s="8">
        <f t="shared" si="53"/>
        <v>2.5649999999999999E-2</v>
      </c>
      <c r="M33" s="9" t="s">
        <v>134</v>
      </c>
      <c r="N33" s="9" t="s">
        <v>23</v>
      </c>
      <c r="O33" s="8">
        <f t="shared" si="54"/>
        <v>0</v>
      </c>
      <c r="Z33" s="8">
        <f t="shared" si="55"/>
        <v>0</v>
      </c>
      <c r="AA33" s="8">
        <f t="shared" si="56"/>
        <v>0</v>
      </c>
      <c r="AB33" s="8">
        <f t="shared" si="57"/>
        <v>0</v>
      </c>
      <c r="AD33" s="8">
        <v>21</v>
      </c>
      <c r="AE33" s="8">
        <f>G33*0.360348109872178</f>
        <v>0</v>
      </c>
      <c r="AF33" s="8">
        <f>G33*(1-0.360348109872178)</f>
        <v>0</v>
      </c>
      <c r="AM33" s="8">
        <f t="shared" si="58"/>
        <v>0</v>
      </c>
      <c r="AN33" s="8">
        <f t="shared" si="59"/>
        <v>0</v>
      </c>
      <c r="AO33" s="9" t="s">
        <v>246</v>
      </c>
      <c r="AP33" s="9" t="s">
        <v>247</v>
      </c>
      <c r="AQ33" s="16" t="s">
        <v>144</v>
      </c>
    </row>
    <row r="34" spans="1:43" ht="12.75" customHeight="1" x14ac:dyDescent="0.2">
      <c r="A34" s="7" t="s">
        <v>139</v>
      </c>
      <c r="B34" s="7"/>
      <c r="C34" s="7" t="s">
        <v>140</v>
      </c>
      <c r="D34" s="7" t="s">
        <v>141</v>
      </c>
      <c r="E34" s="7" t="s">
        <v>138</v>
      </c>
      <c r="F34" s="8">
        <v>72</v>
      </c>
      <c r="G34" s="66">
        <v>0</v>
      </c>
      <c r="H34" s="8">
        <f t="shared" si="50"/>
        <v>0</v>
      </c>
      <c r="I34" s="8">
        <f t="shared" si="51"/>
        <v>0</v>
      </c>
      <c r="J34" s="8">
        <f t="shared" si="52"/>
        <v>0</v>
      </c>
      <c r="K34" s="8">
        <v>2.7E-4</v>
      </c>
      <c r="L34" s="8">
        <f t="shared" si="53"/>
        <v>1.9439999999999999E-2</v>
      </c>
      <c r="M34" s="9" t="s">
        <v>134</v>
      </c>
      <c r="N34" s="9" t="s">
        <v>23</v>
      </c>
      <c r="O34" s="8">
        <f t="shared" si="54"/>
        <v>0</v>
      </c>
      <c r="Z34" s="8">
        <f t="shared" si="55"/>
        <v>0</v>
      </c>
      <c r="AA34" s="8">
        <f t="shared" si="56"/>
        <v>0</v>
      </c>
      <c r="AB34" s="8">
        <f t="shared" si="57"/>
        <v>0</v>
      </c>
      <c r="AD34" s="8">
        <v>21</v>
      </c>
      <c r="AE34" s="8">
        <f>G34*0.792619926199262</f>
        <v>0</v>
      </c>
      <c r="AF34" s="8">
        <f>G34*(1-0.792619926199262)</f>
        <v>0</v>
      </c>
      <c r="AM34" s="8">
        <f t="shared" si="58"/>
        <v>0</v>
      </c>
      <c r="AN34" s="8">
        <f t="shared" si="59"/>
        <v>0</v>
      </c>
      <c r="AO34" s="9" t="s">
        <v>246</v>
      </c>
      <c r="AP34" s="9" t="s">
        <v>247</v>
      </c>
      <c r="AQ34" s="16" t="s">
        <v>144</v>
      </c>
    </row>
    <row r="35" spans="1:43" ht="12.75" customHeight="1" x14ac:dyDescent="0.2">
      <c r="A35" s="39"/>
      <c r="B35" s="14"/>
      <c r="C35" s="14" t="s">
        <v>82</v>
      </c>
      <c r="D35" s="71" t="s">
        <v>83</v>
      </c>
      <c r="E35" s="72"/>
      <c r="F35" s="72"/>
      <c r="G35" s="73"/>
      <c r="H35" s="18">
        <f t="shared" ref="H35:I35" si="60">SUM(H36:H42)</f>
        <v>0</v>
      </c>
      <c r="I35" s="18">
        <f t="shared" si="60"/>
        <v>0</v>
      </c>
      <c r="J35" s="18">
        <f>H35+I35</f>
        <v>0</v>
      </c>
      <c r="K35" s="16"/>
      <c r="L35" s="18">
        <f>SUM(L36:L42)</f>
        <v>2.4792000000000001</v>
      </c>
      <c r="M35" s="16"/>
      <c r="P35" s="18">
        <f>IF(Q35="PR",J35,SUM(O36:O42))</f>
        <v>0</v>
      </c>
      <c r="Q35" s="16" t="s">
        <v>185</v>
      </c>
      <c r="R35" s="18">
        <f>IF(Q35="HS",H35,0)</f>
        <v>0</v>
      </c>
      <c r="S35" s="18">
        <f>IF(Q35="HS",I35-P35,0)</f>
        <v>0</v>
      </c>
      <c r="T35" s="18">
        <f>IF(Q35="PS",H35,0)</f>
        <v>0</v>
      </c>
      <c r="U35" s="18">
        <f>IF(Q35="PS",I35-P35,0)</f>
        <v>0</v>
      </c>
      <c r="V35" s="18">
        <f>IF(Q35="MP",H35,0)</f>
        <v>0</v>
      </c>
      <c r="W35" s="18">
        <f>IF(Q35="MP",I35-P35,0)</f>
        <v>0</v>
      </c>
      <c r="X35" s="18">
        <f>IF(Q35="OM",H35,0)</f>
        <v>0</v>
      </c>
      <c r="Y35" s="16"/>
      <c r="AI35" s="18">
        <f t="shared" ref="AI35:AK35" si="61">SUM(Z36:Z42)</f>
        <v>0</v>
      </c>
      <c r="AJ35" s="18">
        <f t="shared" si="61"/>
        <v>0</v>
      </c>
      <c r="AK35" s="18">
        <f t="shared" si="61"/>
        <v>0</v>
      </c>
    </row>
    <row r="36" spans="1:43" ht="12.75" customHeight="1" x14ac:dyDescent="0.2">
      <c r="A36" s="7" t="s">
        <v>145</v>
      </c>
      <c r="B36" s="7"/>
      <c r="C36" s="7" t="s">
        <v>146</v>
      </c>
      <c r="D36" s="7" t="s">
        <v>147</v>
      </c>
      <c r="E36" s="7" t="s">
        <v>27</v>
      </c>
      <c r="F36" s="8">
        <v>345</v>
      </c>
      <c r="G36" s="66">
        <v>0</v>
      </c>
      <c r="H36" s="8">
        <f t="shared" ref="H36:H42" si="62">F36*AE36</f>
        <v>0</v>
      </c>
      <c r="I36" s="8">
        <f t="shared" ref="I36:I42" si="63">J36-H36</f>
        <v>0</v>
      </c>
      <c r="J36" s="8">
        <f t="shared" ref="J36:J42" si="64">F36*G36</f>
        <v>0</v>
      </c>
      <c r="K36" s="8">
        <v>2.7799999999999999E-3</v>
      </c>
      <c r="L36" s="8">
        <f t="shared" ref="L36:L42" si="65">F36*K36</f>
        <v>0.95909999999999995</v>
      </c>
      <c r="M36" s="9" t="s">
        <v>134</v>
      </c>
      <c r="N36" s="9" t="s">
        <v>23</v>
      </c>
      <c r="O36" s="8">
        <f t="shared" ref="O36:O42" si="66">IF(N36="5",I36,0)</f>
        <v>0</v>
      </c>
      <c r="Z36" s="8">
        <f t="shared" ref="Z36:Z42" si="67">IF(AD36=0,J36,0)</f>
        <v>0</v>
      </c>
      <c r="AA36" s="8">
        <f t="shared" ref="AA36:AA42" si="68">IF(AD36=15,J36,0)</f>
        <v>0</v>
      </c>
      <c r="AB36" s="8">
        <f t="shared" ref="AB36:AB42" si="69">IF(AD36=21,J36,0)</f>
        <v>0</v>
      </c>
      <c r="AD36" s="8">
        <v>21</v>
      </c>
      <c r="AE36" s="8">
        <f>G36*0.408466666666667</f>
        <v>0</v>
      </c>
      <c r="AF36" s="8">
        <f>G36*(1-0.408466666666667)</f>
        <v>0</v>
      </c>
      <c r="AM36" s="8">
        <f t="shared" ref="AM36:AM42" si="70">F36*AE36</f>
        <v>0</v>
      </c>
      <c r="AN36" s="8">
        <f t="shared" ref="AN36:AN42" si="71">F36*AF36</f>
        <v>0</v>
      </c>
      <c r="AO36" s="9" t="s">
        <v>260</v>
      </c>
      <c r="AP36" s="9" t="s">
        <v>247</v>
      </c>
      <c r="AQ36" s="16" t="s">
        <v>144</v>
      </c>
    </row>
    <row r="37" spans="1:43" ht="12.75" customHeight="1" x14ac:dyDescent="0.2">
      <c r="A37" s="7" t="s">
        <v>148</v>
      </c>
      <c r="B37" s="7"/>
      <c r="C37" s="7" t="s">
        <v>149</v>
      </c>
      <c r="D37" s="7" t="s">
        <v>150</v>
      </c>
      <c r="E37" s="7" t="s">
        <v>65</v>
      </c>
      <c r="F37" s="8">
        <v>8</v>
      </c>
      <c r="G37" s="66">
        <v>0</v>
      </c>
      <c r="H37" s="8">
        <f t="shared" si="62"/>
        <v>0</v>
      </c>
      <c r="I37" s="8">
        <f t="shared" si="63"/>
        <v>0</v>
      </c>
      <c r="J37" s="8">
        <f t="shared" si="64"/>
        <v>0</v>
      </c>
      <c r="K37" s="8">
        <v>0</v>
      </c>
      <c r="L37" s="8">
        <f t="shared" si="65"/>
        <v>0</v>
      </c>
      <c r="M37" s="9" t="s">
        <v>134</v>
      </c>
      <c r="N37" s="9" t="s">
        <v>23</v>
      </c>
      <c r="O37" s="8">
        <f t="shared" si="66"/>
        <v>0</v>
      </c>
      <c r="Z37" s="8">
        <f t="shared" si="67"/>
        <v>0</v>
      </c>
      <c r="AA37" s="8">
        <f t="shared" si="68"/>
        <v>0</v>
      </c>
      <c r="AB37" s="8">
        <f t="shared" si="69"/>
        <v>0</v>
      </c>
      <c r="AD37" s="8">
        <v>21</v>
      </c>
      <c r="AE37" s="8">
        <f t="shared" ref="AE37:AE38" si="72">G37*0</f>
        <v>0</v>
      </c>
      <c r="AF37" s="8">
        <f t="shared" ref="AF37:AF38" si="73">G37*(1-0)</f>
        <v>0</v>
      </c>
      <c r="AM37" s="8">
        <f t="shared" si="70"/>
        <v>0</v>
      </c>
      <c r="AN37" s="8">
        <f t="shared" si="71"/>
        <v>0</v>
      </c>
      <c r="AO37" s="9" t="s">
        <v>260</v>
      </c>
      <c r="AP37" s="9" t="s">
        <v>247</v>
      </c>
      <c r="AQ37" s="16" t="s">
        <v>144</v>
      </c>
    </row>
    <row r="38" spans="1:43" ht="12.75" customHeight="1" x14ac:dyDescent="0.2">
      <c r="A38" s="7" t="s">
        <v>28</v>
      </c>
      <c r="B38" s="7"/>
      <c r="C38" s="7" t="s">
        <v>151</v>
      </c>
      <c r="D38" s="7" t="s">
        <v>152</v>
      </c>
      <c r="E38" s="7" t="s">
        <v>27</v>
      </c>
      <c r="F38" s="8">
        <v>345</v>
      </c>
      <c r="G38" s="66">
        <v>0</v>
      </c>
      <c r="H38" s="8">
        <f t="shared" si="62"/>
        <v>0</v>
      </c>
      <c r="I38" s="8">
        <f t="shared" si="63"/>
        <v>0</v>
      </c>
      <c r="J38" s="8">
        <f t="shared" si="64"/>
        <v>0</v>
      </c>
      <c r="K38" s="8">
        <v>1E-3</v>
      </c>
      <c r="L38" s="8">
        <f t="shared" si="65"/>
        <v>0.34500000000000003</v>
      </c>
      <c r="M38" s="9" t="s">
        <v>134</v>
      </c>
      <c r="N38" s="9" t="s">
        <v>23</v>
      </c>
      <c r="O38" s="8">
        <f t="shared" si="66"/>
        <v>0</v>
      </c>
      <c r="Z38" s="8">
        <f t="shared" si="67"/>
        <v>0</v>
      </c>
      <c r="AA38" s="8">
        <f t="shared" si="68"/>
        <v>0</v>
      </c>
      <c r="AB38" s="8">
        <f t="shared" si="69"/>
        <v>0</v>
      </c>
      <c r="AD38" s="8">
        <v>21</v>
      </c>
      <c r="AE38" s="8">
        <f t="shared" si="72"/>
        <v>0</v>
      </c>
      <c r="AF38" s="8">
        <f t="shared" si="73"/>
        <v>0</v>
      </c>
      <c r="AM38" s="8">
        <f t="shared" si="70"/>
        <v>0</v>
      </c>
      <c r="AN38" s="8">
        <f t="shared" si="71"/>
        <v>0</v>
      </c>
      <c r="AO38" s="9" t="s">
        <v>260</v>
      </c>
      <c r="AP38" s="9" t="s">
        <v>247</v>
      </c>
      <c r="AQ38" s="16" t="s">
        <v>144</v>
      </c>
    </row>
    <row r="39" spans="1:43" ht="12.75" customHeight="1" x14ac:dyDescent="0.2">
      <c r="A39" s="7" t="s">
        <v>153</v>
      </c>
      <c r="B39" s="7"/>
      <c r="C39" s="7" t="s">
        <v>154</v>
      </c>
      <c r="D39" s="7" t="s">
        <v>155</v>
      </c>
      <c r="E39" s="7" t="s">
        <v>27</v>
      </c>
      <c r="F39" s="8">
        <v>345</v>
      </c>
      <c r="G39" s="66">
        <v>0</v>
      </c>
      <c r="H39" s="8">
        <f t="shared" si="62"/>
        <v>0</v>
      </c>
      <c r="I39" s="8">
        <f t="shared" si="63"/>
        <v>0</v>
      </c>
      <c r="J39" s="8">
        <f t="shared" si="64"/>
        <v>0</v>
      </c>
      <c r="K39" s="8">
        <v>0</v>
      </c>
      <c r="L39" s="8">
        <f t="shared" si="65"/>
        <v>0</v>
      </c>
      <c r="M39" s="9" t="s">
        <v>134</v>
      </c>
      <c r="N39" s="9" t="s">
        <v>23</v>
      </c>
      <c r="O39" s="8">
        <f t="shared" si="66"/>
        <v>0</v>
      </c>
      <c r="Z39" s="8">
        <f t="shared" si="67"/>
        <v>0</v>
      </c>
      <c r="AA39" s="8">
        <f t="shared" si="68"/>
        <v>0</v>
      </c>
      <c r="AB39" s="8">
        <f t="shared" si="69"/>
        <v>0</v>
      </c>
      <c r="AD39" s="8">
        <v>21</v>
      </c>
      <c r="AE39" s="8">
        <f>G39*0.369959304476508</f>
        <v>0</v>
      </c>
      <c r="AF39" s="8">
        <f>G39*(1-0.369959304476508)</f>
        <v>0</v>
      </c>
      <c r="AM39" s="8">
        <f t="shared" si="70"/>
        <v>0</v>
      </c>
      <c r="AN39" s="8">
        <f t="shared" si="71"/>
        <v>0</v>
      </c>
      <c r="AO39" s="9" t="s">
        <v>260</v>
      </c>
      <c r="AP39" s="9" t="s">
        <v>247</v>
      </c>
      <c r="AQ39" s="16" t="s">
        <v>144</v>
      </c>
    </row>
    <row r="40" spans="1:43" ht="12.75" customHeight="1" x14ac:dyDescent="0.2">
      <c r="A40" s="7" t="s">
        <v>156</v>
      </c>
      <c r="B40" s="7"/>
      <c r="C40" s="7" t="s">
        <v>146</v>
      </c>
      <c r="D40" s="129" t="s">
        <v>289</v>
      </c>
      <c r="E40" s="7" t="s">
        <v>27</v>
      </c>
      <c r="F40" s="8">
        <v>345</v>
      </c>
      <c r="G40" s="66">
        <v>0</v>
      </c>
      <c r="H40" s="8">
        <f t="shared" si="62"/>
        <v>0</v>
      </c>
      <c r="I40" s="8">
        <f t="shared" si="63"/>
        <v>0</v>
      </c>
      <c r="J40" s="8">
        <f t="shared" si="64"/>
        <v>0</v>
      </c>
      <c r="K40" s="8">
        <v>2.7799999999999999E-3</v>
      </c>
      <c r="L40" s="8">
        <f t="shared" si="65"/>
        <v>0.95909999999999995</v>
      </c>
      <c r="M40" s="9" t="s">
        <v>134</v>
      </c>
      <c r="N40" s="9" t="s">
        <v>23</v>
      </c>
      <c r="O40" s="8">
        <f t="shared" si="66"/>
        <v>0</v>
      </c>
      <c r="Z40" s="8">
        <f t="shared" si="67"/>
        <v>0</v>
      </c>
      <c r="AA40" s="8">
        <f t="shared" si="68"/>
        <v>0</v>
      </c>
      <c r="AB40" s="8">
        <f t="shared" si="69"/>
        <v>0</v>
      </c>
      <c r="AD40" s="8">
        <v>21</v>
      </c>
      <c r="AE40" s="8">
        <f>G40*0.729504709814646</f>
        <v>0</v>
      </c>
      <c r="AF40" s="8">
        <f>G40*(1-0.729504709814646)</f>
        <v>0</v>
      </c>
      <c r="AM40" s="8">
        <f t="shared" si="70"/>
        <v>0</v>
      </c>
      <c r="AN40" s="8">
        <f t="shared" si="71"/>
        <v>0</v>
      </c>
      <c r="AO40" s="9" t="s">
        <v>260</v>
      </c>
      <c r="AP40" s="9" t="s">
        <v>247</v>
      </c>
      <c r="AQ40" s="16" t="s">
        <v>144</v>
      </c>
    </row>
    <row r="41" spans="1:43" ht="12.75" customHeight="1" x14ac:dyDescent="0.2">
      <c r="A41" s="7" t="s">
        <v>158</v>
      </c>
      <c r="B41" s="7"/>
      <c r="C41" s="7" t="s">
        <v>159</v>
      </c>
      <c r="D41" s="7" t="s">
        <v>160</v>
      </c>
      <c r="E41" s="7" t="s">
        <v>138</v>
      </c>
      <c r="F41" s="8">
        <v>15</v>
      </c>
      <c r="G41" s="66">
        <v>0</v>
      </c>
      <c r="H41" s="8">
        <f t="shared" si="62"/>
        <v>0</v>
      </c>
      <c r="I41" s="8">
        <f t="shared" si="63"/>
        <v>0</v>
      </c>
      <c r="J41" s="8">
        <f t="shared" si="64"/>
        <v>0</v>
      </c>
      <c r="K41" s="8">
        <v>0</v>
      </c>
      <c r="L41" s="8">
        <f t="shared" si="65"/>
        <v>0</v>
      </c>
      <c r="M41" s="9" t="s">
        <v>134</v>
      </c>
      <c r="N41" s="9" t="s">
        <v>23</v>
      </c>
      <c r="O41" s="8">
        <f t="shared" si="66"/>
        <v>0</v>
      </c>
      <c r="Z41" s="8">
        <f t="shared" si="67"/>
        <v>0</v>
      </c>
      <c r="AA41" s="8">
        <f t="shared" si="68"/>
        <v>0</v>
      </c>
      <c r="AB41" s="8">
        <f t="shared" si="69"/>
        <v>0</v>
      </c>
      <c r="AD41" s="8">
        <v>21</v>
      </c>
      <c r="AE41" s="8">
        <f>G41*0.296894483700493</f>
        <v>0</v>
      </c>
      <c r="AF41" s="8">
        <f>G41*(1-0.296894483700493)</f>
        <v>0</v>
      </c>
      <c r="AM41" s="8">
        <f t="shared" si="70"/>
        <v>0</v>
      </c>
      <c r="AN41" s="8">
        <f t="shared" si="71"/>
        <v>0</v>
      </c>
      <c r="AO41" s="9" t="s">
        <v>260</v>
      </c>
      <c r="AP41" s="9" t="s">
        <v>247</v>
      </c>
      <c r="AQ41" s="16" t="s">
        <v>144</v>
      </c>
    </row>
    <row r="42" spans="1:43" ht="12.75" customHeight="1" x14ac:dyDescent="0.2">
      <c r="A42" s="7" t="s">
        <v>161</v>
      </c>
      <c r="B42" s="7"/>
      <c r="C42" s="7" t="s">
        <v>162</v>
      </c>
      <c r="D42" s="129" t="s">
        <v>287</v>
      </c>
      <c r="E42" s="7" t="s">
        <v>27</v>
      </c>
      <c r="F42" s="8">
        <v>72</v>
      </c>
      <c r="G42" s="66">
        <v>0</v>
      </c>
      <c r="H42" s="8">
        <f t="shared" si="62"/>
        <v>0</v>
      </c>
      <c r="I42" s="8">
        <f t="shared" si="63"/>
        <v>0</v>
      </c>
      <c r="J42" s="8">
        <f t="shared" si="64"/>
        <v>0</v>
      </c>
      <c r="K42" s="8">
        <v>3.0000000000000001E-3</v>
      </c>
      <c r="L42" s="8">
        <f t="shared" si="65"/>
        <v>0.216</v>
      </c>
      <c r="M42" s="9" t="s">
        <v>134</v>
      </c>
      <c r="N42" s="9" t="s">
        <v>23</v>
      </c>
      <c r="O42" s="8">
        <f t="shared" si="66"/>
        <v>0</v>
      </c>
      <c r="Z42" s="8">
        <f t="shared" si="67"/>
        <v>0</v>
      </c>
      <c r="AA42" s="8">
        <f t="shared" si="68"/>
        <v>0</v>
      </c>
      <c r="AB42" s="8">
        <f t="shared" si="69"/>
        <v>0</v>
      </c>
      <c r="AD42" s="8">
        <v>21</v>
      </c>
      <c r="AE42" s="8">
        <f>G42*0.667109090909091</f>
        <v>0</v>
      </c>
      <c r="AF42" s="8">
        <f>G42*(1-0.667109090909091)</f>
        <v>0</v>
      </c>
      <c r="AM42" s="8">
        <f t="shared" si="70"/>
        <v>0</v>
      </c>
      <c r="AN42" s="8">
        <f t="shared" si="71"/>
        <v>0</v>
      </c>
      <c r="AO42" s="9" t="s">
        <v>260</v>
      </c>
      <c r="AP42" s="9" t="s">
        <v>247</v>
      </c>
      <c r="AQ42" s="16" t="s">
        <v>144</v>
      </c>
    </row>
    <row r="43" spans="1:43" ht="12.75" customHeight="1" x14ac:dyDescent="0.2">
      <c r="A43" s="39"/>
      <c r="B43" s="14"/>
      <c r="C43" s="14" t="s">
        <v>84</v>
      </c>
      <c r="D43" s="71" t="s">
        <v>85</v>
      </c>
      <c r="E43" s="72"/>
      <c r="F43" s="72"/>
      <c r="G43" s="73"/>
      <c r="H43" s="18">
        <f t="shared" ref="H43:I43" si="74">SUM(H44:H47)</f>
        <v>0</v>
      </c>
      <c r="I43" s="18">
        <f t="shared" si="74"/>
        <v>0</v>
      </c>
      <c r="J43" s="18">
        <f>H43+I43</f>
        <v>0</v>
      </c>
      <c r="K43" s="16"/>
      <c r="L43" s="18">
        <f>SUM(L44:L47)</f>
        <v>3.6270000000000002</v>
      </c>
      <c r="M43" s="16"/>
      <c r="P43" s="18">
        <f>IF(Q43="PR",J43,SUM(O44:O47))</f>
        <v>0</v>
      </c>
      <c r="Q43" s="16" t="s">
        <v>185</v>
      </c>
      <c r="R43" s="18">
        <f>IF(Q43="HS",H43,0)</f>
        <v>0</v>
      </c>
      <c r="S43" s="18">
        <f>IF(Q43="HS",I43-P43,0)</f>
        <v>0</v>
      </c>
      <c r="T43" s="18">
        <f>IF(Q43="PS",H43,0)</f>
        <v>0</v>
      </c>
      <c r="U43" s="18">
        <f>IF(Q43="PS",I43-P43,0)</f>
        <v>0</v>
      </c>
      <c r="V43" s="18">
        <f>IF(Q43="MP",H43,0)</f>
        <v>0</v>
      </c>
      <c r="W43" s="18">
        <f>IF(Q43="MP",I43-P43,0)</f>
        <v>0</v>
      </c>
      <c r="X43" s="18">
        <f>IF(Q43="OM",H43,0)</f>
        <v>0</v>
      </c>
      <c r="Y43" s="16"/>
      <c r="AI43" s="18">
        <f t="shared" ref="AI43:AK43" si="75">SUM(Z44:Z47)</f>
        <v>0</v>
      </c>
      <c r="AJ43" s="18">
        <f t="shared" si="75"/>
        <v>0</v>
      </c>
      <c r="AK43" s="18">
        <f t="shared" si="75"/>
        <v>0</v>
      </c>
    </row>
    <row r="44" spans="1:43" ht="12.75" customHeight="1" x14ac:dyDescent="0.2">
      <c r="A44" s="7" t="s">
        <v>163</v>
      </c>
      <c r="B44" s="7"/>
      <c r="C44" s="7" t="s">
        <v>164</v>
      </c>
      <c r="D44" s="7" t="s">
        <v>165</v>
      </c>
      <c r="E44" s="7" t="s">
        <v>27</v>
      </c>
      <c r="F44" s="8">
        <v>65</v>
      </c>
      <c r="G44" s="66">
        <v>0</v>
      </c>
      <c r="H44" s="8">
        <f t="shared" ref="H44:H47" si="76">F44*AE44</f>
        <v>0</v>
      </c>
      <c r="I44" s="8">
        <f t="shared" ref="I44:I47" si="77">J44-H44</f>
        <v>0</v>
      </c>
      <c r="J44" s="8">
        <f t="shared" ref="J44:J47" si="78">F44*G44</f>
        <v>0</v>
      </c>
      <c r="K44" s="8">
        <v>0</v>
      </c>
      <c r="L44" s="8">
        <f t="shared" ref="L44:L47" si="79">F44*K44</f>
        <v>0</v>
      </c>
      <c r="M44" s="9" t="s">
        <v>134</v>
      </c>
      <c r="N44" s="9" t="s">
        <v>23</v>
      </c>
      <c r="O44" s="8">
        <f t="shared" ref="O44:O47" si="80">IF(N44="5",I44,0)</f>
        <v>0</v>
      </c>
      <c r="Z44" s="8">
        <f t="shared" ref="Z44:Z47" si="81">IF(AD44=0,J44,0)</f>
        <v>0</v>
      </c>
      <c r="AA44" s="8">
        <f t="shared" ref="AA44:AA47" si="82">IF(AD44=15,J44,0)</f>
        <v>0</v>
      </c>
      <c r="AB44" s="8">
        <f t="shared" ref="AB44:AB47" si="83">IF(AD44=21,J44,0)</f>
        <v>0</v>
      </c>
      <c r="AD44" s="8">
        <v>21</v>
      </c>
      <c r="AE44" s="8">
        <f>G44*0.418604651162791</f>
        <v>0</v>
      </c>
      <c r="AF44" s="8">
        <f>G44*(1-0.418604651162791)</f>
        <v>0</v>
      </c>
      <c r="AM44" s="8">
        <f t="shared" ref="AM44:AM47" si="84">F44*AE44</f>
        <v>0</v>
      </c>
      <c r="AN44" s="8">
        <f t="shared" ref="AN44:AN47" si="85">F44*AF44</f>
        <v>0</v>
      </c>
      <c r="AO44" s="9" t="s">
        <v>275</v>
      </c>
      <c r="AP44" s="9" t="s">
        <v>276</v>
      </c>
      <c r="AQ44" s="16" t="s">
        <v>144</v>
      </c>
    </row>
    <row r="45" spans="1:43" ht="12.75" customHeight="1" x14ac:dyDescent="0.2">
      <c r="A45" s="7" t="s">
        <v>166</v>
      </c>
      <c r="B45" s="7"/>
      <c r="C45" s="7" t="s">
        <v>167</v>
      </c>
      <c r="D45" s="7" t="s">
        <v>168</v>
      </c>
      <c r="E45" s="7" t="s">
        <v>169</v>
      </c>
      <c r="F45" s="8">
        <v>65</v>
      </c>
      <c r="G45" s="66">
        <v>0</v>
      </c>
      <c r="H45" s="8">
        <f t="shared" si="76"/>
        <v>0</v>
      </c>
      <c r="I45" s="8">
        <f t="shared" si="77"/>
        <v>0</v>
      </c>
      <c r="J45" s="8">
        <f t="shared" si="78"/>
        <v>0</v>
      </c>
      <c r="K45" s="8">
        <v>0</v>
      </c>
      <c r="L45" s="8">
        <f t="shared" si="79"/>
        <v>0</v>
      </c>
      <c r="M45" s="9" t="s">
        <v>134</v>
      </c>
      <c r="N45" s="9" t="s">
        <v>23</v>
      </c>
      <c r="O45" s="8">
        <f t="shared" si="80"/>
        <v>0</v>
      </c>
      <c r="Z45" s="8">
        <f t="shared" si="81"/>
        <v>0</v>
      </c>
      <c r="AA45" s="8">
        <f t="shared" si="82"/>
        <v>0</v>
      </c>
      <c r="AB45" s="8">
        <f t="shared" si="83"/>
        <v>0</v>
      </c>
      <c r="AD45" s="8">
        <v>21</v>
      </c>
      <c r="AE45" s="8">
        <f>G45*0</f>
        <v>0</v>
      </c>
      <c r="AF45" s="8">
        <f>G45*(1-0)</f>
        <v>0</v>
      </c>
      <c r="AM45" s="8">
        <f t="shared" si="84"/>
        <v>0</v>
      </c>
      <c r="AN45" s="8">
        <f t="shared" si="85"/>
        <v>0</v>
      </c>
      <c r="AO45" s="9" t="s">
        <v>275</v>
      </c>
      <c r="AP45" s="9" t="s">
        <v>276</v>
      </c>
      <c r="AQ45" s="16" t="s">
        <v>144</v>
      </c>
    </row>
    <row r="46" spans="1:43" ht="12.75" customHeight="1" x14ac:dyDescent="0.2">
      <c r="A46" s="7" t="s">
        <v>171</v>
      </c>
      <c r="B46" s="7"/>
      <c r="C46" s="7" t="s">
        <v>172</v>
      </c>
      <c r="D46" s="7" t="s">
        <v>173</v>
      </c>
      <c r="E46" s="7" t="s">
        <v>27</v>
      </c>
      <c r="F46" s="8">
        <v>65</v>
      </c>
      <c r="G46" s="66">
        <v>0</v>
      </c>
      <c r="H46" s="8">
        <f t="shared" si="76"/>
        <v>0</v>
      </c>
      <c r="I46" s="8">
        <f t="shared" si="77"/>
        <v>0</v>
      </c>
      <c r="J46" s="8">
        <f t="shared" si="78"/>
        <v>0</v>
      </c>
      <c r="K46" s="8">
        <v>5.5800000000000002E-2</v>
      </c>
      <c r="L46" s="8">
        <f t="shared" si="79"/>
        <v>3.6270000000000002</v>
      </c>
      <c r="M46" s="9" t="s">
        <v>134</v>
      </c>
      <c r="N46" s="9" t="s">
        <v>23</v>
      </c>
      <c r="O46" s="8">
        <f t="shared" si="80"/>
        <v>0</v>
      </c>
      <c r="Z46" s="8">
        <f t="shared" si="81"/>
        <v>0</v>
      </c>
      <c r="AA46" s="8">
        <f t="shared" si="82"/>
        <v>0</v>
      </c>
      <c r="AB46" s="8">
        <f t="shared" si="83"/>
        <v>0</v>
      </c>
      <c r="AD46" s="8">
        <v>21</v>
      </c>
      <c r="AE46" s="8">
        <f>G46*0.104684684684685</f>
        <v>0</v>
      </c>
      <c r="AF46" s="8">
        <f>G46*(1-0.104684684684685)</f>
        <v>0</v>
      </c>
      <c r="AM46" s="8">
        <f t="shared" si="84"/>
        <v>0</v>
      </c>
      <c r="AN46" s="8">
        <f t="shared" si="85"/>
        <v>0</v>
      </c>
      <c r="AO46" s="9" t="s">
        <v>275</v>
      </c>
      <c r="AP46" s="9" t="s">
        <v>276</v>
      </c>
      <c r="AQ46" s="16" t="s">
        <v>144</v>
      </c>
    </row>
    <row r="47" spans="1:43" ht="12.75" customHeight="1" x14ac:dyDescent="0.2">
      <c r="A47" s="7" t="s">
        <v>176</v>
      </c>
      <c r="B47" s="7"/>
      <c r="C47" s="7" t="s">
        <v>177</v>
      </c>
      <c r="D47" s="7" t="s">
        <v>178</v>
      </c>
      <c r="E47" s="7" t="s">
        <v>27</v>
      </c>
      <c r="F47" s="8">
        <v>89</v>
      </c>
      <c r="G47" s="66">
        <v>0</v>
      </c>
      <c r="H47" s="8">
        <f t="shared" si="76"/>
        <v>0</v>
      </c>
      <c r="I47" s="8">
        <f t="shared" si="77"/>
        <v>0</v>
      </c>
      <c r="J47" s="8">
        <f t="shared" si="78"/>
        <v>0</v>
      </c>
      <c r="K47" s="8">
        <v>0</v>
      </c>
      <c r="L47" s="8">
        <f t="shared" si="79"/>
        <v>0</v>
      </c>
      <c r="M47" s="9" t="s">
        <v>134</v>
      </c>
      <c r="N47" s="9" t="s">
        <v>23</v>
      </c>
      <c r="O47" s="8">
        <f t="shared" si="80"/>
        <v>0</v>
      </c>
      <c r="Z47" s="8">
        <f t="shared" si="81"/>
        <v>0</v>
      </c>
      <c r="AA47" s="8">
        <f t="shared" si="82"/>
        <v>0</v>
      </c>
      <c r="AB47" s="8">
        <f t="shared" si="83"/>
        <v>0</v>
      </c>
      <c r="AD47" s="8">
        <v>21</v>
      </c>
      <c r="AE47" s="8">
        <f>G47*0</f>
        <v>0</v>
      </c>
      <c r="AF47" s="8">
        <f>G47*(1-0)</f>
        <v>0</v>
      </c>
      <c r="AM47" s="8">
        <f t="shared" si="84"/>
        <v>0</v>
      </c>
      <c r="AN47" s="8">
        <f t="shared" si="85"/>
        <v>0</v>
      </c>
      <c r="AO47" s="9" t="s">
        <v>275</v>
      </c>
      <c r="AP47" s="9" t="s">
        <v>276</v>
      </c>
      <c r="AQ47" s="16" t="s">
        <v>144</v>
      </c>
    </row>
    <row r="48" spans="1:43" ht="12.75" customHeight="1" x14ac:dyDescent="0.2">
      <c r="A48" s="39"/>
      <c r="B48" s="14"/>
      <c r="C48" s="14" t="s">
        <v>87</v>
      </c>
      <c r="D48" s="71" t="s">
        <v>88</v>
      </c>
      <c r="E48" s="72"/>
      <c r="F48" s="72"/>
      <c r="G48" s="73"/>
      <c r="H48" s="18">
        <f t="shared" ref="H48:I48" si="86">SUM(H49)</f>
        <v>0</v>
      </c>
      <c r="I48" s="18">
        <f t="shared" si="86"/>
        <v>0</v>
      </c>
      <c r="J48" s="18">
        <f>H48+I48</f>
        <v>0</v>
      </c>
      <c r="K48" s="16"/>
      <c r="L48" s="18">
        <f>SUM(L49)</f>
        <v>6.1200000000000004E-2</v>
      </c>
      <c r="M48" s="16"/>
      <c r="P48" s="18">
        <f>IF(Q48="PR",J48,SUM(O49))</f>
        <v>0</v>
      </c>
      <c r="Q48" s="16" t="s">
        <v>185</v>
      </c>
      <c r="R48" s="18">
        <f>IF(Q48="HS",H48,0)</f>
        <v>0</v>
      </c>
      <c r="S48" s="18">
        <f>IF(Q48="HS",I48-P48,0)</f>
        <v>0</v>
      </c>
      <c r="T48" s="18">
        <f>IF(Q48="PS",H48,0)</f>
        <v>0</v>
      </c>
      <c r="U48" s="18">
        <f>IF(Q48="PS",I48-P48,0)</f>
        <v>0</v>
      </c>
      <c r="V48" s="18">
        <f>IF(Q48="MP",H48,0)</f>
        <v>0</v>
      </c>
      <c r="W48" s="18">
        <f>IF(Q48="MP",I48-P48,0)</f>
        <v>0</v>
      </c>
      <c r="X48" s="18">
        <f>IF(Q48="OM",H48,0)</f>
        <v>0</v>
      </c>
      <c r="Y48" s="16"/>
      <c r="AI48" s="18">
        <f t="shared" ref="AI48:AK48" si="87">SUM(Z49)</f>
        <v>0</v>
      </c>
      <c r="AJ48" s="18">
        <f t="shared" si="87"/>
        <v>0</v>
      </c>
      <c r="AK48" s="18">
        <f t="shared" si="87"/>
        <v>0</v>
      </c>
    </row>
    <row r="49" spans="1:43" ht="12.75" customHeight="1" x14ac:dyDescent="0.2">
      <c r="A49" s="7" t="s">
        <v>179</v>
      </c>
      <c r="B49" s="7"/>
      <c r="C49" s="7" t="s">
        <v>180</v>
      </c>
      <c r="D49" s="7" t="s">
        <v>181</v>
      </c>
      <c r="E49" s="7" t="s">
        <v>27</v>
      </c>
      <c r="F49" s="8">
        <v>85</v>
      </c>
      <c r="G49" s="66">
        <v>0</v>
      </c>
      <c r="H49" s="8">
        <f>F49*AE49</f>
        <v>0</v>
      </c>
      <c r="I49" s="8">
        <f>J49-H49</f>
        <v>0</v>
      </c>
      <c r="J49" s="8">
        <f>F49*G49</f>
        <v>0</v>
      </c>
      <c r="K49" s="8">
        <v>7.2000000000000005E-4</v>
      </c>
      <c r="L49" s="8">
        <f>F49*K49</f>
        <v>6.1200000000000004E-2</v>
      </c>
      <c r="M49" s="9" t="s">
        <v>134</v>
      </c>
      <c r="N49" s="9" t="s">
        <v>23</v>
      </c>
      <c r="O49" s="8">
        <f>IF(N49="5",I49,0)</f>
        <v>0</v>
      </c>
      <c r="Z49" s="8">
        <f>IF(AD49=0,J49,0)</f>
        <v>0</v>
      </c>
      <c r="AA49" s="8">
        <f>IF(AD49=15,J49,0)</f>
        <v>0</v>
      </c>
      <c r="AB49" s="8">
        <f>IF(AD49=21,J49,0)</f>
        <v>0</v>
      </c>
      <c r="AD49" s="8">
        <v>21</v>
      </c>
      <c r="AE49" s="8">
        <f>G49*0.644392156862745</f>
        <v>0</v>
      </c>
      <c r="AF49" s="8">
        <f>G49*(1-0.644392156862745)</f>
        <v>0</v>
      </c>
      <c r="AM49" s="8">
        <f>F49*AE49</f>
        <v>0</v>
      </c>
      <c r="AN49" s="8">
        <f>F49*AF49</f>
        <v>0</v>
      </c>
      <c r="AO49" s="9" t="s">
        <v>277</v>
      </c>
      <c r="AP49" s="9" t="s">
        <v>276</v>
      </c>
      <c r="AQ49" s="16" t="s">
        <v>144</v>
      </c>
    </row>
    <row r="50" spans="1:43" ht="12.75" customHeight="1" x14ac:dyDescent="0.2">
      <c r="A50" s="39"/>
      <c r="B50" s="14"/>
      <c r="C50" s="14" t="s">
        <v>90</v>
      </c>
      <c r="D50" s="71" t="s">
        <v>91</v>
      </c>
      <c r="E50" s="72"/>
      <c r="F50" s="72"/>
      <c r="G50" s="73"/>
      <c r="H50" s="18">
        <f t="shared" ref="H50:I50" si="88">SUM(H51:H53)</f>
        <v>0</v>
      </c>
      <c r="I50" s="18">
        <f t="shared" si="88"/>
        <v>0</v>
      </c>
      <c r="J50" s="18">
        <f>H50+I50</f>
        <v>0</v>
      </c>
      <c r="K50" s="16"/>
      <c r="L50" s="18">
        <f>SUM(L51:L53)</f>
        <v>0.72430000000000005</v>
      </c>
      <c r="M50" s="16"/>
      <c r="P50" s="18">
        <f>IF(Q50="PR",J50,SUM(O51:O53))</f>
        <v>0</v>
      </c>
      <c r="Q50" s="16" t="s">
        <v>185</v>
      </c>
      <c r="R50" s="18">
        <f>IF(Q50="HS",H50,0)</f>
        <v>0</v>
      </c>
      <c r="S50" s="18">
        <f>IF(Q50="HS",I50-P50,0)</f>
        <v>0</v>
      </c>
      <c r="T50" s="18">
        <f>IF(Q50="PS",H50,0)</f>
        <v>0</v>
      </c>
      <c r="U50" s="18">
        <f>IF(Q50="PS",I50-P50,0)</f>
        <v>0</v>
      </c>
      <c r="V50" s="18">
        <f>IF(Q50="MP",H50,0)</f>
        <v>0</v>
      </c>
      <c r="W50" s="18">
        <f>IF(Q50="MP",I50-P50,0)</f>
        <v>0</v>
      </c>
      <c r="X50" s="18">
        <f>IF(Q50="OM",H50,0)</f>
        <v>0</v>
      </c>
      <c r="Y50" s="16"/>
      <c r="AI50" s="18">
        <f t="shared" ref="AI50:AK50" si="89">SUM(Z51:Z53)</f>
        <v>0</v>
      </c>
      <c r="AJ50" s="18">
        <f t="shared" si="89"/>
        <v>0</v>
      </c>
      <c r="AK50" s="18">
        <f t="shared" si="89"/>
        <v>0</v>
      </c>
    </row>
    <row r="51" spans="1:43" ht="12.75" customHeight="1" x14ac:dyDescent="0.2">
      <c r="A51" s="7" t="s">
        <v>182</v>
      </c>
      <c r="B51" s="7"/>
      <c r="C51" s="7" t="s">
        <v>183</v>
      </c>
      <c r="D51" s="7" t="s">
        <v>184</v>
      </c>
      <c r="E51" s="7" t="s">
        <v>27</v>
      </c>
      <c r="F51" s="8">
        <v>450</v>
      </c>
      <c r="G51" s="66">
        <v>0</v>
      </c>
      <c r="H51" s="8">
        <f t="shared" ref="H51:H53" si="90">F51*AE51</f>
        <v>0</v>
      </c>
      <c r="I51" s="8">
        <f t="shared" ref="I51:I53" si="91">J51-H51</f>
        <v>0</v>
      </c>
      <c r="J51" s="8">
        <f t="shared" ref="J51:J53" si="92">F51*G51</f>
        <v>0</v>
      </c>
      <c r="K51" s="8">
        <v>1.9000000000000001E-4</v>
      </c>
      <c r="L51" s="8">
        <f t="shared" ref="L51:L53" si="93">F51*K51</f>
        <v>8.5500000000000007E-2</v>
      </c>
      <c r="M51" s="9" t="s">
        <v>134</v>
      </c>
      <c r="N51" s="9" t="s">
        <v>23</v>
      </c>
      <c r="O51" s="8">
        <f t="shared" ref="O51:O53" si="94">IF(N51="5",I51,0)</f>
        <v>0</v>
      </c>
      <c r="Z51" s="8">
        <f t="shared" ref="Z51:Z53" si="95">IF(AD51=0,J51,0)</f>
        <v>0</v>
      </c>
      <c r="AA51" s="8">
        <f t="shared" ref="AA51:AA53" si="96">IF(AD51=15,J51,0)</f>
        <v>0</v>
      </c>
      <c r="AB51" s="8">
        <f t="shared" ref="AB51:AB53" si="97">IF(AD51=21,J51,0)</f>
        <v>0</v>
      </c>
      <c r="AD51" s="8">
        <v>21</v>
      </c>
      <c r="AE51" s="8">
        <f>G51*0.691545454545455</f>
        <v>0</v>
      </c>
      <c r="AF51" s="8">
        <f>G51*(1-0.691545454545455)</f>
        <v>0</v>
      </c>
      <c r="AM51" s="8">
        <f t="shared" ref="AM51:AM53" si="98">F51*AE51</f>
        <v>0</v>
      </c>
      <c r="AN51" s="8">
        <f t="shared" ref="AN51:AN53" si="99">F51*AF51</f>
        <v>0</v>
      </c>
      <c r="AO51" s="9" t="s">
        <v>278</v>
      </c>
      <c r="AP51" s="9" t="s">
        <v>276</v>
      </c>
      <c r="AQ51" s="16" t="s">
        <v>144</v>
      </c>
    </row>
    <row r="52" spans="1:43" ht="12.75" customHeight="1" x14ac:dyDescent="0.2">
      <c r="A52" s="7" t="s">
        <v>186</v>
      </c>
      <c r="B52" s="7"/>
      <c r="C52" s="7" t="s">
        <v>187</v>
      </c>
      <c r="D52" s="7" t="s">
        <v>188</v>
      </c>
      <c r="E52" s="7" t="s">
        <v>27</v>
      </c>
      <c r="F52" s="8">
        <v>980</v>
      </c>
      <c r="G52" s="66">
        <v>0</v>
      </c>
      <c r="H52" s="8">
        <f t="shared" si="90"/>
        <v>0</v>
      </c>
      <c r="I52" s="8">
        <f t="shared" si="91"/>
        <v>0</v>
      </c>
      <c r="J52" s="8">
        <f t="shared" si="92"/>
        <v>0</v>
      </c>
      <c r="K52" s="8">
        <v>3.6000000000000002E-4</v>
      </c>
      <c r="L52" s="8">
        <f t="shared" si="93"/>
        <v>0.3528</v>
      </c>
      <c r="M52" s="9" t="s">
        <v>134</v>
      </c>
      <c r="N52" s="9" t="s">
        <v>23</v>
      </c>
      <c r="O52" s="8">
        <f t="shared" si="94"/>
        <v>0</v>
      </c>
      <c r="Z52" s="8">
        <f t="shared" si="95"/>
        <v>0</v>
      </c>
      <c r="AA52" s="8">
        <f t="shared" si="96"/>
        <v>0</v>
      </c>
      <c r="AB52" s="8">
        <f t="shared" si="97"/>
        <v>0</v>
      </c>
      <c r="AD52" s="8">
        <v>21</v>
      </c>
      <c r="AE52" s="8">
        <f>G52*0.182333333333333</f>
        <v>0</v>
      </c>
      <c r="AF52" s="8">
        <f>G52*(1-0.182333333333333)</f>
        <v>0</v>
      </c>
      <c r="AM52" s="8">
        <f t="shared" si="98"/>
        <v>0</v>
      </c>
      <c r="AN52" s="8">
        <f t="shared" si="99"/>
        <v>0</v>
      </c>
      <c r="AO52" s="9" t="s">
        <v>278</v>
      </c>
      <c r="AP52" s="9" t="s">
        <v>276</v>
      </c>
      <c r="AQ52" s="16" t="s">
        <v>144</v>
      </c>
    </row>
    <row r="53" spans="1:43" ht="12.75" customHeight="1" x14ac:dyDescent="0.2">
      <c r="A53" s="7" t="s">
        <v>189</v>
      </c>
      <c r="B53" s="7"/>
      <c r="C53" s="7" t="s">
        <v>190</v>
      </c>
      <c r="D53" s="7" t="s">
        <v>191</v>
      </c>
      <c r="E53" s="7" t="s">
        <v>27</v>
      </c>
      <c r="F53" s="8">
        <v>1430</v>
      </c>
      <c r="G53" s="66">
        <v>0</v>
      </c>
      <c r="H53" s="8">
        <f t="shared" si="90"/>
        <v>0</v>
      </c>
      <c r="I53" s="8">
        <f t="shared" si="91"/>
        <v>0</v>
      </c>
      <c r="J53" s="8">
        <f t="shared" si="92"/>
        <v>0</v>
      </c>
      <c r="K53" s="8">
        <v>2.0000000000000001E-4</v>
      </c>
      <c r="L53" s="8">
        <f t="shared" si="93"/>
        <v>0.28600000000000003</v>
      </c>
      <c r="M53" s="9" t="s">
        <v>134</v>
      </c>
      <c r="N53" s="9" t="s">
        <v>23</v>
      </c>
      <c r="O53" s="8">
        <f t="shared" si="94"/>
        <v>0</v>
      </c>
      <c r="Z53" s="8">
        <f t="shared" si="95"/>
        <v>0</v>
      </c>
      <c r="AA53" s="8">
        <f t="shared" si="96"/>
        <v>0</v>
      </c>
      <c r="AB53" s="8">
        <f t="shared" si="97"/>
        <v>0</v>
      </c>
      <c r="AD53" s="8">
        <v>21</v>
      </c>
      <c r="AE53" s="8">
        <f>G53*0.665464086585766</f>
        <v>0</v>
      </c>
      <c r="AF53" s="8">
        <f>G53*(1-0.665464086585766)</f>
        <v>0</v>
      </c>
      <c r="AM53" s="8">
        <f t="shared" si="98"/>
        <v>0</v>
      </c>
      <c r="AN53" s="8">
        <f t="shared" si="99"/>
        <v>0</v>
      </c>
      <c r="AO53" s="9" t="s">
        <v>278</v>
      </c>
      <c r="AP53" s="9" t="s">
        <v>276</v>
      </c>
      <c r="AQ53" s="16" t="s">
        <v>144</v>
      </c>
    </row>
    <row r="54" spans="1:43" ht="12.75" customHeight="1" x14ac:dyDescent="0.2">
      <c r="A54" s="39"/>
      <c r="B54" s="14"/>
      <c r="C54" s="14" t="s">
        <v>92</v>
      </c>
      <c r="D54" s="71" t="s">
        <v>93</v>
      </c>
      <c r="E54" s="72"/>
      <c r="F54" s="72"/>
      <c r="G54" s="73"/>
      <c r="H54" s="18">
        <f t="shared" ref="H54:I54" si="100">SUM(H55)</f>
        <v>0</v>
      </c>
      <c r="I54" s="18">
        <f t="shared" si="100"/>
        <v>0</v>
      </c>
      <c r="J54" s="18">
        <f>H54+I54</f>
        <v>0</v>
      </c>
      <c r="K54" s="16"/>
      <c r="L54" s="18">
        <f>SUM(L55)</f>
        <v>0</v>
      </c>
      <c r="M54" s="16"/>
      <c r="P54" s="18">
        <f>IF(Q54="PR",J54,SUM(O55))</f>
        <v>0</v>
      </c>
      <c r="Q54" s="16" t="s">
        <v>124</v>
      </c>
      <c r="R54" s="18">
        <f>IF(Q54="HS",H54,0)</f>
        <v>0</v>
      </c>
      <c r="S54" s="18">
        <f>IF(Q54="HS",I54-P54,0)</f>
        <v>0</v>
      </c>
      <c r="T54" s="18">
        <f>IF(Q54="PS",H54,0)</f>
        <v>0</v>
      </c>
      <c r="U54" s="18">
        <f>IF(Q54="PS",I54-P54,0)</f>
        <v>0</v>
      </c>
      <c r="V54" s="18">
        <f>IF(Q54="MP",H54,0)</f>
        <v>0</v>
      </c>
      <c r="W54" s="18">
        <f>IF(Q54="MP",I54-P54,0)</f>
        <v>0</v>
      </c>
      <c r="X54" s="18">
        <f>IF(Q54="OM",H54,0)</f>
        <v>0</v>
      </c>
      <c r="Y54" s="16"/>
      <c r="AI54" s="18">
        <f t="shared" ref="AI54:AK54" si="101">SUM(Z55)</f>
        <v>0</v>
      </c>
      <c r="AJ54" s="18">
        <f t="shared" si="101"/>
        <v>0</v>
      </c>
      <c r="AK54" s="18">
        <f t="shared" si="101"/>
        <v>0</v>
      </c>
    </row>
    <row r="55" spans="1:43" ht="12.75" customHeight="1" x14ac:dyDescent="0.2">
      <c r="A55" s="7" t="s">
        <v>19</v>
      </c>
      <c r="B55" s="7"/>
      <c r="C55" s="7" t="s">
        <v>192</v>
      </c>
      <c r="D55" s="7" t="s">
        <v>193</v>
      </c>
      <c r="E55" s="7" t="s">
        <v>194</v>
      </c>
      <c r="F55" s="8">
        <v>178</v>
      </c>
      <c r="G55" s="66">
        <v>0</v>
      </c>
      <c r="H55" s="8">
        <f>F55*AE55</f>
        <v>0</v>
      </c>
      <c r="I55" s="8">
        <f>J55-H55</f>
        <v>0</v>
      </c>
      <c r="J55" s="8">
        <f>F55*G55</f>
        <v>0</v>
      </c>
      <c r="K55" s="8">
        <v>0</v>
      </c>
      <c r="L55" s="8">
        <f>F55*K55</f>
        <v>0</v>
      </c>
      <c r="M55" s="9" t="s">
        <v>134</v>
      </c>
      <c r="N55" s="9" t="s">
        <v>23</v>
      </c>
      <c r="O55" s="8">
        <f>IF(N55="5",I55,0)</f>
        <v>0</v>
      </c>
      <c r="Z55" s="8">
        <f>IF(AD55=0,J55,0)</f>
        <v>0</v>
      </c>
      <c r="AA55" s="8">
        <f>IF(AD55=15,J55,0)</f>
        <v>0</v>
      </c>
      <c r="AB55" s="8">
        <f>IF(AD55=21,J55,0)</f>
        <v>0</v>
      </c>
      <c r="AD55" s="8">
        <v>21</v>
      </c>
      <c r="AE55" s="8">
        <f>G55*0</f>
        <v>0</v>
      </c>
      <c r="AF55" s="8">
        <f>G55*(1-0)</f>
        <v>0</v>
      </c>
      <c r="AM55" s="8">
        <f>F55*AE55</f>
        <v>0</v>
      </c>
      <c r="AN55" s="8">
        <f>F55*AF55</f>
        <v>0</v>
      </c>
      <c r="AO55" s="9" t="s">
        <v>279</v>
      </c>
      <c r="AP55" s="9" t="s">
        <v>280</v>
      </c>
      <c r="AQ55" s="16" t="s">
        <v>144</v>
      </c>
    </row>
    <row r="56" spans="1:43" ht="12.75" customHeight="1" x14ac:dyDescent="0.2">
      <c r="A56" s="39"/>
      <c r="B56" s="14"/>
      <c r="C56" s="14" t="s">
        <v>95</v>
      </c>
      <c r="D56" s="71" t="s">
        <v>96</v>
      </c>
      <c r="E56" s="72"/>
      <c r="F56" s="72"/>
      <c r="G56" s="73"/>
      <c r="H56" s="18">
        <f t="shared" ref="H56:I56" si="102">SUM(H57)</f>
        <v>0</v>
      </c>
      <c r="I56" s="18">
        <f t="shared" si="102"/>
        <v>0</v>
      </c>
      <c r="J56" s="18">
        <f>H56+I56</f>
        <v>0</v>
      </c>
      <c r="K56" s="16"/>
      <c r="L56" s="18">
        <f>SUM(L57)</f>
        <v>0.39324999999999999</v>
      </c>
      <c r="M56" s="16"/>
      <c r="P56" s="18">
        <f>IF(Q56="PR",J56,SUM(O57))</f>
        <v>0</v>
      </c>
      <c r="Q56" s="16" t="s">
        <v>124</v>
      </c>
      <c r="R56" s="18">
        <f>IF(Q56="HS",H56,0)</f>
        <v>0</v>
      </c>
      <c r="S56" s="18">
        <f>IF(Q56="HS",I56-P56,0)</f>
        <v>0</v>
      </c>
      <c r="T56" s="18">
        <f>IF(Q56="PS",H56,0)</f>
        <v>0</v>
      </c>
      <c r="U56" s="18">
        <f>IF(Q56="PS",I56-P56,0)</f>
        <v>0</v>
      </c>
      <c r="V56" s="18">
        <f>IF(Q56="MP",H56,0)</f>
        <v>0</v>
      </c>
      <c r="W56" s="18">
        <f>IF(Q56="MP",I56-P56,0)</f>
        <v>0</v>
      </c>
      <c r="X56" s="18">
        <f>IF(Q56="OM",H56,0)</f>
        <v>0</v>
      </c>
      <c r="Y56" s="16"/>
      <c r="AI56" s="18">
        <f t="shared" ref="AI56:AK56" si="103">SUM(Z57)</f>
        <v>0</v>
      </c>
      <c r="AJ56" s="18">
        <f t="shared" si="103"/>
        <v>0</v>
      </c>
      <c r="AK56" s="18">
        <f t="shared" si="103"/>
        <v>0</v>
      </c>
    </row>
    <row r="57" spans="1:43" ht="12.75" customHeight="1" x14ac:dyDescent="0.2">
      <c r="A57" s="7" t="s">
        <v>195</v>
      </c>
      <c r="B57" s="7"/>
      <c r="C57" s="7" t="s">
        <v>196</v>
      </c>
      <c r="D57" s="7" t="s">
        <v>197</v>
      </c>
      <c r="E57" s="7" t="s">
        <v>27</v>
      </c>
      <c r="F57" s="8">
        <v>325</v>
      </c>
      <c r="G57" s="66">
        <v>0</v>
      </c>
      <c r="H57" s="8">
        <f>F57*AE57</f>
        <v>0</v>
      </c>
      <c r="I57" s="8">
        <f>J57-H57</f>
        <v>0</v>
      </c>
      <c r="J57" s="8">
        <f>F57*G57</f>
        <v>0</v>
      </c>
      <c r="K57" s="8">
        <v>1.2099999999999999E-3</v>
      </c>
      <c r="L57" s="8">
        <f>F57*K57</f>
        <v>0.39324999999999999</v>
      </c>
      <c r="M57" s="9" t="s">
        <v>134</v>
      </c>
      <c r="N57" s="9" t="s">
        <v>23</v>
      </c>
      <c r="O57" s="8">
        <f>IF(N57="5",I57,0)</f>
        <v>0</v>
      </c>
      <c r="Z57" s="8">
        <f>IF(AD57=0,J57,0)</f>
        <v>0</v>
      </c>
      <c r="AA57" s="8">
        <f>IF(AD57=15,J57,0)</f>
        <v>0</v>
      </c>
      <c r="AB57" s="8">
        <f>IF(AD57=21,J57,0)</f>
        <v>0</v>
      </c>
      <c r="AD57" s="8">
        <v>21</v>
      </c>
      <c r="AE57" s="8">
        <f>G57*0.297539922313336</f>
        <v>0</v>
      </c>
      <c r="AF57" s="8">
        <f>G57*(1-0.297539922313336)</f>
        <v>0</v>
      </c>
      <c r="AM57" s="8">
        <f>F57*AE57</f>
        <v>0</v>
      </c>
      <c r="AN57" s="8">
        <f>F57*AF57</f>
        <v>0</v>
      </c>
      <c r="AO57" s="9" t="s">
        <v>281</v>
      </c>
      <c r="AP57" s="9" t="s">
        <v>280</v>
      </c>
      <c r="AQ57" s="16" t="s">
        <v>144</v>
      </c>
    </row>
    <row r="58" spans="1:43" ht="12.75" customHeight="1" x14ac:dyDescent="0.2">
      <c r="A58" s="39"/>
      <c r="B58" s="14"/>
      <c r="C58" s="14" t="s">
        <v>100</v>
      </c>
      <c r="D58" s="71" t="s">
        <v>101</v>
      </c>
      <c r="E58" s="72"/>
      <c r="F58" s="72"/>
      <c r="G58" s="73"/>
      <c r="H58" s="18">
        <f t="shared" ref="H58:I58" si="104">SUM(H59:H60)</f>
        <v>0</v>
      </c>
      <c r="I58" s="18">
        <f t="shared" si="104"/>
        <v>0</v>
      </c>
      <c r="J58" s="18">
        <f>H58+I58</f>
        <v>0</v>
      </c>
      <c r="K58" s="16"/>
      <c r="L58" s="18">
        <f>SUM(L59:L60)</f>
        <v>0</v>
      </c>
      <c r="M58" s="16"/>
      <c r="P58" s="18">
        <f>IF(Q58="PR",J58,SUM(O59:O60))</f>
        <v>0</v>
      </c>
      <c r="Q58" s="16" t="s">
        <v>124</v>
      </c>
      <c r="R58" s="18">
        <f>IF(Q58="HS",H58,0)</f>
        <v>0</v>
      </c>
      <c r="S58" s="18">
        <f>IF(Q58="HS",I58-P58,0)</f>
        <v>0</v>
      </c>
      <c r="T58" s="18">
        <f>IF(Q58="PS",H58,0)</f>
        <v>0</v>
      </c>
      <c r="U58" s="18">
        <f>IF(Q58="PS",I58-P58,0)</f>
        <v>0</v>
      </c>
      <c r="V58" s="18">
        <f>IF(Q58="MP",H58,0)</f>
        <v>0</v>
      </c>
      <c r="W58" s="18">
        <f>IF(Q58="MP",I58-P58,0)</f>
        <v>0</v>
      </c>
      <c r="X58" s="18">
        <f>IF(Q58="OM",H58,0)</f>
        <v>0</v>
      </c>
      <c r="Y58" s="16"/>
      <c r="AI58" s="18">
        <f t="shared" ref="AI58:AK58" si="105">SUM(Z59:Z60)</f>
        <v>0</v>
      </c>
      <c r="AJ58" s="18">
        <f t="shared" si="105"/>
        <v>0</v>
      </c>
      <c r="AK58" s="18">
        <f t="shared" si="105"/>
        <v>0</v>
      </c>
    </row>
    <row r="59" spans="1:43" ht="12.75" customHeight="1" x14ac:dyDescent="0.2">
      <c r="A59" s="7" t="s">
        <v>198</v>
      </c>
      <c r="B59" s="7"/>
      <c r="C59" s="7" t="s">
        <v>199</v>
      </c>
      <c r="D59" s="7" t="s">
        <v>200</v>
      </c>
      <c r="E59" s="7" t="s">
        <v>60</v>
      </c>
      <c r="F59" s="8">
        <v>1</v>
      </c>
      <c r="G59" s="66">
        <v>0</v>
      </c>
      <c r="H59" s="8">
        <f t="shared" ref="H59:H60" si="106">F59*AE59</f>
        <v>0</v>
      </c>
      <c r="I59" s="8">
        <f t="shared" ref="I59:I60" si="107">J59-H59</f>
        <v>0</v>
      </c>
      <c r="J59" s="8">
        <f t="shared" ref="J59:J60" si="108">F59*G59</f>
        <v>0</v>
      </c>
      <c r="K59" s="8">
        <v>0</v>
      </c>
      <c r="L59" s="8">
        <f t="shared" ref="L59:L60" si="109">F59*K59</f>
        <v>0</v>
      </c>
      <c r="M59" s="9" t="s">
        <v>134</v>
      </c>
      <c r="N59" s="9" t="s">
        <v>57</v>
      </c>
      <c r="O59" s="8">
        <f t="shared" ref="O59:O60" si="110">IF(N59="5",I59,0)</f>
        <v>0</v>
      </c>
      <c r="Z59" s="8">
        <f t="shared" ref="Z59:Z60" si="111">IF(AD59=0,J59,0)</f>
        <v>0</v>
      </c>
      <c r="AA59" s="8">
        <f t="shared" ref="AA59:AA60" si="112">IF(AD59=15,J59,0)</f>
        <v>0</v>
      </c>
      <c r="AB59" s="8">
        <f t="shared" ref="AB59:AB60" si="113">IF(AD59=21,J59,0)</f>
        <v>0</v>
      </c>
      <c r="AD59" s="8">
        <v>21</v>
      </c>
      <c r="AE59" s="8">
        <f>G59*0.439322754685469</f>
        <v>0</v>
      </c>
      <c r="AF59" s="8">
        <f>G59*(1-0.439322754685469)</f>
        <v>0</v>
      </c>
      <c r="AM59" s="8">
        <f t="shared" ref="AM59:AM60" si="114">F59*AE59</f>
        <v>0</v>
      </c>
      <c r="AN59" s="8">
        <f t="shared" ref="AN59:AN60" si="115">F59*AF59</f>
        <v>0</v>
      </c>
      <c r="AO59" s="9" t="s">
        <v>282</v>
      </c>
      <c r="AP59" s="9" t="s">
        <v>280</v>
      </c>
      <c r="AQ59" s="16" t="s">
        <v>144</v>
      </c>
    </row>
    <row r="60" spans="1:43" ht="12.75" customHeight="1" x14ac:dyDescent="0.2">
      <c r="A60" s="7" t="s">
        <v>201</v>
      </c>
      <c r="B60" s="7"/>
      <c r="C60" s="7" t="s">
        <v>202</v>
      </c>
      <c r="D60" s="7" t="s">
        <v>203</v>
      </c>
      <c r="E60" s="7" t="s">
        <v>204</v>
      </c>
      <c r="F60" s="8">
        <v>12.6</v>
      </c>
      <c r="G60" s="66">
        <v>0</v>
      </c>
      <c r="H60" s="8">
        <f t="shared" si="106"/>
        <v>0</v>
      </c>
      <c r="I60" s="8">
        <f t="shared" si="107"/>
        <v>0</v>
      </c>
      <c r="J60" s="8">
        <f t="shared" si="108"/>
        <v>0</v>
      </c>
      <c r="K60" s="8">
        <v>0</v>
      </c>
      <c r="L60" s="8">
        <f t="shared" si="109"/>
        <v>0</v>
      </c>
      <c r="M60" s="9" t="s">
        <v>134</v>
      </c>
      <c r="N60" s="9" t="s">
        <v>57</v>
      </c>
      <c r="O60" s="8">
        <f t="shared" si="110"/>
        <v>0</v>
      </c>
      <c r="Z60" s="8">
        <f t="shared" si="111"/>
        <v>0</v>
      </c>
      <c r="AA60" s="8">
        <f t="shared" si="112"/>
        <v>0</v>
      </c>
      <c r="AB60" s="8">
        <f t="shared" si="113"/>
        <v>0</v>
      </c>
      <c r="AD60" s="8">
        <v>21</v>
      </c>
      <c r="AE60" s="8">
        <f>G60*0</f>
        <v>0</v>
      </c>
      <c r="AF60" s="8">
        <f>G60*(1-0)</f>
        <v>0</v>
      </c>
      <c r="AM60" s="8">
        <f t="shared" si="114"/>
        <v>0</v>
      </c>
      <c r="AN60" s="8">
        <f t="shared" si="115"/>
        <v>0</v>
      </c>
      <c r="AO60" s="9" t="s">
        <v>282</v>
      </c>
      <c r="AP60" s="9" t="s">
        <v>280</v>
      </c>
      <c r="AQ60" s="16" t="s">
        <v>144</v>
      </c>
    </row>
    <row r="61" spans="1:43" ht="12.75" customHeight="1" x14ac:dyDescent="0.2">
      <c r="A61" s="39"/>
      <c r="B61" s="14"/>
      <c r="C61" s="14" t="s">
        <v>103</v>
      </c>
      <c r="D61" s="71" t="s">
        <v>104</v>
      </c>
      <c r="E61" s="72"/>
      <c r="F61" s="72"/>
      <c r="G61" s="73"/>
      <c r="H61" s="18">
        <f t="shared" ref="H61:I61" si="116">SUM(H62:H67)</f>
        <v>0</v>
      </c>
      <c r="I61" s="18">
        <f t="shared" si="116"/>
        <v>0</v>
      </c>
      <c r="J61" s="18">
        <f>H61+I61</f>
        <v>0</v>
      </c>
      <c r="K61" s="16"/>
      <c r="L61" s="18">
        <f>SUM(L62:L67)</f>
        <v>4.0000000000000003E-5</v>
      </c>
      <c r="M61" s="16"/>
      <c r="P61" s="18">
        <f>IF(Q61="PR",J61,SUM(O62:O67))</f>
        <v>0</v>
      </c>
      <c r="Q61" s="16" t="s">
        <v>283</v>
      </c>
      <c r="R61" s="18">
        <f>IF(Q61="HS",H61,0)</f>
        <v>0</v>
      </c>
      <c r="S61" s="18">
        <f>IF(Q61="HS",I61-P61,0)</f>
        <v>0</v>
      </c>
      <c r="T61" s="18">
        <f>IF(Q61="PS",H61,0)</f>
        <v>0</v>
      </c>
      <c r="U61" s="18">
        <f>IF(Q61="PS",I61-P61,0)</f>
        <v>0</v>
      </c>
      <c r="V61" s="18">
        <f>IF(Q61="MP",H61,0)</f>
        <v>0</v>
      </c>
      <c r="W61" s="18">
        <f>IF(Q61="MP",I61-P61,0)</f>
        <v>0</v>
      </c>
      <c r="X61" s="18">
        <f>IF(Q61="OM",H61,0)</f>
        <v>0</v>
      </c>
      <c r="Y61" s="16"/>
      <c r="AI61" s="18">
        <f t="shared" ref="AI61:AK61" si="117">SUM(Z62:Z67)</f>
        <v>0</v>
      </c>
      <c r="AJ61" s="18">
        <f t="shared" si="117"/>
        <v>0</v>
      </c>
      <c r="AK61" s="18">
        <f t="shared" si="117"/>
        <v>0</v>
      </c>
    </row>
    <row r="62" spans="1:43" ht="12.75" customHeight="1" x14ac:dyDescent="0.2">
      <c r="A62" s="7" t="s">
        <v>205</v>
      </c>
      <c r="B62" s="7"/>
      <c r="C62" s="7" t="s">
        <v>206</v>
      </c>
      <c r="D62" s="7" t="s">
        <v>207</v>
      </c>
      <c r="E62" s="7" t="s">
        <v>60</v>
      </c>
      <c r="F62" s="8">
        <v>1</v>
      </c>
      <c r="G62" s="66">
        <v>0</v>
      </c>
      <c r="H62" s="8">
        <f t="shared" ref="H62:H67" si="118">F62*AE62</f>
        <v>0</v>
      </c>
      <c r="I62" s="8">
        <f t="shared" ref="I62:I67" si="119">J62-H62</f>
        <v>0</v>
      </c>
      <c r="J62" s="8">
        <f t="shared" ref="J62:J67" si="120">F62*G62</f>
        <v>0</v>
      </c>
      <c r="K62" s="8">
        <v>0</v>
      </c>
      <c r="L62" s="8">
        <f t="shared" ref="L62:L67" si="121">F62*K62</f>
        <v>0</v>
      </c>
      <c r="M62" s="9" t="s">
        <v>134</v>
      </c>
      <c r="N62" s="9" t="s">
        <v>38</v>
      </c>
      <c r="O62" s="8">
        <f t="shared" ref="O62:O67" si="122">IF(N62="5",I62,0)</f>
        <v>0</v>
      </c>
      <c r="Z62" s="8">
        <f t="shared" ref="Z62:Z67" si="123">IF(AD62=0,J62,0)</f>
        <v>0</v>
      </c>
      <c r="AA62" s="8">
        <f t="shared" ref="AA62:AA67" si="124">IF(AD62=15,J62,0)</f>
        <v>0</v>
      </c>
      <c r="AB62" s="8">
        <f t="shared" ref="AB62:AB67" si="125">IF(AD62=21,J62,0)</f>
        <v>0</v>
      </c>
      <c r="AD62" s="8">
        <v>21</v>
      </c>
      <c r="AE62" s="8">
        <f>G62*0.37426486724655</f>
        <v>0</v>
      </c>
      <c r="AF62" s="8">
        <f>G62*(1-0.37426486724655)</f>
        <v>0</v>
      </c>
      <c r="AM62" s="8">
        <f t="shared" ref="AM62:AM67" si="126">F62*AE62</f>
        <v>0</v>
      </c>
      <c r="AN62" s="8">
        <f t="shared" ref="AN62:AN67" si="127">F62*AF62</f>
        <v>0</v>
      </c>
      <c r="AO62" s="9" t="s">
        <v>284</v>
      </c>
      <c r="AP62" s="9" t="s">
        <v>280</v>
      </c>
      <c r="AQ62" s="16" t="s">
        <v>144</v>
      </c>
    </row>
    <row r="63" spans="1:43" ht="12.75" customHeight="1" x14ac:dyDescent="0.2">
      <c r="A63" s="7" t="s">
        <v>208</v>
      </c>
      <c r="B63" s="7"/>
      <c r="C63" s="7" t="s">
        <v>209</v>
      </c>
      <c r="D63" s="7" t="s">
        <v>210</v>
      </c>
      <c r="E63" s="7" t="s">
        <v>60</v>
      </c>
      <c r="F63" s="8">
        <v>1</v>
      </c>
      <c r="G63" s="66">
        <v>0</v>
      </c>
      <c r="H63" s="8">
        <f t="shared" si="118"/>
        <v>0</v>
      </c>
      <c r="I63" s="8">
        <f t="shared" si="119"/>
        <v>0</v>
      </c>
      <c r="J63" s="8">
        <f t="shared" si="120"/>
        <v>0</v>
      </c>
      <c r="K63" s="8">
        <v>0</v>
      </c>
      <c r="L63" s="8">
        <f t="shared" si="121"/>
        <v>0</v>
      </c>
      <c r="M63" s="9" t="s">
        <v>134</v>
      </c>
      <c r="N63" s="9" t="s">
        <v>38</v>
      </c>
      <c r="O63" s="8">
        <f t="shared" si="122"/>
        <v>0</v>
      </c>
      <c r="Z63" s="8">
        <f t="shared" si="123"/>
        <v>0</v>
      </c>
      <c r="AA63" s="8">
        <f t="shared" si="124"/>
        <v>0</v>
      </c>
      <c r="AB63" s="8">
        <f t="shared" si="125"/>
        <v>0</v>
      </c>
      <c r="AD63" s="8">
        <v>21</v>
      </c>
      <c r="AE63" s="8">
        <f>G63*0.781464046158133</f>
        <v>0</v>
      </c>
      <c r="AF63" s="8">
        <f>G63*(1-0.781464046158133)</f>
        <v>0</v>
      </c>
      <c r="AM63" s="8">
        <f t="shared" si="126"/>
        <v>0</v>
      </c>
      <c r="AN63" s="8">
        <f t="shared" si="127"/>
        <v>0</v>
      </c>
      <c r="AO63" s="9" t="s">
        <v>284</v>
      </c>
      <c r="AP63" s="9" t="s">
        <v>280</v>
      </c>
      <c r="AQ63" s="16" t="s">
        <v>144</v>
      </c>
    </row>
    <row r="64" spans="1:43" ht="12.75" customHeight="1" x14ac:dyDescent="0.2">
      <c r="A64" s="7" t="s">
        <v>211</v>
      </c>
      <c r="B64" s="7"/>
      <c r="C64" s="7" t="s">
        <v>212</v>
      </c>
      <c r="D64" s="7" t="s">
        <v>213</v>
      </c>
      <c r="E64" s="7" t="s">
        <v>60</v>
      </c>
      <c r="F64" s="8">
        <v>1</v>
      </c>
      <c r="G64" s="66">
        <v>0</v>
      </c>
      <c r="H64" s="8">
        <f t="shared" si="118"/>
        <v>0</v>
      </c>
      <c r="I64" s="8">
        <f t="shared" si="119"/>
        <v>0</v>
      </c>
      <c r="J64" s="8">
        <f t="shared" si="120"/>
        <v>0</v>
      </c>
      <c r="K64" s="8">
        <v>0</v>
      </c>
      <c r="L64" s="8">
        <f t="shared" si="121"/>
        <v>0</v>
      </c>
      <c r="M64" s="9" t="s">
        <v>134</v>
      </c>
      <c r="N64" s="9" t="s">
        <v>38</v>
      </c>
      <c r="O64" s="8">
        <f t="shared" si="122"/>
        <v>0</v>
      </c>
      <c r="Z64" s="8">
        <f t="shared" si="123"/>
        <v>0</v>
      </c>
      <c r="AA64" s="8">
        <f t="shared" si="124"/>
        <v>0</v>
      </c>
      <c r="AB64" s="8">
        <f t="shared" si="125"/>
        <v>0</v>
      </c>
      <c r="AD64" s="8">
        <v>21</v>
      </c>
      <c r="AE64" s="8">
        <f>G64*0.163199718794331</f>
        <v>0</v>
      </c>
      <c r="AF64" s="8">
        <f>G64*(1-0.163199718794331)</f>
        <v>0</v>
      </c>
      <c r="AM64" s="8">
        <f t="shared" si="126"/>
        <v>0</v>
      </c>
      <c r="AN64" s="8">
        <f t="shared" si="127"/>
        <v>0</v>
      </c>
      <c r="AO64" s="9" t="s">
        <v>284</v>
      </c>
      <c r="AP64" s="9" t="s">
        <v>280</v>
      </c>
      <c r="AQ64" s="16" t="s">
        <v>144</v>
      </c>
    </row>
    <row r="65" spans="1:43" ht="12.75" customHeight="1" x14ac:dyDescent="0.2">
      <c r="A65" s="7" t="s">
        <v>214</v>
      </c>
      <c r="B65" s="7"/>
      <c r="C65" s="7" t="s">
        <v>215</v>
      </c>
      <c r="D65" s="7" t="s">
        <v>216</v>
      </c>
      <c r="E65" s="7" t="s">
        <v>60</v>
      </c>
      <c r="F65" s="8">
        <v>1</v>
      </c>
      <c r="G65" s="66">
        <v>0</v>
      </c>
      <c r="H65" s="8">
        <f t="shared" si="118"/>
        <v>0</v>
      </c>
      <c r="I65" s="8">
        <f t="shared" si="119"/>
        <v>0</v>
      </c>
      <c r="J65" s="8">
        <f t="shared" si="120"/>
        <v>0</v>
      </c>
      <c r="K65" s="8">
        <v>4.0000000000000003E-5</v>
      </c>
      <c r="L65" s="8">
        <f t="shared" si="121"/>
        <v>4.0000000000000003E-5</v>
      </c>
      <c r="M65" s="9" t="s">
        <v>134</v>
      </c>
      <c r="N65" s="9" t="s">
        <v>38</v>
      </c>
      <c r="O65" s="8">
        <f t="shared" si="122"/>
        <v>0</v>
      </c>
      <c r="Z65" s="8">
        <f t="shared" si="123"/>
        <v>0</v>
      </c>
      <c r="AA65" s="8">
        <f t="shared" si="124"/>
        <v>0</v>
      </c>
      <c r="AB65" s="8">
        <f t="shared" si="125"/>
        <v>0</v>
      </c>
      <c r="AD65" s="8">
        <v>21</v>
      </c>
      <c r="AE65" s="8">
        <f>G65*0.369878517481752</f>
        <v>0</v>
      </c>
      <c r="AF65" s="8">
        <f>G65*(1-0.369878517481752)</f>
        <v>0</v>
      </c>
      <c r="AM65" s="8">
        <f t="shared" si="126"/>
        <v>0</v>
      </c>
      <c r="AN65" s="8">
        <f t="shared" si="127"/>
        <v>0</v>
      </c>
      <c r="AO65" s="9" t="s">
        <v>284</v>
      </c>
      <c r="AP65" s="9" t="s">
        <v>280</v>
      </c>
      <c r="AQ65" s="16" t="s">
        <v>144</v>
      </c>
    </row>
    <row r="66" spans="1:43" ht="12.75" customHeight="1" x14ac:dyDescent="0.2">
      <c r="A66" s="7" t="s">
        <v>217</v>
      </c>
      <c r="B66" s="7"/>
      <c r="C66" s="7" t="s">
        <v>218</v>
      </c>
      <c r="D66" s="7" t="s">
        <v>219</v>
      </c>
      <c r="E66" s="7" t="s">
        <v>65</v>
      </c>
      <c r="F66" s="8">
        <v>22</v>
      </c>
      <c r="G66" s="66">
        <v>0</v>
      </c>
      <c r="H66" s="8">
        <f t="shared" si="118"/>
        <v>0</v>
      </c>
      <c r="I66" s="8">
        <f t="shared" si="119"/>
        <v>0</v>
      </c>
      <c r="J66" s="8">
        <f t="shared" si="120"/>
        <v>0</v>
      </c>
      <c r="K66" s="8">
        <v>0</v>
      </c>
      <c r="L66" s="8">
        <f t="shared" si="121"/>
        <v>0</v>
      </c>
      <c r="M66" s="9" t="s">
        <v>134</v>
      </c>
      <c r="N66" s="9" t="s">
        <v>38</v>
      </c>
      <c r="O66" s="8">
        <f t="shared" si="122"/>
        <v>0</v>
      </c>
      <c r="Z66" s="8">
        <f t="shared" si="123"/>
        <v>0</v>
      </c>
      <c r="AA66" s="8">
        <f t="shared" si="124"/>
        <v>0</v>
      </c>
      <c r="AB66" s="8">
        <f t="shared" si="125"/>
        <v>0</v>
      </c>
      <c r="AD66" s="8">
        <v>21</v>
      </c>
      <c r="AE66" s="8">
        <f>G66*0.735414283379637</f>
        <v>0</v>
      </c>
      <c r="AF66" s="8">
        <f>G66*(1-0.735414283379637)</f>
        <v>0</v>
      </c>
      <c r="AM66" s="8">
        <f t="shared" si="126"/>
        <v>0</v>
      </c>
      <c r="AN66" s="8">
        <f t="shared" si="127"/>
        <v>0</v>
      </c>
      <c r="AO66" s="9" t="s">
        <v>284</v>
      </c>
      <c r="AP66" s="9" t="s">
        <v>280</v>
      </c>
      <c r="AQ66" s="16" t="s">
        <v>144</v>
      </c>
    </row>
    <row r="67" spans="1:43" ht="12.75" customHeight="1" x14ac:dyDescent="0.2">
      <c r="A67" s="62" t="s">
        <v>220</v>
      </c>
      <c r="B67" s="62"/>
      <c r="C67" s="62" t="s">
        <v>221</v>
      </c>
      <c r="D67" s="62" t="s">
        <v>222</v>
      </c>
      <c r="E67" s="62" t="s">
        <v>65</v>
      </c>
      <c r="F67" s="63">
        <v>17</v>
      </c>
      <c r="G67" s="67">
        <v>0</v>
      </c>
      <c r="H67" s="63">
        <f t="shared" si="118"/>
        <v>0</v>
      </c>
      <c r="I67" s="63">
        <f t="shared" si="119"/>
        <v>0</v>
      </c>
      <c r="J67" s="63">
        <f t="shared" si="120"/>
        <v>0</v>
      </c>
      <c r="K67" s="63">
        <v>0</v>
      </c>
      <c r="L67" s="63">
        <f t="shared" si="121"/>
        <v>0</v>
      </c>
      <c r="M67" s="64" t="s">
        <v>134</v>
      </c>
      <c r="N67" s="9" t="s">
        <v>38</v>
      </c>
      <c r="O67" s="8">
        <f t="shared" si="122"/>
        <v>0</v>
      </c>
      <c r="Z67" s="8">
        <f t="shared" si="123"/>
        <v>0</v>
      </c>
      <c r="AA67" s="8">
        <f t="shared" si="124"/>
        <v>0</v>
      </c>
      <c r="AB67" s="8">
        <f t="shared" si="125"/>
        <v>0</v>
      </c>
      <c r="AD67" s="8">
        <v>21</v>
      </c>
      <c r="AE67" s="8">
        <f>G67*0.857843137254902</f>
        <v>0</v>
      </c>
      <c r="AF67" s="8">
        <f>G67*(1-0.857843137254902)</f>
        <v>0</v>
      </c>
      <c r="AM67" s="8">
        <f t="shared" si="126"/>
        <v>0</v>
      </c>
      <c r="AN67" s="8">
        <f t="shared" si="127"/>
        <v>0</v>
      </c>
      <c r="AO67" s="9" t="s">
        <v>284</v>
      </c>
      <c r="AP67" s="9" t="s">
        <v>280</v>
      </c>
      <c r="AQ67" s="16" t="s">
        <v>144</v>
      </c>
    </row>
    <row r="68" spans="1:43" ht="12.75" customHeight="1" x14ac:dyDescent="0.2">
      <c r="A68" s="52"/>
      <c r="B68" s="52"/>
      <c r="C68" s="52"/>
      <c r="D68" s="52"/>
      <c r="E68" s="52"/>
      <c r="F68" s="52"/>
      <c r="G68" s="52"/>
      <c r="H68" s="77" t="s">
        <v>115</v>
      </c>
      <c r="I68" s="78"/>
      <c r="J68" s="65">
        <f>J12+J15+J18+J24+J29+J35+J43+J48+J50+J54+J56+J58+J61</f>
        <v>0</v>
      </c>
      <c r="K68" s="52"/>
      <c r="L68" s="52"/>
      <c r="M68" s="52"/>
      <c r="Z68" s="38">
        <f t="shared" ref="Z68:AB68" si="128">SUM(Z13:Z67)</f>
        <v>0</v>
      </c>
      <c r="AA68" s="38">
        <f t="shared" si="128"/>
        <v>0</v>
      </c>
      <c r="AB68" s="38">
        <f t="shared" si="128"/>
        <v>0</v>
      </c>
    </row>
    <row r="69" spans="1:43" ht="10.5" customHeight="1" x14ac:dyDescent="0.2">
      <c r="A69" s="42" t="s">
        <v>223</v>
      </c>
    </row>
    <row r="70" spans="1:43" ht="409.5" hidden="1" customHeight="1" x14ac:dyDescent="0.2">
      <c r="A70" s="76"/>
      <c r="B70" s="75"/>
      <c r="C70" s="75"/>
      <c r="D70" s="75"/>
      <c r="E70" s="75"/>
      <c r="F70" s="75"/>
      <c r="G70" s="75"/>
      <c r="H70" s="75"/>
      <c r="I70" s="75"/>
      <c r="J70" s="75"/>
      <c r="K70" s="75"/>
      <c r="L70" s="75"/>
      <c r="M70" s="75"/>
    </row>
    <row r="71" spans="1:43" ht="12.75" customHeight="1" x14ac:dyDescent="0.2"/>
    <row r="72" spans="1:43" ht="12.75" customHeight="1" x14ac:dyDescent="0.2"/>
    <row r="73" spans="1:43" ht="12.75" customHeight="1" x14ac:dyDescent="0.2"/>
    <row r="74" spans="1:43" ht="12.75" customHeight="1" x14ac:dyDescent="0.2"/>
    <row r="75" spans="1:43" ht="12.75" customHeight="1" x14ac:dyDescent="0.2"/>
    <row r="76" spans="1:43" ht="12.75" customHeight="1" x14ac:dyDescent="0.2"/>
    <row r="77" spans="1:43" ht="12.75" customHeight="1" x14ac:dyDescent="0.2"/>
    <row r="78" spans="1:43" ht="12.75" customHeight="1" x14ac:dyDescent="0.2"/>
    <row r="79" spans="1:43" ht="12.75" customHeight="1" x14ac:dyDescent="0.2"/>
    <row r="80" spans="1:43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sheetProtection algorithmName="SHA-512" hashValue="jGLPT7tbHbV/LogP5O+GtEF6HR4OaMyHCzb0tpeNlgp5lLM8ZqAjzpIxx2YsgTQ8RmDveQKrcK1Kbd2Fq886rA==" saltValue="258Nuv9ff6WuPc09PKwOww==" spinCount="100000" sheet="1" objects="1" scenarios="1"/>
  <mergeCells count="42">
    <mergeCell ref="A8:C9"/>
    <mergeCell ref="A4:C5"/>
    <mergeCell ref="A6:C7"/>
    <mergeCell ref="E6:F7"/>
    <mergeCell ref="D4:D5"/>
    <mergeCell ref="E4:F5"/>
    <mergeCell ref="A1:M1"/>
    <mergeCell ref="E2:F3"/>
    <mergeCell ref="I2:I3"/>
    <mergeCell ref="J2:M3"/>
    <mergeCell ref="J6:M7"/>
    <mergeCell ref="J4:M5"/>
    <mergeCell ref="G4:H5"/>
    <mergeCell ref="I4:I5"/>
    <mergeCell ref="A2:C3"/>
    <mergeCell ref="H68:I68"/>
    <mergeCell ref="A70:M70"/>
    <mergeCell ref="G2:H3"/>
    <mergeCell ref="G6:H7"/>
    <mergeCell ref="I6:I7"/>
    <mergeCell ref="I8:I9"/>
    <mergeCell ref="J8:M9"/>
    <mergeCell ref="H10:J10"/>
    <mergeCell ref="K10:L10"/>
    <mergeCell ref="D43:G43"/>
    <mergeCell ref="D48:G48"/>
    <mergeCell ref="D29:G29"/>
    <mergeCell ref="D35:G35"/>
    <mergeCell ref="D18:G18"/>
    <mergeCell ref="E8:F9"/>
    <mergeCell ref="G8:H9"/>
    <mergeCell ref="D56:G56"/>
    <mergeCell ref="D58:G58"/>
    <mergeCell ref="D61:G61"/>
    <mergeCell ref="D24:G24"/>
    <mergeCell ref="D2:D3"/>
    <mergeCell ref="D6:D7"/>
    <mergeCell ref="D54:G54"/>
    <mergeCell ref="D50:G50"/>
    <mergeCell ref="D15:G15"/>
    <mergeCell ref="D12:G12"/>
    <mergeCell ref="D8:D9"/>
  </mergeCell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00"/>
  <sheetViews>
    <sheetView topLeftCell="A16" workbookViewId="0">
      <selection activeCell="G3" activeCellId="13" sqref="G56 G52:J57 G49:J50 G47:J47 G45:J45 G41:J43 G39:J39 G34:J37 G26:J32 G20:J24 G15:J18 G9:J13 G6:J7 G3:J4"/>
    </sheetView>
  </sheetViews>
  <sheetFormatPr defaultColWidth="14.42578125" defaultRowHeight="15" customHeight="1" x14ac:dyDescent="0.2"/>
  <cols>
    <col min="1" max="1" width="3" customWidth="1"/>
    <col min="2" max="2" width="12" customWidth="1"/>
    <col min="3" max="3" width="58.140625" customWidth="1"/>
    <col min="4" max="4" width="3.42578125" customWidth="1"/>
    <col min="5" max="5" width="8.85546875" customWidth="1"/>
    <col min="6" max="6" width="10.28515625" customWidth="1"/>
    <col min="7" max="7" width="16.5703125" customWidth="1"/>
    <col min="8" max="8" width="16.7109375" customWidth="1"/>
    <col min="9" max="10" width="16.5703125" customWidth="1"/>
    <col min="11" max="11" width="18" customWidth="1"/>
    <col min="12" max="12" width="16.5703125" customWidth="1"/>
    <col min="13" max="30" width="11.5703125" customWidth="1"/>
    <col min="31" max="32" width="9.7109375" hidden="1" customWidth="1"/>
    <col min="33" max="42" width="11.5703125" customWidth="1"/>
  </cols>
  <sheetData>
    <row r="1" spans="1:32" ht="12.75" customHeight="1" x14ac:dyDescent="0.2">
      <c r="A1" s="1" t="s">
        <v>2</v>
      </c>
      <c r="B1" s="1" t="s">
        <v>4</v>
      </c>
      <c r="C1" s="1" t="s">
        <v>5</v>
      </c>
      <c r="D1" s="1" t="s">
        <v>6</v>
      </c>
      <c r="E1" s="1" t="s">
        <v>7</v>
      </c>
      <c r="F1" s="1" t="s">
        <v>8</v>
      </c>
      <c r="G1" s="1" t="s">
        <v>9</v>
      </c>
      <c r="H1" s="1" t="s">
        <v>10</v>
      </c>
      <c r="I1" s="1" t="s">
        <v>11</v>
      </c>
      <c r="J1" s="1" t="s">
        <v>12</v>
      </c>
      <c r="K1" s="1" t="s">
        <v>13</v>
      </c>
      <c r="L1" s="2" t="s">
        <v>14</v>
      </c>
      <c r="M1" s="3"/>
    </row>
    <row r="2" spans="1:32" ht="12.75" customHeight="1" x14ac:dyDescent="0.2">
      <c r="A2" s="4" t="s">
        <v>17</v>
      </c>
      <c r="B2" s="4" t="s">
        <v>19</v>
      </c>
      <c r="C2" s="4" t="s">
        <v>20</v>
      </c>
      <c r="D2" s="4" t="s">
        <v>17</v>
      </c>
      <c r="E2" s="4" t="s">
        <v>17</v>
      </c>
      <c r="F2" s="5" t="s">
        <v>17</v>
      </c>
      <c r="G2" s="5" t="s">
        <v>17</v>
      </c>
      <c r="H2" s="5"/>
      <c r="I2" s="5"/>
      <c r="J2" s="5"/>
      <c r="K2" s="5" t="s">
        <v>17</v>
      </c>
      <c r="L2" s="6">
        <f>SUM(L3:L4)</f>
        <v>0.87575000000000003</v>
      </c>
    </row>
    <row r="3" spans="1:32" ht="12.75" customHeight="1" x14ac:dyDescent="0.2">
      <c r="A3" s="7" t="s">
        <v>23</v>
      </c>
      <c r="B3" s="7" t="s">
        <v>25</v>
      </c>
      <c r="C3" s="7" t="s">
        <v>26</v>
      </c>
      <c r="D3" s="7" t="s">
        <v>27</v>
      </c>
      <c r="E3" s="7" t="s">
        <v>28</v>
      </c>
      <c r="F3" s="8">
        <v>26</v>
      </c>
      <c r="G3" s="68"/>
      <c r="H3" s="68"/>
      <c r="I3" s="68"/>
      <c r="J3" s="68"/>
      <c r="K3" s="8">
        <v>2.6950000000000002E-2</v>
      </c>
      <c r="L3" s="8">
        <f t="shared" ref="L3:L4" si="0">K3*F3</f>
        <v>0.7007000000000001</v>
      </c>
      <c r="AE3" s="10">
        <f>G3*0.6231765134938</f>
        <v>0</v>
      </c>
      <c r="AF3" s="10">
        <f>G3*(1-0.6231765134938)</f>
        <v>0</v>
      </c>
    </row>
    <row r="4" spans="1:32" ht="12.75" customHeight="1" x14ac:dyDescent="0.2">
      <c r="A4" s="7" t="s">
        <v>38</v>
      </c>
      <c r="B4" s="7" t="s">
        <v>39</v>
      </c>
      <c r="C4" s="7" t="s">
        <v>40</v>
      </c>
      <c r="D4" s="7" t="s">
        <v>27</v>
      </c>
      <c r="E4" s="7" t="s">
        <v>28</v>
      </c>
      <c r="F4" s="8">
        <v>4.5</v>
      </c>
      <c r="G4" s="68"/>
      <c r="H4" s="68"/>
      <c r="I4" s="68"/>
      <c r="J4" s="68"/>
      <c r="K4" s="8">
        <v>3.8899999999999997E-2</v>
      </c>
      <c r="L4" s="8">
        <f t="shared" si="0"/>
        <v>0.17504999999999998</v>
      </c>
      <c r="AE4" s="10">
        <f>G4*0.693281811117878</f>
        <v>0</v>
      </c>
      <c r="AF4" s="10">
        <f>G4*(1-0.693281811117878)</f>
        <v>0</v>
      </c>
    </row>
    <row r="5" spans="1:32" ht="12.75" customHeight="1" x14ac:dyDescent="0.2">
      <c r="A5" s="14" t="s">
        <v>17</v>
      </c>
      <c r="B5" s="14" t="s">
        <v>42</v>
      </c>
      <c r="C5" s="14" t="s">
        <v>43</v>
      </c>
      <c r="D5" s="14" t="s">
        <v>17</v>
      </c>
      <c r="E5" s="14" t="s">
        <v>17</v>
      </c>
      <c r="F5" s="16" t="s">
        <v>17</v>
      </c>
      <c r="G5" s="16" t="s">
        <v>17</v>
      </c>
      <c r="H5" s="16"/>
      <c r="I5" s="16"/>
      <c r="J5" s="16"/>
      <c r="K5" s="16" t="s">
        <v>17</v>
      </c>
      <c r="L5" s="18">
        <f>SUM(L6:L7)</f>
        <v>5.5112000000000005</v>
      </c>
    </row>
    <row r="6" spans="1:32" ht="12.75" customHeight="1" x14ac:dyDescent="0.2">
      <c r="A6" s="7" t="s">
        <v>48</v>
      </c>
      <c r="B6" s="7" t="s">
        <v>49</v>
      </c>
      <c r="C6" s="7" t="s">
        <v>50</v>
      </c>
      <c r="D6" s="7" t="s">
        <v>27</v>
      </c>
      <c r="E6" s="7" t="s">
        <v>28</v>
      </c>
      <c r="F6" s="8">
        <v>530</v>
      </c>
      <c r="G6" s="68"/>
      <c r="H6" s="68"/>
      <c r="I6" s="68"/>
      <c r="J6" s="68"/>
      <c r="K6" s="8">
        <v>1.038E-2</v>
      </c>
      <c r="L6" s="8">
        <f t="shared" ref="L6:L7" si="1">K6*F6</f>
        <v>5.5014000000000003</v>
      </c>
      <c r="AE6" s="10">
        <f>G6*0.277332660399975</f>
        <v>0</v>
      </c>
      <c r="AF6" s="10">
        <f>G6*(1-0.277332660399975)</f>
        <v>0</v>
      </c>
    </row>
    <row r="7" spans="1:32" ht="12.75" customHeight="1" x14ac:dyDescent="0.2">
      <c r="A7" s="7" t="s">
        <v>51</v>
      </c>
      <c r="B7" s="7" t="s">
        <v>52</v>
      </c>
      <c r="C7" s="7" t="s">
        <v>53</v>
      </c>
      <c r="D7" s="7" t="s">
        <v>27</v>
      </c>
      <c r="E7" s="7" t="s">
        <v>28</v>
      </c>
      <c r="F7" s="8">
        <v>980</v>
      </c>
      <c r="G7" s="68"/>
      <c r="H7" s="68"/>
      <c r="I7" s="68"/>
      <c r="J7" s="68"/>
      <c r="K7" s="8">
        <v>1.0000000000000001E-5</v>
      </c>
      <c r="L7" s="8">
        <f t="shared" si="1"/>
        <v>9.8000000000000014E-3</v>
      </c>
      <c r="AE7" s="10">
        <f>G7*0.5012</f>
        <v>0</v>
      </c>
      <c r="AF7" s="10">
        <f>G7*(1-0.5012)</f>
        <v>0</v>
      </c>
    </row>
    <row r="8" spans="1:32" ht="12.75" customHeight="1" x14ac:dyDescent="0.2">
      <c r="A8" s="14" t="s">
        <v>17</v>
      </c>
      <c r="B8" s="14" t="s">
        <v>55</v>
      </c>
      <c r="C8" s="14" t="s">
        <v>56</v>
      </c>
      <c r="D8" s="14" t="s">
        <v>17</v>
      </c>
      <c r="E8" s="14" t="s">
        <v>17</v>
      </c>
      <c r="F8" s="16" t="s">
        <v>17</v>
      </c>
      <c r="G8" s="16" t="s">
        <v>17</v>
      </c>
      <c r="H8" s="16"/>
      <c r="I8" s="16"/>
      <c r="J8" s="16"/>
      <c r="K8" s="16" t="s">
        <v>17</v>
      </c>
      <c r="L8" s="18">
        <f>SUM(L9:L13)</f>
        <v>0.14315</v>
      </c>
    </row>
    <row r="9" spans="1:32" ht="12.75" customHeight="1" x14ac:dyDescent="0.2">
      <c r="A9" s="7" t="s">
        <v>57</v>
      </c>
      <c r="B9" s="7" t="s">
        <v>58</v>
      </c>
      <c r="C9" s="7" t="s">
        <v>59</v>
      </c>
      <c r="D9" s="7" t="s">
        <v>60</v>
      </c>
      <c r="E9" s="7" t="s">
        <v>28</v>
      </c>
      <c r="F9" s="8">
        <v>7</v>
      </c>
      <c r="G9" s="68"/>
      <c r="H9" s="68"/>
      <c r="I9" s="68"/>
      <c r="J9" s="68"/>
      <c r="K9" s="8">
        <v>9.5E-4</v>
      </c>
      <c r="L9" s="8">
        <f t="shared" ref="L9:L13" si="2">K9*F9</f>
        <v>6.6499999999999997E-3</v>
      </c>
      <c r="AE9" s="10">
        <f>G9*0.072189135535102</f>
        <v>0</v>
      </c>
      <c r="AF9" s="10">
        <f>G9*(1-0.072189135535102)</f>
        <v>0</v>
      </c>
    </row>
    <row r="10" spans="1:32" ht="12.75" customHeight="1" x14ac:dyDescent="0.2">
      <c r="A10" s="7" t="s">
        <v>62</v>
      </c>
      <c r="B10" s="7" t="s">
        <v>63</v>
      </c>
      <c r="C10" s="7" t="s">
        <v>64</v>
      </c>
      <c r="D10" s="7" t="s">
        <v>65</v>
      </c>
      <c r="E10" s="7" t="s">
        <v>28</v>
      </c>
      <c r="F10" s="8">
        <v>7</v>
      </c>
      <c r="G10" s="68"/>
      <c r="H10" s="68"/>
      <c r="I10" s="68"/>
      <c r="J10" s="68"/>
      <c r="K10" s="8">
        <v>1E-3</v>
      </c>
      <c r="L10" s="8">
        <f t="shared" si="2"/>
        <v>7.0000000000000001E-3</v>
      </c>
      <c r="AE10" s="10">
        <f>G10*0.825248275862069</f>
        <v>0</v>
      </c>
      <c r="AF10" s="10">
        <f>G10*(1-0.825248275862069)</f>
        <v>0</v>
      </c>
    </row>
    <row r="11" spans="1:32" ht="12.75" customHeight="1" x14ac:dyDescent="0.2">
      <c r="A11" s="7" t="s">
        <v>66</v>
      </c>
      <c r="B11" s="7" t="s">
        <v>67</v>
      </c>
      <c r="C11" s="129" t="s">
        <v>285</v>
      </c>
      <c r="D11" s="7" t="s">
        <v>65</v>
      </c>
      <c r="E11" s="7" t="s">
        <v>28</v>
      </c>
      <c r="F11" s="8">
        <v>7</v>
      </c>
      <c r="G11" s="68"/>
      <c r="H11" s="68"/>
      <c r="I11" s="68"/>
      <c r="J11" s="68"/>
      <c r="K11" s="8">
        <v>1.651E-2</v>
      </c>
      <c r="L11" s="8">
        <f t="shared" si="2"/>
        <v>0.11557000000000001</v>
      </c>
      <c r="AE11" s="10">
        <f>G11*0.699406608226568</f>
        <v>0</v>
      </c>
      <c r="AF11" s="10">
        <f>G11*(1-0.699406608226568)</f>
        <v>0</v>
      </c>
    </row>
    <row r="12" spans="1:32" ht="12.75" customHeight="1" x14ac:dyDescent="0.2">
      <c r="A12" s="7" t="s">
        <v>69</v>
      </c>
      <c r="B12" s="7" t="s">
        <v>71</v>
      </c>
      <c r="C12" s="7" t="s">
        <v>72</v>
      </c>
      <c r="D12" s="7" t="s">
        <v>65</v>
      </c>
      <c r="E12" s="7" t="s">
        <v>28</v>
      </c>
      <c r="F12" s="8">
        <v>7</v>
      </c>
      <c r="G12" s="68"/>
      <c r="H12" s="68"/>
      <c r="I12" s="68"/>
      <c r="J12" s="68"/>
      <c r="K12" s="8">
        <v>1.99E-3</v>
      </c>
      <c r="L12" s="8">
        <f t="shared" si="2"/>
        <v>1.393E-2</v>
      </c>
      <c r="AE12" s="10">
        <f>G12*0.538545454545455</f>
        <v>0</v>
      </c>
      <c r="AF12" s="10">
        <f>G12*(1-0.538545454545455)</f>
        <v>0</v>
      </c>
    </row>
    <row r="13" spans="1:32" ht="12.75" customHeight="1" x14ac:dyDescent="0.2">
      <c r="A13" s="7" t="s">
        <v>75</v>
      </c>
      <c r="B13" s="7" t="s">
        <v>77</v>
      </c>
      <c r="C13" s="7" t="s">
        <v>78</v>
      </c>
      <c r="D13" s="7" t="s">
        <v>65</v>
      </c>
      <c r="E13" s="7" t="s">
        <v>28</v>
      </c>
      <c r="F13" s="8">
        <v>7</v>
      </c>
      <c r="G13" s="68"/>
      <c r="H13" s="68"/>
      <c r="I13" s="68"/>
      <c r="J13" s="68"/>
      <c r="K13" s="8">
        <v>0</v>
      </c>
      <c r="L13" s="8">
        <f t="shared" si="2"/>
        <v>0</v>
      </c>
      <c r="AE13" s="10">
        <f>G13*0.904441666666667</f>
        <v>0</v>
      </c>
      <c r="AF13" s="10">
        <f>G13*(1-0.904441666666667)</f>
        <v>0</v>
      </c>
    </row>
    <row r="14" spans="1:32" ht="12.75" customHeight="1" x14ac:dyDescent="0.2">
      <c r="A14" s="14" t="s">
        <v>17</v>
      </c>
      <c r="B14" s="14" t="s">
        <v>74</v>
      </c>
      <c r="C14" s="14" t="s">
        <v>76</v>
      </c>
      <c r="D14" s="14" t="s">
        <v>17</v>
      </c>
      <c r="E14" s="14" t="s">
        <v>17</v>
      </c>
      <c r="F14" s="16" t="s">
        <v>17</v>
      </c>
      <c r="G14" s="16" t="s">
        <v>17</v>
      </c>
      <c r="H14" s="16"/>
      <c r="I14" s="16"/>
      <c r="J14" s="16"/>
      <c r="K14" s="16" t="s">
        <v>17</v>
      </c>
      <c r="L14" s="18">
        <f>SUM(L15:L18)</f>
        <v>3.3443499999999995</v>
      </c>
    </row>
    <row r="15" spans="1:32" ht="12.75" customHeight="1" x14ac:dyDescent="0.2">
      <c r="A15" s="7" t="s">
        <v>97</v>
      </c>
      <c r="B15" s="7" t="s">
        <v>98</v>
      </c>
      <c r="C15" s="7" t="s">
        <v>99</v>
      </c>
      <c r="D15" s="7" t="s">
        <v>27</v>
      </c>
      <c r="E15" s="7" t="s">
        <v>28</v>
      </c>
      <c r="F15" s="8">
        <v>185</v>
      </c>
      <c r="G15" s="68"/>
      <c r="H15" s="68"/>
      <c r="I15" s="68"/>
      <c r="J15" s="68"/>
      <c r="K15" s="8">
        <v>1.695E-2</v>
      </c>
      <c r="L15" s="8">
        <f t="shared" ref="L15:L18" si="3">K15*F15</f>
        <v>3.1357499999999998</v>
      </c>
      <c r="AE15" s="10">
        <f>G15*0</f>
        <v>0</v>
      </c>
      <c r="AF15" s="10">
        <f>G15*(1-0)</f>
        <v>0</v>
      </c>
    </row>
    <row r="16" spans="1:32" ht="12.75" customHeight="1" x14ac:dyDescent="0.2">
      <c r="A16" s="7" t="s">
        <v>116</v>
      </c>
      <c r="B16" s="7" t="s">
        <v>98</v>
      </c>
      <c r="C16" s="7" t="s">
        <v>117</v>
      </c>
      <c r="D16" s="7" t="s">
        <v>27</v>
      </c>
      <c r="E16" s="7" t="s">
        <v>28</v>
      </c>
      <c r="F16" s="8">
        <v>12</v>
      </c>
      <c r="G16" s="68"/>
      <c r="H16" s="68"/>
      <c r="I16" s="68"/>
      <c r="J16" s="68"/>
      <c r="K16" s="8">
        <v>1.695E-2</v>
      </c>
      <c r="L16" s="8">
        <f t="shared" si="3"/>
        <v>0.2034</v>
      </c>
      <c r="AE16" s="10">
        <f>G16*0.737334732423924</f>
        <v>0</v>
      </c>
      <c r="AF16" s="10">
        <f>G16*(1-0.737334732423924)</f>
        <v>0</v>
      </c>
    </row>
    <row r="17" spans="1:32" ht="12.75" customHeight="1" x14ac:dyDescent="0.2">
      <c r="A17" s="7" t="s">
        <v>118</v>
      </c>
      <c r="B17" s="7" t="s">
        <v>119</v>
      </c>
      <c r="C17" s="7" t="s">
        <v>120</v>
      </c>
      <c r="D17" s="7" t="s">
        <v>27</v>
      </c>
      <c r="E17" s="7" t="s">
        <v>28</v>
      </c>
      <c r="F17" s="8">
        <v>8</v>
      </c>
      <c r="G17" s="68"/>
      <c r="H17" s="68"/>
      <c r="I17" s="68"/>
      <c r="J17" s="68"/>
      <c r="K17" s="8">
        <v>2.3000000000000001E-4</v>
      </c>
      <c r="L17" s="8">
        <f t="shared" si="3"/>
        <v>1.8400000000000001E-3</v>
      </c>
      <c r="AE17" s="10">
        <f>G17*0.046839552238806</f>
        <v>0</v>
      </c>
      <c r="AF17" s="10">
        <f>G17*(1-0.046839552238806)</f>
        <v>0</v>
      </c>
    </row>
    <row r="18" spans="1:32" ht="12.75" customHeight="1" x14ac:dyDescent="0.2">
      <c r="A18" s="7" t="s">
        <v>121</v>
      </c>
      <c r="B18" s="7" t="s">
        <v>122</v>
      </c>
      <c r="C18" s="7" t="s">
        <v>123</v>
      </c>
      <c r="D18" s="7" t="s">
        <v>65</v>
      </c>
      <c r="E18" s="7" t="s">
        <v>28</v>
      </c>
      <c r="F18" s="8">
        <v>12</v>
      </c>
      <c r="G18" s="68"/>
      <c r="H18" s="68"/>
      <c r="I18" s="68"/>
      <c r="J18" s="68"/>
      <c r="K18" s="8">
        <v>2.7999999999999998E-4</v>
      </c>
      <c r="L18" s="8">
        <f t="shared" si="3"/>
        <v>3.3599999999999997E-3</v>
      </c>
      <c r="AE18" s="10">
        <f>G18*0.653755005311759</f>
        <v>0</v>
      </c>
      <c r="AF18" s="10">
        <f>G18*(1-0.653755005311759)</f>
        <v>0</v>
      </c>
    </row>
    <row r="19" spans="1:32" ht="12.75" customHeight="1" x14ac:dyDescent="0.2">
      <c r="A19" s="14" t="s">
        <v>17</v>
      </c>
      <c r="B19" s="14" t="s">
        <v>79</v>
      </c>
      <c r="C19" s="14" t="s">
        <v>80</v>
      </c>
      <c r="D19" s="14" t="s">
        <v>17</v>
      </c>
      <c r="E19" s="14" t="s">
        <v>17</v>
      </c>
      <c r="F19" s="16" t="s">
        <v>17</v>
      </c>
      <c r="G19" s="16" t="s">
        <v>17</v>
      </c>
      <c r="H19" s="16"/>
      <c r="I19" s="16"/>
      <c r="J19" s="16"/>
      <c r="K19" s="16" t="s">
        <v>17</v>
      </c>
      <c r="L19" s="18">
        <f>SUM(L20:L24)</f>
        <v>0.16153000000000001</v>
      </c>
    </row>
    <row r="20" spans="1:32" ht="12.75" customHeight="1" x14ac:dyDescent="0.2">
      <c r="A20" s="7" t="s">
        <v>125</v>
      </c>
      <c r="B20" s="7" t="s">
        <v>126</v>
      </c>
      <c r="C20" s="7" t="s">
        <v>127</v>
      </c>
      <c r="D20" s="7" t="s">
        <v>27</v>
      </c>
      <c r="E20" s="7" t="s">
        <v>28</v>
      </c>
      <c r="F20" s="8">
        <v>185</v>
      </c>
      <c r="G20" s="68"/>
      <c r="H20" s="68"/>
      <c r="I20" s="68"/>
      <c r="J20" s="68"/>
      <c r="K20" s="8">
        <v>1.0000000000000001E-5</v>
      </c>
      <c r="L20" s="8">
        <f t="shared" ref="L20:L24" si="4">K20*F20</f>
        <v>1.8500000000000001E-3</v>
      </c>
      <c r="AE20" s="10">
        <f>G20*0.102810810810811</f>
        <v>0</v>
      </c>
      <c r="AF20" s="10">
        <f>G20*(1-0.102810810810811)</f>
        <v>0</v>
      </c>
    </row>
    <row r="21" spans="1:32" ht="12.75" customHeight="1" x14ac:dyDescent="0.2">
      <c r="A21" s="7" t="s">
        <v>128</v>
      </c>
      <c r="B21" s="7" t="s">
        <v>129</v>
      </c>
      <c r="C21" s="7" t="s">
        <v>130</v>
      </c>
      <c r="D21" s="7" t="s">
        <v>27</v>
      </c>
      <c r="E21" s="7" t="s">
        <v>28</v>
      </c>
      <c r="F21" s="8">
        <v>185</v>
      </c>
      <c r="G21" s="68"/>
      <c r="H21" s="68"/>
      <c r="I21" s="68"/>
      <c r="J21" s="68"/>
      <c r="K21" s="8">
        <v>4.8999999999999998E-4</v>
      </c>
      <c r="L21" s="8">
        <f t="shared" si="4"/>
        <v>9.0649999999999994E-2</v>
      </c>
      <c r="AE21" s="10">
        <f>G21*0.739862068965517</f>
        <v>0</v>
      </c>
      <c r="AF21" s="10">
        <f>G21*(1-0.739862068965517)</f>
        <v>0</v>
      </c>
    </row>
    <row r="22" spans="1:32" ht="12.75" customHeight="1" x14ac:dyDescent="0.2">
      <c r="A22" s="7" t="s">
        <v>131</v>
      </c>
      <c r="B22" s="7" t="s">
        <v>132</v>
      </c>
      <c r="C22" s="7" t="s">
        <v>133</v>
      </c>
      <c r="D22" s="7" t="s">
        <v>27</v>
      </c>
      <c r="E22" s="7" t="s">
        <v>28</v>
      </c>
      <c r="F22" s="8">
        <v>63</v>
      </c>
      <c r="G22" s="68"/>
      <c r="H22" s="68"/>
      <c r="I22" s="68"/>
      <c r="J22" s="68"/>
      <c r="K22" s="8">
        <v>3.8000000000000002E-4</v>
      </c>
      <c r="L22" s="8">
        <f t="shared" si="4"/>
        <v>2.3940000000000003E-2</v>
      </c>
      <c r="AE22" s="10">
        <f>G22*0.450690909090909</f>
        <v>0</v>
      </c>
      <c r="AF22" s="10">
        <f>G22*(1-0.450690909090909)</f>
        <v>0</v>
      </c>
    </row>
    <row r="23" spans="1:32" ht="12.75" customHeight="1" x14ac:dyDescent="0.2">
      <c r="A23" s="7" t="s">
        <v>135</v>
      </c>
      <c r="B23" s="7" t="s">
        <v>136</v>
      </c>
      <c r="C23" s="7" t="s">
        <v>137</v>
      </c>
      <c r="D23" s="7" t="s">
        <v>138</v>
      </c>
      <c r="E23" s="7" t="s">
        <v>28</v>
      </c>
      <c r="F23" s="8">
        <v>45</v>
      </c>
      <c r="G23" s="68"/>
      <c r="H23" s="68"/>
      <c r="I23" s="68"/>
      <c r="J23" s="68"/>
      <c r="K23" s="8">
        <v>5.6999999999999998E-4</v>
      </c>
      <c r="L23" s="8">
        <f t="shared" si="4"/>
        <v>2.5649999999999999E-2</v>
      </c>
      <c r="AE23" s="10">
        <f>G23*0.360348109872178</f>
        <v>0</v>
      </c>
      <c r="AF23" s="10">
        <f>G23*(1-0.360348109872178)</f>
        <v>0</v>
      </c>
    </row>
    <row r="24" spans="1:32" ht="12.75" customHeight="1" x14ac:dyDescent="0.2">
      <c r="A24" s="7" t="s">
        <v>139</v>
      </c>
      <c r="B24" s="7" t="s">
        <v>140</v>
      </c>
      <c r="C24" s="7" t="s">
        <v>141</v>
      </c>
      <c r="D24" s="7" t="s">
        <v>138</v>
      </c>
      <c r="E24" s="7" t="s">
        <v>28</v>
      </c>
      <c r="F24" s="8">
        <v>72</v>
      </c>
      <c r="G24" s="68"/>
      <c r="H24" s="68"/>
      <c r="I24" s="68"/>
      <c r="J24" s="68"/>
      <c r="K24" s="8">
        <v>2.7E-4</v>
      </c>
      <c r="L24" s="8">
        <f t="shared" si="4"/>
        <v>1.9439999999999999E-2</v>
      </c>
      <c r="AE24" s="10">
        <f>G24*0.792619926199262</f>
        <v>0</v>
      </c>
      <c r="AF24" s="10">
        <f>G24*(1-0.792619926199262)</f>
        <v>0</v>
      </c>
    </row>
    <row r="25" spans="1:32" ht="12.75" customHeight="1" x14ac:dyDescent="0.2">
      <c r="A25" s="14" t="s">
        <v>17</v>
      </c>
      <c r="B25" s="14" t="s">
        <v>82</v>
      </c>
      <c r="C25" s="14" t="s">
        <v>83</v>
      </c>
      <c r="D25" s="14" t="s">
        <v>17</v>
      </c>
      <c r="E25" s="14" t="s">
        <v>17</v>
      </c>
      <c r="F25" s="16" t="s">
        <v>17</v>
      </c>
      <c r="G25" s="16" t="s">
        <v>17</v>
      </c>
      <c r="H25" s="16"/>
      <c r="I25" s="16"/>
      <c r="J25" s="16"/>
      <c r="K25" s="16" t="s">
        <v>17</v>
      </c>
      <c r="L25" s="18">
        <f>SUM(L26:L32)</f>
        <v>2.4792000000000001</v>
      </c>
    </row>
    <row r="26" spans="1:32" ht="12.75" customHeight="1" x14ac:dyDescent="0.2">
      <c r="A26" s="7" t="s">
        <v>145</v>
      </c>
      <c r="B26" s="7" t="s">
        <v>146</v>
      </c>
      <c r="C26" s="7" t="s">
        <v>147</v>
      </c>
      <c r="D26" s="7" t="s">
        <v>27</v>
      </c>
      <c r="E26" s="7" t="s">
        <v>28</v>
      </c>
      <c r="F26" s="8">
        <v>345</v>
      </c>
      <c r="G26" s="68"/>
      <c r="H26" s="68"/>
      <c r="I26" s="68"/>
      <c r="J26" s="68"/>
      <c r="K26" s="8">
        <v>2.7799999999999999E-3</v>
      </c>
      <c r="L26" s="8">
        <f t="shared" ref="L26:L32" si="5">K26*F26</f>
        <v>0.95909999999999995</v>
      </c>
      <c r="AE26" s="10">
        <f>G26*0.408466666666667</f>
        <v>0</v>
      </c>
      <c r="AF26" s="10">
        <f>G26*(1-0.408466666666667)</f>
        <v>0</v>
      </c>
    </row>
    <row r="27" spans="1:32" ht="12.75" customHeight="1" x14ac:dyDescent="0.2">
      <c r="A27" s="7" t="s">
        <v>148</v>
      </c>
      <c r="B27" s="7" t="s">
        <v>149</v>
      </c>
      <c r="C27" s="7" t="s">
        <v>150</v>
      </c>
      <c r="D27" s="7" t="s">
        <v>65</v>
      </c>
      <c r="E27" s="7" t="s">
        <v>28</v>
      </c>
      <c r="F27" s="8">
        <v>8</v>
      </c>
      <c r="G27" s="68"/>
      <c r="H27" s="68"/>
      <c r="I27" s="68"/>
      <c r="J27" s="68"/>
      <c r="K27" s="8">
        <v>0</v>
      </c>
      <c r="L27" s="8">
        <f t="shared" si="5"/>
        <v>0</v>
      </c>
      <c r="AE27" s="10">
        <f t="shared" ref="AE27:AE28" si="6">G27*0</f>
        <v>0</v>
      </c>
      <c r="AF27" s="10">
        <f t="shared" ref="AF27:AF28" si="7">G27*(1-0)</f>
        <v>0</v>
      </c>
    </row>
    <row r="28" spans="1:32" ht="12.75" customHeight="1" x14ac:dyDescent="0.2">
      <c r="A28" s="7" t="s">
        <v>28</v>
      </c>
      <c r="B28" s="7" t="s">
        <v>151</v>
      </c>
      <c r="C28" s="7" t="s">
        <v>152</v>
      </c>
      <c r="D28" s="7" t="s">
        <v>27</v>
      </c>
      <c r="E28" s="7" t="s">
        <v>28</v>
      </c>
      <c r="F28" s="8">
        <v>345</v>
      </c>
      <c r="G28" s="68"/>
      <c r="H28" s="68"/>
      <c r="I28" s="68"/>
      <c r="J28" s="68"/>
      <c r="K28" s="8">
        <v>1E-3</v>
      </c>
      <c r="L28" s="8">
        <f t="shared" si="5"/>
        <v>0.34500000000000003</v>
      </c>
      <c r="AE28" s="10">
        <f t="shared" si="6"/>
        <v>0</v>
      </c>
      <c r="AF28" s="10">
        <f t="shared" si="7"/>
        <v>0</v>
      </c>
    </row>
    <row r="29" spans="1:32" ht="12.75" customHeight="1" x14ac:dyDescent="0.2">
      <c r="A29" s="7" t="s">
        <v>153</v>
      </c>
      <c r="B29" s="7" t="s">
        <v>154</v>
      </c>
      <c r="C29" s="7" t="s">
        <v>155</v>
      </c>
      <c r="D29" s="7" t="s">
        <v>27</v>
      </c>
      <c r="E29" s="7" t="s">
        <v>28</v>
      </c>
      <c r="F29" s="8">
        <v>345</v>
      </c>
      <c r="G29" s="68"/>
      <c r="H29" s="68"/>
      <c r="I29" s="68"/>
      <c r="J29" s="68"/>
      <c r="K29" s="8">
        <v>0</v>
      </c>
      <c r="L29" s="8">
        <f t="shared" si="5"/>
        <v>0</v>
      </c>
      <c r="AE29" s="10">
        <f>G29*0.369959304476508</f>
        <v>0</v>
      </c>
      <c r="AF29" s="10">
        <f>G29*(1-0.369959304476508)</f>
        <v>0</v>
      </c>
    </row>
    <row r="30" spans="1:32" ht="12.75" customHeight="1" x14ac:dyDescent="0.2">
      <c r="A30" s="7" t="s">
        <v>156</v>
      </c>
      <c r="B30" s="7" t="s">
        <v>146</v>
      </c>
      <c r="C30" s="129" t="s">
        <v>289</v>
      </c>
      <c r="D30" s="7" t="s">
        <v>27</v>
      </c>
      <c r="E30" s="7" t="s">
        <v>28</v>
      </c>
      <c r="F30" s="8">
        <v>345</v>
      </c>
      <c r="G30" s="68"/>
      <c r="H30" s="68"/>
      <c r="I30" s="68"/>
      <c r="J30" s="68"/>
      <c r="K30" s="8">
        <v>2.7799999999999999E-3</v>
      </c>
      <c r="L30" s="8">
        <f t="shared" si="5"/>
        <v>0.95909999999999995</v>
      </c>
      <c r="AE30" s="10">
        <f>G30*0.729504709814646</f>
        <v>0</v>
      </c>
      <c r="AF30" s="10">
        <f>G30*(1-0.729504709814646)</f>
        <v>0</v>
      </c>
    </row>
    <row r="31" spans="1:32" ht="12.75" customHeight="1" x14ac:dyDescent="0.2">
      <c r="A31" s="7" t="s">
        <v>158</v>
      </c>
      <c r="B31" s="7" t="s">
        <v>159</v>
      </c>
      <c r="C31" s="7" t="s">
        <v>160</v>
      </c>
      <c r="D31" s="7" t="s">
        <v>138</v>
      </c>
      <c r="E31" s="7" t="s">
        <v>28</v>
      </c>
      <c r="F31" s="8">
        <v>15</v>
      </c>
      <c r="G31" s="68"/>
      <c r="H31" s="68"/>
      <c r="I31" s="68"/>
      <c r="J31" s="68"/>
      <c r="K31" s="8">
        <v>0</v>
      </c>
      <c r="L31" s="8">
        <f t="shared" si="5"/>
        <v>0</v>
      </c>
      <c r="AE31" s="10">
        <f>G31*0.296894483700493</f>
        <v>0</v>
      </c>
      <c r="AF31" s="10">
        <f>G31*(1-0.296894483700493)</f>
        <v>0</v>
      </c>
    </row>
    <row r="32" spans="1:32" ht="12.75" customHeight="1" x14ac:dyDescent="0.2">
      <c r="A32" s="7" t="s">
        <v>161</v>
      </c>
      <c r="B32" s="7" t="s">
        <v>162</v>
      </c>
      <c r="C32" s="129" t="s">
        <v>287</v>
      </c>
      <c r="D32" s="7" t="s">
        <v>27</v>
      </c>
      <c r="E32" s="7" t="s">
        <v>28</v>
      </c>
      <c r="F32" s="8">
        <v>72</v>
      </c>
      <c r="G32" s="68"/>
      <c r="H32" s="68"/>
      <c r="I32" s="68"/>
      <c r="J32" s="68"/>
      <c r="K32" s="8">
        <v>3.0000000000000001E-3</v>
      </c>
      <c r="L32" s="8">
        <f t="shared" si="5"/>
        <v>0.216</v>
      </c>
      <c r="AE32" s="10">
        <f>G32*0.667109090909091</f>
        <v>0</v>
      </c>
      <c r="AF32" s="10">
        <f>G32*(1-0.667109090909091)</f>
        <v>0</v>
      </c>
    </row>
    <row r="33" spans="1:32" ht="12.75" customHeight="1" x14ac:dyDescent="0.2">
      <c r="A33" s="14" t="s">
        <v>17</v>
      </c>
      <c r="B33" s="14" t="s">
        <v>84</v>
      </c>
      <c r="C33" s="14" t="s">
        <v>85</v>
      </c>
      <c r="D33" s="14" t="s">
        <v>17</v>
      </c>
      <c r="E33" s="14" t="s">
        <v>17</v>
      </c>
      <c r="F33" s="16" t="s">
        <v>17</v>
      </c>
      <c r="G33" s="16" t="s">
        <v>17</v>
      </c>
      <c r="H33" s="16"/>
      <c r="I33" s="16"/>
      <c r="J33" s="16"/>
      <c r="K33" s="16" t="s">
        <v>17</v>
      </c>
      <c r="L33" s="18">
        <f>SUM(L34:L37)</f>
        <v>3.6270000000000002</v>
      </c>
    </row>
    <row r="34" spans="1:32" ht="12.75" customHeight="1" x14ac:dyDescent="0.2">
      <c r="A34" s="7" t="s">
        <v>163</v>
      </c>
      <c r="B34" s="7" t="s">
        <v>164</v>
      </c>
      <c r="C34" s="7" t="s">
        <v>165</v>
      </c>
      <c r="D34" s="7" t="s">
        <v>27</v>
      </c>
      <c r="E34" s="7" t="s">
        <v>28</v>
      </c>
      <c r="F34" s="8">
        <v>65</v>
      </c>
      <c r="G34" s="68"/>
      <c r="H34" s="68"/>
      <c r="I34" s="68"/>
      <c r="J34" s="68"/>
      <c r="K34" s="8">
        <v>0</v>
      </c>
      <c r="L34" s="8">
        <f t="shared" ref="L34:L37" si="8">K34*F34</f>
        <v>0</v>
      </c>
      <c r="AE34" s="10">
        <f>G34*0.418604651162791</f>
        <v>0</v>
      </c>
      <c r="AF34" s="10">
        <f>G34*(1-0.418604651162791)</f>
        <v>0</v>
      </c>
    </row>
    <row r="35" spans="1:32" ht="12.75" customHeight="1" x14ac:dyDescent="0.2">
      <c r="A35" s="7" t="s">
        <v>166</v>
      </c>
      <c r="B35" s="7" t="s">
        <v>167</v>
      </c>
      <c r="C35" s="7" t="s">
        <v>168</v>
      </c>
      <c r="D35" s="7" t="s">
        <v>169</v>
      </c>
      <c r="E35" s="7" t="s">
        <v>28</v>
      </c>
      <c r="F35" s="8">
        <v>65</v>
      </c>
      <c r="G35" s="68"/>
      <c r="H35" s="68"/>
      <c r="I35" s="68"/>
      <c r="J35" s="68"/>
      <c r="K35" s="8">
        <v>0</v>
      </c>
      <c r="L35" s="8">
        <f t="shared" si="8"/>
        <v>0</v>
      </c>
      <c r="AE35" s="10">
        <f>G35*0</f>
        <v>0</v>
      </c>
      <c r="AF35" s="10">
        <f>G35*(1-0)</f>
        <v>0</v>
      </c>
    </row>
    <row r="36" spans="1:32" ht="12.75" customHeight="1" x14ac:dyDescent="0.2">
      <c r="A36" s="7" t="s">
        <v>171</v>
      </c>
      <c r="B36" s="7" t="s">
        <v>172</v>
      </c>
      <c r="C36" s="7" t="s">
        <v>173</v>
      </c>
      <c r="D36" s="7" t="s">
        <v>27</v>
      </c>
      <c r="E36" s="7" t="s">
        <v>28</v>
      </c>
      <c r="F36" s="8">
        <v>65</v>
      </c>
      <c r="G36" s="68"/>
      <c r="H36" s="68"/>
      <c r="I36" s="68"/>
      <c r="J36" s="68"/>
      <c r="K36" s="8">
        <v>5.5800000000000002E-2</v>
      </c>
      <c r="L36" s="8">
        <f t="shared" si="8"/>
        <v>3.6270000000000002</v>
      </c>
      <c r="AE36" s="10">
        <f>G36*0.104684684684685</f>
        <v>0</v>
      </c>
      <c r="AF36" s="10">
        <f>G36*(1-0.104684684684685)</f>
        <v>0</v>
      </c>
    </row>
    <row r="37" spans="1:32" ht="12.75" customHeight="1" x14ac:dyDescent="0.2">
      <c r="A37" s="7" t="s">
        <v>176</v>
      </c>
      <c r="B37" s="7" t="s">
        <v>177</v>
      </c>
      <c r="C37" s="7" t="s">
        <v>178</v>
      </c>
      <c r="D37" s="7" t="s">
        <v>27</v>
      </c>
      <c r="E37" s="7" t="s">
        <v>28</v>
      </c>
      <c r="F37" s="8">
        <v>89</v>
      </c>
      <c r="G37" s="68"/>
      <c r="H37" s="68"/>
      <c r="I37" s="68"/>
      <c r="J37" s="68"/>
      <c r="K37" s="8">
        <v>0</v>
      </c>
      <c r="L37" s="8">
        <f t="shared" si="8"/>
        <v>0</v>
      </c>
      <c r="AE37" s="10">
        <f>G37*0</f>
        <v>0</v>
      </c>
      <c r="AF37" s="10">
        <f>G37*(1-0)</f>
        <v>0</v>
      </c>
    </row>
    <row r="38" spans="1:32" ht="12.75" customHeight="1" x14ac:dyDescent="0.2">
      <c r="A38" s="14" t="s">
        <v>17</v>
      </c>
      <c r="B38" s="14" t="s">
        <v>87</v>
      </c>
      <c r="C38" s="14" t="s">
        <v>88</v>
      </c>
      <c r="D38" s="14" t="s">
        <v>17</v>
      </c>
      <c r="E38" s="14" t="s">
        <v>17</v>
      </c>
      <c r="F38" s="16" t="s">
        <v>17</v>
      </c>
      <c r="G38" s="16" t="s">
        <v>17</v>
      </c>
      <c r="H38" s="16"/>
      <c r="I38" s="16"/>
      <c r="J38" s="16"/>
      <c r="K38" s="16" t="s">
        <v>17</v>
      </c>
      <c r="L38" s="18">
        <f>SUM(L39)</f>
        <v>6.1200000000000004E-2</v>
      </c>
    </row>
    <row r="39" spans="1:32" ht="12.75" customHeight="1" x14ac:dyDescent="0.2">
      <c r="A39" s="7" t="s">
        <v>179</v>
      </c>
      <c r="B39" s="7" t="s">
        <v>180</v>
      </c>
      <c r="C39" s="7" t="s">
        <v>181</v>
      </c>
      <c r="D39" s="7" t="s">
        <v>27</v>
      </c>
      <c r="E39" s="7" t="s">
        <v>28</v>
      </c>
      <c r="F39" s="8">
        <v>85</v>
      </c>
      <c r="G39" s="68"/>
      <c r="H39" s="68"/>
      <c r="I39" s="68"/>
      <c r="J39" s="68"/>
      <c r="K39" s="8">
        <v>7.2000000000000005E-4</v>
      </c>
      <c r="L39" s="8">
        <f>K39*F39</f>
        <v>6.1200000000000004E-2</v>
      </c>
      <c r="AE39" s="10">
        <f>G39*0.644392156862745</f>
        <v>0</v>
      </c>
      <c r="AF39" s="10">
        <f>G39*(1-0.644392156862745)</f>
        <v>0</v>
      </c>
    </row>
    <row r="40" spans="1:32" ht="12.75" customHeight="1" x14ac:dyDescent="0.2">
      <c r="A40" s="14" t="s">
        <v>17</v>
      </c>
      <c r="B40" s="14" t="s">
        <v>90</v>
      </c>
      <c r="C40" s="14" t="s">
        <v>91</v>
      </c>
      <c r="D40" s="14" t="s">
        <v>17</v>
      </c>
      <c r="E40" s="14" t="s">
        <v>17</v>
      </c>
      <c r="F40" s="16" t="s">
        <v>17</v>
      </c>
      <c r="G40" s="16" t="s">
        <v>17</v>
      </c>
      <c r="H40" s="16"/>
      <c r="I40" s="16"/>
      <c r="J40" s="16"/>
      <c r="K40" s="16" t="s">
        <v>17</v>
      </c>
      <c r="L40" s="18">
        <f>SUM(L41:L43)</f>
        <v>0.72430000000000005</v>
      </c>
    </row>
    <row r="41" spans="1:32" ht="12.75" customHeight="1" x14ac:dyDescent="0.2">
      <c r="A41" s="7" t="s">
        <v>182</v>
      </c>
      <c r="B41" s="7" t="s">
        <v>183</v>
      </c>
      <c r="C41" s="7" t="s">
        <v>184</v>
      </c>
      <c r="D41" s="7" t="s">
        <v>27</v>
      </c>
      <c r="E41" s="7" t="s">
        <v>28</v>
      </c>
      <c r="F41" s="8">
        <v>450</v>
      </c>
      <c r="G41" s="68"/>
      <c r="H41" s="68"/>
      <c r="I41" s="68"/>
      <c r="J41" s="68"/>
      <c r="K41" s="8">
        <v>1.9000000000000001E-4</v>
      </c>
      <c r="L41" s="8">
        <f t="shared" ref="L41:L43" si="9">K41*F41</f>
        <v>8.5500000000000007E-2</v>
      </c>
      <c r="AE41" s="10">
        <f>G41*0.691545454545455</f>
        <v>0</v>
      </c>
      <c r="AF41" s="10">
        <f>G41*(1-0.691545454545455)</f>
        <v>0</v>
      </c>
    </row>
    <row r="42" spans="1:32" ht="12.75" customHeight="1" x14ac:dyDescent="0.2">
      <c r="A42" s="7" t="s">
        <v>186</v>
      </c>
      <c r="B42" s="7" t="s">
        <v>187</v>
      </c>
      <c r="C42" s="7" t="s">
        <v>188</v>
      </c>
      <c r="D42" s="7" t="s">
        <v>27</v>
      </c>
      <c r="E42" s="7" t="s">
        <v>28</v>
      </c>
      <c r="F42" s="8">
        <v>980</v>
      </c>
      <c r="G42" s="68"/>
      <c r="H42" s="68"/>
      <c r="I42" s="68"/>
      <c r="J42" s="68"/>
      <c r="K42" s="8">
        <v>3.6000000000000002E-4</v>
      </c>
      <c r="L42" s="8">
        <f t="shared" si="9"/>
        <v>0.3528</v>
      </c>
      <c r="AE42" s="10">
        <f>G42*0.182333333333333</f>
        <v>0</v>
      </c>
      <c r="AF42" s="10">
        <f>G42*(1-0.182333333333333)</f>
        <v>0</v>
      </c>
    </row>
    <row r="43" spans="1:32" ht="12.75" customHeight="1" x14ac:dyDescent="0.2">
      <c r="A43" s="7" t="s">
        <v>189</v>
      </c>
      <c r="B43" s="7" t="s">
        <v>190</v>
      </c>
      <c r="C43" s="7" t="s">
        <v>191</v>
      </c>
      <c r="D43" s="7" t="s">
        <v>27</v>
      </c>
      <c r="E43" s="7" t="s">
        <v>28</v>
      </c>
      <c r="F43" s="8">
        <v>1430</v>
      </c>
      <c r="G43" s="68"/>
      <c r="H43" s="68"/>
      <c r="I43" s="68"/>
      <c r="J43" s="68"/>
      <c r="K43" s="8">
        <v>2.0000000000000001E-4</v>
      </c>
      <c r="L43" s="8">
        <f t="shared" si="9"/>
        <v>0.28600000000000003</v>
      </c>
      <c r="AE43" s="10">
        <f>G43*0.665464086585766</f>
        <v>0</v>
      </c>
      <c r="AF43" s="10">
        <f>G43*(1-0.665464086585766)</f>
        <v>0</v>
      </c>
    </row>
    <row r="44" spans="1:32" ht="12.75" customHeight="1" x14ac:dyDescent="0.2">
      <c r="A44" s="14" t="s">
        <v>17</v>
      </c>
      <c r="B44" s="14" t="s">
        <v>92</v>
      </c>
      <c r="C44" s="14" t="s">
        <v>93</v>
      </c>
      <c r="D44" s="14" t="s">
        <v>17</v>
      </c>
      <c r="E44" s="14" t="s">
        <v>17</v>
      </c>
      <c r="F44" s="16" t="s">
        <v>17</v>
      </c>
      <c r="G44" s="16" t="s">
        <v>17</v>
      </c>
      <c r="H44" s="16"/>
      <c r="I44" s="16"/>
      <c r="J44" s="16"/>
      <c r="K44" s="16" t="s">
        <v>17</v>
      </c>
      <c r="L44" s="18">
        <f>SUM(L45)</f>
        <v>0</v>
      </c>
    </row>
    <row r="45" spans="1:32" ht="12.75" customHeight="1" x14ac:dyDescent="0.2">
      <c r="A45" s="7" t="s">
        <v>19</v>
      </c>
      <c r="B45" s="7" t="s">
        <v>192</v>
      </c>
      <c r="C45" s="7" t="s">
        <v>193</v>
      </c>
      <c r="D45" s="7" t="s">
        <v>194</v>
      </c>
      <c r="E45" s="7" t="s">
        <v>28</v>
      </c>
      <c r="F45" s="8">
        <v>178</v>
      </c>
      <c r="G45" s="68"/>
      <c r="H45" s="68"/>
      <c r="I45" s="68"/>
      <c r="J45" s="68"/>
      <c r="K45" s="8">
        <v>0</v>
      </c>
      <c r="L45" s="8">
        <f>K45*F45</f>
        <v>0</v>
      </c>
      <c r="AE45" s="10">
        <f>G45*0</f>
        <v>0</v>
      </c>
      <c r="AF45" s="10">
        <f>G45*(1-0)</f>
        <v>0</v>
      </c>
    </row>
    <row r="46" spans="1:32" ht="12.75" customHeight="1" x14ac:dyDescent="0.2">
      <c r="A46" s="14" t="s">
        <v>17</v>
      </c>
      <c r="B46" s="14" t="s">
        <v>95</v>
      </c>
      <c r="C46" s="14" t="s">
        <v>96</v>
      </c>
      <c r="D46" s="14" t="s">
        <v>17</v>
      </c>
      <c r="E46" s="14" t="s">
        <v>17</v>
      </c>
      <c r="F46" s="16" t="s">
        <v>17</v>
      </c>
      <c r="G46" s="16" t="s">
        <v>17</v>
      </c>
      <c r="H46" s="16"/>
      <c r="I46" s="16"/>
      <c r="J46" s="16"/>
      <c r="K46" s="16" t="s">
        <v>17</v>
      </c>
      <c r="L46" s="18">
        <f>SUM(L47)</f>
        <v>0.39324999999999999</v>
      </c>
    </row>
    <row r="47" spans="1:32" ht="12.75" customHeight="1" x14ac:dyDescent="0.2">
      <c r="A47" s="7" t="s">
        <v>195</v>
      </c>
      <c r="B47" s="7" t="s">
        <v>196</v>
      </c>
      <c r="C47" s="7" t="s">
        <v>197</v>
      </c>
      <c r="D47" s="7" t="s">
        <v>27</v>
      </c>
      <c r="E47" s="7" t="s">
        <v>28</v>
      </c>
      <c r="F47" s="8">
        <v>325</v>
      </c>
      <c r="G47" s="68"/>
      <c r="H47" s="68"/>
      <c r="I47" s="68"/>
      <c r="J47" s="68"/>
      <c r="K47" s="8">
        <v>1.2099999999999999E-3</v>
      </c>
      <c r="L47" s="8">
        <f>K47*F47</f>
        <v>0.39324999999999999</v>
      </c>
      <c r="AE47" s="10">
        <f>G47*0.297539922313336</f>
        <v>0</v>
      </c>
      <c r="AF47" s="10">
        <f>G47*(1-0.297539922313336)</f>
        <v>0</v>
      </c>
    </row>
    <row r="48" spans="1:32" ht="12.75" customHeight="1" x14ac:dyDescent="0.2">
      <c r="A48" s="14" t="s">
        <v>17</v>
      </c>
      <c r="B48" s="14" t="s">
        <v>100</v>
      </c>
      <c r="C48" s="14" t="s">
        <v>101</v>
      </c>
      <c r="D48" s="14" t="s">
        <v>17</v>
      </c>
      <c r="E48" s="14" t="s">
        <v>17</v>
      </c>
      <c r="F48" s="16" t="s">
        <v>17</v>
      </c>
      <c r="G48" s="16" t="s">
        <v>17</v>
      </c>
      <c r="H48" s="16"/>
      <c r="I48" s="16"/>
      <c r="J48" s="16"/>
      <c r="K48" s="16" t="s">
        <v>17</v>
      </c>
      <c r="L48" s="18">
        <f>SUM(L49:L50)</f>
        <v>0</v>
      </c>
    </row>
    <row r="49" spans="1:32" ht="12.75" customHeight="1" x14ac:dyDescent="0.2">
      <c r="A49" s="7" t="s">
        <v>198</v>
      </c>
      <c r="B49" s="7" t="s">
        <v>199</v>
      </c>
      <c r="C49" s="7" t="s">
        <v>200</v>
      </c>
      <c r="D49" s="7" t="s">
        <v>60</v>
      </c>
      <c r="E49" s="7" t="s">
        <v>28</v>
      </c>
      <c r="F49" s="8">
        <v>1</v>
      </c>
      <c r="G49" s="68"/>
      <c r="H49" s="68"/>
      <c r="I49" s="68"/>
      <c r="J49" s="68"/>
      <c r="K49" s="8">
        <v>0</v>
      </c>
      <c r="L49" s="8">
        <f t="shared" ref="L49:L50" si="10">K49*F49</f>
        <v>0</v>
      </c>
      <c r="AE49" s="10">
        <f>G49*0.439322754685469</f>
        <v>0</v>
      </c>
      <c r="AF49" s="10">
        <f>G49*(1-0.439322754685469)</f>
        <v>0</v>
      </c>
    </row>
    <row r="50" spans="1:32" ht="12.75" customHeight="1" x14ac:dyDescent="0.2">
      <c r="A50" s="7" t="s">
        <v>201</v>
      </c>
      <c r="B50" s="7" t="s">
        <v>202</v>
      </c>
      <c r="C50" s="7" t="s">
        <v>203</v>
      </c>
      <c r="D50" s="7" t="s">
        <v>204</v>
      </c>
      <c r="E50" s="7" t="s">
        <v>28</v>
      </c>
      <c r="F50" s="8">
        <v>12.6</v>
      </c>
      <c r="G50" s="68"/>
      <c r="H50" s="68"/>
      <c r="I50" s="68"/>
      <c r="J50" s="68"/>
      <c r="K50" s="8">
        <v>0</v>
      </c>
      <c r="L50" s="8">
        <f t="shared" si="10"/>
        <v>0</v>
      </c>
      <c r="AE50" s="10">
        <f>G50*0</f>
        <v>0</v>
      </c>
      <c r="AF50" s="10">
        <f>G50*(1-0)</f>
        <v>0</v>
      </c>
    </row>
    <row r="51" spans="1:32" ht="12.75" customHeight="1" x14ac:dyDescent="0.2">
      <c r="A51" s="14" t="s">
        <v>17</v>
      </c>
      <c r="B51" s="14" t="s">
        <v>103</v>
      </c>
      <c r="C51" s="14" t="s">
        <v>104</v>
      </c>
      <c r="D51" s="14" t="s">
        <v>17</v>
      </c>
      <c r="E51" s="14" t="s">
        <v>17</v>
      </c>
      <c r="F51" s="16" t="s">
        <v>17</v>
      </c>
      <c r="G51" s="16" t="s">
        <v>17</v>
      </c>
      <c r="H51" s="18">
        <f t="shared" ref="H51:J51" si="11">SUM(H52:H57)</f>
        <v>0</v>
      </c>
      <c r="I51" s="18">
        <f t="shared" si="11"/>
        <v>0</v>
      </c>
      <c r="J51" s="18">
        <f t="shared" si="11"/>
        <v>0</v>
      </c>
      <c r="K51" s="16" t="s">
        <v>17</v>
      </c>
      <c r="L51" s="18">
        <f>SUM(L52:L57)</f>
        <v>4.0000000000000003E-5</v>
      </c>
    </row>
    <row r="52" spans="1:32" ht="12.75" customHeight="1" x14ac:dyDescent="0.2">
      <c r="A52" s="7" t="s">
        <v>205</v>
      </c>
      <c r="B52" s="7" t="s">
        <v>206</v>
      </c>
      <c r="C52" s="7" t="s">
        <v>207</v>
      </c>
      <c r="D52" s="7" t="s">
        <v>60</v>
      </c>
      <c r="E52" s="7" t="s">
        <v>28</v>
      </c>
      <c r="F52" s="8">
        <v>1</v>
      </c>
      <c r="G52" s="68"/>
      <c r="H52" s="68"/>
      <c r="I52" s="68"/>
      <c r="J52" s="68"/>
      <c r="K52" s="8">
        <v>0</v>
      </c>
      <c r="L52" s="8">
        <f t="shared" ref="L52:L57" si="12">K52*F52</f>
        <v>0</v>
      </c>
      <c r="AE52" s="10">
        <f>G52*0.37426486724655</f>
        <v>0</v>
      </c>
      <c r="AF52" s="10">
        <f>G52*(1-0.37426486724655)</f>
        <v>0</v>
      </c>
    </row>
    <row r="53" spans="1:32" ht="12.75" customHeight="1" x14ac:dyDescent="0.2">
      <c r="A53" s="7" t="s">
        <v>208</v>
      </c>
      <c r="B53" s="7" t="s">
        <v>209</v>
      </c>
      <c r="C53" s="7" t="s">
        <v>210</v>
      </c>
      <c r="D53" s="7" t="s">
        <v>60</v>
      </c>
      <c r="E53" s="7" t="s">
        <v>28</v>
      </c>
      <c r="F53" s="8">
        <v>1</v>
      </c>
      <c r="G53" s="68"/>
      <c r="H53" s="68"/>
      <c r="I53" s="68"/>
      <c r="J53" s="68"/>
      <c r="K53" s="8">
        <v>0</v>
      </c>
      <c r="L53" s="8">
        <f t="shared" si="12"/>
        <v>0</v>
      </c>
      <c r="AE53" s="10">
        <f>G53*0.781464046158133</f>
        <v>0</v>
      </c>
      <c r="AF53" s="10">
        <f>G53*(1-0.781464046158133)</f>
        <v>0</v>
      </c>
    </row>
    <row r="54" spans="1:32" ht="12.75" customHeight="1" x14ac:dyDescent="0.2">
      <c r="A54" s="7" t="s">
        <v>211</v>
      </c>
      <c r="B54" s="7" t="s">
        <v>212</v>
      </c>
      <c r="C54" s="7" t="s">
        <v>213</v>
      </c>
      <c r="D54" s="7" t="s">
        <v>60</v>
      </c>
      <c r="E54" s="7" t="s">
        <v>28</v>
      </c>
      <c r="F54" s="8">
        <v>1</v>
      </c>
      <c r="G54" s="68"/>
      <c r="H54" s="68"/>
      <c r="I54" s="68"/>
      <c r="J54" s="68"/>
      <c r="K54" s="8">
        <v>0</v>
      </c>
      <c r="L54" s="8">
        <f t="shared" si="12"/>
        <v>0</v>
      </c>
      <c r="AE54" s="10">
        <f>G54*0.163199718794331</f>
        <v>0</v>
      </c>
      <c r="AF54" s="10">
        <f>G54*(1-0.163199718794331)</f>
        <v>0</v>
      </c>
    </row>
    <row r="55" spans="1:32" ht="12.75" customHeight="1" x14ac:dyDescent="0.2">
      <c r="A55" s="7" t="s">
        <v>214</v>
      </c>
      <c r="B55" s="7" t="s">
        <v>215</v>
      </c>
      <c r="C55" s="7" t="s">
        <v>216</v>
      </c>
      <c r="D55" s="7" t="s">
        <v>60</v>
      </c>
      <c r="E55" s="7" t="s">
        <v>28</v>
      </c>
      <c r="F55" s="8">
        <v>1</v>
      </c>
      <c r="G55" s="68"/>
      <c r="H55" s="68"/>
      <c r="I55" s="68"/>
      <c r="J55" s="68"/>
      <c r="K55" s="8">
        <v>4.0000000000000003E-5</v>
      </c>
      <c r="L55" s="8">
        <f t="shared" si="12"/>
        <v>4.0000000000000003E-5</v>
      </c>
      <c r="AE55" s="10">
        <f>G55*0.369878517481752</f>
        <v>0</v>
      </c>
      <c r="AF55" s="10">
        <f>G55*(1-0.369878517481752)</f>
        <v>0</v>
      </c>
    </row>
    <row r="56" spans="1:32" ht="12.75" customHeight="1" x14ac:dyDescent="0.2">
      <c r="A56" s="7" t="s">
        <v>217</v>
      </c>
      <c r="B56" s="7" t="s">
        <v>218</v>
      </c>
      <c r="C56" s="7" t="s">
        <v>219</v>
      </c>
      <c r="D56" s="7" t="s">
        <v>65</v>
      </c>
      <c r="E56" s="7" t="s">
        <v>28</v>
      </c>
      <c r="F56" s="8">
        <v>22</v>
      </c>
      <c r="G56" s="68"/>
      <c r="H56" s="68"/>
      <c r="I56" s="68"/>
      <c r="J56" s="68"/>
      <c r="K56" s="8">
        <v>0</v>
      </c>
      <c r="L56" s="8">
        <f t="shared" si="12"/>
        <v>0</v>
      </c>
      <c r="AE56" s="10">
        <f>G56*0.735414283379637</f>
        <v>0</v>
      </c>
      <c r="AF56" s="10">
        <f>G56*(1-0.735414283379637)</f>
        <v>0</v>
      </c>
    </row>
    <row r="57" spans="1:32" ht="12.75" customHeight="1" x14ac:dyDescent="0.2">
      <c r="A57" s="7" t="s">
        <v>220</v>
      </c>
      <c r="B57" s="7" t="s">
        <v>221</v>
      </c>
      <c r="C57" s="7" t="s">
        <v>222</v>
      </c>
      <c r="D57" s="7" t="s">
        <v>65</v>
      </c>
      <c r="E57" s="7" t="s">
        <v>28</v>
      </c>
      <c r="F57" s="8">
        <v>17</v>
      </c>
      <c r="G57" s="68"/>
      <c r="H57" s="68"/>
      <c r="I57" s="68"/>
      <c r="J57" s="68"/>
      <c r="K57" s="8">
        <v>0</v>
      </c>
      <c r="L57" s="8">
        <f t="shared" si="12"/>
        <v>0</v>
      </c>
      <c r="AE57" s="10">
        <f>G57*0.857843137254902</f>
        <v>0</v>
      </c>
      <c r="AF57" s="10">
        <f>G57*(1-0.857843137254902)</f>
        <v>0</v>
      </c>
    </row>
    <row r="58" spans="1:32" ht="12.75" customHeight="1" x14ac:dyDescent="0.2">
      <c r="G58" s="69"/>
      <c r="H58" s="69"/>
      <c r="I58" s="69"/>
      <c r="J58" s="69"/>
    </row>
    <row r="59" spans="1:32" ht="12.75" customHeight="1" x14ac:dyDescent="0.2">
      <c r="I59" s="37" t="s">
        <v>115</v>
      </c>
      <c r="J59" s="44"/>
    </row>
    <row r="60" spans="1:32" ht="12.75" customHeight="1" x14ac:dyDescent="0.2"/>
    <row r="61" spans="1:32" ht="12.75" customHeight="1" x14ac:dyDescent="0.2"/>
    <row r="62" spans="1:32" ht="12.75" customHeight="1" x14ac:dyDescent="0.2"/>
    <row r="63" spans="1:32" ht="12.75" customHeight="1" x14ac:dyDescent="0.2"/>
    <row r="64" spans="1:32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sheetProtection algorithmName="SHA-512" hashValue="fO8CKEGqO32lDbJhaxRVkS9HGYr0A9JXB3f7O6QUznIJwQHExR5wtsQunb9+m2EV2DYm7HyZvJb92j0mQjgM9g==" saltValue="RbMu5Rtvz0x4/vi6Ejup8Q==" spinCount="100000" sheet="1" objects="1" scenarios="1"/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0"/>
  <sheetViews>
    <sheetView workbookViewId="0">
      <selection activeCell="C17" sqref="C17"/>
    </sheetView>
  </sheetViews>
  <sheetFormatPr defaultColWidth="14.42578125" defaultRowHeight="15" customHeight="1" x14ac:dyDescent="0.2"/>
  <cols>
    <col min="1" max="2" width="16.5703125" customWidth="1"/>
    <col min="3" max="3" width="41.7109375" customWidth="1"/>
    <col min="4" max="4" width="22.28515625" customWidth="1"/>
    <col min="5" max="5" width="21" customWidth="1"/>
    <col min="6" max="6" width="20.7109375" customWidth="1"/>
    <col min="7" max="7" width="19.7109375" customWidth="1"/>
    <col min="8" max="9" width="8" hidden="1" customWidth="1"/>
    <col min="10" max="19" width="11.5703125" customWidth="1"/>
    <col min="20" max="26" width="8" customWidth="1"/>
  </cols>
  <sheetData>
    <row r="1" spans="1:9" ht="72.75" customHeight="1" x14ac:dyDescent="0.35">
      <c r="A1" s="87" t="s">
        <v>1</v>
      </c>
      <c r="B1" s="88"/>
      <c r="C1" s="88"/>
      <c r="D1" s="88"/>
      <c r="E1" s="88"/>
      <c r="F1" s="88"/>
      <c r="G1" s="88"/>
    </row>
    <row r="2" spans="1:9" ht="12.75" customHeight="1" x14ac:dyDescent="0.2">
      <c r="A2" s="94" t="s">
        <v>3</v>
      </c>
      <c r="B2" s="74" t="s">
        <v>15</v>
      </c>
      <c r="C2" s="78"/>
      <c r="D2" s="89" t="s">
        <v>16</v>
      </c>
      <c r="E2" s="98"/>
      <c r="F2" s="99"/>
      <c r="G2" s="100"/>
      <c r="H2" s="3"/>
    </row>
    <row r="3" spans="1:9" ht="12.75" customHeight="1" x14ac:dyDescent="0.2">
      <c r="A3" s="95"/>
      <c r="B3" s="75"/>
      <c r="C3" s="75"/>
      <c r="D3" s="75"/>
      <c r="E3" s="101"/>
      <c r="F3" s="101"/>
      <c r="G3" s="102"/>
      <c r="H3" s="3"/>
    </row>
    <row r="4" spans="1:9" ht="12.75" customHeight="1" x14ac:dyDescent="0.2">
      <c r="A4" s="96" t="s">
        <v>22</v>
      </c>
      <c r="B4" s="76" t="s">
        <v>24</v>
      </c>
      <c r="C4" s="75"/>
      <c r="D4" s="76" t="s">
        <v>30</v>
      </c>
      <c r="E4" s="103"/>
      <c r="F4" s="101"/>
      <c r="G4" s="102"/>
      <c r="H4" s="3"/>
    </row>
    <row r="5" spans="1:9" ht="12.75" customHeight="1" x14ac:dyDescent="0.2">
      <c r="A5" s="95"/>
      <c r="B5" s="75"/>
      <c r="C5" s="75"/>
      <c r="D5" s="75"/>
      <c r="E5" s="101"/>
      <c r="F5" s="101"/>
      <c r="G5" s="102"/>
      <c r="H5" s="3"/>
    </row>
    <row r="6" spans="1:9" ht="12.75" customHeight="1" x14ac:dyDescent="0.2">
      <c r="A6" s="96" t="s">
        <v>31</v>
      </c>
      <c r="B6" s="76" t="s">
        <v>32</v>
      </c>
      <c r="C6" s="75"/>
      <c r="D6" s="76" t="s">
        <v>34</v>
      </c>
      <c r="E6" s="103"/>
      <c r="F6" s="101"/>
      <c r="G6" s="102"/>
      <c r="H6" s="3"/>
    </row>
    <row r="7" spans="1:9" ht="12.75" customHeight="1" x14ac:dyDescent="0.2">
      <c r="A7" s="95"/>
      <c r="B7" s="75"/>
      <c r="C7" s="75"/>
      <c r="D7" s="75"/>
      <c r="E7" s="101"/>
      <c r="F7" s="101"/>
      <c r="G7" s="102"/>
      <c r="H7" s="3"/>
    </row>
    <row r="8" spans="1:9" ht="12.75" customHeight="1" x14ac:dyDescent="0.2">
      <c r="A8" s="96" t="s">
        <v>37</v>
      </c>
      <c r="B8" s="76"/>
      <c r="C8" s="75"/>
      <c r="D8" s="90" t="s">
        <v>36</v>
      </c>
      <c r="E8" s="80">
        <v>43215</v>
      </c>
      <c r="F8" s="75"/>
      <c r="G8" s="82"/>
      <c r="H8" s="3"/>
    </row>
    <row r="9" spans="1:9" ht="12.75" customHeight="1" x14ac:dyDescent="0.2">
      <c r="A9" s="97"/>
      <c r="B9" s="81"/>
      <c r="C9" s="81"/>
      <c r="D9" s="81"/>
      <c r="E9" s="81"/>
      <c r="F9" s="81"/>
      <c r="G9" s="83"/>
      <c r="H9" s="3"/>
    </row>
    <row r="10" spans="1:9" ht="12.75" customHeight="1" x14ac:dyDescent="0.2">
      <c r="A10" s="13" t="s">
        <v>41</v>
      </c>
      <c r="B10" s="2" t="s">
        <v>4</v>
      </c>
      <c r="C10" s="15" t="s">
        <v>5</v>
      </c>
      <c r="D10" s="17" t="s">
        <v>44</v>
      </c>
      <c r="E10" s="17" t="s">
        <v>45</v>
      </c>
      <c r="F10" s="17" t="s">
        <v>46</v>
      </c>
      <c r="G10" s="19" t="s">
        <v>47</v>
      </c>
      <c r="H10" s="20"/>
    </row>
    <row r="11" spans="1:9" ht="12.75" customHeight="1" x14ac:dyDescent="0.2">
      <c r="A11" s="22"/>
      <c r="B11" s="22" t="s">
        <v>19</v>
      </c>
      <c r="C11" s="22" t="s">
        <v>20</v>
      </c>
      <c r="D11" s="70"/>
      <c r="E11" s="70"/>
      <c r="F11" s="25">
        <f t="shared" ref="F11:F23" si="0">D11+E11</f>
        <v>0</v>
      </c>
      <c r="G11" s="25">
        <v>0.87575000000000003</v>
      </c>
      <c r="H11" s="8" t="s">
        <v>68</v>
      </c>
      <c r="I11" s="8">
        <f t="shared" ref="I11:I23" si="1">IF(H11="T",0,F11)</f>
        <v>0</v>
      </c>
    </row>
    <row r="12" spans="1:9" ht="12.75" customHeight="1" x14ac:dyDescent="0.2">
      <c r="A12" s="7"/>
      <c r="B12" s="7" t="s">
        <v>42</v>
      </c>
      <c r="C12" s="7" t="s">
        <v>43</v>
      </c>
      <c r="D12" s="69"/>
      <c r="E12" s="69"/>
      <c r="F12" s="8">
        <f t="shared" si="0"/>
        <v>0</v>
      </c>
      <c r="G12" s="8">
        <v>5.5111999999999997</v>
      </c>
      <c r="H12" s="8" t="s">
        <v>68</v>
      </c>
      <c r="I12" s="8">
        <f t="shared" si="1"/>
        <v>0</v>
      </c>
    </row>
    <row r="13" spans="1:9" ht="12.75" customHeight="1" x14ac:dyDescent="0.2">
      <c r="A13" s="7"/>
      <c r="B13" s="7" t="s">
        <v>55</v>
      </c>
      <c r="C13" s="7" t="s">
        <v>56</v>
      </c>
      <c r="D13" s="69"/>
      <c r="E13" s="69"/>
      <c r="F13" s="8">
        <f t="shared" si="0"/>
        <v>0</v>
      </c>
      <c r="G13" s="8">
        <v>0.14315</v>
      </c>
      <c r="H13" s="8" t="s">
        <v>68</v>
      </c>
      <c r="I13" s="8">
        <f t="shared" si="1"/>
        <v>0</v>
      </c>
    </row>
    <row r="14" spans="1:9" ht="12.75" customHeight="1" x14ac:dyDescent="0.2">
      <c r="A14" s="7"/>
      <c r="B14" s="7" t="s">
        <v>74</v>
      </c>
      <c r="C14" s="7" t="s">
        <v>76</v>
      </c>
      <c r="D14" s="69"/>
      <c r="E14" s="69"/>
      <c r="F14" s="8">
        <f t="shared" si="0"/>
        <v>0</v>
      </c>
      <c r="G14" s="8">
        <v>3.3443499999999999</v>
      </c>
      <c r="H14" s="8" t="s">
        <v>68</v>
      </c>
      <c r="I14" s="8">
        <f t="shared" si="1"/>
        <v>0</v>
      </c>
    </row>
    <row r="15" spans="1:9" ht="12.75" customHeight="1" x14ac:dyDescent="0.2">
      <c r="A15" s="7"/>
      <c r="B15" s="7" t="s">
        <v>79</v>
      </c>
      <c r="C15" s="7" t="s">
        <v>80</v>
      </c>
      <c r="D15" s="69"/>
      <c r="E15" s="69"/>
      <c r="F15" s="8">
        <f t="shared" si="0"/>
        <v>0</v>
      </c>
      <c r="G15" s="8">
        <v>0.16153000000000001</v>
      </c>
      <c r="H15" s="8" t="s">
        <v>68</v>
      </c>
      <c r="I15" s="8">
        <f t="shared" si="1"/>
        <v>0</v>
      </c>
    </row>
    <row r="16" spans="1:9" ht="12.75" customHeight="1" x14ac:dyDescent="0.2">
      <c r="A16" s="7"/>
      <c r="B16" s="7" t="s">
        <v>82</v>
      </c>
      <c r="C16" s="7" t="s">
        <v>83</v>
      </c>
      <c r="D16" s="128" t="s">
        <v>17</v>
      </c>
      <c r="E16" s="69"/>
      <c r="F16" s="8" t="e">
        <f t="shared" si="0"/>
        <v>#VALUE!</v>
      </c>
      <c r="G16" s="8">
        <v>2.4792000000000001</v>
      </c>
      <c r="H16" s="8" t="s">
        <v>68</v>
      </c>
      <c r="I16" s="8" t="e">
        <f t="shared" si="1"/>
        <v>#VALUE!</v>
      </c>
    </row>
    <row r="17" spans="1:9" ht="12.75" customHeight="1" x14ac:dyDescent="0.2">
      <c r="A17" s="7"/>
      <c r="B17" s="7" t="s">
        <v>84</v>
      </c>
      <c r="C17" s="7" t="s">
        <v>85</v>
      </c>
      <c r="D17" s="69"/>
      <c r="E17" s="69"/>
      <c r="F17" s="8">
        <f t="shared" si="0"/>
        <v>0</v>
      </c>
      <c r="G17" s="8">
        <v>3.6269999999999998</v>
      </c>
      <c r="H17" s="8" t="s">
        <v>68</v>
      </c>
      <c r="I17" s="8">
        <f t="shared" si="1"/>
        <v>0</v>
      </c>
    </row>
    <row r="18" spans="1:9" ht="12.75" customHeight="1" x14ac:dyDescent="0.2">
      <c r="A18" s="7"/>
      <c r="B18" s="7" t="s">
        <v>87</v>
      </c>
      <c r="C18" s="7" t="s">
        <v>88</v>
      </c>
      <c r="D18" s="69"/>
      <c r="E18" s="69"/>
      <c r="F18" s="8">
        <f t="shared" si="0"/>
        <v>0</v>
      </c>
      <c r="G18" s="8">
        <v>6.1199999999999997E-2</v>
      </c>
      <c r="H18" s="8" t="s">
        <v>68</v>
      </c>
      <c r="I18" s="8">
        <f t="shared" si="1"/>
        <v>0</v>
      </c>
    </row>
    <row r="19" spans="1:9" ht="12.75" customHeight="1" x14ac:dyDescent="0.2">
      <c r="A19" s="7"/>
      <c r="B19" s="7" t="s">
        <v>90</v>
      </c>
      <c r="C19" s="7" t="s">
        <v>91</v>
      </c>
      <c r="D19" s="69"/>
      <c r="E19" s="69"/>
      <c r="F19" s="8">
        <f t="shared" si="0"/>
        <v>0</v>
      </c>
      <c r="G19" s="8">
        <v>0.72430000000000005</v>
      </c>
      <c r="H19" s="8" t="s">
        <v>68</v>
      </c>
      <c r="I19" s="8">
        <f t="shared" si="1"/>
        <v>0</v>
      </c>
    </row>
    <row r="20" spans="1:9" ht="12.75" customHeight="1" x14ac:dyDescent="0.2">
      <c r="A20" s="7"/>
      <c r="B20" s="7" t="s">
        <v>92</v>
      </c>
      <c r="C20" s="7" t="s">
        <v>93</v>
      </c>
      <c r="D20" s="69"/>
      <c r="E20" s="69"/>
      <c r="F20" s="8">
        <f t="shared" si="0"/>
        <v>0</v>
      </c>
      <c r="G20" s="8">
        <v>0</v>
      </c>
      <c r="H20" s="8" t="s">
        <v>68</v>
      </c>
      <c r="I20" s="8">
        <f t="shared" si="1"/>
        <v>0</v>
      </c>
    </row>
    <row r="21" spans="1:9" ht="12.75" customHeight="1" x14ac:dyDescent="0.2">
      <c r="A21" s="7"/>
      <c r="B21" s="7" t="s">
        <v>95</v>
      </c>
      <c r="C21" s="7" t="s">
        <v>96</v>
      </c>
      <c r="D21" s="69"/>
      <c r="E21" s="69"/>
      <c r="F21" s="8">
        <f t="shared" si="0"/>
        <v>0</v>
      </c>
      <c r="G21" s="8">
        <v>0.39324999999999999</v>
      </c>
      <c r="H21" s="8" t="s">
        <v>68</v>
      </c>
      <c r="I21" s="8">
        <f t="shared" si="1"/>
        <v>0</v>
      </c>
    </row>
    <row r="22" spans="1:9" ht="12.75" customHeight="1" x14ac:dyDescent="0.2">
      <c r="A22" s="7"/>
      <c r="B22" s="7" t="s">
        <v>100</v>
      </c>
      <c r="C22" s="7" t="s">
        <v>101</v>
      </c>
      <c r="D22" s="69"/>
      <c r="E22" s="69"/>
      <c r="F22" s="8">
        <f t="shared" si="0"/>
        <v>0</v>
      </c>
      <c r="G22" s="8">
        <v>0</v>
      </c>
      <c r="H22" s="8" t="s">
        <v>68</v>
      </c>
      <c r="I22" s="8">
        <f t="shared" si="1"/>
        <v>0</v>
      </c>
    </row>
    <row r="23" spans="1:9" ht="12.75" customHeight="1" x14ac:dyDescent="0.2">
      <c r="A23" s="7"/>
      <c r="B23" s="7" t="s">
        <v>103</v>
      </c>
      <c r="C23" s="7" t="s">
        <v>104</v>
      </c>
      <c r="D23" s="69"/>
      <c r="E23" s="69"/>
      <c r="F23" s="8">
        <f t="shared" si="0"/>
        <v>0</v>
      </c>
      <c r="G23" s="8">
        <v>4.0000000000000003E-5</v>
      </c>
      <c r="H23" s="8" t="s">
        <v>68</v>
      </c>
      <c r="I23" s="8">
        <f t="shared" si="1"/>
        <v>0</v>
      </c>
    </row>
    <row r="24" spans="1:9" ht="12.75" customHeight="1" x14ac:dyDescent="0.2">
      <c r="F24" s="35"/>
      <c r="G24" s="35"/>
    </row>
    <row r="25" spans="1:9" ht="12.75" customHeight="1" x14ac:dyDescent="0.2">
      <c r="E25" s="37" t="s">
        <v>115</v>
      </c>
      <c r="F25" s="38" t="e">
        <f>SUM(I11:I23)</f>
        <v>#VALUE!</v>
      </c>
      <c r="G25" s="35"/>
    </row>
    <row r="26" spans="1:9" ht="12.75" customHeight="1" x14ac:dyDescent="0.2"/>
    <row r="27" spans="1:9" ht="12.75" customHeight="1" x14ac:dyDescent="0.2"/>
    <row r="28" spans="1:9" ht="12.75" customHeight="1" x14ac:dyDescent="0.2"/>
    <row r="29" spans="1:9" ht="12.75" customHeight="1" x14ac:dyDescent="0.2"/>
    <row r="30" spans="1:9" ht="12.75" customHeight="1" x14ac:dyDescent="0.2"/>
    <row r="31" spans="1:9" ht="12.75" customHeight="1" x14ac:dyDescent="0.2"/>
    <row r="32" spans="1:9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sheetProtection algorithmName="SHA-512" hashValue="wJ2FIe/KtW9/i1DaCL5QYjwOiE2/rWXEGRrTLnr0hnPp7qM3QO0hSb5R63JGFcCMFPEnW8FNAK4TKY2744DCiA==" saltValue="KQ6hDdJFIPtw1HhJpxHTXA==" spinCount="100000" sheet="1" objects="1" scenarios="1"/>
  <mergeCells count="17">
    <mergeCell ref="D6:D7"/>
    <mergeCell ref="A1:G1"/>
    <mergeCell ref="B2:C3"/>
    <mergeCell ref="D2:D3"/>
    <mergeCell ref="E2:G3"/>
    <mergeCell ref="A8:A9"/>
    <mergeCell ref="E6:G7"/>
    <mergeCell ref="D8:D9"/>
    <mergeCell ref="E8:G9"/>
    <mergeCell ref="B8:C9"/>
    <mergeCell ref="E4:G5"/>
    <mergeCell ref="A2:A3"/>
    <mergeCell ref="A4:A5"/>
    <mergeCell ref="B4:C5"/>
    <mergeCell ref="D4:D5"/>
    <mergeCell ref="A6:A7"/>
    <mergeCell ref="B6:C7"/>
  </mergeCell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0"/>
  <sheetViews>
    <sheetView topLeftCell="A28" workbookViewId="0">
      <selection activeCell="C8" activeCellId="2" sqref="F11:F53 F2:H7 C8:D9"/>
    </sheetView>
  </sheetViews>
  <sheetFormatPr defaultColWidth="14.42578125" defaultRowHeight="15" customHeight="1" x14ac:dyDescent="0.2"/>
  <cols>
    <col min="1" max="2" width="9.140625" customWidth="1"/>
    <col min="3" max="3" width="13.28515625" customWidth="1"/>
    <col min="4" max="4" width="72.7109375" customWidth="1"/>
    <col min="5" max="5" width="14.7109375" customWidth="1"/>
    <col min="6" max="6" width="24.140625" customWidth="1"/>
    <col min="7" max="7" width="20.42578125" customWidth="1"/>
    <col min="8" max="8" width="16.42578125" customWidth="1"/>
    <col min="9" max="18" width="11.5703125" customWidth="1"/>
    <col min="19" max="26" width="8" customWidth="1"/>
  </cols>
  <sheetData>
    <row r="1" spans="1:9" ht="72.75" customHeight="1" x14ac:dyDescent="0.35">
      <c r="A1" s="87" t="s">
        <v>157</v>
      </c>
      <c r="B1" s="88"/>
      <c r="C1" s="88"/>
      <c r="D1" s="88"/>
      <c r="E1" s="88"/>
      <c r="F1" s="88"/>
      <c r="G1" s="88"/>
      <c r="H1" s="88"/>
    </row>
    <row r="2" spans="1:9" ht="12.75" customHeight="1" x14ac:dyDescent="0.2">
      <c r="A2" s="94" t="s">
        <v>3</v>
      </c>
      <c r="B2" s="78"/>
      <c r="C2" s="74" t="s">
        <v>15</v>
      </c>
      <c r="D2" s="78"/>
      <c r="E2" s="89" t="s">
        <v>16</v>
      </c>
      <c r="F2" s="98"/>
      <c r="G2" s="99"/>
      <c r="H2" s="100"/>
      <c r="I2" s="3"/>
    </row>
    <row r="3" spans="1:9" ht="12.75" customHeight="1" x14ac:dyDescent="0.2">
      <c r="A3" s="95"/>
      <c r="B3" s="75"/>
      <c r="C3" s="75"/>
      <c r="D3" s="75"/>
      <c r="E3" s="75"/>
      <c r="F3" s="101"/>
      <c r="G3" s="101"/>
      <c r="H3" s="102"/>
      <c r="I3" s="3"/>
    </row>
    <row r="4" spans="1:9" ht="12.75" customHeight="1" x14ac:dyDescent="0.2">
      <c r="A4" s="96" t="s">
        <v>22</v>
      </c>
      <c r="B4" s="75"/>
      <c r="C4" s="76" t="s">
        <v>24</v>
      </c>
      <c r="D4" s="75"/>
      <c r="E4" s="76" t="s">
        <v>30</v>
      </c>
      <c r="F4" s="103"/>
      <c r="G4" s="101"/>
      <c r="H4" s="102"/>
      <c r="I4" s="3"/>
    </row>
    <row r="5" spans="1:9" ht="12.75" customHeight="1" x14ac:dyDescent="0.2">
      <c r="A5" s="95"/>
      <c r="B5" s="75"/>
      <c r="C5" s="75"/>
      <c r="D5" s="75"/>
      <c r="E5" s="75"/>
      <c r="F5" s="101"/>
      <c r="G5" s="101"/>
      <c r="H5" s="102"/>
      <c r="I5" s="3"/>
    </row>
    <row r="6" spans="1:9" ht="12.75" customHeight="1" x14ac:dyDescent="0.2">
      <c r="A6" s="96" t="s">
        <v>31</v>
      </c>
      <c r="B6" s="75"/>
      <c r="C6" s="76" t="s">
        <v>32</v>
      </c>
      <c r="D6" s="75"/>
      <c r="E6" s="76" t="s">
        <v>34</v>
      </c>
      <c r="F6" s="103"/>
      <c r="G6" s="101"/>
      <c r="H6" s="102"/>
      <c r="I6" s="3"/>
    </row>
    <row r="7" spans="1:9" ht="12.75" customHeight="1" x14ac:dyDescent="0.2">
      <c r="A7" s="95"/>
      <c r="B7" s="75"/>
      <c r="C7" s="75"/>
      <c r="D7" s="75"/>
      <c r="E7" s="75"/>
      <c r="F7" s="101"/>
      <c r="G7" s="101"/>
      <c r="H7" s="102"/>
      <c r="I7" s="3"/>
    </row>
    <row r="8" spans="1:9" ht="12.75" customHeight="1" x14ac:dyDescent="0.2">
      <c r="A8" s="96" t="s">
        <v>37</v>
      </c>
      <c r="B8" s="75"/>
      <c r="C8" s="103"/>
      <c r="D8" s="101"/>
      <c r="E8" s="90" t="s">
        <v>36</v>
      </c>
      <c r="F8" s="80">
        <v>43215</v>
      </c>
      <c r="G8" s="75"/>
      <c r="H8" s="82"/>
      <c r="I8" s="3"/>
    </row>
    <row r="9" spans="1:9" ht="12.75" customHeight="1" x14ac:dyDescent="0.2">
      <c r="A9" s="97"/>
      <c r="B9" s="81"/>
      <c r="C9" s="127"/>
      <c r="D9" s="127"/>
      <c r="E9" s="81"/>
      <c r="F9" s="81"/>
      <c r="G9" s="81"/>
      <c r="H9" s="83"/>
      <c r="I9" s="3"/>
    </row>
    <row r="10" spans="1:9" ht="12.75" customHeight="1" x14ac:dyDescent="0.2">
      <c r="A10" s="2" t="s">
        <v>2</v>
      </c>
      <c r="B10" s="15" t="s">
        <v>41</v>
      </c>
      <c r="C10" s="15" t="s">
        <v>4</v>
      </c>
      <c r="D10" s="15" t="s">
        <v>5</v>
      </c>
      <c r="E10" s="15" t="s">
        <v>6</v>
      </c>
      <c r="F10" s="15" t="s">
        <v>81</v>
      </c>
      <c r="G10" s="40" t="s">
        <v>8</v>
      </c>
      <c r="H10" s="13" t="s">
        <v>170</v>
      </c>
      <c r="I10" s="20"/>
    </row>
    <row r="11" spans="1:9" ht="12.75" customHeight="1" x14ac:dyDescent="0.2">
      <c r="A11" s="22" t="s">
        <v>23</v>
      </c>
      <c r="B11" s="22"/>
      <c r="C11" s="22" t="s">
        <v>25</v>
      </c>
      <c r="D11" s="22" t="s">
        <v>26</v>
      </c>
      <c r="E11" s="22" t="s">
        <v>27</v>
      </c>
      <c r="F11" s="125"/>
      <c r="G11" s="25">
        <v>26</v>
      </c>
      <c r="H11" s="41" t="s">
        <v>134</v>
      </c>
    </row>
    <row r="12" spans="1:9" ht="12.75" customHeight="1" x14ac:dyDescent="0.2">
      <c r="A12" s="7" t="s">
        <v>38</v>
      </c>
      <c r="B12" s="7"/>
      <c r="C12" s="7" t="s">
        <v>39</v>
      </c>
      <c r="D12" s="7" t="s">
        <v>40</v>
      </c>
      <c r="E12" s="7" t="s">
        <v>27</v>
      </c>
      <c r="F12" s="126"/>
      <c r="G12" s="8">
        <v>4.5</v>
      </c>
      <c r="H12" s="9" t="s">
        <v>134</v>
      </c>
    </row>
    <row r="13" spans="1:9" ht="12.75" customHeight="1" x14ac:dyDescent="0.2">
      <c r="A13" s="7" t="s">
        <v>48</v>
      </c>
      <c r="B13" s="7"/>
      <c r="C13" s="7" t="s">
        <v>49</v>
      </c>
      <c r="D13" s="7" t="s">
        <v>50</v>
      </c>
      <c r="E13" s="7" t="s">
        <v>27</v>
      </c>
      <c r="F13" s="126"/>
      <c r="G13" s="8">
        <v>530</v>
      </c>
      <c r="H13" s="9" t="s">
        <v>134</v>
      </c>
    </row>
    <row r="14" spans="1:9" ht="12.75" customHeight="1" x14ac:dyDescent="0.2">
      <c r="A14" s="7" t="s">
        <v>51</v>
      </c>
      <c r="B14" s="7"/>
      <c r="C14" s="7" t="s">
        <v>52</v>
      </c>
      <c r="D14" s="7" t="s">
        <v>53</v>
      </c>
      <c r="E14" s="7" t="s">
        <v>27</v>
      </c>
      <c r="F14" s="126"/>
      <c r="G14" s="8">
        <v>980</v>
      </c>
      <c r="H14" s="9" t="s">
        <v>134</v>
      </c>
    </row>
    <row r="15" spans="1:9" ht="12.75" customHeight="1" x14ac:dyDescent="0.2">
      <c r="A15" s="7" t="s">
        <v>57</v>
      </c>
      <c r="B15" s="7"/>
      <c r="C15" s="7" t="s">
        <v>58</v>
      </c>
      <c r="D15" s="7" t="s">
        <v>59</v>
      </c>
      <c r="E15" s="7" t="s">
        <v>60</v>
      </c>
      <c r="F15" s="126"/>
      <c r="G15" s="8">
        <v>7</v>
      </c>
      <c r="H15" s="9" t="s">
        <v>134</v>
      </c>
    </row>
    <row r="16" spans="1:9" ht="12.75" customHeight="1" x14ac:dyDescent="0.2">
      <c r="A16" s="7" t="s">
        <v>62</v>
      </c>
      <c r="B16" s="7"/>
      <c r="C16" s="7" t="s">
        <v>63</v>
      </c>
      <c r="D16" s="7" t="s">
        <v>64</v>
      </c>
      <c r="E16" s="7" t="s">
        <v>65</v>
      </c>
      <c r="F16" s="126"/>
      <c r="G16" s="8">
        <v>7</v>
      </c>
      <c r="H16" s="9" t="s">
        <v>134</v>
      </c>
    </row>
    <row r="17" spans="1:8" ht="12.75" customHeight="1" x14ac:dyDescent="0.2">
      <c r="A17" s="7" t="s">
        <v>66</v>
      </c>
      <c r="B17" s="7"/>
      <c r="C17" s="7" t="s">
        <v>67</v>
      </c>
      <c r="D17" s="7" t="s">
        <v>285</v>
      </c>
      <c r="E17" s="7" t="s">
        <v>65</v>
      </c>
      <c r="F17" s="126"/>
      <c r="G17" s="8">
        <v>7</v>
      </c>
      <c r="H17" s="9" t="s">
        <v>134</v>
      </c>
    </row>
    <row r="18" spans="1:8" ht="12.75" customHeight="1" x14ac:dyDescent="0.2">
      <c r="A18" s="7" t="s">
        <v>69</v>
      </c>
      <c r="B18" s="7"/>
      <c r="C18" s="7" t="s">
        <v>71</v>
      </c>
      <c r="D18" s="7" t="s">
        <v>72</v>
      </c>
      <c r="E18" s="7" t="s">
        <v>65</v>
      </c>
      <c r="F18" s="126"/>
      <c r="G18" s="8">
        <v>7</v>
      </c>
      <c r="H18" s="9" t="s">
        <v>134</v>
      </c>
    </row>
    <row r="19" spans="1:8" ht="12.75" customHeight="1" x14ac:dyDescent="0.2">
      <c r="A19" s="7" t="s">
        <v>75</v>
      </c>
      <c r="B19" s="7"/>
      <c r="C19" s="7" t="s">
        <v>77</v>
      </c>
      <c r="D19" s="7" t="s">
        <v>78</v>
      </c>
      <c r="E19" s="7" t="s">
        <v>65</v>
      </c>
      <c r="F19" s="126"/>
      <c r="G19" s="8">
        <v>7</v>
      </c>
      <c r="H19" s="9" t="s">
        <v>134</v>
      </c>
    </row>
    <row r="20" spans="1:8" ht="12.75" customHeight="1" x14ac:dyDescent="0.2">
      <c r="A20" s="7" t="s">
        <v>97</v>
      </c>
      <c r="B20" s="7"/>
      <c r="C20" s="7" t="s">
        <v>98</v>
      </c>
      <c r="D20" s="7" t="s">
        <v>99</v>
      </c>
      <c r="E20" s="7" t="s">
        <v>27</v>
      </c>
      <c r="F20" s="126"/>
      <c r="G20" s="8">
        <v>185</v>
      </c>
      <c r="H20" s="9" t="s">
        <v>134</v>
      </c>
    </row>
    <row r="21" spans="1:8" ht="12.75" customHeight="1" x14ac:dyDescent="0.2">
      <c r="A21" s="7" t="s">
        <v>116</v>
      </c>
      <c r="B21" s="7"/>
      <c r="C21" s="7" t="s">
        <v>98</v>
      </c>
      <c r="D21" s="7" t="s">
        <v>117</v>
      </c>
      <c r="E21" s="7" t="s">
        <v>27</v>
      </c>
      <c r="F21" s="126"/>
      <c r="G21" s="8">
        <v>12</v>
      </c>
      <c r="H21" s="9" t="s">
        <v>134</v>
      </c>
    </row>
    <row r="22" spans="1:8" ht="12.75" customHeight="1" x14ac:dyDescent="0.2">
      <c r="A22" s="7" t="s">
        <v>118</v>
      </c>
      <c r="B22" s="7"/>
      <c r="C22" s="7" t="s">
        <v>119</v>
      </c>
      <c r="D22" s="7" t="s">
        <v>120</v>
      </c>
      <c r="E22" s="7" t="s">
        <v>27</v>
      </c>
      <c r="F22" s="126"/>
      <c r="G22" s="8">
        <v>8</v>
      </c>
      <c r="H22" s="9" t="s">
        <v>134</v>
      </c>
    </row>
    <row r="23" spans="1:8" ht="12.75" customHeight="1" x14ac:dyDescent="0.2">
      <c r="A23" s="7" t="s">
        <v>121</v>
      </c>
      <c r="B23" s="7"/>
      <c r="C23" s="7" t="s">
        <v>122</v>
      </c>
      <c r="D23" s="7" t="s">
        <v>123</v>
      </c>
      <c r="E23" s="7" t="s">
        <v>65</v>
      </c>
      <c r="F23" s="126"/>
      <c r="G23" s="8">
        <v>12</v>
      </c>
      <c r="H23" s="9" t="s">
        <v>134</v>
      </c>
    </row>
    <row r="24" spans="1:8" ht="12.75" customHeight="1" x14ac:dyDescent="0.2">
      <c r="A24" s="7" t="s">
        <v>125</v>
      </c>
      <c r="B24" s="7"/>
      <c r="C24" s="7" t="s">
        <v>126</v>
      </c>
      <c r="D24" s="7" t="s">
        <v>127</v>
      </c>
      <c r="E24" s="7" t="s">
        <v>27</v>
      </c>
      <c r="F24" s="126"/>
      <c r="G24" s="8">
        <v>185</v>
      </c>
      <c r="H24" s="9" t="s">
        <v>134</v>
      </c>
    </row>
    <row r="25" spans="1:8" ht="12.75" customHeight="1" x14ac:dyDescent="0.2">
      <c r="A25" s="7" t="s">
        <v>128</v>
      </c>
      <c r="B25" s="7"/>
      <c r="C25" s="7" t="s">
        <v>129</v>
      </c>
      <c r="D25" s="7" t="s">
        <v>130</v>
      </c>
      <c r="E25" s="7" t="s">
        <v>27</v>
      </c>
      <c r="F25" s="126"/>
      <c r="G25" s="8">
        <v>185</v>
      </c>
      <c r="H25" s="9" t="s">
        <v>134</v>
      </c>
    </row>
    <row r="26" spans="1:8" ht="12.75" customHeight="1" x14ac:dyDescent="0.2">
      <c r="A26" s="7" t="s">
        <v>131</v>
      </c>
      <c r="B26" s="7"/>
      <c r="C26" s="7" t="s">
        <v>132</v>
      </c>
      <c r="D26" s="7" t="s">
        <v>133</v>
      </c>
      <c r="E26" s="7" t="s">
        <v>27</v>
      </c>
      <c r="F26" s="126"/>
      <c r="G26" s="8">
        <v>63</v>
      </c>
      <c r="H26" s="9" t="s">
        <v>134</v>
      </c>
    </row>
    <row r="27" spans="1:8" ht="12.75" customHeight="1" x14ac:dyDescent="0.2">
      <c r="A27" s="7" t="s">
        <v>135</v>
      </c>
      <c r="B27" s="7"/>
      <c r="C27" s="7" t="s">
        <v>136</v>
      </c>
      <c r="D27" s="7" t="s">
        <v>137</v>
      </c>
      <c r="E27" s="7" t="s">
        <v>138</v>
      </c>
      <c r="F27" s="126"/>
      <c r="G27" s="8">
        <v>45</v>
      </c>
      <c r="H27" s="9" t="s">
        <v>134</v>
      </c>
    </row>
    <row r="28" spans="1:8" ht="12.75" customHeight="1" x14ac:dyDescent="0.2">
      <c r="A28" s="7" t="s">
        <v>139</v>
      </c>
      <c r="B28" s="7"/>
      <c r="C28" s="7" t="s">
        <v>140</v>
      </c>
      <c r="D28" s="7" t="s">
        <v>141</v>
      </c>
      <c r="E28" s="7" t="s">
        <v>138</v>
      </c>
      <c r="F28" s="126"/>
      <c r="G28" s="8">
        <v>72</v>
      </c>
      <c r="H28" s="9" t="s">
        <v>134</v>
      </c>
    </row>
    <row r="29" spans="1:8" ht="12.75" customHeight="1" x14ac:dyDescent="0.2">
      <c r="A29" s="7" t="s">
        <v>145</v>
      </c>
      <c r="B29" s="7"/>
      <c r="C29" s="7" t="s">
        <v>146</v>
      </c>
      <c r="D29" s="7" t="s">
        <v>147</v>
      </c>
      <c r="E29" s="7" t="s">
        <v>27</v>
      </c>
      <c r="F29" s="126"/>
      <c r="G29" s="8">
        <v>345</v>
      </c>
      <c r="H29" s="9" t="s">
        <v>134</v>
      </c>
    </row>
    <row r="30" spans="1:8" ht="12.75" customHeight="1" x14ac:dyDescent="0.2">
      <c r="A30" s="7" t="s">
        <v>148</v>
      </c>
      <c r="B30" s="7"/>
      <c r="C30" s="7" t="s">
        <v>149</v>
      </c>
      <c r="D30" s="7" t="s">
        <v>150</v>
      </c>
      <c r="E30" s="7" t="s">
        <v>65</v>
      </c>
      <c r="F30" s="126"/>
      <c r="G30" s="8">
        <v>8</v>
      </c>
      <c r="H30" s="9" t="s">
        <v>134</v>
      </c>
    </row>
    <row r="31" spans="1:8" ht="12.75" customHeight="1" x14ac:dyDescent="0.2">
      <c r="A31" s="7" t="s">
        <v>28</v>
      </c>
      <c r="B31" s="7"/>
      <c r="C31" s="7" t="s">
        <v>151</v>
      </c>
      <c r="D31" s="7" t="s">
        <v>152</v>
      </c>
      <c r="E31" s="7" t="s">
        <v>27</v>
      </c>
      <c r="F31" s="126"/>
      <c r="G31" s="8">
        <v>345</v>
      </c>
      <c r="H31" s="9" t="s">
        <v>134</v>
      </c>
    </row>
    <row r="32" spans="1:8" ht="12.75" customHeight="1" x14ac:dyDescent="0.2">
      <c r="A32" s="7" t="s">
        <v>153</v>
      </c>
      <c r="B32" s="7"/>
      <c r="C32" s="7" t="s">
        <v>154</v>
      </c>
      <c r="D32" s="7" t="s">
        <v>155</v>
      </c>
      <c r="E32" s="7" t="s">
        <v>27</v>
      </c>
      <c r="F32" s="126"/>
      <c r="G32" s="8">
        <v>345</v>
      </c>
      <c r="H32" s="9" t="s">
        <v>134</v>
      </c>
    </row>
    <row r="33" spans="1:8" ht="12.75" customHeight="1" x14ac:dyDescent="0.2">
      <c r="A33" s="7" t="s">
        <v>156</v>
      </c>
      <c r="B33" s="7"/>
      <c r="C33" s="7" t="s">
        <v>146</v>
      </c>
      <c r="D33" s="7" t="s">
        <v>288</v>
      </c>
      <c r="E33" s="7" t="s">
        <v>27</v>
      </c>
      <c r="F33" s="126"/>
      <c r="G33" s="8">
        <v>345</v>
      </c>
      <c r="H33" s="9" t="s">
        <v>134</v>
      </c>
    </row>
    <row r="34" spans="1:8" ht="12.75" customHeight="1" x14ac:dyDescent="0.2">
      <c r="A34" s="7" t="s">
        <v>158</v>
      </c>
      <c r="B34" s="7"/>
      <c r="C34" s="7" t="s">
        <v>159</v>
      </c>
      <c r="D34" s="7" t="s">
        <v>160</v>
      </c>
      <c r="E34" s="7" t="s">
        <v>138</v>
      </c>
      <c r="F34" s="126"/>
      <c r="G34" s="8">
        <v>15</v>
      </c>
      <c r="H34" s="9" t="s">
        <v>134</v>
      </c>
    </row>
    <row r="35" spans="1:8" ht="12.75" customHeight="1" x14ac:dyDescent="0.2">
      <c r="A35" s="7" t="s">
        <v>161</v>
      </c>
      <c r="B35" s="7"/>
      <c r="C35" s="7" t="s">
        <v>162</v>
      </c>
      <c r="D35" s="7" t="s">
        <v>287</v>
      </c>
      <c r="E35" s="7" t="s">
        <v>27</v>
      </c>
      <c r="F35" s="126"/>
      <c r="G35" s="8">
        <v>72</v>
      </c>
      <c r="H35" s="9" t="s">
        <v>134</v>
      </c>
    </row>
    <row r="36" spans="1:8" ht="12.75" customHeight="1" x14ac:dyDescent="0.2">
      <c r="A36" s="7" t="s">
        <v>163</v>
      </c>
      <c r="B36" s="7"/>
      <c r="C36" s="7" t="s">
        <v>164</v>
      </c>
      <c r="D36" s="7" t="s">
        <v>165</v>
      </c>
      <c r="E36" s="7" t="s">
        <v>27</v>
      </c>
      <c r="F36" s="126"/>
      <c r="G36" s="8">
        <v>65</v>
      </c>
      <c r="H36" s="9" t="s">
        <v>134</v>
      </c>
    </row>
    <row r="37" spans="1:8" ht="12.75" customHeight="1" x14ac:dyDescent="0.2">
      <c r="A37" s="7" t="s">
        <v>166</v>
      </c>
      <c r="B37" s="7"/>
      <c r="C37" s="7" t="s">
        <v>167</v>
      </c>
      <c r="D37" s="7" t="s">
        <v>168</v>
      </c>
      <c r="E37" s="7" t="s">
        <v>169</v>
      </c>
      <c r="F37" s="126"/>
      <c r="G37" s="8">
        <v>65</v>
      </c>
      <c r="H37" s="9" t="s">
        <v>134</v>
      </c>
    </row>
    <row r="38" spans="1:8" ht="12.75" customHeight="1" x14ac:dyDescent="0.2">
      <c r="A38" s="7" t="s">
        <v>171</v>
      </c>
      <c r="B38" s="7"/>
      <c r="C38" s="7" t="s">
        <v>172</v>
      </c>
      <c r="D38" s="7" t="s">
        <v>286</v>
      </c>
      <c r="E38" s="7" t="s">
        <v>27</v>
      </c>
      <c r="F38" s="126"/>
      <c r="G38" s="8">
        <v>65</v>
      </c>
      <c r="H38" s="9" t="s">
        <v>134</v>
      </c>
    </row>
    <row r="39" spans="1:8" ht="12.75" customHeight="1" x14ac:dyDescent="0.2">
      <c r="A39" s="7" t="s">
        <v>176</v>
      </c>
      <c r="B39" s="7"/>
      <c r="C39" s="7" t="s">
        <v>177</v>
      </c>
      <c r="D39" s="7" t="s">
        <v>178</v>
      </c>
      <c r="E39" s="7" t="s">
        <v>27</v>
      </c>
      <c r="F39" s="126"/>
      <c r="G39" s="8">
        <v>89</v>
      </c>
      <c r="H39" s="9" t="s">
        <v>134</v>
      </c>
    </row>
    <row r="40" spans="1:8" ht="12.75" customHeight="1" x14ac:dyDescent="0.2">
      <c r="A40" s="7" t="s">
        <v>179</v>
      </c>
      <c r="B40" s="7"/>
      <c r="C40" s="7" t="s">
        <v>180</v>
      </c>
      <c r="D40" s="7" t="s">
        <v>181</v>
      </c>
      <c r="E40" s="7" t="s">
        <v>27</v>
      </c>
      <c r="F40" s="126"/>
      <c r="G40" s="8">
        <v>85</v>
      </c>
      <c r="H40" s="9" t="s">
        <v>134</v>
      </c>
    </row>
    <row r="41" spans="1:8" ht="12.75" customHeight="1" x14ac:dyDescent="0.2">
      <c r="A41" s="7" t="s">
        <v>182</v>
      </c>
      <c r="B41" s="7"/>
      <c r="C41" s="7" t="s">
        <v>183</v>
      </c>
      <c r="D41" s="7" t="s">
        <v>184</v>
      </c>
      <c r="E41" s="7" t="s">
        <v>27</v>
      </c>
      <c r="F41" s="126"/>
      <c r="G41" s="8">
        <v>450</v>
      </c>
      <c r="H41" s="9" t="s">
        <v>134</v>
      </c>
    </row>
    <row r="42" spans="1:8" ht="12.75" customHeight="1" x14ac:dyDescent="0.2">
      <c r="A42" s="7" t="s">
        <v>186</v>
      </c>
      <c r="B42" s="7"/>
      <c r="C42" s="7" t="s">
        <v>187</v>
      </c>
      <c r="D42" s="7" t="s">
        <v>188</v>
      </c>
      <c r="E42" s="7" t="s">
        <v>27</v>
      </c>
      <c r="F42" s="126"/>
      <c r="G42" s="8">
        <v>980</v>
      </c>
      <c r="H42" s="9" t="s">
        <v>134</v>
      </c>
    </row>
    <row r="43" spans="1:8" ht="12.75" customHeight="1" x14ac:dyDescent="0.2">
      <c r="A43" s="7" t="s">
        <v>189</v>
      </c>
      <c r="B43" s="7"/>
      <c r="C43" s="7" t="s">
        <v>190</v>
      </c>
      <c r="D43" s="7" t="s">
        <v>191</v>
      </c>
      <c r="E43" s="7" t="s">
        <v>27</v>
      </c>
      <c r="F43" s="126"/>
      <c r="G43" s="8">
        <v>1430</v>
      </c>
      <c r="H43" s="9" t="s">
        <v>134</v>
      </c>
    </row>
    <row r="44" spans="1:8" ht="12.75" customHeight="1" x14ac:dyDescent="0.2">
      <c r="A44" s="7" t="s">
        <v>19</v>
      </c>
      <c r="B44" s="7"/>
      <c r="C44" s="7" t="s">
        <v>192</v>
      </c>
      <c r="D44" s="7" t="s">
        <v>193</v>
      </c>
      <c r="E44" s="7" t="s">
        <v>194</v>
      </c>
      <c r="F44" s="126"/>
      <c r="G44" s="8">
        <v>178</v>
      </c>
      <c r="H44" s="9" t="s">
        <v>134</v>
      </c>
    </row>
    <row r="45" spans="1:8" ht="12.75" customHeight="1" x14ac:dyDescent="0.2">
      <c r="A45" s="7" t="s">
        <v>195</v>
      </c>
      <c r="B45" s="7"/>
      <c r="C45" s="7" t="s">
        <v>196</v>
      </c>
      <c r="D45" s="7" t="s">
        <v>197</v>
      </c>
      <c r="E45" s="7" t="s">
        <v>27</v>
      </c>
      <c r="F45" s="126"/>
      <c r="G45" s="8">
        <v>325</v>
      </c>
      <c r="H45" s="9" t="s">
        <v>134</v>
      </c>
    </row>
    <row r="46" spans="1:8" ht="12.75" customHeight="1" x14ac:dyDescent="0.2">
      <c r="A46" s="7" t="s">
        <v>198</v>
      </c>
      <c r="B46" s="7"/>
      <c r="C46" s="7" t="s">
        <v>199</v>
      </c>
      <c r="D46" s="7" t="s">
        <v>200</v>
      </c>
      <c r="E46" s="7" t="s">
        <v>60</v>
      </c>
      <c r="F46" s="126"/>
      <c r="G46" s="8">
        <v>1</v>
      </c>
      <c r="H46" s="9" t="s">
        <v>134</v>
      </c>
    </row>
    <row r="47" spans="1:8" ht="12.75" customHeight="1" x14ac:dyDescent="0.2">
      <c r="A47" s="7" t="s">
        <v>201</v>
      </c>
      <c r="B47" s="7"/>
      <c r="C47" s="7" t="s">
        <v>202</v>
      </c>
      <c r="D47" s="7" t="s">
        <v>203</v>
      </c>
      <c r="E47" s="7" t="s">
        <v>204</v>
      </c>
      <c r="F47" s="126"/>
      <c r="G47" s="8">
        <v>12.6</v>
      </c>
      <c r="H47" s="9" t="s">
        <v>134</v>
      </c>
    </row>
    <row r="48" spans="1:8" ht="12.75" customHeight="1" x14ac:dyDescent="0.2">
      <c r="A48" s="7" t="s">
        <v>205</v>
      </c>
      <c r="B48" s="7"/>
      <c r="C48" s="7" t="s">
        <v>206</v>
      </c>
      <c r="D48" s="7" t="s">
        <v>207</v>
      </c>
      <c r="E48" s="7" t="s">
        <v>60</v>
      </c>
      <c r="F48" s="126"/>
      <c r="G48" s="8">
        <v>1</v>
      </c>
      <c r="H48" s="9" t="s">
        <v>134</v>
      </c>
    </row>
    <row r="49" spans="1:8" ht="12.75" customHeight="1" x14ac:dyDescent="0.2">
      <c r="A49" s="7" t="s">
        <v>208</v>
      </c>
      <c r="B49" s="7"/>
      <c r="C49" s="7" t="s">
        <v>209</v>
      </c>
      <c r="D49" s="7" t="s">
        <v>210</v>
      </c>
      <c r="E49" s="7" t="s">
        <v>60</v>
      </c>
      <c r="F49" s="126"/>
      <c r="G49" s="8">
        <v>1</v>
      </c>
      <c r="H49" s="9" t="s">
        <v>134</v>
      </c>
    </row>
    <row r="50" spans="1:8" ht="12.75" customHeight="1" x14ac:dyDescent="0.2">
      <c r="A50" s="7" t="s">
        <v>211</v>
      </c>
      <c r="B50" s="7"/>
      <c r="C50" s="7" t="s">
        <v>212</v>
      </c>
      <c r="D50" s="7" t="s">
        <v>213</v>
      </c>
      <c r="E50" s="7" t="s">
        <v>60</v>
      </c>
      <c r="F50" s="126"/>
      <c r="G50" s="8">
        <v>1</v>
      </c>
      <c r="H50" s="9" t="s">
        <v>134</v>
      </c>
    </row>
    <row r="51" spans="1:8" ht="12.75" customHeight="1" x14ac:dyDescent="0.2">
      <c r="A51" s="7" t="s">
        <v>214</v>
      </c>
      <c r="B51" s="7"/>
      <c r="C51" s="7" t="s">
        <v>215</v>
      </c>
      <c r="D51" s="7" t="s">
        <v>216</v>
      </c>
      <c r="E51" s="7" t="s">
        <v>60</v>
      </c>
      <c r="F51" s="126"/>
      <c r="G51" s="8">
        <v>1</v>
      </c>
      <c r="H51" s="9" t="s">
        <v>134</v>
      </c>
    </row>
    <row r="52" spans="1:8" ht="12.75" customHeight="1" x14ac:dyDescent="0.2">
      <c r="A52" s="7" t="s">
        <v>217</v>
      </c>
      <c r="B52" s="7"/>
      <c r="C52" s="7" t="s">
        <v>218</v>
      </c>
      <c r="D52" s="7" t="s">
        <v>219</v>
      </c>
      <c r="E52" s="7" t="s">
        <v>65</v>
      </c>
      <c r="F52" s="126"/>
      <c r="G52" s="8">
        <v>22</v>
      </c>
      <c r="H52" s="9" t="s">
        <v>134</v>
      </c>
    </row>
    <row r="53" spans="1:8" ht="12.75" customHeight="1" x14ac:dyDescent="0.2">
      <c r="A53" s="7" t="s">
        <v>220</v>
      </c>
      <c r="B53" s="7"/>
      <c r="C53" s="7" t="s">
        <v>221</v>
      </c>
      <c r="D53" s="7" t="s">
        <v>222</v>
      </c>
      <c r="E53" s="7" t="s">
        <v>65</v>
      </c>
      <c r="F53" s="126"/>
      <c r="G53" s="8">
        <v>17</v>
      </c>
      <c r="H53" s="9" t="s">
        <v>134</v>
      </c>
    </row>
    <row r="54" spans="1:8" ht="12.75" customHeight="1" x14ac:dyDescent="0.2"/>
    <row r="55" spans="1:8" ht="10.5" customHeight="1" x14ac:dyDescent="0.2">
      <c r="A55" s="42" t="s">
        <v>223</v>
      </c>
    </row>
    <row r="56" spans="1:8" ht="409.5" hidden="1" customHeight="1" x14ac:dyDescent="0.2">
      <c r="A56" s="76"/>
      <c r="B56" s="75"/>
      <c r="C56" s="75"/>
      <c r="D56" s="75"/>
      <c r="E56" s="75"/>
      <c r="F56" s="75"/>
      <c r="G56" s="75"/>
    </row>
    <row r="57" spans="1:8" ht="12.75" customHeight="1" x14ac:dyDescent="0.2"/>
    <row r="58" spans="1:8" ht="12.75" customHeight="1" x14ac:dyDescent="0.2"/>
    <row r="59" spans="1:8" ht="12.75" customHeight="1" x14ac:dyDescent="0.2"/>
    <row r="60" spans="1:8" ht="12.75" customHeight="1" x14ac:dyDescent="0.2"/>
    <row r="61" spans="1:8" ht="12.75" customHeight="1" x14ac:dyDescent="0.2"/>
    <row r="62" spans="1:8" ht="12.75" customHeight="1" x14ac:dyDescent="0.2"/>
    <row r="63" spans="1:8" ht="12.75" customHeight="1" x14ac:dyDescent="0.2"/>
    <row r="64" spans="1:8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sheetProtection algorithmName="SHA-512" hashValue="AS37Oow7rEgoZtiwlN6IWuYOf0Vwc6TmDo87OMRr/wr2TvmcaOFECiQL08WDyGnz83baFCMsqX9NrutvCepiiQ==" saltValue="d+i9/ZTv/mFgMuYVQL6eEQ==" spinCount="100000" sheet="1" objects="1" scenarios="1"/>
  <mergeCells count="18">
    <mergeCell ref="A1:H1"/>
    <mergeCell ref="A8:B9"/>
    <mergeCell ref="C8:D9"/>
    <mergeCell ref="E8:E9"/>
    <mergeCell ref="E6:E7"/>
    <mergeCell ref="F6:H7"/>
    <mergeCell ref="F8:H9"/>
    <mergeCell ref="E4:E5"/>
    <mergeCell ref="F4:H5"/>
    <mergeCell ref="A56:G56"/>
    <mergeCell ref="A2:B3"/>
    <mergeCell ref="C2:D3"/>
    <mergeCell ref="E2:E3"/>
    <mergeCell ref="C6:D7"/>
    <mergeCell ref="C4:D5"/>
    <mergeCell ref="A4:B5"/>
    <mergeCell ref="A6:B7"/>
    <mergeCell ref="F2:H3"/>
  </mergeCells>
  <pageMargins left="0.7" right="0.7" top="0.75" bottom="0.75" header="0" footer="0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0"/>
  <sheetViews>
    <sheetView topLeftCell="A19" workbookViewId="0">
      <selection activeCell="C10" activeCellId="5" sqref="A31:I35 F4:G7 I4:I7 F10:G11 C8:D9 C10:D11"/>
    </sheetView>
  </sheetViews>
  <sheetFormatPr defaultColWidth="14.42578125" defaultRowHeight="15" customHeight="1" x14ac:dyDescent="0.2"/>
  <cols>
    <col min="1" max="1" width="9.140625" customWidth="1"/>
    <col min="2" max="2" width="12.7109375" customWidth="1"/>
    <col min="3" max="3" width="22.85546875" customWidth="1"/>
    <col min="4" max="4" width="10.140625" customWidth="1"/>
    <col min="5" max="5" width="14" customWidth="1"/>
    <col min="6" max="6" width="22.85546875" customWidth="1"/>
    <col min="7" max="7" width="9.140625" customWidth="1"/>
    <col min="8" max="8" width="12.7109375" customWidth="1"/>
    <col min="9" max="9" width="22.85546875" customWidth="1"/>
    <col min="10" max="19" width="11.5703125" customWidth="1"/>
    <col min="20" max="26" width="8" customWidth="1"/>
  </cols>
  <sheetData>
    <row r="1" spans="1:10" ht="72.75" customHeight="1" x14ac:dyDescent="0.2">
      <c r="A1" s="43"/>
      <c r="B1" s="45"/>
      <c r="C1" s="104" t="s">
        <v>226</v>
      </c>
      <c r="D1" s="88"/>
      <c r="E1" s="88"/>
      <c r="F1" s="88"/>
      <c r="G1" s="88"/>
      <c r="H1" s="88"/>
      <c r="I1" s="88"/>
    </row>
    <row r="2" spans="1:10" ht="12.75" customHeight="1" x14ac:dyDescent="0.2">
      <c r="A2" s="94" t="s">
        <v>3</v>
      </c>
      <c r="B2" s="78"/>
      <c r="C2" s="74" t="s">
        <v>15</v>
      </c>
      <c r="D2" s="78"/>
      <c r="E2" s="89" t="s">
        <v>16</v>
      </c>
      <c r="F2" s="89"/>
      <c r="G2" s="78"/>
      <c r="H2" s="89" t="s">
        <v>229</v>
      </c>
      <c r="I2" s="119"/>
      <c r="J2" s="3"/>
    </row>
    <row r="3" spans="1:10" ht="12.75" customHeight="1" x14ac:dyDescent="0.2">
      <c r="A3" s="95"/>
      <c r="B3" s="75"/>
      <c r="C3" s="75"/>
      <c r="D3" s="75"/>
      <c r="E3" s="75"/>
      <c r="F3" s="75"/>
      <c r="G3" s="75"/>
      <c r="H3" s="75"/>
      <c r="I3" s="82"/>
      <c r="J3" s="3"/>
    </row>
    <row r="4" spans="1:10" ht="12.75" customHeight="1" x14ac:dyDescent="0.2">
      <c r="A4" s="96" t="s">
        <v>22</v>
      </c>
      <c r="B4" s="75"/>
      <c r="C4" s="76" t="s">
        <v>24</v>
      </c>
      <c r="D4" s="75"/>
      <c r="E4" s="76" t="s">
        <v>30</v>
      </c>
      <c r="F4" s="76"/>
      <c r="G4" s="75"/>
      <c r="H4" s="76" t="s">
        <v>229</v>
      </c>
      <c r="I4" s="105"/>
      <c r="J4" s="3"/>
    </row>
    <row r="5" spans="1:10" ht="12.75" customHeight="1" x14ac:dyDescent="0.2">
      <c r="A5" s="95"/>
      <c r="B5" s="75"/>
      <c r="C5" s="75"/>
      <c r="D5" s="75"/>
      <c r="E5" s="75"/>
      <c r="F5" s="75"/>
      <c r="G5" s="75"/>
      <c r="H5" s="75"/>
      <c r="I5" s="82"/>
      <c r="J5" s="3"/>
    </row>
    <row r="6" spans="1:10" ht="12.75" customHeight="1" x14ac:dyDescent="0.2">
      <c r="A6" s="96" t="s">
        <v>31</v>
      </c>
      <c r="B6" s="75"/>
      <c r="C6" s="76" t="s">
        <v>32</v>
      </c>
      <c r="D6" s="75"/>
      <c r="E6" s="76" t="s">
        <v>34</v>
      </c>
      <c r="F6" s="76"/>
      <c r="G6" s="75"/>
      <c r="H6" s="76" t="s">
        <v>229</v>
      </c>
      <c r="I6" s="105"/>
      <c r="J6" s="3"/>
    </row>
    <row r="7" spans="1:10" ht="12.75" customHeight="1" x14ac:dyDescent="0.2">
      <c r="A7" s="95"/>
      <c r="B7" s="75"/>
      <c r="C7" s="75"/>
      <c r="D7" s="75"/>
      <c r="E7" s="75"/>
      <c r="F7" s="75"/>
      <c r="G7" s="75"/>
      <c r="H7" s="75"/>
      <c r="I7" s="82"/>
      <c r="J7" s="3"/>
    </row>
    <row r="8" spans="1:10" ht="12.75" customHeight="1" x14ac:dyDescent="0.2">
      <c r="A8" s="96" t="s">
        <v>29</v>
      </c>
      <c r="B8" s="75"/>
      <c r="C8" s="90" t="s">
        <v>17</v>
      </c>
      <c r="D8" s="75"/>
      <c r="E8" s="76" t="s">
        <v>33</v>
      </c>
      <c r="F8" s="80">
        <v>43343</v>
      </c>
      <c r="G8" s="75"/>
      <c r="H8" s="90" t="s">
        <v>230</v>
      </c>
      <c r="I8" s="105" t="s">
        <v>220</v>
      </c>
      <c r="J8" s="3"/>
    </row>
    <row r="9" spans="1:10" ht="12.75" customHeight="1" x14ac:dyDescent="0.2">
      <c r="A9" s="95"/>
      <c r="B9" s="75"/>
      <c r="C9" s="75"/>
      <c r="D9" s="75"/>
      <c r="E9" s="75"/>
      <c r="F9" s="75"/>
      <c r="G9" s="75"/>
      <c r="H9" s="75"/>
      <c r="I9" s="82"/>
      <c r="J9" s="3"/>
    </row>
    <row r="10" spans="1:10" ht="12.75" customHeight="1" x14ac:dyDescent="0.2">
      <c r="A10" s="96" t="s">
        <v>35</v>
      </c>
      <c r="B10" s="75"/>
      <c r="C10" s="76"/>
      <c r="D10" s="75"/>
      <c r="E10" s="76" t="s">
        <v>37</v>
      </c>
      <c r="F10" s="76"/>
      <c r="G10" s="75"/>
      <c r="H10" s="90" t="s">
        <v>231</v>
      </c>
      <c r="I10" s="110">
        <v>43215</v>
      </c>
      <c r="J10" s="3"/>
    </row>
    <row r="11" spans="1:10" ht="12.75" customHeight="1" x14ac:dyDescent="0.2">
      <c r="A11" s="122"/>
      <c r="B11" s="88"/>
      <c r="C11" s="88"/>
      <c r="D11" s="88"/>
      <c r="E11" s="88"/>
      <c r="F11" s="88"/>
      <c r="G11" s="88"/>
      <c r="H11" s="88"/>
      <c r="I11" s="111"/>
      <c r="J11" s="3"/>
    </row>
    <row r="12" spans="1:10" ht="18.75" customHeight="1" x14ac:dyDescent="0.2">
      <c r="A12" s="120" t="s">
        <v>232</v>
      </c>
      <c r="B12" s="121"/>
      <c r="C12" s="121"/>
      <c r="D12" s="121"/>
      <c r="E12" s="121"/>
      <c r="F12" s="121"/>
      <c r="G12" s="121"/>
      <c r="H12" s="121"/>
      <c r="I12" s="121"/>
    </row>
    <row r="13" spans="1:10" ht="26.25" customHeight="1" x14ac:dyDescent="0.2">
      <c r="A13" s="46" t="s">
        <v>233</v>
      </c>
      <c r="B13" s="114" t="s">
        <v>234</v>
      </c>
      <c r="C13" s="113"/>
      <c r="D13" s="46" t="s">
        <v>235</v>
      </c>
      <c r="E13" s="114" t="s">
        <v>236</v>
      </c>
      <c r="F13" s="113"/>
      <c r="G13" s="46" t="s">
        <v>237</v>
      </c>
      <c r="H13" s="114" t="s">
        <v>238</v>
      </c>
      <c r="I13" s="113"/>
      <c r="J13" s="3"/>
    </row>
    <row r="14" spans="1:10" ht="12.75" customHeight="1" x14ac:dyDescent="0.2">
      <c r="A14" s="47" t="s">
        <v>239</v>
      </c>
      <c r="B14" s="48" t="s">
        <v>240</v>
      </c>
      <c r="C14" s="49">
        <f>SUM('Stavební rozpočet'!R12:R67)</f>
        <v>0</v>
      </c>
      <c r="D14" s="112" t="s">
        <v>241</v>
      </c>
      <c r="E14" s="113"/>
      <c r="F14" s="49">
        <v>0</v>
      </c>
      <c r="G14" s="112" t="s">
        <v>242</v>
      </c>
      <c r="H14" s="113"/>
      <c r="I14" s="49">
        <v>0</v>
      </c>
      <c r="J14" s="3"/>
    </row>
    <row r="15" spans="1:10" ht="12.75" customHeight="1" x14ac:dyDescent="0.2">
      <c r="A15" s="50"/>
      <c r="B15" s="48" t="s">
        <v>94</v>
      </c>
      <c r="C15" s="49">
        <f>SUM('Stavební rozpočet'!S12:S67)</f>
        <v>0</v>
      </c>
      <c r="D15" s="112" t="s">
        <v>243</v>
      </c>
      <c r="E15" s="113"/>
      <c r="F15" s="49">
        <v>0</v>
      </c>
      <c r="G15" s="112" t="s">
        <v>244</v>
      </c>
      <c r="H15" s="113"/>
      <c r="I15" s="49">
        <v>0</v>
      </c>
      <c r="J15" s="3"/>
    </row>
    <row r="16" spans="1:10" ht="12.75" customHeight="1" x14ac:dyDescent="0.2">
      <c r="A16" s="47" t="s">
        <v>245</v>
      </c>
      <c r="B16" s="48" t="s">
        <v>240</v>
      </c>
      <c r="C16" s="49">
        <f>SUM('Stavební rozpočet'!T12:T67)</f>
        <v>0</v>
      </c>
      <c r="D16" s="112" t="s">
        <v>248</v>
      </c>
      <c r="E16" s="113"/>
      <c r="F16" s="49">
        <v>0</v>
      </c>
      <c r="G16" s="112" t="s">
        <v>249</v>
      </c>
      <c r="H16" s="113"/>
      <c r="I16" s="49">
        <v>0</v>
      </c>
      <c r="J16" s="3"/>
    </row>
    <row r="17" spans="1:10" ht="12.75" customHeight="1" x14ac:dyDescent="0.2">
      <c r="A17" s="50"/>
      <c r="B17" s="48" t="s">
        <v>94</v>
      </c>
      <c r="C17" s="49">
        <f>SUM('Stavební rozpočet'!U12:U67)</f>
        <v>0</v>
      </c>
      <c r="D17" s="112"/>
      <c r="E17" s="113"/>
      <c r="F17" s="51"/>
      <c r="G17" s="112" t="s">
        <v>250</v>
      </c>
      <c r="H17" s="113"/>
      <c r="I17" s="49">
        <v>0</v>
      </c>
      <c r="J17" s="3"/>
    </row>
    <row r="18" spans="1:10" ht="12.75" customHeight="1" x14ac:dyDescent="0.2">
      <c r="A18" s="47" t="s">
        <v>251</v>
      </c>
      <c r="B18" s="48" t="s">
        <v>240</v>
      </c>
      <c r="C18" s="49">
        <f>SUM('Stavební rozpočet'!V12:V67)</f>
        <v>0</v>
      </c>
      <c r="D18" s="112"/>
      <c r="E18" s="113"/>
      <c r="F18" s="51"/>
      <c r="G18" s="112" t="s">
        <v>252</v>
      </c>
      <c r="H18" s="113"/>
      <c r="I18" s="49">
        <v>0</v>
      </c>
      <c r="J18" s="3"/>
    </row>
    <row r="19" spans="1:10" ht="12.75" customHeight="1" x14ac:dyDescent="0.2">
      <c r="A19" s="50"/>
      <c r="B19" s="48" t="s">
        <v>94</v>
      </c>
      <c r="C19" s="49">
        <f>SUM('Stavební rozpočet'!W12:W67)</f>
        <v>0</v>
      </c>
      <c r="D19" s="112"/>
      <c r="E19" s="113"/>
      <c r="F19" s="51"/>
      <c r="G19" s="112" t="s">
        <v>253</v>
      </c>
      <c r="H19" s="113"/>
      <c r="I19" s="49">
        <v>0</v>
      </c>
      <c r="J19" s="3"/>
    </row>
    <row r="20" spans="1:10" ht="12.75" customHeight="1" x14ac:dyDescent="0.2">
      <c r="A20" s="118" t="s">
        <v>254</v>
      </c>
      <c r="B20" s="113"/>
      <c r="C20" s="49">
        <f>SUM('Stavební rozpočet'!X12:X67)</f>
        <v>0</v>
      </c>
      <c r="D20" s="112"/>
      <c r="E20" s="113"/>
      <c r="F20" s="51"/>
      <c r="G20" s="112"/>
      <c r="H20" s="113"/>
      <c r="I20" s="51"/>
      <c r="J20" s="3"/>
    </row>
    <row r="21" spans="1:10" ht="12.75" customHeight="1" x14ac:dyDescent="0.2">
      <c r="A21" s="118" t="s">
        <v>255</v>
      </c>
      <c r="B21" s="113"/>
      <c r="C21" s="49">
        <f>SUM('Stavební rozpočet'!P12:P67)</f>
        <v>0</v>
      </c>
      <c r="D21" s="112"/>
      <c r="E21" s="113"/>
      <c r="F21" s="51"/>
      <c r="G21" s="112"/>
      <c r="H21" s="113"/>
      <c r="I21" s="51"/>
      <c r="J21" s="3"/>
    </row>
    <row r="22" spans="1:10" ht="16.5" customHeight="1" x14ac:dyDescent="0.2">
      <c r="A22" s="118" t="s">
        <v>256</v>
      </c>
      <c r="B22" s="113"/>
      <c r="C22" s="49">
        <f>SUM(C14:C21)</f>
        <v>0</v>
      </c>
      <c r="D22" s="118" t="s">
        <v>257</v>
      </c>
      <c r="E22" s="113"/>
      <c r="F22" s="49">
        <f>SUM(F14:F21)</f>
        <v>0</v>
      </c>
      <c r="G22" s="118" t="s">
        <v>258</v>
      </c>
      <c r="H22" s="113"/>
      <c r="I22" s="49">
        <f>SUM(I14:I21)</f>
        <v>0</v>
      </c>
      <c r="J22" s="3"/>
    </row>
    <row r="23" spans="1:10" ht="12.75" customHeight="1" x14ac:dyDescent="0.2">
      <c r="A23" s="52"/>
      <c r="B23" s="52"/>
      <c r="C23" s="53"/>
      <c r="D23" s="118" t="s">
        <v>259</v>
      </c>
      <c r="E23" s="113"/>
      <c r="F23" s="54">
        <v>0</v>
      </c>
      <c r="G23" s="118" t="s">
        <v>261</v>
      </c>
      <c r="H23" s="113"/>
      <c r="I23" s="49">
        <v>0</v>
      </c>
      <c r="J23" s="3"/>
    </row>
    <row r="24" spans="1:10" ht="12.75" customHeight="1" x14ac:dyDescent="0.2">
      <c r="D24" s="52"/>
      <c r="E24" s="52"/>
      <c r="F24" s="55"/>
      <c r="G24" s="118" t="s">
        <v>262</v>
      </c>
      <c r="H24" s="113"/>
      <c r="I24" s="56"/>
    </row>
    <row r="25" spans="1:10" ht="12.75" customHeight="1" x14ac:dyDescent="0.2">
      <c r="F25" s="57"/>
      <c r="G25" s="118" t="s">
        <v>263</v>
      </c>
      <c r="H25" s="113"/>
      <c r="I25" s="49">
        <v>0</v>
      </c>
      <c r="J25" s="3"/>
    </row>
    <row r="26" spans="1:10" ht="12.75" customHeight="1" x14ac:dyDescent="0.2">
      <c r="A26" s="45"/>
      <c r="B26" s="45"/>
      <c r="C26" s="45"/>
      <c r="G26" s="52"/>
      <c r="H26" s="52"/>
      <c r="I26" s="52"/>
    </row>
    <row r="27" spans="1:10" ht="12.75" customHeight="1" x14ac:dyDescent="0.2">
      <c r="A27" s="108" t="s">
        <v>264</v>
      </c>
      <c r="B27" s="109"/>
      <c r="C27" s="58">
        <f>SUM('Stavební rozpočet'!Z12:Z67)</f>
        <v>0</v>
      </c>
      <c r="D27" s="59"/>
      <c r="E27" s="45"/>
      <c r="F27" s="45"/>
      <c r="G27" s="45"/>
      <c r="H27" s="45"/>
      <c r="I27" s="45"/>
    </row>
    <row r="28" spans="1:10" ht="12.75" customHeight="1" x14ac:dyDescent="0.2">
      <c r="A28" s="108" t="s">
        <v>265</v>
      </c>
      <c r="B28" s="109"/>
      <c r="C28" s="58">
        <f>SUM('Stavební rozpočet'!AA12:AA67)</f>
        <v>0</v>
      </c>
      <c r="D28" s="108" t="s">
        <v>266</v>
      </c>
      <c r="E28" s="109"/>
      <c r="F28" s="58">
        <f>ROUND(C28*(15/100),2)</f>
        <v>0</v>
      </c>
      <c r="G28" s="108" t="s">
        <v>267</v>
      </c>
      <c r="H28" s="109"/>
      <c r="I28" s="58">
        <f>SUM(C27:C29)</f>
        <v>0</v>
      </c>
      <c r="J28" s="3"/>
    </row>
    <row r="29" spans="1:10" ht="12.75" customHeight="1" x14ac:dyDescent="0.2">
      <c r="A29" s="108" t="s">
        <v>268</v>
      </c>
      <c r="B29" s="109"/>
      <c r="C29" s="58">
        <f>SUM('Stavební rozpočet'!AB12:AB67)+(F22+I22+F23+I23+I24+I25)</f>
        <v>0</v>
      </c>
      <c r="D29" s="108" t="s">
        <v>269</v>
      </c>
      <c r="E29" s="109"/>
      <c r="F29" s="58">
        <f>ROUND(C29*(21/100),2)</f>
        <v>0</v>
      </c>
      <c r="G29" s="108" t="s">
        <v>270</v>
      </c>
      <c r="H29" s="109"/>
      <c r="I29" s="58">
        <f>SUM(F28:F29)+I28</f>
        <v>0</v>
      </c>
      <c r="J29" s="3"/>
    </row>
    <row r="30" spans="1:10" ht="12.75" customHeight="1" x14ac:dyDescent="0.2">
      <c r="A30" s="60"/>
      <c r="B30" s="60"/>
      <c r="C30" s="60"/>
      <c r="D30" s="60"/>
      <c r="E30" s="60"/>
      <c r="F30" s="60"/>
      <c r="G30" s="60"/>
      <c r="H30" s="60"/>
      <c r="I30" s="60"/>
    </row>
    <row r="31" spans="1:10" ht="12.75" customHeight="1" x14ac:dyDescent="0.2">
      <c r="A31" s="115" t="s">
        <v>271</v>
      </c>
      <c r="B31" s="116"/>
      <c r="C31" s="117"/>
      <c r="D31" s="115" t="s">
        <v>272</v>
      </c>
      <c r="E31" s="116"/>
      <c r="F31" s="117"/>
      <c r="G31" s="115" t="s">
        <v>273</v>
      </c>
      <c r="H31" s="116"/>
      <c r="I31" s="117"/>
      <c r="J31" s="20"/>
    </row>
    <row r="32" spans="1:10" ht="12.75" customHeight="1" x14ac:dyDescent="0.2">
      <c r="A32" s="106"/>
      <c r="B32" s="75"/>
      <c r="C32" s="107"/>
      <c r="D32" s="106"/>
      <c r="E32" s="75"/>
      <c r="F32" s="107"/>
      <c r="G32" s="106"/>
      <c r="H32" s="75"/>
      <c r="I32" s="107"/>
      <c r="J32" s="20"/>
    </row>
    <row r="33" spans="1:10" ht="12.75" customHeight="1" x14ac:dyDescent="0.2">
      <c r="A33" s="106"/>
      <c r="B33" s="75"/>
      <c r="C33" s="107"/>
      <c r="D33" s="106"/>
      <c r="E33" s="75"/>
      <c r="F33" s="107"/>
      <c r="G33" s="106"/>
      <c r="H33" s="75"/>
      <c r="I33" s="107"/>
      <c r="J33" s="20"/>
    </row>
    <row r="34" spans="1:10" ht="12.75" customHeight="1" x14ac:dyDescent="0.2">
      <c r="A34" s="106"/>
      <c r="B34" s="75"/>
      <c r="C34" s="107"/>
      <c r="D34" s="106"/>
      <c r="E34" s="75"/>
      <c r="F34" s="107"/>
      <c r="G34" s="106"/>
      <c r="H34" s="75"/>
      <c r="I34" s="107"/>
      <c r="J34" s="20"/>
    </row>
    <row r="35" spans="1:10" ht="12.75" customHeight="1" x14ac:dyDescent="0.2">
      <c r="A35" s="123" t="s">
        <v>274</v>
      </c>
      <c r="B35" s="81"/>
      <c r="C35" s="124"/>
      <c r="D35" s="123" t="s">
        <v>274</v>
      </c>
      <c r="E35" s="81"/>
      <c r="F35" s="124"/>
      <c r="G35" s="123" t="s">
        <v>274</v>
      </c>
      <c r="H35" s="81"/>
      <c r="I35" s="124"/>
      <c r="J35" s="20"/>
    </row>
    <row r="36" spans="1:10" ht="10.5" customHeight="1" x14ac:dyDescent="0.2">
      <c r="A36" s="61" t="s">
        <v>223</v>
      </c>
      <c r="B36" s="24"/>
      <c r="C36" s="24"/>
      <c r="D36" s="24"/>
      <c r="E36" s="24"/>
      <c r="F36" s="24"/>
      <c r="G36" s="24"/>
      <c r="H36" s="24"/>
      <c r="I36" s="24"/>
    </row>
    <row r="37" spans="1:10" ht="409.5" hidden="1" customHeight="1" x14ac:dyDescent="0.2">
      <c r="A37" s="76"/>
      <c r="B37" s="75"/>
      <c r="C37" s="75"/>
      <c r="D37" s="75"/>
      <c r="E37" s="75"/>
      <c r="F37" s="75"/>
      <c r="G37" s="75"/>
      <c r="H37" s="75"/>
      <c r="I37" s="75"/>
    </row>
    <row r="38" spans="1:10" ht="12.75" customHeight="1" x14ac:dyDescent="0.2"/>
    <row r="39" spans="1:10" ht="12.75" customHeight="1" x14ac:dyDescent="0.2"/>
    <row r="40" spans="1:10" ht="12.75" customHeight="1" x14ac:dyDescent="0.2"/>
    <row r="41" spans="1:10" ht="12.75" customHeight="1" x14ac:dyDescent="0.2"/>
    <row r="42" spans="1:10" ht="12.75" customHeight="1" x14ac:dyDescent="0.2"/>
    <row r="43" spans="1:10" ht="12.75" customHeight="1" x14ac:dyDescent="0.2"/>
    <row r="44" spans="1:10" ht="12.75" customHeight="1" x14ac:dyDescent="0.2"/>
    <row r="45" spans="1:10" ht="12.75" customHeight="1" x14ac:dyDescent="0.2"/>
    <row r="46" spans="1:10" ht="12.75" customHeight="1" x14ac:dyDescent="0.2"/>
    <row r="47" spans="1:10" ht="12.75" customHeight="1" x14ac:dyDescent="0.2"/>
    <row r="48" spans="1:10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sheetProtection algorithmName="SHA-512" hashValue="t80ARwFLT3N8C5kymbBFpiAvoyAfVIyWiiENj4OHRdXu3XEtoRno3AW0X1qQGFm8g6KWDMFrGApqKeovMZk+Hw==" saltValue="a1hibFmSob3mtHb6E7vQFg==" spinCount="100000" sheet="1" objects="1" scenarios="1"/>
  <mergeCells count="83">
    <mergeCell ref="H6:H7"/>
    <mergeCell ref="C6:D7"/>
    <mergeCell ref="E6:E7"/>
    <mergeCell ref="C8:D9"/>
    <mergeCell ref="E8:E9"/>
    <mergeCell ref="F6:G7"/>
    <mergeCell ref="G14:H14"/>
    <mergeCell ref="G15:H15"/>
    <mergeCell ref="D22:E22"/>
    <mergeCell ref="G17:H17"/>
    <mergeCell ref="F10:G11"/>
    <mergeCell ref="H10:H11"/>
    <mergeCell ref="G24:H24"/>
    <mergeCell ref="G25:H25"/>
    <mergeCell ref="G18:H18"/>
    <mergeCell ref="G19:H19"/>
    <mergeCell ref="G20:H20"/>
    <mergeCell ref="G22:H22"/>
    <mergeCell ref="D35:F35"/>
    <mergeCell ref="A37:I37"/>
    <mergeCell ref="G35:I35"/>
    <mergeCell ref="A35:C35"/>
    <mergeCell ref="A34:C34"/>
    <mergeCell ref="D34:F34"/>
    <mergeCell ref="G34:I34"/>
    <mergeCell ref="G32:I32"/>
    <mergeCell ref="A31:C31"/>
    <mergeCell ref="H2:H3"/>
    <mergeCell ref="I2:I3"/>
    <mergeCell ref="I8:I9"/>
    <mergeCell ref="I6:I7"/>
    <mergeCell ref="F8:G9"/>
    <mergeCell ref="H8:H9"/>
    <mergeCell ref="A12:I12"/>
    <mergeCell ref="A8:B9"/>
    <mergeCell ref="A10:B11"/>
    <mergeCell ref="A22:B22"/>
    <mergeCell ref="A27:B27"/>
    <mergeCell ref="A28:B28"/>
    <mergeCell ref="A29:B29"/>
    <mergeCell ref="G23:H23"/>
    <mergeCell ref="A2:B3"/>
    <mergeCell ref="A4:B5"/>
    <mergeCell ref="A6:B7"/>
    <mergeCell ref="A20:B20"/>
    <mergeCell ref="A21:B21"/>
    <mergeCell ref="D23:E23"/>
    <mergeCell ref="B13:C13"/>
    <mergeCell ref="A32:C32"/>
    <mergeCell ref="A33:C33"/>
    <mergeCell ref="D33:F33"/>
    <mergeCell ref="D18:E18"/>
    <mergeCell ref="D19:E19"/>
    <mergeCell ref="D31:F31"/>
    <mergeCell ref="D28:E28"/>
    <mergeCell ref="D32:F32"/>
    <mergeCell ref="D20:E20"/>
    <mergeCell ref="D21:E21"/>
    <mergeCell ref="G33:I33"/>
    <mergeCell ref="G28:H28"/>
    <mergeCell ref="I10:I11"/>
    <mergeCell ref="C10:D11"/>
    <mergeCell ref="E10:E11"/>
    <mergeCell ref="D14:E14"/>
    <mergeCell ref="D15:E15"/>
    <mergeCell ref="D29:E29"/>
    <mergeCell ref="G29:H29"/>
    <mergeCell ref="E13:F13"/>
    <mergeCell ref="H13:I13"/>
    <mergeCell ref="G31:I31"/>
    <mergeCell ref="G21:H21"/>
    <mergeCell ref="D16:E16"/>
    <mergeCell ref="G16:H16"/>
    <mergeCell ref="D17:E17"/>
    <mergeCell ref="C1:I1"/>
    <mergeCell ref="C2:D3"/>
    <mergeCell ref="E2:E3"/>
    <mergeCell ref="F2:G3"/>
    <mergeCell ref="I4:I5"/>
    <mergeCell ref="C4:D5"/>
    <mergeCell ref="E4:E5"/>
    <mergeCell ref="F4:G5"/>
    <mergeCell ref="H4:H5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Stavební rozpočet</vt:lpstr>
      <vt:lpstr>Rozpočet - vybrané sloupce</vt:lpstr>
      <vt:lpstr>Stavební rozpočet - součet</vt:lpstr>
      <vt:lpstr>Výkaz výměr</vt:lpstr>
      <vt:lpstr>Krycí list rozpočtu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Šárka Hrdinová</cp:lastModifiedBy>
  <dcterms:modified xsi:type="dcterms:W3CDTF">2018-06-19T08:27:07Z</dcterms:modified>
</cp:coreProperties>
</file>