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005" windowHeight="12000"/>
  </bookViews>
  <sheets>
    <sheet name="Stavební rozpočet" sheetId="1" r:id="rId1"/>
    <sheet name="Stavební rozpočet - součet" sheetId="2" r:id="rId2"/>
    <sheet name="Krycí list rozpočtu" sheetId="3" r:id="rId3"/>
  </sheets>
  <calcPr calcId="124519" iterateCount="1"/>
</workbook>
</file>

<file path=xl/calcChain.xml><?xml version="1.0" encoding="utf-8"?>
<calcChain xmlns="http://schemas.openxmlformats.org/spreadsheetml/2006/main">
  <c r="AS1" i="1"/>
  <c r="AT1"/>
  <c r="AU1"/>
  <c r="L13"/>
  <c r="AH13"/>
  <c r="AO13"/>
  <c r="AP13"/>
  <c r="K13"/>
  <c r="K12"/>
  <c r="AX13"/>
  <c r="BD13"/>
  <c r="BF13"/>
  <c r="BH13"/>
  <c r="BI13"/>
  <c r="AC13"/>
  <c r="BJ13"/>
  <c r="Z13"/>
  <c r="AS14"/>
  <c r="L15"/>
  <c r="L14"/>
  <c r="Z15"/>
  <c r="AE15"/>
  <c r="AJ15"/>
  <c r="AK15"/>
  <c r="AT14"/>
  <c r="AL15"/>
  <c r="AU14"/>
  <c r="AO15"/>
  <c r="J15"/>
  <c r="J14"/>
  <c r="AP15"/>
  <c r="AX15"/>
  <c r="AW15"/>
  <c r="BC15"/>
  <c r="BD15"/>
  <c r="BF15"/>
  <c r="BH15"/>
  <c r="AB15"/>
  <c r="BI15"/>
  <c r="BJ15"/>
  <c r="AH15"/>
  <c r="L18"/>
  <c r="AO18"/>
  <c r="AP18"/>
  <c r="K18"/>
  <c r="AX18"/>
  <c r="BD18"/>
  <c r="BF18"/>
  <c r="BH18"/>
  <c r="BI18"/>
  <c r="AC18"/>
  <c r="BJ18"/>
  <c r="L19"/>
  <c r="Z19"/>
  <c r="AC19"/>
  <c r="AG19"/>
  <c r="AJ19"/>
  <c r="AK19"/>
  <c r="AL19"/>
  <c r="AO19"/>
  <c r="J19"/>
  <c r="AP19"/>
  <c r="AX19"/>
  <c r="AW19"/>
  <c r="BD19"/>
  <c r="BF19"/>
  <c r="BH19"/>
  <c r="AB19"/>
  <c r="BI19"/>
  <c r="AE19"/>
  <c r="BJ19"/>
  <c r="AH19"/>
  <c r="L20"/>
  <c r="AH20"/>
  <c r="AO20"/>
  <c r="AP20"/>
  <c r="K20"/>
  <c r="AX20"/>
  <c r="BD20"/>
  <c r="BF20"/>
  <c r="BH20"/>
  <c r="BI20"/>
  <c r="AC20"/>
  <c r="BJ20"/>
  <c r="Z20"/>
  <c r="L23"/>
  <c r="Z23"/>
  <c r="AE23"/>
  <c r="AJ23"/>
  <c r="AK23"/>
  <c r="AL23"/>
  <c r="AO23"/>
  <c r="J23"/>
  <c r="AP23"/>
  <c r="AX23"/>
  <c r="AW23"/>
  <c r="BC23"/>
  <c r="BD23"/>
  <c r="BF23"/>
  <c r="BH23"/>
  <c r="AB23"/>
  <c r="BI23"/>
  <c r="BJ23"/>
  <c r="AH23"/>
  <c r="J24"/>
  <c r="L24"/>
  <c r="AB24"/>
  <c r="AF24"/>
  <c r="AK24"/>
  <c r="AO24"/>
  <c r="AW24"/>
  <c r="AP24"/>
  <c r="K24"/>
  <c r="AX24"/>
  <c r="AV24"/>
  <c r="BD24"/>
  <c r="BF24"/>
  <c r="BH24"/>
  <c r="AD24"/>
  <c r="BI24"/>
  <c r="AC24"/>
  <c r="BJ24"/>
  <c r="Z24"/>
  <c r="L25"/>
  <c r="Z25"/>
  <c r="AJ25"/>
  <c r="AK25"/>
  <c r="AL25"/>
  <c r="AO25"/>
  <c r="J25"/>
  <c r="AP25"/>
  <c r="AW25"/>
  <c r="BD25"/>
  <c r="BF25"/>
  <c r="BH25"/>
  <c r="AB25"/>
  <c r="BI25"/>
  <c r="BJ25"/>
  <c r="AH25"/>
  <c r="J26"/>
  <c r="L26"/>
  <c r="AB26"/>
  <c r="AF26"/>
  <c r="AK26"/>
  <c r="AO26"/>
  <c r="AW26"/>
  <c r="AP26"/>
  <c r="K26"/>
  <c r="AX26"/>
  <c r="AV26"/>
  <c r="BD26"/>
  <c r="BF26"/>
  <c r="BH26"/>
  <c r="AD26"/>
  <c r="BI26"/>
  <c r="BJ26"/>
  <c r="Z26"/>
  <c r="L28"/>
  <c r="AO28"/>
  <c r="AP28"/>
  <c r="K28"/>
  <c r="AX28"/>
  <c r="BD28"/>
  <c r="BF28"/>
  <c r="BH28"/>
  <c r="BI28"/>
  <c r="AC28"/>
  <c r="BJ28"/>
  <c r="L29"/>
  <c r="Z29"/>
  <c r="AC29"/>
  <c r="AG29"/>
  <c r="AJ29"/>
  <c r="AK29"/>
  <c r="AL29"/>
  <c r="AO29"/>
  <c r="J29"/>
  <c r="AP29"/>
  <c r="AX29"/>
  <c r="AW29"/>
  <c r="BD29"/>
  <c r="BF29"/>
  <c r="BH29"/>
  <c r="AB29"/>
  <c r="BI29"/>
  <c r="AE29"/>
  <c r="BJ29"/>
  <c r="AH29"/>
  <c r="L30"/>
  <c r="AH30"/>
  <c r="AO30"/>
  <c r="AP30"/>
  <c r="K30"/>
  <c r="AX30"/>
  <c r="BD30"/>
  <c r="BF30"/>
  <c r="BH30"/>
  <c r="BI30"/>
  <c r="AC30"/>
  <c r="BJ30"/>
  <c r="Z30"/>
  <c r="L33"/>
  <c r="Z33"/>
  <c r="AE33"/>
  <c r="AJ33"/>
  <c r="AK33"/>
  <c r="AL33"/>
  <c r="AO33"/>
  <c r="J33"/>
  <c r="AP33"/>
  <c r="AX33"/>
  <c r="AW33"/>
  <c r="BC33"/>
  <c r="BD33"/>
  <c r="BF33"/>
  <c r="BH33"/>
  <c r="AB33"/>
  <c r="BI33"/>
  <c r="BJ33"/>
  <c r="AH33"/>
  <c r="J35"/>
  <c r="L35"/>
  <c r="AB35"/>
  <c r="AF35"/>
  <c r="AK35"/>
  <c r="AO35"/>
  <c r="AW35"/>
  <c r="AP35"/>
  <c r="K35"/>
  <c r="AX35"/>
  <c r="AV35"/>
  <c r="BD35"/>
  <c r="BF35"/>
  <c r="BH35"/>
  <c r="AD35"/>
  <c r="BI35"/>
  <c r="AC35"/>
  <c r="BJ35"/>
  <c r="Z35"/>
  <c r="L36"/>
  <c r="Z36"/>
  <c r="AJ36"/>
  <c r="AK36"/>
  <c r="AL36"/>
  <c r="AO36"/>
  <c r="J36"/>
  <c r="AP36"/>
  <c r="AW36"/>
  <c r="BD36"/>
  <c r="BF36"/>
  <c r="BH36"/>
  <c r="AB36"/>
  <c r="BI36"/>
  <c r="BJ36"/>
  <c r="AH36"/>
  <c r="J38"/>
  <c r="L38"/>
  <c r="AB38"/>
  <c r="AF38"/>
  <c r="AK38"/>
  <c r="AO38"/>
  <c r="AW38"/>
  <c r="AP38"/>
  <c r="K38"/>
  <c r="AX38"/>
  <c r="AV38"/>
  <c r="BD38"/>
  <c r="BF38"/>
  <c r="BH38"/>
  <c r="AD38"/>
  <c r="BI38"/>
  <c r="AC38"/>
  <c r="BJ38"/>
  <c r="Z38"/>
  <c r="L40"/>
  <c r="Z40"/>
  <c r="AE40"/>
  <c r="AJ40"/>
  <c r="AK40"/>
  <c r="AL40"/>
  <c r="AO40"/>
  <c r="J40"/>
  <c r="AP40"/>
  <c r="AX40"/>
  <c r="AW40"/>
  <c r="BC40"/>
  <c r="BD40"/>
  <c r="BF40"/>
  <c r="BH40"/>
  <c r="AB40"/>
  <c r="BI40"/>
  <c r="BJ40"/>
  <c r="AH40"/>
  <c r="J41"/>
  <c r="L41"/>
  <c r="AB41"/>
  <c r="AF41"/>
  <c r="AK41"/>
  <c r="AO41"/>
  <c r="AW41"/>
  <c r="AP41"/>
  <c r="K41"/>
  <c r="AX41"/>
  <c r="AV41"/>
  <c r="BD41"/>
  <c r="BF41"/>
  <c r="BH41"/>
  <c r="AD41"/>
  <c r="BI41"/>
  <c r="AC41"/>
  <c r="BJ41"/>
  <c r="Z41"/>
  <c r="L42"/>
  <c r="Z42"/>
  <c r="AJ42"/>
  <c r="AK42"/>
  <c r="AL42"/>
  <c r="AO42"/>
  <c r="J42"/>
  <c r="AP42"/>
  <c r="AW42"/>
  <c r="BD42"/>
  <c r="BF42"/>
  <c r="BH42"/>
  <c r="AB42"/>
  <c r="BI42"/>
  <c r="BJ42"/>
  <c r="AH42"/>
  <c r="J43"/>
  <c r="L43"/>
  <c r="AB43"/>
  <c r="AF43"/>
  <c r="AK43"/>
  <c r="AO43"/>
  <c r="AW43"/>
  <c r="AP43"/>
  <c r="K43"/>
  <c r="AX43"/>
  <c r="AV43"/>
  <c r="BD43"/>
  <c r="BF43"/>
  <c r="BH43"/>
  <c r="AD43"/>
  <c r="BI43"/>
  <c r="AC43"/>
  <c r="BJ43"/>
  <c r="Z43"/>
  <c r="L45"/>
  <c r="Z45"/>
  <c r="AC45"/>
  <c r="AG45"/>
  <c r="AJ45"/>
  <c r="AK45"/>
  <c r="AL45"/>
  <c r="AO45"/>
  <c r="J45"/>
  <c r="AP45"/>
  <c r="AX45"/>
  <c r="AW45"/>
  <c r="BD45"/>
  <c r="BF45"/>
  <c r="BH45"/>
  <c r="AB45"/>
  <c r="BI45"/>
  <c r="AE45"/>
  <c r="BJ45"/>
  <c r="AH45"/>
  <c r="L46"/>
  <c r="AH46"/>
  <c r="AO46"/>
  <c r="AP46"/>
  <c r="K46"/>
  <c r="AX46"/>
  <c r="BD46"/>
  <c r="BF46"/>
  <c r="BH46"/>
  <c r="BI46"/>
  <c r="AC46"/>
  <c r="BJ46"/>
  <c r="Z46"/>
  <c r="L47"/>
  <c r="Z47"/>
  <c r="AC47"/>
  <c r="AG47"/>
  <c r="AJ47"/>
  <c r="AK47"/>
  <c r="AL47"/>
  <c r="AO47"/>
  <c r="J47"/>
  <c r="AP47"/>
  <c r="AX47"/>
  <c r="AW47"/>
  <c r="BD47"/>
  <c r="BF47"/>
  <c r="BH47"/>
  <c r="AB47"/>
  <c r="BI47"/>
  <c r="AE47"/>
  <c r="BJ47"/>
  <c r="AH47"/>
  <c r="L48"/>
  <c r="AO48"/>
  <c r="AP48"/>
  <c r="K48"/>
  <c r="AX48"/>
  <c r="BD48"/>
  <c r="BF48"/>
  <c r="BH48"/>
  <c r="BI48"/>
  <c r="AC48"/>
  <c r="BJ48"/>
  <c r="L49"/>
  <c r="AB49"/>
  <c r="AF49"/>
  <c r="AK49"/>
  <c r="AO49"/>
  <c r="AP49"/>
  <c r="K49"/>
  <c r="AX49"/>
  <c r="BD49"/>
  <c r="BF49"/>
  <c r="BH49"/>
  <c r="AD49"/>
  <c r="BI49"/>
  <c r="AC49"/>
  <c r="BJ49"/>
  <c r="Z49"/>
  <c r="L50"/>
  <c r="Z50"/>
  <c r="AE50"/>
  <c r="AJ50"/>
  <c r="AK50"/>
  <c r="AL50"/>
  <c r="AO50"/>
  <c r="J50"/>
  <c r="AP50"/>
  <c r="AX50"/>
  <c r="AW50"/>
  <c r="BC50"/>
  <c r="BD50"/>
  <c r="BF50"/>
  <c r="BH50"/>
  <c r="AB50"/>
  <c r="BI50"/>
  <c r="BJ50"/>
  <c r="AH50"/>
  <c r="J51"/>
  <c r="L51"/>
  <c r="AB51"/>
  <c r="AF51"/>
  <c r="AK51"/>
  <c r="AO51"/>
  <c r="AW51"/>
  <c r="AP51"/>
  <c r="K51"/>
  <c r="AX51"/>
  <c r="AV51"/>
  <c r="BD51"/>
  <c r="BF51"/>
  <c r="BH51"/>
  <c r="AD51"/>
  <c r="BI51"/>
  <c r="AC51"/>
  <c r="BJ51"/>
  <c r="Z51"/>
  <c r="AU52"/>
  <c r="L53"/>
  <c r="L52"/>
  <c r="G17" i="2"/>
  <c r="I17" s="1"/>
  <c r="Z53" i="1"/>
  <c r="AC53"/>
  <c r="AG53"/>
  <c r="AJ53"/>
  <c r="AS52"/>
  <c r="AK53"/>
  <c r="AT52"/>
  <c r="AL53"/>
  <c r="AO53"/>
  <c r="J53"/>
  <c r="J52"/>
  <c r="AP53"/>
  <c r="AX53"/>
  <c r="AW53"/>
  <c r="BD53"/>
  <c r="BF53"/>
  <c r="BH53"/>
  <c r="AB53"/>
  <c r="BI53"/>
  <c r="AE53"/>
  <c r="BJ53"/>
  <c r="AH53"/>
  <c r="L55"/>
  <c r="J56"/>
  <c r="J55"/>
  <c r="E18" i="2"/>
  <c r="L56" i="1"/>
  <c r="AB56"/>
  <c r="AF56"/>
  <c r="AK56"/>
  <c r="AT55"/>
  <c r="AO56"/>
  <c r="AW56"/>
  <c r="AP56"/>
  <c r="K56"/>
  <c r="AX56"/>
  <c r="AV56"/>
  <c r="BD56"/>
  <c r="BF56"/>
  <c r="BH56"/>
  <c r="AD56"/>
  <c r="BI56"/>
  <c r="AC56"/>
  <c r="BJ56"/>
  <c r="Z56"/>
  <c r="L57"/>
  <c r="Z57"/>
  <c r="AE57"/>
  <c r="AJ57"/>
  <c r="AK57"/>
  <c r="AL57"/>
  <c r="AO57"/>
  <c r="J57"/>
  <c r="AP57"/>
  <c r="AX57"/>
  <c r="AW57"/>
  <c r="BC57"/>
  <c r="BD57"/>
  <c r="BF57"/>
  <c r="BH57"/>
  <c r="AB57"/>
  <c r="BI57"/>
  <c r="BJ57"/>
  <c r="AH57"/>
  <c r="L59"/>
  <c r="AD59"/>
  <c r="AO59"/>
  <c r="AP59"/>
  <c r="K59"/>
  <c r="AX59"/>
  <c r="BD59"/>
  <c r="BF59"/>
  <c r="BH59"/>
  <c r="BI59"/>
  <c r="AC59"/>
  <c r="BJ59"/>
  <c r="L60"/>
  <c r="Z60"/>
  <c r="AC60"/>
  <c r="AG60"/>
  <c r="AJ60"/>
  <c r="AK60"/>
  <c r="AL60"/>
  <c r="AO60"/>
  <c r="J60"/>
  <c r="AP60"/>
  <c r="AX60"/>
  <c r="AW60"/>
  <c r="BD60"/>
  <c r="BF60"/>
  <c r="BH60"/>
  <c r="AB60"/>
  <c r="BI60"/>
  <c r="AE60"/>
  <c r="BJ60"/>
  <c r="AH60"/>
  <c r="L61"/>
  <c r="J62"/>
  <c r="L62"/>
  <c r="AB62"/>
  <c r="AF62"/>
  <c r="AK62"/>
  <c r="AO62"/>
  <c r="AW62"/>
  <c r="AP62"/>
  <c r="K62"/>
  <c r="AX62"/>
  <c r="AV62"/>
  <c r="BD62"/>
  <c r="BF62"/>
  <c r="BH62"/>
  <c r="AD62"/>
  <c r="BI62"/>
  <c r="AC62"/>
  <c r="BJ62"/>
  <c r="Z62"/>
  <c r="L64"/>
  <c r="Z64"/>
  <c r="AJ64"/>
  <c r="AK64"/>
  <c r="AL64"/>
  <c r="AO64"/>
  <c r="J64"/>
  <c r="AP64"/>
  <c r="AX64"/>
  <c r="AW64"/>
  <c r="BC64"/>
  <c r="BD64"/>
  <c r="BF64"/>
  <c r="BH64"/>
  <c r="AB64"/>
  <c r="BI64"/>
  <c r="BJ64"/>
  <c r="AH64"/>
  <c r="J66"/>
  <c r="L66"/>
  <c r="AB66"/>
  <c r="AF66"/>
  <c r="AK66"/>
  <c r="AO66"/>
  <c r="AW66"/>
  <c r="AP66"/>
  <c r="K66"/>
  <c r="AX66"/>
  <c r="AV66"/>
  <c r="BD66"/>
  <c r="BF66"/>
  <c r="BH66"/>
  <c r="AD66"/>
  <c r="BI66"/>
  <c r="AC66"/>
  <c r="BJ66"/>
  <c r="Z66"/>
  <c r="L68"/>
  <c r="Z68"/>
  <c r="AE68"/>
  <c r="AJ68"/>
  <c r="AK68"/>
  <c r="AL68"/>
  <c r="AO68"/>
  <c r="J68"/>
  <c r="AP68"/>
  <c r="AX68"/>
  <c r="AW68"/>
  <c r="BC68"/>
  <c r="BD68"/>
  <c r="BF68"/>
  <c r="BH68"/>
  <c r="AB68"/>
  <c r="BI68"/>
  <c r="BJ68"/>
  <c r="AH68"/>
  <c r="J70"/>
  <c r="L70"/>
  <c r="AB70"/>
  <c r="AF70"/>
  <c r="AK70"/>
  <c r="AO70"/>
  <c r="AW70"/>
  <c r="AP70"/>
  <c r="K70"/>
  <c r="AX70"/>
  <c r="AV70"/>
  <c r="BD70"/>
  <c r="BF70"/>
  <c r="BH70"/>
  <c r="AD70"/>
  <c r="BI70"/>
  <c r="AC70"/>
  <c r="BJ70"/>
  <c r="Z70"/>
  <c r="L71"/>
  <c r="Z71"/>
  <c r="AJ71"/>
  <c r="AK71"/>
  <c r="AL71"/>
  <c r="AO71"/>
  <c r="J71"/>
  <c r="AP71"/>
  <c r="AX71"/>
  <c r="AW71"/>
  <c r="BC71"/>
  <c r="BD71"/>
  <c r="BF71"/>
  <c r="BH71"/>
  <c r="AB71"/>
  <c r="BI71"/>
  <c r="BJ71"/>
  <c r="AH71"/>
  <c r="J72"/>
  <c r="L72"/>
  <c r="AB72"/>
  <c r="AF72"/>
  <c r="AK72"/>
  <c r="AO72"/>
  <c r="AW72"/>
  <c r="AP72"/>
  <c r="K72"/>
  <c r="AX72"/>
  <c r="AV72"/>
  <c r="BD72"/>
  <c r="BF72"/>
  <c r="BH72"/>
  <c r="AD72"/>
  <c r="BI72"/>
  <c r="AC72"/>
  <c r="BJ72"/>
  <c r="Z72"/>
  <c r="L73"/>
  <c r="Z73"/>
  <c r="AE73"/>
  <c r="AJ73"/>
  <c r="AK73"/>
  <c r="AL73"/>
  <c r="AO73"/>
  <c r="J73"/>
  <c r="AP73"/>
  <c r="AX73"/>
  <c r="AW73"/>
  <c r="BC73"/>
  <c r="BD73"/>
  <c r="BF73"/>
  <c r="BH73"/>
  <c r="AB73"/>
  <c r="BI73"/>
  <c r="BJ73"/>
  <c r="AH73"/>
  <c r="L75"/>
  <c r="AD75"/>
  <c r="AO75"/>
  <c r="AP75"/>
  <c r="K75"/>
  <c r="AX75"/>
  <c r="BD75"/>
  <c r="BF75"/>
  <c r="BH75"/>
  <c r="BI75"/>
  <c r="AC75"/>
  <c r="BJ75"/>
  <c r="L76"/>
  <c r="Z76"/>
  <c r="AC76"/>
  <c r="AG76"/>
  <c r="AJ76"/>
  <c r="AK76"/>
  <c r="AL76"/>
  <c r="AO76"/>
  <c r="J76"/>
  <c r="AP76"/>
  <c r="AX76"/>
  <c r="AW76"/>
  <c r="BD76"/>
  <c r="BF76"/>
  <c r="BH76"/>
  <c r="AB76"/>
  <c r="BI76"/>
  <c r="AE76"/>
  <c r="BJ76"/>
  <c r="AH76"/>
  <c r="L77"/>
  <c r="AH77"/>
  <c r="AO77"/>
  <c r="AP77"/>
  <c r="K77"/>
  <c r="AX77"/>
  <c r="BD77"/>
  <c r="BF77"/>
  <c r="BH77"/>
  <c r="BI77"/>
  <c r="AC77"/>
  <c r="BJ77"/>
  <c r="Z77"/>
  <c r="L78"/>
  <c r="Z78"/>
  <c r="AC78"/>
  <c r="AG78"/>
  <c r="AJ78"/>
  <c r="AK78"/>
  <c r="AL78"/>
  <c r="AO78"/>
  <c r="J78"/>
  <c r="AP78"/>
  <c r="AX78"/>
  <c r="AW78"/>
  <c r="BD78"/>
  <c r="BF78"/>
  <c r="BH78"/>
  <c r="AB78"/>
  <c r="BI78"/>
  <c r="AE78"/>
  <c r="BJ78"/>
  <c r="AH78"/>
  <c r="L79"/>
  <c r="J80"/>
  <c r="L80"/>
  <c r="AB80"/>
  <c r="AF80"/>
  <c r="AK80"/>
  <c r="AO80"/>
  <c r="AW80"/>
  <c r="AP80"/>
  <c r="K80"/>
  <c r="AX80"/>
  <c r="AV80"/>
  <c r="BD80"/>
  <c r="BF80"/>
  <c r="BH80"/>
  <c r="AD80"/>
  <c r="BI80"/>
  <c r="AC80"/>
  <c r="BJ80"/>
  <c r="Z80"/>
  <c r="L82"/>
  <c r="Z82"/>
  <c r="AE82"/>
  <c r="AJ82"/>
  <c r="AK82"/>
  <c r="AL82"/>
  <c r="AO82"/>
  <c r="J82"/>
  <c r="AP82"/>
  <c r="AX82"/>
  <c r="AW82"/>
  <c r="BC82"/>
  <c r="BD82"/>
  <c r="BF82"/>
  <c r="BH82"/>
  <c r="AB82"/>
  <c r="BI82"/>
  <c r="BJ82"/>
  <c r="AH82"/>
  <c r="J83"/>
  <c r="L83"/>
  <c r="AB83"/>
  <c r="AF83"/>
  <c r="AK83"/>
  <c r="AO83"/>
  <c r="AW83"/>
  <c r="AP83"/>
  <c r="K83"/>
  <c r="AX83"/>
  <c r="AV83"/>
  <c r="BD83"/>
  <c r="BF83"/>
  <c r="BH83"/>
  <c r="AD83"/>
  <c r="BI83"/>
  <c r="AC83"/>
  <c r="BJ83"/>
  <c r="Z83"/>
  <c r="K85"/>
  <c r="L85"/>
  <c r="Z85"/>
  <c r="AJ85"/>
  <c r="AK85"/>
  <c r="AL85"/>
  <c r="AO85"/>
  <c r="J85"/>
  <c r="AP85"/>
  <c r="AX85"/>
  <c r="AW85"/>
  <c r="BC85"/>
  <c r="BD85"/>
  <c r="BF85"/>
  <c r="BH85"/>
  <c r="AB85"/>
  <c r="BI85"/>
  <c r="BJ85"/>
  <c r="AH85"/>
  <c r="J87"/>
  <c r="L87"/>
  <c r="AB87"/>
  <c r="AF87"/>
  <c r="AK87"/>
  <c r="AO87"/>
  <c r="AW87"/>
  <c r="AP87"/>
  <c r="K87"/>
  <c r="AX87"/>
  <c r="AV87"/>
  <c r="BD87"/>
  <c r="BF87"/>
  <c r="BH87"/>
  <c r="AD87"/>
  <c r="BI87"/>
  <c r="AC87"/>
  <c r="BJ87"/>
  <c r="Z87"/>
  <c r="L90"/>
  <c r="Z90"/>
  <c r="AC90"/>
  <c r="AG90"/>
  <c r="AJ90"/>
  <c r="AK90"/>
  <c r="AL90"/>
  <c r="AO90"/>
  <c r="J90"/>
  <c r="AP90"/>
  <c r="AX90"/>
  <c r="AW90"/>
  <c r="BD90"/>
  <c r="BF90"/>
  <c r="BH90"/>
  <c r="AB90"/>
  <c r="BI90"/>
  <c r="AE90"/>
  <c r="BJ90"/>
  <c r="AH90"/>
  <c r="L92"/>
  <c r="AH92"/>
  <c r="AO92"/>
  <c r="AP92"/>
  <c r="K92"/>
  <c r="AX92"/>
  <c r="BD92"/>
  <c r="BF92"/>
  <c r="BH92"/>
  <c r="BI92"/>
  <c r="AC92"/>
  <c r="BJ92"/>
  <c r="Z92"/>
  <c r="L94"/>
  <c r="Z94"/>
  <c r="AC94"/>
  <c r="AG94"/>
  <c r="AJ94"/>
  <c r="AK94"/>
  <c r="AL94"/>
  <c r="AO94"/>
  <c r="J94"/>
  <c r="AP94"/>
  <c r="AX94"/>
  <c r="AW94"/>
  <c r="BD94"/>
  <c r="BF94"/>
  <c r="BH94"/>
  <c r="AB94"/>
  <c r="BI94"/>
  <c r="AE94"/>
  <c r="BJ94"/>
  <c r="AH94"/>
  <c r="L95"/>
  <c r="AD95"/>
  <c r="AO95"/>
  <c r="AP95"/>
  <c r="K95"/>
  <c r="AX95"/>
  <c r="BD95"/>
  <c r="BF95"/>
  <c r="BH95"/>
  <c r="BI95"/>
  <c r="AC95"/>
  <c r="BJ95"/>
  <c r="L96"/>
  <c r="Z96"/>
  <c r="AC96"/>
  <c r="AG96"/>
  <c r="AJ96"/>
  <c r="AK96"/>
  <c r="AL96"/>
  <c r="AO96"/>
  <c r="J96"/>
  <c r="AP96"/>
  <c r="AX96"/>
  <c r="AW96"/>
  <c r="BD96"/>
  <c r="BF96"/>
  <c r="BH96"/>
  <c r="AB96"/>
  <c r="BI96"/>
  <c r="AE96"/>
  <c r="BJ96"/>
  <c r="AH96"/>
  <c r="L98"/>
  <c r="J99"/>
  <c r="J98"/>
  <c r="L99"/>
  <c r="AB99"/>
  <c r="AJ99"/>
  <c r="AS98"/>
  <c r="AK99"/>
  <c r="AT98"/>
  <c r="AL99"/>
  <c r="AU98"/>
  <c r="AO99"/>
  <c r="AP99"/>
  <c r="AW99"/>
  <c r="BD99"/>
  <c r="BF99"/>
  <c r="BH99"/>
  <c r="AD99"/>
  <c r="BI99"/>
  <c r="BJ99"/>
  <c r="Z99"/>
  <c r="L102"/>
  <c r="AH102"/>
  <c r="AO102"/>
  <c r="AP102"/>
  <c r="K102"/>
  <c r="K101"/>
  <c r="AX102"/>
  <c r="BD102"/>
  <c r="BF102"/>
  <c r="BH102"/>
  <c r="BI102"/>
  <c r="AC102"/>
  <c r="BJ102"/>
  <c r="Z102"/>
  <c r="AS103"/>
  <c r="L104"/>
  <c r="L103"/>
  <c r="Z104"/>
  <c r="AE104"/>
  <c r="AJ104"/>
  <c r="AK104"/>
  <c r="AT103"/>
  <c r="AL104"/>
  <c r="AU103"/>
  <c r="AO104"/>
  <c r="J104"/>
  <c r="J103"/>
  <c r="AP104"/>
  <c r="AX104"/>
  <c r="AW104"/>
  <c r="BC104"/>
  <c r="BD104"/>
  <c r="BF104"/>
  <c r="BH104"/>
  <c r="AB104"/>
  <c r="BI104"/>
  <c r="BJ104"/>
  <c r="AH104"/>
  <c r="L106"/>
  <c r="AO106"/>
  <c r="AP106"/>
  <c r="K106"/>
  <c r="AX106"/>
  <c r="BD106"/>
  <c r="BF106"/>
  <c r="BH106"/>
  <c r="BI106"/>
  <c r="AC106"/>
  <c r="BJ106"/>
  <c r="Z106"/>
  <c r="L107"/>
  <c r="Z107"/>
  <c r="AC107"/>
  <c r="AG107"/>
  <c r="AJ107"/>
  <c r="AK107"/>
  <c r="AL107"/>
  <c r="AO107"/>
  <c r="J107"/>
  <c r="AP107"/>
  <c r="AX107"/>
  <c r="AW107"/>
  <c r="BD107"/>
  <c r="BF107"/>
  <c r="BH107"/>
  <c r="AB107"/>
  <c r="BI107"/>
  <c r="AE107"/>
  <c r="BJ107"/>
  <c r="AH107"/>
  <c r="L109"/>
  <c r="G28" i="2"/>
  <c r="I28"/>
  <c r="J110" i="1"/>
  <c r="J109"/>
  <c r="L110"/>
  <c r="AB110"/>
  <c r="AF110"/>
  <c r="AK110"/>
  <c r="AT109"/>
  <c r="AO110"/>
  <c r="AW110"/>
  <c r="AP110"/>
  <c r="K110"/>
  <c r="K109"/>
  <c r="AX110"/>
  <c r="AV110"/>
  <c r="BD110"/>
  <c r="BF110"/>
  <c r="BH110"/>
  <c r="AD110"/>
  <c r="BI110"/>
  <c r="AC110"/>
  <c r="BJ110"/>
  <c r="Z110"/>
  <c r="L112"/>
  <c r="Z112"/>
  <c r="AC112"/>
  <c r="AG112"/>
  <c r="AJ112"/>
  <c r="AK112"/>
  <c r="AL112"/>
  <c r="AO112"/>
  <c r="J112"/>
  <c r="AP112"/>
  <c r="AX112"/>
  <c r="AW112"/>
  <c r="BD112"/>
  <c r="BF112"/>
  <c r="BH112"/>
  <c r="AB112"/>
  <c r="BI112"/>
  <c r="AE112"/>
  <c r="BJ112"/>
  <c r="AH112"/>
  <c r="L114"/>
  <c r="AO114"/>
  <c r="AP114"/>
  <c r="K114"/>
  <c r="AX114"/>
  <c r="BD114"/>
  <c r="BF114"/>
  <c r="BH114"/>
  <c r="BI114"/>
  <c r="AC114"/>
  <c r="BJ114"/>
  <c r="Z114"/>
  <c r="L115"/>
  <c r="Z115"/>
  <c r="AC115"/>
  <c r="AG115"/>
  <c r="AJ115"/>
  <c r="AK115"/>
  <c r="AL115"/>
  <c r="AO115"/>
  <c r="J115"/>
  <c r="AP115"/>
  <c r="AX115"/>
  <c r="AW115"/>
  <c r="BD115"/>
  <c r="BF115"/>
  <c r="BH115"/>
  <c r="AB115"/>
  <c r="BI115"/>
  <c r="AE115"/>
  <c r="BJ115"/>
  <c r="AH115"/>
  <c r="L116"/>
  <c r="AH116"/>
  <c r="AO116"/>
  <c r="AP116"/>
  <c r="K116"/>
  <c r="AX116"/>
  <c r="BD116"/>
  <c r="BF116"/>
  <c r="BH116"/>
  <c r="BI116"/>
  <c r="AC116"/>
  <c r="BJ116"/>
  <c r="Z116"/>
  <c r="L117"/>
  <c r="Z117"/>
  <c r="AC117"/>
  <c r="AG117"/>
  <c r="AJ117"/>
  <c r="AK117"/>
  <c r="AL117"/>
  <c r="AO117"/>
  <c r="J117"/>
  <c r="AP117"/>
  <c r="AX117"/>
  <c r="AW117"/>
  <c r="BD117"/>
  <c r="BF117"/>
  <c r="BH117"/>
  <c r="AB117"/>
  <c r="BI117"/>
  <c r="AE117"/>
  <c r="BJ117"/>
  <c r="AH117"/>
  <c r="L118"/>
  <c r="AO118"/>
  <c r="AP118"/>
  <c r="K118"/>
  <c r="AX118"/>
  <c r="BD118"/>
  <c r="BF118"/>
  <c r="BH118"/>
  <c r="BI118"/>
  <c r="AC118"/>
  <c r="BJ118"/>
  <c r="Z118"/>
  <c r="L119"/>
  <c r="Z119"/>
  <c r="AC119"/>
  <c r="AG119"/>
  <c r="AJ119"/>
  <c r="AK119"/>
  <c r="AL119"/>
  <c r="AO119"/>
  <c r="J119"/>
  <c r="AP119"/>
  <c r="AX119"/>
  <c r="AW119"/>
  <c r="BD119"/>
  <c r="BF119"/>
  <c r="BH119"/>
  <c r="AB119"/>
  <c r="BI119"/>
  <c r="AE119"/>
  <c r="BJ119"/>
  <c r="AH119"/>
  <c r="L121"/>
  <c r="AH121"/>
  <c r="AO121"/>
  <c r="AP121"/>
  <c r="K121"/>
  <c r="AX121"/>
  <c r="BD121"/>
  <c r="BF121"/>
  <c r="BH121"/>
  <c r="BI121"/>
  <c r="AC121"/>
  <c r="BJ121"/>
  <c r="Z121"/>
  <c r="L122"/>
  <c r="Z122"/>
  <c r="AC122"/>
  <c r="AG122"/>
  <c r="AJ122"/>
  <c r="AK122"/>
  <c r="AL122"/>
  <c r="AO122"/>
  <c r="J122"/>
  <c r="AP122"/>
  <c r="AX122"/>
  <c r="AW122"/>
  <c r="BD122"/>
  <c r="BF122"/>
  <c r="BH122"/>
  <c r="AB122"/>
  <c r="BI122"/>
  <c r="AE122"/>
  <c r="BJ122"/>
  <c r="AH122"/>
  <c r="L123"/>
  <c r="AO123"/>
  <c r="AP123"/>
  <c r="K123"/>
  <c r="AX123"/>
  <c r="BD123"/>
  <c r="BF123"/>
  <c r="BH123"/>
  <c r="BI123"/>
  <c r="AC123"/>
  <c r="BJ123"/>
  <c r="Z123"/>
  <c r="L124"/>
  <c r="Z124"/>
  <c r="AC124"/>
  <c r="AG124"/>
  <c r="AJ124"/>
  <c r="AK124"/>
  <c r="AL124"/>
  <c r="AO124"/>
  <c r="J124"/>
  <c r="AP124"/>
  <c r="AX124"/>
  <c r="AW124"/>
  <c r="BD124"/>
  <c r="BF124"/>
  <c r="BH124"/>
  <c r="AB124"/>
  <c r="BI124"/>
  <c r="AE124"/>
  <c r="BJ124"/>
  <c r="AH124"/>
  <c r="L125"/>
  <c r="AH125"/>
  <c r="AO125"/>
  <c r="AP125"/>
  <c r="K125"/>
  <c r="AX125"/>
  <c r="BD125"/>
  <c r="BF125"/>
  <c r="BH125"/>
  <c r="BI125"/>
  <c r="AC125"/>
  <c r="BJ125"/>
  <c r="Z125"/>
  <c r="L126"/>
  <c r="Z126"/>
  <c r="AC126"/>
  <c r="AG126"/>
  <c r="AJ126"/>
  <c r="AK126"/>
  <c r="AL126"/>
  <c r="AO126"/>
  <c r="J126"/>
  <c r="AP126"/>
  <c r="AX126"/>
  <c r="AW126"/>
  <c r="BD126"/>
  <c r="BF126"/>
  <c r="BH126"/>
  <c r="AB126"/>
  <c r="BI126"/>
  <c r="AE126"/>
  <c r="BJ126"/>
  <c r="AH126"/>
  <c r="L127"/>
  <c r="AO127"/>
  <c r="AP127"/>
  <c r="K127"/>
  <c r="AX127"/>
  <c r="BD127"/>
  <c r="BF127"/>
  <c r="BH127"/>
  <c r="BI127"/>
  <c r="AC127"/>
  <c r="BJ127"/>
  <c r="Z127"/>
  <c r="L128"/>
  <c r="Z128"/>
  <c r="AC128"/>
  <c r="AG128"/>
  <c r="AJ128"/>
  <c r="AK128"/>
  <c r="AL128"/>
  <c r="AO128"/>
  <c r="J128"/>
  <c r="AP128"/>
  <c r="AX128"/>
  <c r="AW128"/>
  <c r="BD128"/>
  <c r="BF128"/>
  <c r="BH128"/>
  <c r="AB128"/>
  <c r="BI128"/>
  <c r="AE128"/>
  <c r="BJ128"/>
  <c r="AH128"/>
  <c r="L129"/>
  <c r="AH129"/>
  <c r="AO129"/>
  <c r="AP129"/>
  <c r="K129"/>
  <c r="AX129"/>
  <c r="BD129"/>
  <c r="BF129"/>
  <c r="BH129"/>
  <c r="BI129"/>
  <c r="AC129"/>
  <c r="BJ129"/>
  <c r="Z129"/>
  <c r="L131"/>
  <c r="Z131"/>
  <c r="AC131"/>
  <c r="AG131"/>
  <c r="AJ131"/>
  <c r="AK131"/>
  <c r="AL131"/>
  <c r="AO131"/>
  <c r="J131"/>
  <c r="AP131"/>
  <c r="AX131"/>
  <c r="AW131"/>
  <c r="BD131"/>
  <c r="BF131"/>
  <c r="BH131"/>
  <c r="AB131"/>
  <c r="BI131"/>
  <c r="AE131"/>
  <c r="BJ131"/>
  <c r="AH131"/>
  <c r="L132"/>
  <c r="AO132"/>
  <c r="AP132"/>
  <c r="K132"/>
  <c r="AX132"/>
  <c r="BD132"/>
  <c r="BF132"/>
  <c r="BH132"/>
  <c r="BI132"/>
  <c r="AC132"/>
  <c r="BJ132"/>
  <c r="Z132"/>
  <c r="L134"/>
  <c r="Z134"/>
  <c r="AC134"/>
  <c r="AG134"/>
  <c r="AJ134"/>
  <c r="AK134"/>
  <c r="AL134"/>
  <c r="AO134"/>
  <c r="J134"/>
  <c r="AP134"/>
  <c r="AX134"/>
  <c r="AW134"/>
  <c r="BD134"/>
  <c r="BF134"/>
  <c r="BH134"/>
  <c r="AB134"/>
  <c r="BI134"/>
  <c r="AE134"/>
  <c r="BJ134"/>
  <c r="AH134"/>
  <c r="L136"/>
  <c r="G30" i="2"/>
  <c r="I30" s="1"/>
  <c r="J137" i="1"/>
  <c r="L137"/>
  <c r="AB137"/>
  <c r="AF137"/>
  <c r="AK137"/>
  <c r="AO137"/>
  <c r="AW137"/>
  <c r="AP137"/>
  <c r="K137"/>
  <c r="AX137"/>
  <c r="AV137"/>
  <c r="BD137"/>
  <c r="BF137"/>
  <c r="BH137"/>
  <c r="AD137"/>
  <c r="BI137"/>
  <c r="AC137"/>
  <c r="BJ137"/>
  <c r="Z137"/>
  <c r="L138"/>
  <c r="Z138"/>
  <c r="AJ138"/>
  <c r="AK138"/>
  <c r="AL138"/>
  <c r="AO138"/>
  <c r="J138"/>
  <c r="AP138"/>
  <c r="AX138"/>
  <c r="AW138"/>
  <c r="BC138"/>
  <c r="BD138"/>
  <c r="BF138"/>
  <c r="BH138"/>
  <c r="AB138"/>
  <c r="BI138"/>
  <c r="BJ138"/>
  <c r="AH138"/>
  <c r="J139"/>
  <c r="L139"/>
  <c r="AB139"/>
  <c r="AF139"/>
  <c r="AK139"/>
  <c r="AO139"/>
  <c r="AW139"/>
  <c r="AP139"/>
  <c r="K139"/>
  <c r="AX139"/>
  <c r="AV139"/>
  <c r="BD139"/>
  <c r="BF139"/>
  <c r="BH139"/>
  <c r="AD139"/>
  <c r="BI139"/>
  <c r="AC139"/>
  <c r="BJ139"/>
  <c r="Z139"/>
  <c r="L140"/>
  <c r="Z140"/>
  <c r="AE140"/>
  <c r="AJ140"/>
  <c r="AK140"/>
  <c r="AL140"/>
  <c r="AO140"/>
  <c r="J140"/>
  <c r="AP140"/>
  <c r="AX140"/>
  <c r="AW140"/>
  <c r="BC140"/>
  <c r="BD140"/>
  <c r="BF140"/>
  <c r="BH140"/>
  <c r="AB140"/>
  <c r="BI140"/>
  <c r="BJ140"/>
  <c r="AH140"/>
  <c r="J141"/>
  <c r="L141"/>
  <c r="AB141"/>
  <c r="AF141"/>
  <c r="AK141"/>
  <c r="AO141"/>
  <c r="AW141"/>
  <c r="AP141"/>
  <c r="K141"/>
  <c r="AX141"/>
  <c r="AV141"/>
  <c r="BD141"/>
  <c r="BF141"/>
  <c r="BH141"/>
  <c r="AD141"/>
  <c r="BI141"/>
  <c r="AC141"/>
  <c r="BJ141"/>
  <c r="Z141"/>
  <c r="L142"/>
  <c r="Z142"/>
  <c r="AJ142"/>
  <c r="AK142"/>
  <c r="AL142"/>
  <c r="AO142"/>
  <c r="J142"/>
  <c r="AP142"/>
  <c r="AX142"/>
  <c r="AW142"/>
  <c r="BC142"/>
  <c r="BD142"/>
  <c r="BF142"/>
  <c r="BH142"/>
  <c r="AB142"/>
  <c r="BI142"/>
  <c r="BJ142"/>
  <c r="AH142"/>
  <c r="J143"/>
  <c r="L143"/>
  <c r="AB143"/>
  <c r="AF143"/>
  <c r="AK143"/>
  <c r="AO143"/>
  <c r="AW143"/>
  <c r="AP143"/>
  <c r="K143"/>
  <c r="AX143"/>
  <c r="AV143"/>
  <c r="BD143"/>
  <c r="BF143"/>
  <c r="BH143"/>
  <c r="AD143"/>
  <c r="BI143"/>
  <c r="AC143"/>
  <c r="BJ143"/>
  <c r="Z143"/>
  <c r="L144"/>
  <c r="Z144"/>
  <c r="AE144"/>
  <c r="AJ144"/>
  <c r="AK144"/>
  <c r="AL144"/>
  <c r="AO144"/>
  <c r="J144"/>
  <c r="AP144"/>
  <c r="AX144"/>
  <c r="AW144"/>
  <c r="BC144"/>
  <c r="BD144"/>
  <c r="BF144"/>
  <c r="BH144"/>
  <c r="AB144"/>
  <c r="BI144"/>
  <c r="BJ144"/>
  <c r="AH144"/>
  <c r="J145"/>
  <c r="L145"/>
  <c r="AB145"/>
  <c r="AF145"/>
  <c r="AK145"/>
  <c r="AO145"/>
  <c r="AW145"/>
  <c r="AP145"/>
  <c r="K145"/>
  <c r="AX145"/>
  <c r="AV145"/>
  <c r="BD145"/>
  <c r="BF145"/>
  <c r="BH145"/>
  <c r="AD145"/>
  <c r="BI145"/>
  <c r="AC145"/>
  <c r="BJ145"/>
  <c r="Z145"/>
  <c r="L146"/>
  <c r="Z146"/>
  <c r="AJ146"/>
  <c r="AK146"/>
  <c r="AL146"/>
  <c r="AO146"/>
  <c r="J146"/>
  <c r="AP146"/>
  <c r="AX146"/>
  <c r="AW146"/>
  <c r="BC146"/>
  <c r="BD146"/>
  <c r="BF146"/>
  <c r="BH146"/>
  <c r="AB146"/>
  <c r="BI146"/>
  <c r="BJ146"/>
  <c r="AH146"/>
  <c r="J147"/>
  <c r="L147"/>
  <c r="AB147"/>
  <c r="AF147"/>
  <c r="AK147"/>
  <c r="AO147"/>
  <c r="AW147"/>
  <c r="AP147"/>
  <c r="K147"/>
  <c r="AX147"/>
  <c r="AV147"/>
  <c r="BD147"/>
  <c r="BF147"/>
  <c r="BH147"/>
  <c r="AD147"/>
  <c r="BI147"/>
  <c r="AC147"/>
  <c r="BJ147"/>
  <c r="Z147"/>
  <c r="L148"/>
  <c r="Z148"/>
  <c r="AE148"/>
  <c r="AJ148"/>
  <c r="AK148"/>
  <c r="AL148"/>
  <c r="AO148"/>
  <c r="J148"/>
  <c r="AP148"/>
  <c r="AX148"/>
  <c r="AW148"/>
  <c r="BC148"/>
  <c r="BD148"/>
  <c r="BF148"/>
  <c r="BH148"/>
  <c r="AB148"/>
  <c r="BI148"/>
  <c r="BJ148"/>
  <c r="AH148"/>
  <c r="J149"/>
  <c r="L149"/>
  <c r="AB149"/>
  <c r="AF149"/>
  <c r="AK149"/>
  <c r="AO149"/>
  <c r="AW149"/>
  <c r="AP149"/>
  <c r="K149"/>
  <c r="AX149"/>
  <c r="AV149"/>
  <c r="BD149"/>
  <c r="BF149"/>
  <c r="BH149"/>
  <c r="AD149"/>
  <c r="BI149"/>
  <c r="AC149"/>
  <c r="BJ149"/>
  <c r="Z149"/>
  <c r="L150"/>
  <c r="Z150"/>
  <c r="AJ150"/>
  <c r="AK150"/>
  <c r="AL150"/>
  <c r="AO150"/>
  <c r="J150"/>
  <c r="AP150"/>
  <c r="AX150"/>
  <c r="AW150"/>
  <c r="BC150"/>
  <c r="BD150"/>
  <c r="BF150"/>
  <c r="BH150"/>
  <c r="AB150"/>
  <c r="BI150"/>
  <c r="BJ150"/>
  <c r="AH150"/>
  <c r="L153"/>
  <c r="AH153"/>
  <c r="AO153"/>
  <c r="AP153"/>
  <c r="K153"/>
  <c r="AX153"/>
  <c r="BD153"/>
  <c r="BF153"/>
  <c r="BH153"/>
  <c r="BI153"/>
  <c r="AC153"/>
  <c r="BJ153"/>
  <c r="Z153"/>
  <c r="L154"/>
  <c r="Z154"/>
  <c r="AC154"/>
  <c r="AG154"/>
  <c r="AJ154"/>
  <c r="AK154"/>
  <c r="AL154"/>
  <c r="AO154"/>
  <c r="J154"/>
  <c r="AP154"/>
  <c r="AX154"/>
  <c r="AW154"/>
  <c r="BD154"/>
  <c r="BF154"/>
  <c r="BH154"/>
  <c r="AB154"/>
  <c r="BI154"/>
  <c r="AE154"/>
  <c r="BJ154"/>
  <c r="AH154"/>
  <c r="L155"/>
  <c r="AO155"/>
  <c r="AP155"/>
  <c r="K155"/>
  <c r="AX155"/>
  <c r="BD155"/>
  <c r="BF155"/>
  <c r="BH155"/>
  <c r="BI155"/>
  <c r="AC155"/>
  <c r="BJ155"/>
  <c r="Z155"/>
  <c r="L157"/>
  <c r="Z157"/>
  <c r="AC157"/>
  <c r="AG157"/>
  <c r="AJ157"/>
  <c r="AK157"/>
  <c r="AL157"/>
  <c r="AO157"/>
  <c r="J157"/>
  <c r="AP157"/>
  <c r="AX157"/>
  <c r="AW157"/>
  <c r="BD157"/>
  <c r="BF157"/>
  <c r="BH157"/>
  <c r="AB157"/>
  <c r="BI157"/>
  <c r="AE157"/>
  <c r="BJ157"/>
  <c r="AH157"/>
  <c r="L158"/>
  <c r="AH158"/>
  <c r="AO158"/>
  <c r="AP158"/>
  <c r="K158"/>
  <c r="AX158"/>
  <c r="BD158"/>
  <c r="BF158"/>
  <c r="BH158"/>
  <c r="BI158"/>
  <c r="AC158"/>
  <c r="BJ158"/>
  <c r="Z158"/>
  <c r="L159"/>
  <c r="Z159"/>
  <c r="AC159"/>
  <c r="AG159"/>
  <c r="AJ159"/>
  <c r="AK159"/>
  <c r="AL159"/>
  <c r="AO159"/>
  <c r="J159"/>
  <c r="AP159"/>
  <c r="AX159"/>
  <c r="AW159"/>
  <c r="BD159"/>
  <c r="BF159"/>
  <c r="BH159"/>
  <c r="AB159"/>
  <c r="BI159"/>
  <c r="AE159"/>
  <c r="BJ159"/>
  <c r="AH159"/>
  <c r="L160"/>
  <c r="AO160"/>
  <c r="AP160"/>
  <c r="K160"/>
  <c r="AX160"/>
  <c r="BD160"/>
  <c r="BF160"/>
  <c r="BH160"/>
  <c r="BI160"/>
  <c r="AC160"/>
  <c r="BJ160"/>
  <c r="Z160"/>
  <c r="L161"/>
  <c r="Z161"/>
  <c r="AC161"/>
  <c r="AG161"/>
  <c r="AJ161"/>
  <c r="AK161"/>
  <c r="AL161"/>
  <c r="AO161"/>
  <c r="J161"/>
  <c r="AP161"/>
  <c r="AX161"/>
  <c r="AW161"/>
  <c r="BD161"/>
  <c r="BF161"/>
  <c r="BH161"/>
  <c r="AB161"/>
  <c r="BI161"/>
  <c r="AE161"/>
  <c r="BJ161"/>
  <c r="AH161"/>
  <c r="L162"/>
  <c r="AH162"/>
  <c r="AO162"/>
  <c r="AP162"/>
  <c r="K162"/>
  <c r="AX162"/>
  <c r="BD162"/>
  <c r="BF162"/>
  <c r="BH162"/>
  <c r="BI162"/>
  <c r="AC162"/>
  <c r="BJ162"/>
  <c r="Z162"/>
  <c r="AS163"/>
  <c r="L164"/>
  <c r="L163"/>
  <c r="Z164"/>
  <c r="AE164"/>
  <c r="AJ164"/>
  <c r="AK164"/>
  <c r="AT163"/>
  <c r="AL164"/>
  <c r="AU163"/>
  <c r="AO164"/>
  <c r="J164"/>
  <c r="J163"/>
  <c r="AP164"/>
  <c r="AX164"/>
  <c r="AW164"/>
  <c r="BC164"/>
  <c r="BD164"/>
  <c r="BF164"/>
  <c r="BH164"/>
  <c r="AB164"/>
  <c r="BI164"/>
  <c r="BJ164"/>
  <c r="AH164"/>
  <c r="L167"/>
  <c r="AO167"/>
  <c r="AP167"/>
  <c r="K167"/>
  <c r="K166"/>
  <c r="AX167"/>
  <c r="BD167"/>
  <c r="BF167"/>
  <c r="BH167"/>
  <c r="BI167"/>
  <c r="AC167"/>
  <c r="BJ167"/>
  <c r="Z167"/>
  <c r="L170"/>
  <c r="Z170"/>
  <c r="AJ170"/>
  <c r="AK170"/>
  <c r="AL170"/>
  <c r="AO170"/>
  <c r="J170"/>
  <c r="AP170"/>
  <c r="AX170"/>
  <c r="AW170"/>
  <c r="BC170"/>
  <c r="BD170"/>
  <c r="BF170"/>
  <c r="BH170"/>
  <c r="AB170"/>
  <c r="BI170"/>
  <c r="BJ170"/>
  <c r="AH170"/>
  <c r="J172"/>
  <c r="L172"/>
  <c r="AB172"/>
  <c r="AF172"/>
  <c r="AK172"/>
  <c r="AO172"/>
  <c r="AW172"/>
  <c r="AP172"/>
  <c r="K172"/>
  <c r="AX172"/>
  <c r="AV172"/>
  <c r="BD172"/>
  <c r="BF172"/>
  <c r="BH172"/>
  <c r="AD172"/>
  <c r="BI172"/>
  <c r="AC172"/>
  <c r="BJ172"/>
  <c r="Z172"/>
  <c r="L174"/>
  <c r="Z174"/>
  <c r="AE174"/>
  <c r="AJ174"/>
  <c r="AK174"/>
  <c r="AL174"/>
  <c r="AO174"/>
  <c r="J174"/>
  <c r="AP174"/>
  <c r="AX174"/>
  <c r="AW174"/>
  <c r="BC174"/>
  <c r="BD174"/>
  <c r="BF174"/>
  <c r="BH174"/>
  <c r="AB174"/>
  <c r="BI174"/>
  <c r="BJ174"/>
  <c r="AH174"/>
  <c r="J176"/>
  <c r="L176"/>
  <c r="AB176"/>
  <c r="AF176"/>
  <c r="AK176"/>
  <c r="AO176"/>
  <c r="AW176"/>
  <c r="AP176"/>
  <c r="K176"/>
  <c r="AX176"/>
  <c r="AV176"/>
  <c r="BD176"/>
  <c r="BF176"/>
  <c r="BH176"/>
  <c r="AD176"/>
  <c r="BI176"/>
  <c r="AC176"/>
  <c r="BJ176"/>
  <c r="Z176"/>
  <c r="L178"/>
  <c r="Z178"/>
  <c r="AC178"/>
  <c r="AG178"/>
  <c r="AJ178"/>
  <c r="AK178"/>
  <c r="AL178"/>
  <c r="AO178"/>
  <c r="J178"/>
  <c r="AP178"/>
  <c r="AX178"/>
  <c r="AW178"/>
  <c r="BD178"/>
  <c r="BF178"/>
  <c r="BH178"/>
  <c r="AB178"/>
  <c r="BI178"/>
  <c r="AE178"/>
  <c r="BJ178"/>
  <c r="AH178"/>
  <c r="L179"/>
  <c r="AO179"/>
  <c r="AP179"/>
  <c r="K179"/>
  <c r="AX179"/>
  <c r="BD179"/>
  <c r="BF179"/>
  <c r="BH179"/>
  <c r="BI179"/>
  <c r="AC179"/>
  <c r="BJ179"/>
  <c r="Z179"/>
  <c r="L180"/>
  <c r="Z180"/>
  <c r="AC180"/>
  <c r="AG180"/>
  <c r="AJ180"/>
  <c r="AK180"/>
  <c r="AL180"/>
  <c r="AO180"/>
  <c r="J180"/>
  <c r="AP180"/>
  <c r="AX180"/>
  <c r="AW180"/>
  <c r="BD180"/>
  <c r="BF180"/>
  <c r="BH180"/>
  <c r="AB180"/>
  <c r="BI180"/>
  <c r="AE180"/>
  <c r="BJ180"/>
  <c r="AH180"/>
  <c r="L181"/>
  <c r="AH181"/>
  <c r="AO181"/>
  <c r="AP181"/>
  <c r="K181"/>
  <c r="AX181"/>
  <c r="BD181"/>
  <c r="BF181"/>
  <c r="BH181"/>
  <c r="BI181"/>
  <c r="AC181"/>
  <c r="BJ181"/>
  <c r="Z181"/>
  <c r="L182"/>
  <c r="Z182"/>
  <c r="AC182"/>
  <c r="AG182"/>
  <c r="AJ182"/>
  <c r="AK182"/>
  <c r="AL182"/>
  <c r="AO182"/>
  <c r="J182"/>
  <c r="AP182"/>
  <c r="AX182"/>
  <c r="AW182"/>
  <c r="BD182"/>
  <c r="BF182"/>
  <c r="BH182"/>
  <c r="AB182"/>
  <c r="BI182"/>
  <c r="AE182"/>
  <c r="BJ182"/>
  <c r="AH182"/>
  <c r="L183"/>
  <c r="AO183"/>
  <c r="AP183"/>
  <c r="K183"/>
  <c r="AX183"/>
  <c r="BD183"/>
  <c r="BF183"/>
  <c r="BH183"/>
  <c r="BI183"/>
  <c r="AC183"/>
  <c r="BJ183"/>
  <c r="Z183"/>
  <c r="L184"/>
  <c r="Z184"/>
  <c r="AC184"/>
  <c r="AG184"/>
  <c r="AJ184"/>
  <c r="AK184"/>
  <c r="AL184"/>
  <c r="AO184"/>
  <c r="J184"/>
  <c r="AP184"/>
  <c r="AX184"/>
  <c r="AW184"/>
  <c r="BD184"/>
  <c r="BF184"/>
  <c r="BH184"/>
  <c r="AB184"/>
  <c r="BI184"/>
  <c r="AE184"/>
  <c r="BJ184"/>
  <c r="AH184"/>
  <c r="L185"/>
  <c r="AH185"/>
  <c r="AO185"/>
  <c r="AP185"/>
  <c r="K185"/>
  <c r="AX185"/>
  <c r="BD185"/>
  <c r="BF185"/>
  <c r="BH185"/>
  <c r="BI185"/>
  <c r="AC185"/>
  <c r="BJ185"/>
  <c r="Z185"/>
  <c r="L186"/>
  <c r="Z186"/>
  <c r="AC186"/>
  <c r="AG186"/>
  <c r="AJ186"/>
  <c r="AK186"/>
  <c r="AL186"/>
  <c r="AO186"/>
  <c r="J186"/>
  <c r="AP186"/>
  <c r="AX186"/>
  <c r="AW186"/>
  <c r="BD186"/>
  <c r="BF186"/>
  <c r="BH186"/>
  <c r="AB186"/>
  <c r="BI186"/>
  <c r="AE186"/>
  <c r="BJ186"/>
  <c r="AH186"/>
  <c r="L188"/>
  <c r="AD188"/>
  <c r="AH188"/>
  <c r="AL188"/>
  <c r="AO188"/>
  <c r="J188"/>
  <c r="AP188"/>
  <c r="AW188"/>
  <c r="BD188"/>
  <c r="BF188"/>
  <c r="BH188"/>
  <c r="AB188"/>
  <c r="BI188"/>
  <c r="BJ188"/>
  <c r="Z188"/>
  <c r="J189"/>
  <c r="L189"/>
  <c r="AB189"/>
  <c r="AF189"/>
  <c r="AK189"/>
  <c r="AO189"/>
  <c r="AW189"/>
  <c r="AP189"/>
  <c r="K189"/>
  <c r="AX189"/>
  <c r="AV189"/>
  <c r="BD189"/>
  <c r="BF189"/>
  <c r="BH189"/>
  <c r="AD189"/>
  <c r="BI189"/>
  <c r="AC189"/>
  <c r="BJ189"/>
  <c r="Z189"/>
  <c r="L190"/>
  <c r="Z190"/>
  <c r="AJ190"/>
  <c r="AK190"/>
  <c r="AL190"/>
  <c r="AO190"/>
  <c r="J190"/>
  <c r="AP190"/>
  <c r="AX190"/>
  <c r="AW190"/>
  <c r="BC190"/>
  <c r="BD190"/>
  <c r="BF190"/>
  <c r="BH190"/>
  <c r="AB190"/>
  <c r="BI190"/>
  <c r="AC190"/>
  <c r="BJ190"/>
  <c r="AH190"/>
  <c r="J191"/>
  <c r="L191"/>
  <c r="AB191"/>
  <c r="AF191"/>
  <c r="AK191"/>
  <c r="AO191"/>
  <c r="AW191"/>
  <c r="AP191"/>
  <c r="K191"/>
  <c r="AX191"/>
  <c r="AV191"/>
  <c r="BD191"/>
  <c r="BF191"/>
  <c r="BH191"/>
  <c r="AD191"/>
  <c r="BI191"/>
  <c r="AC191"/>
  <c r="BJ191"/>
  <c r="Z191"/>
  <c r="L192"/>
  <c r="Z192"/>
  <c r="AJ192"/>
  <c r="AK192"/>
  <c r="AL192"/>
  <c r="AO192"/>
  <c r="J192"/>
  <c r="AP192"/>
  <c r="AX192"/>
  <c r="AW192"/>
  <c r="BC192"/>
  <c r="BD192"/>
  <c r="BF192"/>
  <c r="BH192"/>
  <c r="AB192"/>
  <c r="BI192"/>
  <c r="AC192"/>
  <c r="BJ192"/>
  <c r="AH192"/>
  <c r="J193"/>
  <c r="L193"/>
  <c r="AB193"/>
  <c r="AF193"/>
  <c r="AK193"/>
  <c r="AO193"/>
  <c r="AW193"/>
  <c r="AP193"/>
  <c r="K193"/>
  <c r="AX193"/>
  <c r="AV193"/>
  <c r="BD193"/>
  <c r="BF193"/>
  <c r="BH193"/>
  <c r="AD193"/>
  <c r="BI193"/>
  <c r="AC193"/>
  <c r="BJ193"/>
  <c r="Z193"/>
  <c r="L194"/>
  <c r="Z194"/>
  <c r="AJ194"/>
  <c r="AK194"/>
  <c r="AL194"/>
  <c r="AO194"/>
  <c r="J194"/>
  <c r="AP194"/>
  <c r="AX194"/>
  <c r="AW194"/>
  <c r="BC194"/>
  <c r="BD194"/>
  <c r="BF194"/>
  <c r="BH194"/>
  <c r="AB194"/>
  <c r="BI194"/>
  <c r="AC194"/>
  <c r="BJ194"/>
  <c r="AH194"/>
  <c r="J195"/>
  <c r="L195"/>
  <c r="AB195"/>
  <c r="AF195"/>
  <c r="AK195"/>
  <c r="AO195"/>
  <c r="AW195"/>
  <c r="AP195"/>
  <c r="K195"/>
  <c r="AX195"/>
  <c r="AV195"/>
  <c r="BD195"/>
  <c r="BF195"/>
  <c r="BH195"/>
  <c r="AD195"/>
  <c r="BI195"/>
  <c r="AC195"/>
  <c r="BJ195"/>
  <c r="Z195"/>
  <c r="L196"/>
  <c r="Z196"/>
  <c r="AJ196"/>
  <c r="AK196"/>
  <c r="AL196"/>
  <c r="AO196"/>
  <c r="J196"/>
  <c r="AP196"/>
  <c r="AX196"/>
  <c r="AW196"/>
  <c r="BC196"/>
  <c r="BD196"/>
  <c r="BF196"/>
  <c r="BH196"/>
  <c r="AB196"/>
  <c r="BI196"/>
  <c r="AC196"/>
  <c r="BJ196"/>
  <c r="AH196"/>
  <c r="L198"/>
  <c r="AO198"/>
  <c r="AW198"/>
  <c r="BC198"/>
  <c r="AP198"/>
  <c r="K198"/>
  <c r="AV198"/>
  <c r="AX198"/>
  <c r="BD198"/>
  <c r="BF198"/>
  <c r="BH198"/>
  <c r="AB198"/>
  <c r="BI198"/>
  <c r="AC198"/>
  <c r="BJ198"/>
  <c r="Z198"/>
  <c r="L200"/>
  <c r="Z200"/>
  <c r="AC200"/>
  <c r="AG200"/>
  <c r="AJ200"/>
  <c r="AK200"/>
  <c r="AL200"/>
  <c r="AO200"/>
  <c r="J200"/>
  <c r="AP200"/>
  <c r="AX200"/>
  <c r="AW200"/>
  <c r="AV200"/>
  <c r="BD200"/>
  <c r="BF200"/>
  <c r="BH200"/>
  <c r="AB200"/>
  <c r="BI200"/>
  <c r="AE200"/>
  <c r="BJ200"/>
  <c r="AH200"/>
  <c r="L202"/>
  <c r="AO202"/>
  <c r="AW202"/>
  <c r="BC202"/>
  <c r="AP202"/>
  <c r="K202"/>
  <c r="AV202"/>
  <c r="AX202"/>
  <c r="BD202"/>
  <c r="BF202"/>
  <c r="BH202"/>
  <c r="AB202"/>
  <c r="BI202"/>
  <c r="AC202"/>
  <c r="BJ202"/>
  <c r="Z202"/>
  <c r="L204"/>
  <c r="Z204"/>
  <c r="AC204"/>
  <c r="AG204"/>
  <c r="AJ204"/>
  <c r="AK204"/>
  <c r="AL204"/>
  <c r="AO204"/>
  <c r="J204"/>
  <c r="AP204"/>
  <c r="AX204"/>
  <c r="AW204"/>
  <c r="AV204"/>
  <c r="BD204"/>
  <c r="BF204"/>
  <c r="BH204"/>
  <c r="AB204"/>
  <c r="BI204"/>
  <c r="AE204"/>
  <c r="BJ204"/>
  <c r="AH204"/>
  <c r="L205"/>
  <c r="AO205"/>
  <c r="AW205"/>
  <c r="BC205"/>
  <c r="AP205"/>
  <c r="K205"/>
  <c r="AV205"/>
  <c r="AX205"/>
  <c r="BD205"/>
  <c r="BF205"/>
  <c r="BH205"/>
  <c r="AB205"/>
  <c r="BI205"/>
  <c r="AC205"/>
  <c r="BJ205"/>
  <c r="Z205"/>
  <c r="L206"/>
  <c r="Z206"/>
  <c r="AC206"/>
  <c r="AG206"/>
  <c r="AJ206"/>
  <c r="AK206"/>
  <c r="AL206"/>
  <c r="AO206"/>
  <c r="J206"/>
  <c r="AP206"/>
  <c r="AX206"/>
  <c r="AW206"/>
  <c r="AV206"/>
  <c r="BD206"/>
  <c r="BF206"/>
  <c r="BH206"/>
  <c r="AB206"/>
  <c r="BI206"/>
  <c r="AE206"/>
  <c r="BJ206"/>
  <c r="AH206"/>
  <c r="L207"/>
  <c r="AO207"/>
  <c r="AW207"/>
  <c r="BC207"/>
  <c r="AP207"/>
  <c r="K207"/>
  <c r="AV207"/>
  <c r="AX207"/>
  <c r="BD207"/>
  <c r="BF207"/>
  <c r="BH207"/>
  <c r="AB207"/>
  <c r="BI207"/>
  <c r="AC207"/>
  <c r="BJ207"/>
  <c r="Z207"/>
  <c r="L208"/>
  <c r="Z208"/>
  <c r="AC208"/>
  <c r="AG208"/>
  <c r="AJ208"/>
  <c r="AK208"/>
  <c r="AL208"/>
  <c r="AO208"/>
  <c r="J208"/>
  <c r="AP208"/>
  <c r="AX208"/>
  <c r="AW208"/>
  <c r="AV208"/>
  <c r="BD208"/>
  <c r="BF208"/>
  <c r="BH208"/>
  <c r="AB208"/>
  <c r="BI208"/>
  <c r="AE208"/>
  <c r="BJ208"/>
  <c r="AH208"/>
  <c r="L209"/>
  <c r="AD209"/>
  <c r="AO209"/>
  <c r="AW209"/>
  <c r="BC209"/>
  <c r="AP209"/>
  <c r="K209"/>
  <c r="AV209"/>
  <c r="AX209"/>
  <c r="BD209"/>
  <c r="BF209"/>
  <c r="BH209"/>
  <c r="AB209"/>
  <c r="BI209"/>
  <c r="AC209"/>
  <c r="BJ209"/>
  <c r="Z209"/>
  <c r="L210"/>
  <c r="Z210"/>
  <c r="AC210"/>
  <c r="AG210"/>
  <c r="AJ210"/>
  <c r="AK210"/>
  <c r="AL210"/>
  <c r="AO210"/>
  <c r="J210"/>
  <c r="AP210"/>
  <c r="AX210"/>
  <c r="AW210"/>
  <c r="AV210"/>
  <c r="BD210"/>
  <c r="BF210"/>
  <c r="BH210"/>
  <c r="AB210"/>
  <c r="BI210"/>
  <c r="AE210"/>
  <c r="BJ210"/>
  <c r="AH210"/>
  <c r="L211"/>
  <c r="AO211"/>
  <c r="AW211"/>
  <c r="BC211"/>
  <c r="AP211"/>
  <c r="K211"/>
  <c r="AV211"/>
  <c r="AX211"/>
  <c r="BD211"/>
  <c r="BF211"/>
  <c r="BH211"/>
  <c r="AB211"/>
  <c r="BI211"/>
  <c r="AC211"/>
  <c r="BJ211"/>
  <c r="Z211"/>
  <c r="L212"/>
  <c r="Z212"/>
  <c r="AC212"/>
  <c r="AG212"/>
  <c r="AJ212"/>
  <c r="AK212"/>
  <c r="AL212"/>
  <c r="AO212"/>
  <c r="J212"/>
  <c r="AP212"/>
  <c r="AX212"/>
  <c r="AW212"/>
  <c r="AV212"/>
  <c r="BD212"/>
  <c r="BF212"/>
  <c r="BH212"/>
  <c r="AB212"/>
  <c r="BI212"/>
  <c r="AE212"/>
  <c r="BJ212"/>
  <c r="AH212"/>
  <c r="L213"/>
  <c r="AO213"/>
  <c r="AW213"/>
  <c r="BC213"/>
  <c r="AP213"/>
  <c r="K213"/>
  <c r="AV213"/>
  <c r="AX213"/>
  <c r="BD213"/>
  <c r="BF213"/>
  <c r="BH213"/>
  <c r="AB213"/>
  <c r="BI213"/>
  <c r="AC213"/>
  <c r="BJ213"/>
  <c r="Z213"/>
  <c r="L214"/>
  <c r="Z214"/>
  <c r="AC214"/>
  <c r="AG214"/>
  <c r="AJ214"/>
  <c r="AK214"/>
  <c r="AL214"/>
  <c r="AO214"/>
  <c r="J214"/>
  <c r="AP214"/>
  <c r="AX214"/>
  <c r="AW214"/>
  <c r="AV214"/>
  <c r="BD214"/>
  <c r="BF214"/>
  <c r="BH214"/>
  <c r="AB214"/>
  <c r="BI214"/>
  <c r="AE214"/>
  <c r="BJ214"/>
  <c r="AH214"/>
  <c r="L215"/>
  <c r="AO215"/>
  <c r="AW215"/>
  <c r="BC215"/>
  <c r="AP215"/>
  <c r="K215"/>
  <c r="AV215"/>
  <c r="AX215"/>
  <c r="BD215"/>
  <c r="BF215"/>
  <c r="BH215"/>
  <c r="AB215"/>
  <c r="BI215"/>
  <c r="AC215"/>
  <c r="BJ215"/>
  <c r="Z215"/>
  <c r="L216"/>
  <c r="Z216"/>
  <c r="AC216"/>
  <c r="AG216"/>
  <c r="AJ216"/>
  <c r="AK216"/>
  <c r="AL216"/>
  <c r="AO216"/>
  <c r="J216"/>
  <c r="AP216"/>
  <c r="AX216"/>
  <c r="AW216"/>
  <c r="AV216"/>
  <c r="BD216"/>
  <c r="BF216"/>
  <c r="BH216"/>
  <c r="AB216"/>
  <c r="BI216"/>
  <c r="AE216"/>
  <c r="BJ216"/>
  <c r="AH216"/>
  <c r="L217"/>
  <c r="AO217"/>
  <c r="AW217"/>
  <c r="BC217"/>
  <c r="AP217"/>
  <c r="K217"/>
  <c r="AV217"/>
  <c r="AX217"/>
  <c r="BD217"/>
  <c r="BF217"/>
  <c r="BH217"/>
  <c r="AB217"/>
  <c r="BI217"/>
  <c r="AC217"/>
  <c r="BJ217"/>
  <c r="Z217"/>
  <c r="L218"/>
  <c r="Z218"/>
  <c r="AC218"/>
  <c r="AG218"/>
  <c r="AJ218"/>
  <c r="AK218"/>
  <c r="AL218"/>
  <c r="AO218"/>
  <c r="J218"/>
  <c r="AP218"/>
  <c r="AX218"/>
  <c r="AW218"/>
  <c r="AV218"/>
  <c r="BD218"/>
  <c r="BF218"/>
  <c r="BH218"/>
  <c r="AB218"/>
  <c r="BI218"/>
  <c r="AE218"/>
  <c r="BJ218"/>
  <c r="AH218"/>
  <c r="L219"/>
  <c r="AO219"/>
  <c r="AW219"/>
  <c r="BC219"/>
  <c r="AP219"/>
  <c r="K219"/>
  <c r="AV219"/>
  <c r="AX219"/>
  <c r="BD219"/>
  <c r="BF219"/>
  <c r="BH219"/>
  <c r="AB219"/>
  <c r="BI219"/>
  <c r="AC219"/>
  <c r="BJ219"/>
  <c r="Z219"/>
  <c r="L220"/>
  <c r="Z220"/>
  <c r="AC220"/>
  <c r="AG220"/>
  <c r="AJ220"/>
  <c r="AK220"/>
  <c r="AL220"/>
  <c r="AO220"/>
  <c r="J220"/>
  <c r="AP220"/>
  <c r="AX220"/>
  <c r="AW220"/>
  <c r="AV220"/>
  <c r="BD220"/>
  <c r="BF220"/>
  <c r="BH220"/>
  <c r="AB220"/>
  <c r="BI220"/>
  <c r="AE220"/>
  <c r="BJ220"/>
  <c r="AH220"/>
  <c r="L221"/>
  <c r="AO221"/>
  <c r="AW221"/>
  <c r="BC221"/>
  <c r="AP221"/>
  <c r="K221"/>
  <c r="AV221"/>
  <c r="AX221"/>
  <c r="BD221"/>
  <c r="BF221"/>
  <c r="BH221"/>
  <c r="AB221"/>
  <c r="BI221"/>
  <c r="AC221"/>
  <c r="BJ221"/>
  <c r="Z221"/>
  <c r="L222"/>
  <c r="Z222"/>
  <c r="AC222"/>
  <c r="AG222"/>
  <c r="AJ222"/>
  <c r="AK222"/>
  <c r="AL222"/>
  <c r="AO222"/>
  <c r="J222"/>
  <c r="AP222"/>
  <c r="AX222"/>
  <c r="AW222"/>
  <c r="AV222"/>
  <c r="BD222"/>
  <c r="BF222"/>
  <c r="BH222"/>
  <c r="AB222"/>
  <c r="BI222"/>
  <c r="AE222"/>
  <c r="BJ222"/>
  <c r="AH222"/>
  <c r="L223"/>
  <c r="AO223"/>
  <c r="AW223"/>
  <c r="BC223"/>
  <c r="AP223"/>
  <c r="K223"/>
  <c r="AV223"/>
  <c r="AX223"/>
  <c r="BD223"/>
  <c r="BF223"/>
  <c r="BH223"/>
  <c r="AB223"/>
  <c r="BI223"/>
  <c r="AC223"/>
  <c r="BJ223"/>
  <c r="Z223"/>
  <c r="L224"/>
  <c r="Z224"/>
  <c r="AC224"/>
  <c r="AG224"/>
  <c r="AJ224"/>
  <c r="AK224"/>
  <c r="AL224"/>
  <c r="AO224"/>
  <c r="J224"/>
  <c r="AP224"/>
  <c r="AX224"/>
  <c r="AW224"/>
  <c r="AV224"/>
  <c r="BD224"/>
  <c r="BF224"/>
  <c r="BH224"/>
  <c r="AB224"/>
  <c r="BI224"/>
  <c r="AE224"/>
  <c r="BJ224"/>
  <c r="AH224"/>
  <c r="L225"/>
  <c r="AO225"/>
  <c r="AW225"/>
  <c r="BC225"/>
  <c r="AP225"/>
  <c r="K225"/>
  <c r="AV225"/>
  <c r="AX225"/>
  <c r="BD225"/>
  <c r="BF225"/>
  <c r="BH225"/>
  <c r="AB225"/>
  <c r="BI225"/>
  <c r="AC225"/>
  <c r="BJ225"/>
  <c r="Z225"/>
  <c r="L226"/>
  <c r="Z226"/>
  <c r="AC226"/>
  <c r="AG226"/>
  <c r="AJ226"/>
  <c r="AK226"/>
  <c r="AL226"/>
  <c r="AO226"/>
  <c r="J226"/>
  <c r="AP226"/>
  <c r="AX226"/>
  <c r="AW226"/>
  <c r="AV226"/>
  <c r="BD226"/>
  <c r="BF226"/>
  <c r="BH226"/>
  <c r="AB226"/>
  <c r="BI226"/>
  <c r="AE226"/>
  <c r="BJ226"/>
  <c r="AH226"/>
  <c r="L227"/>
  <c r="AO227"/>
  <c r="AW227"/>
  <c r="BC227"/>
  <c r="AP227"/>
  <c r="K227"/>
  <c r="AV227"/>
  <c r="AX227"/>
  <c r="BD227"/>
  <c r="BF227"/>
  <c r="BH227"/>
  <c r="AB227"/>
  <c r="BI227"/>
  <c r="AC227"/>
  <c r="BJ227"/>
  <c r="Z227"/>
  <c r="L228"/>
  <c r="Z228"/>
  <c r="AC228"/>
  <c r="AG228"/>
  <c r="AJ228"/>
  <c r="AK228"/>
  <c r="AL228"/>
  <c r="AO228"/>
  <c r="J228"/>
  <c r="AP228"/>
  <c r="AX228"/>
  <c r="AW228"/>
  <c r="AV228"/>
  <c r="BD228"/>
  <c r="BF228"/>
  <c r="BH228"/>
  <c r="AB228"/>
  <c r="BI228"/>
  <c r="AE228"/>
  <c r="BJ228"/>
  <c r="AH228"/>
  <c r="L229"/>
  <c r="AO229"/>
  <c r="AW229"/>
  <c r="BC229"/>
  <c r="AP229"/>
  <c r="K229"/>
  <c r="AV229"/>
  <c r="AX229"/>
  <c r="BD229"/>
  <c r="BF229"/>
  <c r="BH229"/>
  <c r="AB229"/>
  <c r="BI229"/>
  <c r="AC229"/>
  <c r="BJ229"/>
  <c r="Z229"/>
  <c r="L230"/>
  <c r="Z230"/>
  <c r="AC230"/>
  <c r="AG230"/>
  <c r="AJ230"/>
  <c r="AK230"/>
  <c r="AL230"/>
  <c r="AO230"/>
  <c r="J230"/>
  <c r="AP230"/>
  <c r="AX230"/>
  <c r="AW230"/>
  <c r="AV230"/>
  <c r="BD230"/>
  <c r="BF230"/>
  <c r="BH230"/>
  <c r="AB230"/>
  <c r="BI230"/>
  <c r="AE230"/>
  <c r="BJ230"/>
  <c r="AH230"/>
  <c r="L231"/>
  <c r="AO231"/>
  <c r="AW231"/>
  <c r="BC231"/>
  <c r="AP231"/>
  <c r="K231"/>
  <c r="AV231"/>
  <c r="AX231"/>
  <c r="BD231"/>
  <c r="BF231"/>
  <c r="BH231"/>
  <c r="AB231"/>
  <c r="BI231"/>
  <c r="AC231"/>
  <c r="BJ231"/>
  <c r="Z231"/>
  <c r="L232"/>
  <c r="Z232"/>
  <c r="AC232"/>
  <c r="AG232"/>
  <c r="AJ232"/>
  <c r="AK232"/>
  <c r="AL232"/>
  <c r="AO232"/>
  <c r="J232"/>
  <c r="AP232"/>
  <c r="AX232"/>
  <c r="AW232"/>
  <c r="AV232"/>
  <c r="BD232"/>
  <c r="BF232"/>
  <c r="BH232"/>
  <c r="AB232"/>
  <c r="BI232"/>
  <c r="AE232"/>
  <c r="BJ232"/>
  <c r="AH232"/>
  <c r="L233"/>
  <c r="AO233"/>
  <c r="AW233"/>
  <c r="BC233"/>
  <c r="AP233"/>
  <c r="K233"/>
  <c r="AV233"/>
  <c r="AX233"/>
  <c r="BD233"/>
  <c r="BF233"/>
  <c r="BH233"/>
  <c r="AB233"/>
  <c r="BI233"/>
  <c r="AC233"/>
  <c r="BJ233"/>
  <c r="Z233"/>
  <c r="L234"/>
  <c r="Z234"/>
  <c r="AC234"/>
  <c r="AG234"/>
  <c r="AJ234"/>
  <c r="AK234"/>
  <c r="AL234"/>
  <c r="AO234"/>
  <c r="J234"/>
  <c r="AP234"/>
  <c r="AX234"/>
  <c r="AW234"/>
  <c r="AV234"/>
  <c r="BD234"/>
  <c r="BF234"/>
  <c r="BH234"/>
  <c r="AB234"/>
  <c r="BI234"/>
  <c r="AE234"/>
  <c r="BJ234"/>
  <c r="AH234"/>
  <c r="L235"/>
  <c r="AO235"/>
  <c r="AW235"/>
  <c r="BC235"/>
  <c r="AP235"/>
  <c r="K235"/>
  <c r="AV235"/>
  <c r="AX235"/>
  <c r="BD235"/>
  <c r="BF235"/>
  <c r="BH235"/>
  <c r="AB235"/>
  <c r="BI235"/>
  <c r="AC235"/>
  <c r="BJ235"/>
  <c r="Z235"/>
  <c r="L236"/>
  <c r="Z236"/>
  <c r="AC236"/>
  <c r="AG236"/>
  <c r="AJ236"/>
  <c r="AK236"/>
  <c r="AL236"/>
  <c r="AO236"/>
  <c r="J236"/>
  <c r="AP236"/>
  <c r="AX236"/>
  <c r="AW236"/>
  <c r="AV236"/>
  <c r="BD236"/>
  <c r="BF236"/>
  <c r="BH236"/>
  <c r="AB236"/>
  <c r="BI236"/>
  <c r="AE236"/>
  <c r="BJ236"/>
  <c r="AH236"/>
  <c r="L237"/>
  <c r="AO237"/>
  <c r="AW237"/>
  <c r="BC237"/>
  <c r="AP237"/>
  <c r="K237"/>
  <c r="AV237"/>
  <c r="AX237"/>
  <c r="BD237"/>
  <c r="BF237"/>
  <c r="BH237"/>
  <c r="AB237"/>
  <c r="BI237"/>
  <c r="AC237"/>
  <c r="BJ237"/>
  <c r="Z237"/>
  <c r="L239"/>
  <c r="Z239"/>
  <c r="AJ239"/>
  <c r="AK239"/>
  <c r="AL239"/>
  <c r="AO239"/>
  <c r="J239"/>
  <c r="AP239"/>
  <c r="AX239"/>
  <c r="AW239"/>
  <c r="BC239"/>
  <c r="BD239"/>
  <c r="BF239"/>
  <c r="BH239"/>
  <c r="AB239"/>
  <c r="BI239"/>
  <c r="AC239"/>
  <c r="BJ239"/>
  <c r="AH239"/>
  <c r="J240"/>
  <c r="L240"/>
  <c r="AB240"/>
  <c r="AF240"/>
  <c r="AK240"/>
  <c r="AO240"/>
  <c r="AW240"/>
  <c r="AP240"/>
  <c r="K240"/>
  <c r="AX240"/>
  <c r="AV240"/>
  <c r="BD240"/>
  <c r="BF240"/>
  <c r="BH240"/>
  <c r="AD240"/>
  <c r="BI240"/>
  <c r="AC240"/>
  <c r="BJ240"/>
  <c r="Z240"/>
  <c r="L241"/>
  <c r="Z241"/>
  <c r="AJ241"/>
  <c r="AK241"/>
  <c r="AL241"/>
  <c r="AO241"/>
  <c r="J241"/>
  <c r="AP241"/>
  <c r="AX241"/>
  <c r="AW241"/>
  <c r="BC241"/>
  <c r="BD241"/>
  <c r="BF241"/>
  <c r="BH241"/>
  <c r="AB241"/>
  <c r="BI241"/>
  <c r="AC241"/>
  <c r="BJ241"/>
  <c r="AH241"/>
  <c r="J243"/>
  <c r="L243"/>
  <c r="AB243"/>
  <c r="AF243"/>
  <c r="AK243"/>
  <c r="AO243"/>
  <c r="AW243"/>
  <c r="AP243"/>
  <c r="K243"/>
  <c r="AX243"/>
  <c r="AV243"/>
  <c r="BD243"/>
  <c r="BF243"/>
  <c r="BH243"/>
  <c r="AD243"/>
  <c r="BI243"/>
  <c r="AC243"/>
  <c r="BJ243"/>
  <c r="Z243"/>
  <c r="L245"/>
  <c r="Z245"/>
  <c r="AC245"/>
  <c r="AG245"/>
  <c r="AJ245"/>
  <c r="AK245"/>
  <c r="AL245"/>
  <c r="AO245"/>
  <c r="J245"/>
  <c r="AP245"/>
  <c r="AX245"/>
  <c r="AW245"/>
  <c r="AV245"/>
  <c r="BD245"/>
  <c r="BF245"/>
  <c r="BH245"/>
  <c r="AB245"/>
  <c r="BI245"/>
  <c r="AE245"/>
  <c r="BJ245"/>
  <c r="AH245"/>
  <c r="L246"/>
  <c r="AO246"/>
  <c r="AW246"/>
  <c r="BC246"/>
  <c r="AP246"/>
  <c r="K246"/>
  <c r="AV246"/>
  <c r="AX246"/>
  <c r="BD246"/>
  <c r="BF246"/>
  <c r="BH246"/>
  <c r="AB246"/>
  <c r="BI246"/>
  <c r="AC246"/>
  <c r="BJ246"/>
  <c r="Z246"/>
  <c r="L247"/>
  <c r="Z247"/>
  <c r="AC247"/>
  <c r="AG247"/>
  <c r="AJ247"/>
  <c r="AK247"/>
  <c r="AL247"/>
  <c r="AO247"/>
  <c r="J247"/>
  <c r="AP247"/>
  <c r="AX247"/>
  <c r="AW247"/>
  <c r="AV247"/>
  <c r="BD247"/>
  <c r="BF247"/>
  <c r="BH247"/>
  <c r="AB247"/>
  <c r="BI247"/>
  <c r="AE247"/>
  <c r="BJ247"/>
  <c r="AH247"/>
  <c r="L248"/>
  <c r="AO248"/>
  <c r="AW248"/>
  <c r="BC248"/>
  <c r="AP248"/>
  <c r="K248"/>
  <c r="AV248"/>
  <c r="AX248"/>
  <c r="BD248"/>
  <c r="BF248"/>
  <c r="BH248"/>
  <c r="AB248"/>
  <c r="BI248"/>
  <c r="AC248"/>
  <c r="BJ248"/>
  <c r="Z248"/>
  <c r="L250"/>
  <c r="Z250"/>
  <c r="AJ250"/>
  <c r="AK250"/>
  <c r="AL250"/>
  <c r="AO250"/>
  <c r="J250"/>
  <c r="AP250"/>
  <c r="AX250"/>
  <c r="AW250"/>
  <c r="BC250"/>
  <c r="BD250"/>
  <c r="BF250"/>
  <c r="BH250"/>
  <c r="AB250"/>
  <c r="BI250"/>
  <c r="AC250"/>
  <c r="BJ250"/>
  <c r="AH250"/>
  <c r="J251"/>
  <c r="L251"/>
  <c r="AB251"/>
  <c r="AF251"/>
  <c r="AK251"/>
  <c r="AO251"/>
  <c r="AW251"/>
  <c r="AP251"/>
  <c r="K251"/>
  <c r="AX251"/>
  <c r="AV251"/>
  <c r="BD251"/>
  <c r="BF251"/>
  <c r="BH251"/>
  <c r="AD251"/>
  <c r="BI251"/>
  <c r="AC251"/>
  <c r="BJ251"/>
  <c r="Z251"/>
  <c r="L252"/>
  <c r="Z252"/>
  <c r="AJ252"/>
  <c r="AK252"/>
  <c r="AL252"/>
  <c r="AO252"/>
  <c r="J252"/>
  <c r="AP252"/>
  <c r="AX252"/>
  <c r="AW252"/>
  <c r="BC252"/>
  <c r="BD252"/>
  <c r="BF252"/>
  <c r="BH252"/>
  <c r="AB252"/>
  <c r="BI252"/>
  <c r="AC252"/>
  <c r="BJ252"/>
  <c r="AH252"/>
  <c r="J253"/>
  <c r="L253"/>
  <c r="AB253"/>
  <c r="AF253"/>
  <c r="AK253"/>
  <c r="AO253"/>
  <c r="AW253"/>
  <c r="AP253"/>
  <c r="K253"/>
  <c r="AX253"/>
  <c r="AV253"/>
  <c r="BD253"/>
  <c r="BF253"/>
  <c r="BH253"/>
  <c r="AD253"/>
  <c r="BI253"/>
  <c r="AC253"/>
  <c r="BJ253"/>
  <c r="Z253"/>
  <c r="L254"/>
  <c r="Z254"/>
  <c r="AJ254"/>
  <c r="AK254"/>
  <c r="AL254"/>
  <c r="AO254"/>
  <c r="J254"/>
  <c r="AP254"/>
  <c r="AX254"/>
  <c r="AW254"/>
  <c r="BC254"/>
  <c r="BD254"/>
  <c r="BF254"/>
  <c r="BH254"/>
  <c r="AB254"/>
  <c r="BI254"/>
  <c r="AC254"/>
  <c r="BJ254"/>
  <c r="AH254"/>
  <c r="J255"/>
  <c r="L255"/>
  <c r="AB255"/>
  <c r="AF255"/>
  <c r="AK255"/>
  <c r="AO255"/>
  <c r="AW255"/>
  <c r="AP255"/>
  <c r="K255"/>
  <c r="AX255"/>
  <c r="AV255"/>
  <c r="BD255"/>
  <c r="BF255"/>
  <c r="BH255"/>
  <c r="AD255"/>
  <c r="BI255"/>
  <c r="AC255"/>
  <c r="BJ255"/>
  <c r="Z255"/>
  <c r="L256"/>
  <c r="Z256"/>
  <c r="AJ256"/>
  <c r="AK256"/>
  <c r="AL256"/>
  <c r="AO256"/>
  <c r="J256"/>
  <c r="AP256"/>
  <c r="AX256"/>
  <c r="AW256"/>
  <c r="BC256"/>
  <c r="BD256"/>
  <c r="BF256"/>
  <c r="BH256"/>
  <c r="AB256"/>
  <c r="BI256"/>
  <c r="AC256"/>
  <c r="BJ256"/>
  <c r="AH256"/>
  <c r="L258"/>
  <c r="AO258"/>
  <c r="AW258"/>
  <c r="BC258"/>
  <c r="AP258"/>
  <c r="K258"/>
  <c r="AV258"/>
  <c r="AX258"/>
  <c r="BD258"/>
  <c r="BF258"/>
  <c r="BH258"/>
  <c r="AB258"/>
  <c r="BI258"/>
  <c r="AC258"/>
  <c r="BJ258"/>
  <c r="Z258"/>
  <c r="L259"/>
  <c r="Z259"/>
  <c r="AC259"/>
  <c r="AG259"/>
  <c r="AJ259"/>
  <c r="AK259"/>
  <c r="AL259"/>
  <c r="AO259"/>
  <c r="J259"/>
  <c r="AP259"/>
  <c r="AX259"/>
  <c r="AW259"/>
  <c r="AV259"/>
  <c r="BD259"/>
  <c r="BF259"/>
  <c r="BH259"/>
  <c r="AB259"/>
  <c r="BI259"/>
  <c r="AE259"/>
  <c r="BJ259"/>
  <c r="AH259"/>
  <c r="L260"/>
  <c r="AO260"/>
  <c r="AW260"/>
  <c r="BC260"/>
  <c r="AP260"/>
  <c r="K260"/>
  <c r="AV260"/>
  <c r="AX260"/>
  <c r="BD260"/>
  <c r="BF260"/>
  <c r="BH260"/>
  <c r="AB260"/>
  <c r="BI260"/>
  <c r="AC260"/>
  <c r="BJ260"/>
  <c r="Z260"/>
  <c r="L261"/>
  <c r="Z261"/>
  <c r="AC261"/>
  <c r="AG261"/>
  <c r="AJ261"/>
  <c r="AK261"/>
  <c r="AL261"/>
  <c r="AO261"/>
  <c r="J261"/>
  <c r="AP261"/>
  <c r="AX261"/>
  <c r="AW261"/>
  <c r="AV261"/>
  <c r="BD261"/>
  <c r="BF261"/>
  <c r="BH261"/>
  <c r="AB261"/>
  <c r="BI261"/>
  <c r="AE261"/>
  <c r="BJ261"/>
  <c r="AH261"/>
  <c r="L262"/>
  <c r="AO262"/>
  <c r="AW262"/>
  <c r="BC262"/>
  <c r="AP262"/>
  <c r="K262"/>
  <c r="AV262"/>
  <c r="AX262"/>
  <c r="BD262"/>
  <c r="BF262"/>
  <c r="BH262"/>
  <c r="AB262"/>
  <c r="BI262"/>
  <c r="AC262"/>
  <c r="BJ262"/>
  <c r="Z262"/>
  <c r="L263"/>
  <c r="Z263"/>
  <c r="AC263"/>
  <c r="AG263"/>
  <c r="AJ263"/>
  <c r="AK263"/>
  <c r="AL263"/>
  <c r="AO263"/>
  <c r="J263"/>
  <c r="AP263"/>
  <c r="AX263"/>
  <c r="AW263"/>
  <c r="AV263"/>
  <c r="BD263"/>
  <c r="BF263"/>
  <c r="BH263"/>
  <c r="AB263"/>
  <c r="BI263"/>
  <c r="AE263"/>
  <c r="BJ263"/>
  <c r="AH263"/>
  <c r="L264"/>
  <c r="AO264"/>
  <c r="AW264"/>
  <c r="BC264"/>
  <c r="AP264"/>
  <c r="K264"/>
  <c r="AV264"/>
  <c r="AX264"/>
  <c r="BD264"/>
  <c r="BF264"/>
  <c r="BH264"/>
  <c r="AB264"/>
  <c r="BI264"/>
  <c r="AC264"/>
  <c r="BJ264"/>
  <c r="Z264"/>
  <c r="L265"/>
  <c r="Z265"/>
  <c r="AC265"/>
  <c r="AG265"/>
  <c r="AJ265"/>
  <c r="AK265"/>
  <c r="AL265"/>
  <c r="AO265"/>
  <c r="J265"/>
  <c r="AP265"/>
  <c r="AX265"/>
  <c r="AW265"/>
  <c r="AV265"/>
  <c r="BD265"/>
  <c r="BF265"/>
  <c r="BH265"/>
  <c r="AB265"/>
  <c r="BI265"/>
  <c r="AE265"/>
  <c r="BJ265"/>
  <c r="AH265"/>
  <c r="L266"/>
  <c r="G41" i="2"/>
  <c r="I41"/>
  <c r="J267" i="1"/>
  <c r="J266"/>
  <c r="E41" i="2"/>
  <c r="L267" i="1"/>
  <c r="AB267"/>
  <c r="AF267"/>
  <c r="AK267"/>
  <c r="AT266"/>
  <c r="AO267"/>
  <c r="AW267"/>
  <c r="AP267"/>
  <c r="K267"/>
  <c r="AX267"/>
  <c r="AV267"/>
  <c r="BD267"/>
  <c r="BF267"/>
  <c r="BH267"/>
  <c r="AD267"/>
  <c r="BI267"/>
  <c r="AC267"/>
  <c r="BJ267"/>
  <c r="Z267"/>
  <c r="L268"/>
  <c r="Z268"/>
  <c r="AJ268"/>
  <c r="AK268"/>
  <c r="AL268"/>
  <c r="AO268"/>
  <c r="J268"/>
  <c r="AP268"/>
  <c r="AX268"/>
  <c r="AW268"/>
  <c r="BC268"/>
  <c r="BD268"/>
  <c r="BF268"/>
  <c r="BH268"/>
  <c r="AB268"/>
  <c r="BI268"/>
  <c r="AC268"/>
  <c r="BJ268"/>
  <c r="AH268"/>
  <c r="J269"/>
  <c r="L269"/>
  <c r="AB269"/>
  <c r="AF269"/>
  <c r="AK269"/>
  <c r="AO269"/>
  <c r="AW269"/>
  <c r="AP269"/>
  <c r="K269"/>
  <c r="AX269"/>
  <c r="AV269"/>
  <c r="BD269"/>
  <c r="BF269"/>
  <c r="BH269"/>
  <c r="AD269"/>
  <c r="BI269"/>
  <c r="AC269"/>
  <c r="BJ269"/>
  <c r="Z269"/>
  <c r="L270"/>
  <c r="Z270"/>
  <c r="AJ270"/>
  <c r="AK270"/>
  <c r="AL270"/>
  <c r="AO270"/>
  <c r="J270"/>
  <c r="AP270"/>
  <c r="AX270"/>
  <c r="AW270"/>
  <c r="BC270"/>
  <c r="BD270"/>
  <c r="BF270"/>
  <c r="BH270"/>
  <c r="AB270"/>
  <c r="BI270"/>
  <c r="AC270"/>
  <c r="BJ270"/>
  <c r="AH270"/>
  <c r="J271"/>
  <c r="L271"/>
  <c r="AB271"/>
  <c r="AF271"/>
  <c r="AK271"/>
  <c r="AO271"/>
  <c r="AW271"/>
  <c r="AP271"/>
  <c r="K271"/>
  <c r="AX271"/>
  <c r="AV271"/>
  <c r="BD271"/>
  <c r="BF271"/>
  <c r="BH271"/>
  <c r="AD271"/>
  <c r="BI271"/>
  <c r="AC271"/>
  <c r="BJ271"/>
  <c r="Z271"/>
  <c r="L272"/>
  <c r="Z272"/>
  <c r="AJ272"/>
  <c r="AK272"/>
  <c r="AL272"/>
  <c r="AO272"/>
  <c r="J272"/>
  <c r="AP272"/>
  <c r="AX272"/>
  <c r="AW272"/>
  <c r="BC272"/>
  <c r="BD272"/>
  <c r="BF272"/>
  <c r="BH272"/>
  <c r="AB272"/>
  <c r="BI272"/>
  <c r="AC272"/>
  <c r="BJ272"/>
  <c r="AH272"/>
  <c r="J273"/>
  <c r="L273"/>
  <c r="AB273"/>
  <c r="AF273"/>
  <c r="AK273"/>
  <c r="AO273"/>
  <c r="AW273"/>
  <c r="AP273"/>
  <c r="K273"/>
  <c r="AX273"/>
  <c r="AV273"/>
  <c r="BD273"/>
  <c r="BF273"/>
  <c r="BH273"/>
  <c r="AD273"/>
  <c r="BI273"/>
  <c r="AC273"/>
  <c r="BJ273"/>
  <c r="Z273"/>
  <c r="L274"/>
  <c r="Z274"/>
  <c r="AJ274"/>
  <c r="AK274"/>
  <c r="AL274"/>
  <c r="AO274"/>
  <c r="J274"/>
  <c r="AP274"/>
  <c r="AX274"/>
  <c r="AW274"/>
  <c r="BC274"/>
  <c r="BD274"/>
  <c r="BF274"/>
  <c r="BH274"/>
  <c r="AB274"/>
  <c r="BI274"/>
  <c r="AC274"/>
  <c r="BJ274"/>
  <c r="AH274"/>
  <c r="J275"/>
  <c r="L275"/>
  <c r="AB275"/>
  <c r="AF275"/>
  <c r="AK275"/>
  <c r="AO275"/>
  <c r="AW275"/>
  <c r="AP275"/>
  <c r="K275"/>
  <c r="AX275"/>
  <c r="AV275"/>
  <c r="BD275"/>
  <c r="BF275"/>
  <c r="BH275"/>
  <c r="AD275"/>
  <c r="BI275"/>
  <c r="AC275"/>
  <c r="BJ275"/>
  <c r="Z275"/>
  <c r="L276"/>
  <c r="Z276"/>
  <c r="AJ276"/>
  <c r="AK276"/>
  <c r="AL276"/>
  <c r="AO276"/>
  <c r="J276"/>
  <c r="AP276"/>
  <c r="AX276"/>
  <c r="AW276"/>
  <c r="BC276"/>
  <c r="BD276"/>
  <c r="BF276"/>
  <c r="BH276"/>
  <c r="AB276"/>
  <c r="BI276"/>
  <c r="AC276"/>
  <c r="BJ276"/>
  <c r="AH276"/>
  <c r="J277"/>
  <c r="L277"/>
  <c r="AB277"/>
  <c r="AF277"/>
  <c r="AK277"/>
  <c r="AO277"/>
  <c r="AW277"/>
  <c r="AP277"/>
  <c r="K277"/>
  <c r="AX277"/>
  <c r="AV277"/>
  <c r="BD277"/>
  <c r="BF277"/>
  <c r="BH277"/>
  <c r="AD277"/>
  <c r="BI277"/>
  <c r="AC277"/>
  <c r="BJ277"/>
  <c r="Z277"/>
  <c r="L278"/>
  <c r="Z278"/>
  <c r="AJ278"/>
  <c r="AK278"/>
  <c r="AL278"/>
  <c r="AO278"/>
  <c r="J278"/>
  <c r="AP278"/>
  <c r="AX278"/>
  <c r="AW278"/>
  <c r="BC278"/>
  <c r="BD278"/>
  <c r="BF278"/>
  <c r="BH278"/>
  <c r="AB278"/>
  <c r="BI278"/>
  <c r="AC278"/>
  <c r="BJ278"/>
  <c r="AH278"/>
  <c r="J279"/>
  <c r="L279"/>
  <c r="AB279"/>
  <c r="AF279"/>
  <c r="AK279"/>
  <c r="AO279"/>
  <c r="AW279"/>
  <c r="AP279"/>
  <c r="K279"/>
  <c r="AX279"/>
  <c r="AV279"/>
  <c r="BD279"/>
  <c r="BF279"/>
  <c r="BH279"/>
  <c r="AD279"/>
  <c r="BI279"/>
  <c r="AC279"/>
  <c r="BJ279"/>
  <c r="Z279"/>
  <c r="L280"/>
  <c r="Z280"/>
  <c r="AJ280"/>
  <c r="AK280"/>
  <c r="AL280"/>
  <c r="AO280"/>
  <c r="J280"/>
  <c r="AP280"/>
  <c r="AX280"/>
  <c r="BC280"/>
  <c r="AW280"/>
  <c r="BD280"/>
  <c r="BF280"/>
  <c r="BH280"/>
  <c r="AB280"/>
  <c r="BJ280"/>
  <c r="AH280"/>
  <c r="J281"/>
  <c r="L281"/>
  <c r="AB281"/>
  <c r="AF281"/>
  <c r="AK281"/>
  <c r="AO281"/>
  <c r="AW281"/>
  <c r="AP281"/>
  <c r="K281"/>
  <c r="AX281"/>
  <c r="AV281"/>
  <c r="BD281"/>
  <c r="BF281"/>
  <c r="BH281"/>
  <c r="AD281"/>
  <c r="BI281"/>
  <c r="AC281"/>
  <c r="BJ281"/>
  <c r="Z281"/>
  <c r="L282"/>
  <c r="Z282"/>
  <c r="AJ282"/>
  <c r="AK282"/>
  <c r="AL282"/>
  <c r="AO282"/>
  <c r="J282"/>
  <c r="AP282"/>
  <c r="AX282"/>
  <c r="AW282"/>
  <c r="BC282"/>
  <c r="BD282"/>
  <c r="BF282"/>
  <c r="BH282"/>
  <c r="AB282"/>
  <c r="BI282"/>
  <c r="AC282"/>
  <c r="BJ282"/>
  <c r="AH282"/>
  <c r="J283"/>
  <c r="L283"/>
  <c r="AB283"/>
  <c r="AF283"/>
  <c r="AK283"/>
  <c r="AO283"/>
  <c r="AW283"/>
  <c r="AP283"/>
  <c r="K283"/>
  <c r="AX283"/>
  <c r="AV283"/>
  <c r="BD283"/>
  <c r="BF283"/>
  <c r="BH283"/>
  <c r="AD283"/>
  <c r="BI283"/>
  <c r="AC283"/>
  <c r="BJ283"/>
  <c r="Z283"/>
  <c r="L284"/>
  <c r="Z284"/>
  <c r="AJ284"/>
  <c r="AK284"/>
  <c r="AL284"/>
  <c r="AO284"/>
  <c r="J284"/>
  <c r="AP284"/>
  <c r="AX284"/>
  <c r="AW284"/>
  <c r="BC284"/>
  <c r="BD284"/>
  <c r="BF284"/>
  <c r="BH284"/>
  <c r="AB284"/>
  <c r="BI284"/>
  <c r="AC284"/>
  <c r="BJ284"/>
  <c r="AH284"/>
  <c r="J285"/>
  <c r="L285"/>
  <c r="AB285"/>
  <c r="AF285"/>
  <c r="AK285"/>
  <c r="AO285"/>
  <c r="AW285"/>
  <c r="AP285"/>
  <c r="K285"/>
  <c r="AX285"/>
  <c r="AV285"/>
  <c r="BD285"/>
  <c r="BF285"/>
  <c r="BH285"/>
  <c r="AD285"/>
  <c r="BI285"/>
  <c r="AC285"/>
  <c r="BJ285"/>
  <c r="Z285"/>
  <c r="L286"/>
  <c r="Z286"/>
  <c r="AJ286"/>
  <c r="AK286"/>
  <c r="AL286"/>
  <c r="AO286"/>
  <c r="J286"/>
  <c r="AP286"/>
  <c r="AX286"/>
  <c r="AW286"/>
  <c r="BC286"/>
  <c r="BD286"/>
  <c r="BF286"/>
  <c r="BH286"/>
  <c r="AB286"/>
  <c r="BI286"/>
  <c r="AC286"/>
  <c r="BJ286"/>
  <c r="AH286"/>
  <c r="J287"/>
  <c r="L287"/>
  <c r="AB287"/>
  <c r="AF287"/>
  <c r="AK287"/>
  <c r="AO287"/>
  <c r="AW287"/>
  <c r="AP287"/>
  <c r="K287"/>
  <c r="AX287"/>
  <c r="AV287"/>
  <c r="BD287"/>
  <c r="BF287"/>
  <c r="BH287"/>
  <c r="AD287"/>
  <c r="BI287"/>
  <c r="AC287"/>
  <c r="BJ287"/>
  <c r="Z287"/>
  <c r="L289"/>
  <c r="AL289" s="1"/>
  <c r="AU288" s="1"/>
  <c r="AO289"/>
  <c r="J289"/>
  <c r="AP289"/>
  <c r="AX289"/>
  <c r="AW289"/>
  <c r="AV289" s="1"/>
  <c r="BD289"/>
  <c r="BF289"/>
  <c r="BH289"/>
  <c r="AD289" s="1"/>
  <c r="C16" i="3" s="1"/>
  <c r="BI289" i="1"/>
  <c r="AG289" s="1"/>
  <c r="C19" i="3" s="1"/>
  <c r="AE289" i="1"/>
  <c r="BJ289"/>
  <c r="AH289" s="1"/>
  <c r="C20" i="3" s="1"/>
  <c r="L290" i="1"/>
  <c r="AO290"/>
  <c r="AW290"/>
  <c r="BC290"/>
  <c r="AP290"/>
  <c r="K290"/>
  <c r="AV290"/>
  <c r="AX290"/>
  <c r="BD290"/>
  <c r="BF290"/>
  <c r="BH290"/>
  <c r="AB290"/>
  <c r="BI290"/>
  <c r="AC290"/>
  <c r="BJ290"/>
  <c r="Z290"/>
  <c r="L292"/>
  <c r="Z292"/>
  <c r="AC292"/>
  <c r="AG292"/>
  <c r="AJ292"/>
  <c r="AK292"/>
  <c r="AL292"/>
  <c r="AO292"/>
  <c r="J292"/>
  <c r="AP292"/>
  <c r="AX292"/>
  <c r="AW292"/>
  <c r="AV292"/>
  <c r="BD292"/>
  <c r="BF292"/>
  <c r="BH292"/>
  <c r="AB292"/>
  <c r="BI292"/>
  <c r="AE292"/>
  <c r="BJ292"/>
  <c r="AH292"/>
  <c r="L294"/>
  <c r="AO294"/>
  <c r="AW294"/>
  <c r="BC294"/>
  <c r="AP294"/>
  <c r="K294"/>
  <c r="AV294"/>
  <c r="AX294"/>
  <c r="BD294"/>
  <c r="BF294"/>
  <c r="BH294"/>
  <c r="AB294"/>
  <c r="BI294"/>
  <c r="AC294"/>
  <c r="BJ294"/>
  <c r="Z294"/>
  <c r="L296"/>
  <c r="Z296"/>
  <c r="AC296"/>
  <c r="AG296"/>
  <c r="AJ296"/>
  <c r="AK296"/>
  <c r="AL296"/>
  <c r="AO296"/>
  <c r="J296"/>
  <c r="AP296"/>
  <c r="AX296"/>
  <c r="AW296"/>
  <c r="AV296"/>
  <c r="BD296"/>
  <c r="BF296"/>
  <c r="BH296"/>
  <c r="AB296"/>
  <c r="BI296"/>
  <c r="AE296"/>
  <c r="BJ296"/>
  <c r="AH296"/>
  <c r="L297"/>
  <c r="G43" i="2"/>
  <c r="I43" s="1"/>
  <c r="J298" i="1"/>
  <c r="J297"/>
  <c r="E43" i="2"/>
  <c r="L298" i="1"/>
  <c r="AB298"/>
  <c r="AF298"/>
  <c r="AK298"/>
  <c r="AT297"/>
  <c r="AO298"/>
  <c r="AW298"/>
  <c r="AP298"/>
  <c r="K298"/>
  <c r="AX298"/>
  <c r="AV298"/>
  <c r="BD298"/>
  <c r="BF298"/>
  <c r="BH298"/>
  <c r="AD298"/>
  <c r="BI298"/>
  <c r="AC298"/>
  <c r="BJ298"/>
  <c r="Z298"/>
  <c r="L300"/>
  <c r="Z300"/>
  <c r="AJ300"/>
  <c r="AK300"/>
  <c r="AL300"/>
  <c r="AO300"/>
  <c r="J300"/>
  <c r="AP300"/>
  <c r="AX300"/>
  <c r="AW300"/>
  <c r="BC300"/>
  <c r="BD300"/>
  <c r="BF300"/>
  <c r="BH300"/>
  <c r="AB300"/>
  <c r="BI300"/>
  <c r="AC300"/>
  <c r="BJ300"/>
  <c r="AH300"/>
  <c r="J301"/>
  <c r="L301"/>
  <c r="AB301"/>
  <c r="AF301"/>
  <c r="AK301"/>
  <c r="AO301"/>
  <c r="AW301"/>
  <c r="AP301"/>
  <c r="K301"/>
  <c r="AX301"/>
  <c r="AV301"/>
  <c r="BD301"/>
  <c r="BF301"/>
  <c r="BH301"/>
  <c r="AD301"/>
  <c r="BI301"/>
  <c r="AC301"/>
  <c r="BJ301"/>
  <c r="Z301"/>
  <c r="L302"/>
  <c r="Z302"/>
  <c r="AJ302"/>
  <c r="AK302"/>
  <c r="AL302"/>
  <c r="AO302"/>
  <c r="J302"/>
  <c r="AP302"/>
  <c r="AX302"/>
  <c r="AW302"/>
  <c r="BC302"/>
  <c r="BD302"/>
  <c r="BF302"/>
  <c r="BH302"/>
  <c r="AB302"/>
  <c r="BI302"/>
  <c r="AC302"/>
  <c r="BJ302"/>
  <c r="AH302"/>
  <c r="J303"/>
  <c r="L303"/>
  <c r="AB303"/>
  <c r="AF303"/>
  <c r="AK303"/>
  <c r="AO303"/>
  <c r="AW303"/>
  <c r="AP303"/>
  <c r="K303"/>
  <c r="AX303"/>
  <c r="AV303"/>
  <c r="BD303"/>
  <c r="BF303"/>
  <c r="BH303"/>
  <c r="AD303"/>
  <c r="BI303"/>
  <c r="AC303"/>
  <c r="BJ303"/>
  <c r="Z303"/>
  <c r="L305"/>
  <c r="Z305"/>
  <c r="AJ305"/>
  <c r="AK305"/>
  <c r="AL305"/>
  <c r="AO305"/>
  <c r="J305"/>
  <c r="AP305"/>
  <c r="AX305"/>
  <c r="AW305"/>
  <c r="BC305"/>
  <c r="BD305"/>
  <c r="BF305"/>
  <c r="BH305"/>
  <c r="AB305"/>
  <c r="BI305"/>
  <c r="AC305"/>
  <c r="BJ305"/>
  <c r="AH305"/>
  <c r="J306"/>
  <c r="L306"/>
  <c r="AB306"/>
  <c r="AF306"/>
  <c r="AK306"/>
  <c r="AO306"/>
  <c r="AW306"/>
  <c r="AP306"/>
  <c r="K306"/>
  <c r="AX306"/>
  <c r="AV306"/>
  <c r="BD306"/>
  <c r="BF306"/>
  <c r="BH306"/>
  <c r="AD306"/>
  <c r="BI306"/>
  <c r="AC306"/>
  <c r="BJ306"/>
  <c r="Z306"/>
  <c r="L307"/>
  <c r="Z307"/>
  <c r="AJ307"/>
  <c r="AK307"/>
  <c r="AL307"/>
  <c r="AO307"/>
  <c r="J307"/>
  <c r="AP307"/>
  <c r="AX307"/>
  <c r="AW307"/>
  <c r="BC307"/>
  <c r="BD307"/>
  <c r="BF307"/>
  <c r="BH307"/>
  <c r="AB307"/>
  <c r="BI307"/>
  <c r="AC307"/>
  <c r="BJ307"/>
  <c r="AH307"/>
  <c r="J308"/>
  <c r="L308"/>
  <c r="AB308"/>
  <c r="AF308"/>
  <c r="AK308"/>
  <c r="AO308"/>
  <c r="AW308"/>
  <c r="AP308"/>
  <c r="K308"/>
  <c r="AX308"/>
  <c r="AV308"/>
  <c r="BD308"/>
  <c r="BF308"/>
  <c r="BH308"/>
  <c r="AD308"/>
  <c r="BI308"/>
  <c r="AC308"/>
  <c r="BJ308"/>
  <c r="Z308"/>
  <c r="L310"/>
  <c r="Z310"/>
  <c r="AJ310"/>
  <c r="AK310"/>
  <c r="AL310"/>
  <c r="AO310"/>
  <c r="J310"/>
  <c r="AP310"/>
  <c r="AX310"/>
  <c r="AW310"/>
  <c r="BC310"/>
  <c r="BD310"/>
  <c r="BF310"/>
  <c r="BH310"/>
  <c r="AB310"/>
  <c r="BI310"/>
  <c r="AC310"/>
  <c r="BJ310"/>
  <c r="AH310"/>
  <c r="J311"/>
  <c r="L311"/>
  <c r="AB311"/>
  <c r="AF311"/>
  <c r="AK311"/>
  <c r="AO311"/>
  <c r="AW311"/>
  <c r="AP311"/>
  <c r="K311"/>
  <c r="AX311"/>
  <c r="AV311"/>
  <c r="BD311"/>
  <c r="BF311"/>
  <c r="BH311"/>
  <c r="AD311"/>
  <c r="BI311"/>
  <c r="AC311"/>
  <c r="BJ311"/>
  <c r="Z311"/>
  <c r="L312"/>
  <c r="Z312"/>
  <c r="AJ312"/>
  <c r="AK312"/>
  <c r="AL312"/>
  <c r="AO312"/>
  <c r="J312"/>
  <c r="AP312"/>
  <c r="AX312"/>
  <c r="AW312"/>
  <c r="BC312"/>
  <c r="BD312"/>
  <c r="BF312"/>
  <c r="BH312"/>
  <c r="AB312"/>
  <c r="BI312"/>
  <c r="AC312"/>
  <c r="BJ312"/>
  <c r="AH312"/>
  <c r="J313"/>
  <c r="L313"/>
  <c r="AB313"/>
  <c r="AF313"/>
  <c r="AK313"/>
  <c r="AO313"/>
  <c r="AW313"/>
  <c r="AP313"/>
  <c r="K313"/>
  <c r="AX313"/>
  <c r="AV313"/>
  <c r="BD313"/>
  <c r="BF313"/>
  <c r="BH313"/>
  <c r="AD313"/>
  <c r="BI313"/>
  <c r="AC313"/>
  <c r="BJ313"/>
  <c r="Z313"/>
  <c r="L314"/>
  <c r="Z314"/>
  <c r="AJ314"/>
  <c r="AK314"/>
  <c r="AL314"/>
  <c r="AO314"/>
  <c r="J314"/>
  <c r="AP314"/>
  <c r="AX314"/>
  <c r="AW314"/>
  <c r="BC314"/>
  <c r="BD314"/>
  <c r="BF314"/>
  <c r="BH314"/>
  <c r="AB314"/>
  <c r="BI314"/>
  <c r="AC314"/>
  <c r="BJ314"/>
  <c r="AH314"/>
  <c r="L316"/>
  <c r="AO316"/>
  <c r="AW316"/>
  <c r="BC316"/>
  <c r="AP316"/>
  <c r="K316"/>
  <c r="AV316"/>
  <c r="AX316"/>
  <c r="BD316"/>
  <c r="BF316"/>
  <c r="BH316"/>
  <c r="AB316"/>
  <c r="BI316"/>
  <c r="AC316"/>
  <c r="BJ316"/>
  <c r="Z316"/>
  <c r="L318"/>
  <c r="Z318"/>
  <c r="AC318"/>
  <c r="AG318"/>
  <c r="AJ318"/>
  <c r="AK318"/>
  <c r="AL318"/>
  <c r="AO318"/>
  <c r="J318"/>
  <c r="AP318"/>
  <c r="AX318"/>
  <c r="AW318"/>
  <c r="AV318"/>
  <c r="BD318"/>
  <c r="BF318"/>
  <c r="BH318"/>
  <c r="AB318"/>
  <c r="BI318"/>
  <c r="AE318"/>
  <c r="BJ318"/>
  <c r="AH318"/>
  <c r="L319"/>
  <c r="AO319"/>
  <c r="AW319"/>
  <c r="BC319"/>
  <c r="AP319"/>
  <c r="K319"/>
  <c r="AV319"/>
  <c r="AX319"/>
  <c r="BD319"/>
  <c r="BF319"/>
  <c r="BH319"/>
  <c r="AB319"/>
  <c r="BI319"/>
  <c r="AC319"/>
  <c r="BJ319"/>
  <c r="Z319"/>
  <c r="L320"/>
  <c r="Z320"/>
  <c r="AC320"/>
  <c r="AG320"/>
  <c r="AJ320"/>
  <c r="AK320"/>
  <c r="AL320"/>
  <c r="AO320"/>
  <c r="J320"/>
  <c r="AP320"/>
  <c r="AX320"/>
  <c r="AW320"/>
  <c r="AV320"/>
  <c r="BD320"/>
  <c r="BF320"/>
  <c r="BH320"/>
  <c r="AB320"/>
  <c r="BI320"/>
  <c r="AE320"/>
  <c r="BJ320"/>
  <c r="AH320"/>
  <c r="L321"/>
  <c r="AO321"/>
  <c r="AW321"/>
  <c r="BC321"/>
  <c r="AP321"/>
  <c r="K321"/>
  <c r="AV321"/>
  <c r="AX321"/>
  <c r="BD321"/>
  <c r="BF321"/>
  <c r="BH321"/>
  <c r="AB321"/>
  <c r="BI321"/>
  <c r="AC321"/>
  <c r="BJ321"/>
  <c r="Z321"/>
  <c r="L322"/>
  <c r="Z322"/>
  <c r="AC322"/>
  <c r="AG322"/>
  <c r="AJ322"/>
  <c r="AK322"/>
  <c r="AL322"/>
  <c r="AO322"/>
  <c r="J322"/>
  <c r="AP322"/>
  <c r="AX322"/>
  <c r="AW322"/>
  <c r="AV322"/>
  <c r="BD322"/>
  <c r="BF322"/>
  <c r="BH322"/>
  <c r="AB322"/>
  <c r="BI322"/>
  <c r="AE322"/>
  <c r="BJ322"/>
  <c r="AH322"/>
  <c r="L323"/>
  <c r="AO323"/>
  <c r="AW323"/>
  <c r="BC323"/>
  <c r="AP323"/>
  <c r="K323"/>
  <c r="AV323"/>
  <c r="AX323"/>
  <c r="BD323"/>
  <c r="BF323"/>
  <c r="BH323"/>
  <c r="AB323"/>
  <c r="BI323"/>
  <c r="AC323"/>
  <c r="BJ323"/>
  <c r="Z323"/>
  <c r="L324"/>
  <c r="Z324"/>
  <c r="AC324"/>
  <c r="AG324"/>
  <c r="AJ324"/>
  <c r="AK324"/>
  <c r="AL324"/>
  <c r="AO324"/>
  <c r="J324"/>
  <c r="AP324"/>
  <c r="AX324"/>
  <c r="AW324"/>
  <c r="AV324"/>
  <c r="BD324"/>
  <c r="BF324"/>
  <c r="BH324"/>
  <c r="AB324"/>
  <c r="BI324"/>
  <c r="AE324"/>
  <c r="BJ324"/>
  <c r="AH324"/>
  <c r="L325"/>
  <c r="G45" i="2"/>
  <c r="I45" s="1"/>
  <c r="J326" i="1"/>
  <c r="J325"/>
  <c r="E45" i="2"/>
  <c r="L326" i="1"/>
  <c r="AB326"/>
  <c r="AF326"/>
  <c r="AK326"/>
  <c r="AT325"/>
  <c r="AO326"/>
  <c r="AW326"/>
  <c r="AP326"/>
  <c r="K326"/>
  <c r="AX326"/>
  <c r="AV326"/>
  <c r="BD326"/>
  <c r="BF326"/>
  <c r="BH326"/>
  <c r="AD326"/>
  <c r="BI326"/>
  <c r="AC326"/>
  <c r="BJ326"/>
  <c r="Z326"/>
  <c r="L327"/>
  <c r="Z327"/>
  <c r="AJ327"/>
  <c r="AK327"/>
  <c r="AL327"/>
  <c r="AO327"/>
  <c r="J327"/>
  <c r="AP327"/>
  <c r="AX327"/>
  <c r="AW327"/>
  <c r="BC327"/>
  <c r="BD327"/>
  <c r="BF327"/>
  <c r="BH327"/>
  <c r="AB327"/>
  <c r="BI327"/>
  <c r="AC327"/>
  <c r="BJ327"/>
  <c r="AH327"/>
  <c r="J328"/>
  <c r="L328"/>
  <c r="AB328"/>
  <c r="AF328"/>
  <c r="AK328"/>
  <c r="AO328"/>
  <c r="AW328"/>
  <c r="AP328"/>
  <c r="K328"/>
  <c r="AX328"/>
  <c r="AV328"/>
  <c r="BD328"/>
  <c r="BF328"/>
  <c r="BH328"/>
  <c r="AD328"/>
  <c r="BI328"/>
  <c r="AC328"/>
  <c r="BJ328"/>
  <c r="Z328"/>
  <c r="L330"/>
  <c r="Z330"/>
  <c r="AJ330"/>
  <c r="AK330"/>
  <c r="AL330"/>
  <c r="AO330"/>
  <c r="J330"/>
  <c r="AP330"/>
  <c r="AX330"/>
  <c r="AW330"/>
  <c r="BC330"/>
  <c r="BD330"/>
  <c r="BF330"/>
  <c r="BH330"/>
  <c r="AB330"/>
  <c r="BI330"/>
  <c r="AC330"/>
  <c r="BJ330"/>
  <c r="AH330"/>
  <c r="J331"/>
  <c r="L331"/>
  <c r="AB331"/>
  <c r="AF331"/>
  <c r="AK331"/>
  <c r="AO331"/>
  <c r="AW331"/>
  <c r="AP331"/>
  <c r="K331"/>
  <c r="AX331"/>
  <c r="AV331"/>
  <c r="BD331"/>
  <c r="BF331"/>
  <c r="BH331"/>
  <c r="AD331"/>
  <c r="BI331"/>
  <c r="AC331"/>
  <c r="BJ331"/>
  <c r="Z331"/>
  <c r="L332"/>
  <c r="Z332"/>
  <c r="AJ332"/>
  <c r="AK332"/>
  <c r="AL332"/>
  <c r="AO332"/>
  <c r="J332"/>
  <c r="AP332"/>
  <c r="AX332"/>
  <c r="AW332"/>
  <c r="BC332"/>
  <c r="BD332"/>
  <c r="BF332"/>
  <c r="BH332"/>
  <c r="AB332"/>
  <c r="BI332"/>
  <c r="AC332"/>
  <c r="BJ332"/>
  <c r="AH332"/>
  <c r="L334"/>
  <c r="AO334"/>
  <c r="AW334"/>
  <c r="BC334"/>
  <c r="AP334"/>
  <c r="K334"/>
  <c r="AV334"/>
  <c r="AX334"/>
  <c r="BD334"/>
  <c r="BF334"/>
  <c r="BH334"/>
  <c r="AB334"/>
  <c r="BI334"/>
  <c r="AC334"/>
  <c r="BJ334"/>
  <c r="Z334"/>
  <c r="L335"/>
  <c r="Z335"/>
  <c r="AC335"/>
  <c r="AG335"/>
  <c r="AJ335"/>
  <c r="AK335"/>
  <c r="AL335"/>
  <c r="AO335"/>
  <c r="J335"/>
  <c r="AP335"/>
  <c r="AX335"/>
  <c r="AW335"/>
  <c r="AV335"/>
  <c r="BD335"/>
  <c r="BF335"/>
  <c r="BH335"/>
  <c r="AB335"/>
  <c r="BI335"/>
  <c r="AE335"/>
  <c r="BJ335"/>
  <c r="AH335"/>
  <c r="L336"/>
  <c r="AO336"/>
  <c r="AW336"/>
  <c r="BC336"/>
  <c r="AP336"/>
  <c r="K336"/>
  <c r="AV336"/>
  <c r="AX336"/>
  <c r="BD336"/>
  <c r="BF336"/>
  <c r="BH336"/>
  <c r="AB336"/>
  <c r="BI336"/>
  <c r="AC336"/>
  <c r="BJ336"/>
  <c r="Z336"/>
  <c r="L339"/>
  <c r="Z339"/>
  <c r="AJ339"/>
  <c r="AK339"/>
  <c r="AL339"/>
  <c r="AO339"/>
  <c r="J339"/>
  <c r="AP339"/>
  <c r="AX339"/>
  <c r="AW339"/>
  <c r="BC339"/>
  <c r="BD339"/>
  <c r="BF339"/>
  <c r="BH339"/>
  <c r="AB339"/>
  <c r="BI339"/>
  <c r="AC339"/>
  <c r="BJ339"/>
  <c r="AH339"/>
  <c r="J341"/>
  <c r="L341"/>
  <c r="AB341"/>
  <c r="AF341"/>
  <c r="AK341"/>
  <c r="AO341"/>
  <c r="AW341"/>
  <c r="AP341"/>
  <c r="K341"/>
  <c r="AX341"/>
  <c r="AV341"/>
  <c r="BD341"/>
  <c r="BF341"/>
  <c r="BH341"/>
  <c r="AD341"/>
  <c r="BI341"/>
  <c r="AC341"/>
  <c r="BJ341"/>
  <c r="Z341"/>
  <c r="L343"/>
  <c r="Z343"/>
  <c r="AJ343"/>
  <c r="AK343"/>
  <c r="AL343"/>
  <c r="AO343"/>
  <c r="J343"/>
  <c r="AP343"/>
  <c r="AX343"/>
  <c r="AW343"/>
  <c r="BC343"/>
  <c r="BD343"/>
  <c r="BF343"/>
  <c r="BH343"/>
  <c r="AB343"/>
  <c r="BI343"/>
  <c r="AC343"/>
  <c r="BJ343"/>
  <c r="AH343"/>
  <c r="J345"/>
  <c r="L345"/>
  <c r="AB345"/>
  <c r="AF345"/>
  <c r="AK345"/>
  <c r="AO345"/>
  <c r="AW345"/>
  <c r="AP345"/>
  <c r="K345"/>
  <c r="AX345"/>
  <c r="AV345"/>
  <c r="BD345"/>
  <c r="BF345"/>
  <c r="BH345"/>
  <c r="AD345"/>
  <c r="BI345"/>
  <c r="AC345"/>
  <c r="BJ345"/>
  <c r="Z345"/>
  <c r="L347"/>
  <c r="Z347"/>
  <c r="AJ347"/>
  <c r="AK347"/>
  <c r="AL347"/>
  <c r="AO347"/>
  <c r="J347"/>
  <c r="AP347"/>
  <c r="AX347"/>
  <c r="AW347"/>
  <c r="BC347"/>
  <c r="BD347"/>
  <c r="BF347"/>
  <c r="BH347"/>
  <c r="AB347"/>
  <c r="BI347"/>
  <c r="AC347"/>
  <c r="BJ347"/>
  <c r="AH347"/>
  <c r="L349"/>
  <c r="AJ349"/>
  <c r="AK349"/>
  <c r="AL349"/>
  <c r="AO349"/>
  <c r="AW349"/>
  <c r="AP349"/>
  <c r="K349"/>
  <c r="AX349"/>
  <c r="BD349"/>
  <c r="BF349"/>
  <c r="BH349"/>
  <c r="AB349"/>
  <c r="BI349"/>
  <c r="AC349"/>
  <c r="BJ349"/>
  <c r="Z349"/>
  <c r="L351"/>
  <c r="Z351"/>
  <c r="AJ351"/>
  <c r="AK351"/>
  <c r="AL351"/>
  <c r="AO351"/>
  <c r="J351"/>
  <c r="AP351"/>
  <c r="AX351"/>
  <c r="BC351"/>
  <c r="AW351"/>
  <c r="AV351"/>
  <c r="BD351"/>
  <c r="BF351"/>
  <c r="BH351"/>
  <c r="AB351"/>
  <c r="BI351"/>
  <c r="AC351"/>
  <c r="BJ351"/>
  <c r="AH351"/>
  <c r="L353"/>
  <c r="AJ353"/>
  <c r="AK353"/>
  <c r="AO353"/>
  <c r="AW353"/>
  <c r="AP353"/>
  <c r="K353"/>
  <c r="AX353"/>
  <c r="BD353"/>
  <c r="BF353"/>
  <c r="BH353"/>
  <c r="AB353"/>
  <c r="BI353"/>
  <c r="AC353"/>
  <c r="BJ353"/>
  <c r="Z353"/>
  <c r="L355"/>
  <c r="Z355"/>
  <c r="AJ355"/>
  <c r="AK355"/>
  <c r="AL355"/>
  <c r="AO355"/>
  <c r="J355"/>
  <c r="AP355"/>
  <c r="AX355"/>
  <c r="BC355"/>
  <c r="AW355"/>
  <c r="BD355"/>
  <c r="BF355"/>
  <c r="BH355"/>
  <c r="AB355"/>
  <c r="BI355"/>
  <c r="AC355"/>
  <c r="BJ355"/>
  <c r="AH355"/>
  <c r="L357"/>
  <c r="AJ357"/>
  <c r="AK357"/>
  <c r="AO357"/>
  <c r="AW357"/>
  <c r="AP357"/>
  <c r="K357"/>
  <c r="AX357"/>
  <c r="BD357"/>
  <c r="BF357"/>
  <c r="BH357"/>
  <c r="AB357"/>
  <c r="BI357"/>
  <c r="AC357"/>
  <c r="BJ357"/>
  <c r="Z357"/>
  <c r="L359"/>
  <c r="Z359"/>
  <c r="AJ359"/>
  <c r="AK359"/>
  <c r="AL359"/>
  <c r="AO359"/>
  <c r="J359"/>
  <c r="AP359"/>
  <c r="AX359"/>
  <c r="BC359"/>
  <c r="AW359"/>
  <c r="AV359"/>
  <c r="BD359"/>
  <c r="BF359"/>
  <c r="BH359"/>
  <c r="AB359"/>
  <c r="BI359"/>
  <c r="AC359"/>
  <c r="BJ359"/>
  <c r="AH359"/>
  <c r="L361"/>
  <c r="AJ361"/>
  <c r="AK361"/>
  <c r="AO361"/>
  <c r="AW361"/>
  <c r="AP361"/>
  <c r="K361"/>
  <c r="AX361"/>
  <c r="BD361"/>
  <c r="BF361"/>
  <c r="BH361"/>
  <c r="AB361"/>
  <c r="BI361"/>
  <c r="AC361"/>
  <c r="BJ361"/>
  <c r="Z361"/>
  <c r="L363"/>
  <c r="Z363"/>
  <c r="AJ363"/>
  <c r="AK363"/>
  <c r="AL363"/>
  <c r="AO363"/>
  <c r="J363"/>
  <c r="AP363"/>
  <c r="AX363"/>
  <c r="BC363"/>
  <c r="AW363"/>
  <c r="BD363"/>
  <c r="BF363"/>
  <c r="BH363"/>
  <c r="AB363"/>
  <c r="BI363"/>
  <c r="AC363"/>
  <c r="BJ363"/>
  <c r="AH363"/>
  <c r="L365"/>
  <c r="AJ365"/>
  <c r="AK365"/>
  <c r="AO365"/>
  <c r="AW365"/>
  <c r="AP365"/>
  <c r="K365"/>
  <c r="AX365"/>
  <c r="BD365"/>
  <c r="BF365"/>
  <c r="BH365"/>
  <c r="AB365"/>
  <c r="BI365"/>
  <c r="AC365"/>
  <c r="BJ365"/>
  <c r="Z365"/>
  <c r="L367"/>
  <c r="Z367"/>
  <c r="AJ367"/>
  <c r="AK367"/>
  <c r="AL367"/>
  <c r="AO367"/>
  <c r="J367"/>
  <c r="AP367"/>
  <c r="AX367"/>
  <c r="BC367"/>
  <c r="AW367"/>
  <c r="AV367"/>
  <c r="BD367"/>
  <c r="BF367"/>
  <c r="BH367"/>
  <c r="AB367"/>
  <c r="BI367"/>
  <c r="AC367"/>
  <c r="BJ367"/>
  <c r="AH367"/>
  <c r="L369"/>
  <c r="AJ369"/>
  <c r="AK369"/>
  <c r="AO369"/>
  <c r="AW369"/>
  <c r="AP369"/>
  <c r="K369"/>
  <c r="AX369"/>
  <c r="BD369"/>
  <c r="BF369"/>
  <c r="BH369"/>
  <c r="AB369"/>
  <c r="BI369"/>
  <c r="AC369"/>
  <c r="BJ369"/>
  <c r="Z369"/>
  <c r="L371"/>
  <c r="Z371"/>
  <c r="AJ371"/>
  <c r="AK371"/>
  <c r="AL371"/>
  <c r="AO371"/>
  <c r="J371"/>
  <c r="AP371"/>
  <c r="AX371"/>
  <c r="BC371"/>
  <c r="AW371"/>
  <c r="BD371"/>
  <c r="BF371"/>
  <c r="BH371"/>
  <c r="AB371"/>
  <c r="BI371"/>
  <c r="AC371"/>
  <c r="BJ371"/>
  <c r="AH371"/>
  <c r="L373"/>
  <c r="AJ373"/>
  <c r="AK373"/>
  <c r="AO373"/>
  <c r="AW373"/>
  <c r="AP373"/>
  <c r="K373"/>
  <c r="AX373"/>
  <c r="BD373"/>
  <c r="BF373"/>
  <c r="BH373"/>
  <c r="AB373"/>
  <c r="BI373"/>
  <c r="AC373"/>
  <c r="BJ373"/>
  <c r="Z373"/>
  <c r="L375"/>
  <c r="Z375"/>
  <c r="AJ375"/>
  <c r="AK375"/>
  <c r="AL375"/>
  <c r="AO375"/>
  <c r="J375"/>
  <c r="AP375"/>
  <c r="AX375"/>
  <c r="BC375"/>
  <c r="AW375"/>
  <c r="AV375"/>
  <c r="BD375"/>
  <c r="BF375"/>
  <c r="BH375"/>
  <c r="AB375"/>
  <c r="BI375"/>
  <c r="AC375"/>
  <c r="BJ375"/>
  <c r="AH375"/>
  <c r="L377"/>
  <c r="AJ377"/>
  <c r="AK377"/>
  <c r="AO377"/>
  <c r="AW377"/>
  <c r="AP377"/>
  <c r="K377"/>
  <c r="AX377"/>
  <c r="BD377"/>
  <c r="BF377"/>
  <c r="BH377"/>
  <c r="AB377"/>
  <c r="BI377"/>
  <c r="AC377"/>
  <c r="BJ377"/>
  <c r="Z377"/>
  <c r="L379"/>
  <c r="Z379"/>
  <c r="AJ379"/>
  <c r="AK379"/>
  <c r="AL379"/>
  <c r="AO379"/>
  <c r="J379"/>
  <c r="AP379"/>
  <c r="AX379"/>
  <c r="BC379"/>
  <c r="AW379"/>
  <c r="BD379"/>
  <c r="BF379"/>
  <c r="BH379"/>
  <c r="AB379"/>
  <c r="BI379"/>
  <c r="AC379"/>
  <c r="BJ379"/>
  <c r="AH379"/>
  <c r="C2" i="2"/>
  <c r="G2"/>
  <c r="C4"/>
  <c r="G4"/>
  <c r="C6"/>
  <c r="G6"/>
  <c r="C8"/>
  <c r="G8"/>
  <c r="F11"/>
  <c r="E12"/>
  <c r="G12"/>
  <c r="I12" s="1"/>
  <c r="E17"/>
  <c r="G18"/>
  <c r="I18"/>
  <c r="G20"/>
  <c r="I20"/>
  <c r="G22"/>
  <c r="I22"/>
  <c r="E24"/>
  <c r="G24"/>
  <c r="I24" s="1"/>
  <c r="F25"/>
  <c r="E26"/>
  <c r="G26"/>
  <c r="I26" s="1"/>
  <c r="E28"/>
  <c r="F28"/>
  <c r="E32"/>
  <c r="G32"/>
  <c r="I32"/>
  <c r="F33"/>
  <c r="C2" i="3"/>
  <c r="F2"/>
  <c r="C4"/>
  <c r="F4"/>
  <c r="C6"/>
  <c r="F6"/>
  <c r="C8"/>
  <c r="F8"/>
  <c r="C10"/>
  <c r="F10"/>
  <c r="I10"/>
  <c r="F22"/>
  <c r="BC377" i="1"/>
  <c r="AV377"/>
  <c r="BC369"/>
  <c r="AV369"/>
  <c r="BC361"/>
  <c r="AV361"/>
  <c r="BC353"/>
  <c r="AV353"/>
  <c r="AV379"/>
  <c r="BC373"/>
  <c r="AV373"/>
  <c r="AV371"/>
  <c r="BC365"/>
  <c r="AV365"/>
  <c r="AV363"/>
  <c r="BC357"/>
  <c r="AV357"/>
  <c r="AV355"/>
  <c r="BC349"/>
  <c r="AV349"/>
  <c r="AG379"/>
  <c r="AE379"/>
  <c r="K379"/>
  <c r="AH377"/>
  <c r="AF377"/>
  <c r="AD377"/>
  <c r="J377"/>
  <c r="AG375"/>
  <c r="AE375"/>
  <c r="K375"/>
  <c r="AH373"/>
  <c r="AF373"/>
  <c r="AD373"/>
  <c r="J373"/>
  <c r="AG371"/>
  <c r="AE371"/>
  <c r="K371"/>
  <c r="AH369"/>
  <c r="AF369"/>
  <c r="AD369"/>
  <c r="J369"/>
  <c r="AG367"/>
  <c r="AE367"/>
  <c r="K367"/>
  <c r="AH365"/>
  <c r="AF365"/>
  <c r="AD365"/>
  <c r="J365"/>
  <c r="AG363"/>
  <c r="AE363"/>
  <c r="K363"/>
  <c r="AH361"/>
  <c r="AF361"/>
  <c r="AD361"/>
  <c r="J361"/>
  <c r="AG359"/>
  <c r="AE359"/>
  <c r="K359"/>
  <c r="AH357"/>
  <c r="AF357"/>
  <c r="AD357"/>
  <c r="J357"/>
  <c r="AG355"/>
  <c r="AE355"/>
  <c r="K355"/>
  <c r="AH353"/>
  <c r="AF353"/>
  <c r="AD353"/>
  <c r="J353"/>
  <c r="J338"/>
  <c r="E47" i="2"/>
  <c r="AG351" i="1"/>
  <c r="AE351"/>
  <c r="K351"/>
  <c r="AH349"/>
  <c r="AF349"/>
  <c r="AD349"/>
  <c r="J349"/>
  <c r="AE347"/>
  <c r="K347"/>
  <c r="AE343"/>
  <c r="K343"/>
  <c r="AE339"/>
  <c r="K339"/>
  <c r="AH336"/>
  <c r="AD336"/>
  <c r="AJ336"/>
  <c r="AL336"/>
  <c r="AH334"/>
  <c r="AD334"/>
  <c r="AJ334"/>
  <c r="AS333"/>
  <c r="AL334"/>
  <c r="AU333"/>
  <c r="AE332"/>
  <c r="K332"/>
  <c r="AE330"/>
  <c r="K330"/>
  <c r="AE327"/>
  <c r="K327"/>
  <c r="K325"/>
  <c r="F45" i="2"/>
  <c r="AH323" i="1"/>
  <c r="AD323"/>
  <c r="AJ323"/>
  <c r="AL323"/>
  <c r="AH321"/>
  <c r="AD321"/>
  <c r="AJ321"/>
  <c r="AL321"/>
  <c r="AH319"/>
  <c r="AD319"/>
  <c r="AJ319"/>
  <c r="AL319"/>
  <c r="AH316"/>
  <c r="AD316"/>
  <c r="AJ316"/>
  <c r="AS315"/>
  <c r="AL316"/>
  <c r="AU315"/>
  <c r="AE314"/>
  <c r="K314"/>
  <c r="AE312"/>
  <c r="K312"/>
  <c r="AE310"/>
  <c r="K310"/>
  <c r="AE307"/>
  <c r="K307"/>
  <c r="AE305"/>
  <c r="K305"/>
  <c r="AE302"/>
  <c r="K302"/>
  <c r="AE300"/>
  <c r="K300"/>
  <c r="K297"/>
  <c r="F43" i="2"/>
  <c r="AH294" i="1"/>
  <c r="AD294"/>
  <c r="AJ294"/>
  <c r="AL294"/>
  <c r="AH290"/>
  <c r="AD290"/>
  <c r="AJ290"/>
  <c r="AL290"/>
  <c r="L288"/>
  <c r="G42" i="2" s="1"/>
  <c r="I42" s="1"/>
  <c r="AE286" i="1"/>
  <c r="K286"/>
  <c r="AE284"/>
  <c r="K284"/>
  <c r="AE282"/>
  <c r="K282"/>
  <c r="BI280"/>
  <c r="K280"/>
  <c r="AE278"/>
  <c r="K278"/>
  <c r="AE276"/>
  <c r="K276"/>
  <c r="AE274"/>
  <c r="K274"/>
  <c r="AE272"/>
  <c r="K272"/>
  <c r="AE270"/>
  <c r="K270"/>
  <c r="AE268"/>
  <c r="K268"/>
  <c r="K266"/>
  <c r="F41" i="2"/>
  <c r="AH264" i="1"/>
  <c r="AD264"/>
  <c r="AJ264"/>
  <c r="AL264"/>
  <c r="AH262"/>
  <c r="AD262"/>
  <c r="AJ262"/>
  <c r="AL262"/>
  <c r="AH260"/>
  <c r="AD260"/>
  <c r="AJ260"/>
  <c r="AL260"/>
  <c r="AH258"/>
  <c r="AD258"/>
  <c r="AJ258"/>
  <c r="AS257"/>
  <c r="AL258"/>
  <c r="AU257"/>
  <c r="AE256"/>
  <c r="K256"/>
  <c r="AE254"/>
  <c r="K254"/>
  <c r="AE252"/>
  <c r="K252"/>
  <c r="AE250"/>
  <c r="K250"/>
  <c r="K249"/>
  <c r="F39" i="2"/>
  <c r="AH248" i="1"/>
  <c r="AD248"/>
  <c r="AJ248"/>
  <c r="AL248"/>
  <c r="AH246"/>
  <c r="AD246"/>
  <c r="AJ246"/>
  <c r="AS244"/>
  <c r="AL246"/>
  <c r="AU244"/>
  <c r="L244"/>
  <c r="G38" i="2"/>
  <c r="I38" s="1"/>
  <c r="AE241" i="1"/>
  <c r="K241"/>
  <c r="AE239"/>
  <c r="K239"/>
  <c r="K238"/>
  <c r="F37" i="2"/>
  <c r="AH237" i="1"/>
  <c r="AD237"/>
  <c r="AJ237"/>
  <c r="AL237"/>
  <c r="AH235"/>
  <c r="AD235"/>
  <c r="AJ235"/>
  <c r="AL235"/>
  <c r="AH233"/>
  <c r="AD233"/>
  <c r="AJ233"/>
  <c r="AL233"/>
  <c r="AH231"/>
  <c r="AD231"/>
  <c r="AJ231"/>
  <c r="AL231"/>
  <c r="AH229"/>
  <c r="AD229"/>
  <c r="AJ229"/>
  <c r="AL229"/>
  <c r="AH227"/>
  <c r="AD227"/>
  <c r="AJ227"/>
  <c r="AL227"/>
  <c r="AH225"/>
  <c r="AD225"/>
  <c r="AJ225"/>
  <c r="AL225"/>
  <c r="AH223"/>
  <c r="AD223"/>
  <c r="AJ223"/>
  <c r="AL223"/>
  <c r="AH221"/>
  <c r="AD221"/>
  <c r="AJ221"/>
  <c r="AL221"/>
  <c r="AH219"/>
  <c r="AD219"/>
  <c r="AJ219"/>
  <c r="AL219"/>
  <c r="AH217"/>
  <c r="AD217"/>
  <c r="AJ217"/>
  <c r="AL217"/>
  <c r="AH215"/>
  <c r="AD215"/>
  <c r="AJ215"/>
  <c r="AL215"/>
  <c r="AH213"/>
  <c r="AD213"/>
  <c r="AJ213"/>
  <c r="AL213"/>
  <c r="AH211"/>
  <c r="AD211"/>
  <c r="AJ211"/>
  <c r="AL211"/>
  <c r="AH209"/>
  <c r="AJ209"/>
  <c r="AL209"/>
  <c r="AH207"/>
  <c r="AD207"/>
  <c r="AJ207"/>
  <c r="AL207"/>
  <c r="AH205"/>
  <c r="AD205"/>
  <c r="AJ205"/>
  <c r="AL205"/>
  <c r="AH202"/>
  <c r="AD202"/>
  <c r="AJ202"/>
  <c r="AL202"/>
  <c r="AH198"/>
  <c r="AD198"/>
  <c r="AJ198"/>
  <c r="AS197"/>
  <c r="AL198"/>
  <c r="AE196"/>
  <c r="K196"/>
  <c r="AE194"/>
  <c r="K194"/>
  <c r="AE192"/>
  <c r="K192"/>
  <c r="AE190"/>
  <c r="K190"/>
  <c r="AC188"/>
  <c r="AE188"/>
  <c r="AG188"/>
  <c r="K188"/>
  <c r="AX188"/>
  <c r="BC188"/>
  <c r="AJ185"/>
  <c r="AL185"/>
  <c r="AK185"/>
  <c r="AV184"/>
  <c r="BC184"/>
  <c r="AB183"/>
  <c r="AF183"/>
  <c r="AW183"/>
  <c r="J183"/>
  <c r="AD183"/>
  <c r="AJ181"/>
  <c r="AL181"/>
  <c r="AK181"/>
  <c r="AV180"/>
  <c r="BC180"/>
  <c r="AB179"/>
  <c r="AF179"/>
  <c r="AW179"/>
  <c r="J179"/>
  <c r="AD179"/>
  <c r="L177"/>
  <c r="G35" i="2"/>
  <c r="I35"/>
  <c r="AC170" i="1"/>
  <c r="AG170"/>
  <c r="K170"/>
  <c r="AB167"/>
  <c r="AF167"/>
  <c r="AW167"/>
  <c r="J167"/>
  <c r="J166"/>
  <c r="E33" i="2"/>
  <c r="AD167" i="1"/>
  <c r="AJ162"/>
  <c r="AL162"/>
  <c r="AK162"/>
  <c r="AV161"/>
  <c r="BC161"/>
  <c r="AB160"/>
  <c r="AF160"/>
  <c r="AW160"/>
  <c r="J160"/>
  <c r="AD160"/>
  <c r="AJ158"/>
  <c r="AL158"/>
  <c r="AK158"/>
  <c r="AV157"/>
  <c r="BC157"/>
  <c r="AB155"/>
  <c r="AF155"/>
  <c r="AW155"/>
  <c r="J155"/>
  <c r="AD155"/>
  <c r="AJ153"/>
  <c r="AL153"/>
  <c r="L152"/>
  <c r="G31" i="2"/>
  <c r="I31" s="1"/>
  <c r="AK153" i="1"/>
  <c r="AC150"/>
  <c r="AG150"/>
  <c r="K150"/>
  <c r="AC146"/>
  <c r="AG146"/>
  <c r="K146"/>
  <c r="AC142"/>
  <c r="AG142"/>
  <c r="K142"/>
  <c r="AC138"/>
  <c r="AG138"/>
  <c r="K138"/>
  <c r="AV134"/>
  <c r="BC134"/>
  <c r="AB132"/>
  <c r="AF132"/>
  <c r="AW132"/>
  <c r="J132"/>
  <c r="AD132"/>
  <c r="AJ129"/>
  <c r="AL129"/>
  <c r="AK129"/>
  <c r="AV128"/>
  <c r="BC128"/>
  <c r="AB127"/>
  <c r="AF127"/>
  <c r="AW127"/>
  <c r="J127"/>
  <c r="AD127"/>
  <c r="AJ125"/>
  <c r="AL125"/>
  <c r="AK125"/>
  <c r="AV124"/>
  <c r="BC124"/>
  <c r="AB123"/>
  <c r="AF123"/>
  <c r="AW123"/>
  <c r="J123"/>
  <c r="AD123"/>
  <c r="AJ121"/>
  <c r="AL121"/>
  <c r="AK121"/>
  <c r="AV119"/>
  <c r="BC119"/>
  <c r="AB118"/>
  <c r="AF118"/>
  <c r="AW118"/>
  <c r="J118"/>
  <c r="AD118"/>
  <c r="AJ116"/>
  <c r="AL116"/>
  <c r="AK116"/>
  <c r="AV115"/>
  <c r="BC115"/>
  <c r="AB114"/>
  <c r="AF114"/>
  <c r="AW114"/>
  <c r="J114"/>
  <c r="AD114"/>
  <c r="L111"/>
  <c r="G29" i="2"/>
  <c r="I29"/>
  <c r="AV107" i="1"/>
  <c r="BC107"/>
  <c r="AB106"/>
  <c r="AF106"/>
  <c r="AW106"/>
  <c r="J106"/>
  <c r="J105"/>
  <c r="E27" i="2"/>
  <c r="AD106" i="1"/>
  <c r="AJ102"/>
  <c r="AS101"/>
  <c r="AL102"/>
  <c r="AU101"/>
  <c r="L101"/>
  <c r="G25" i="2"/>
  <c r="I25"/>
  <c r="AK102" i="1"/>
  <c r="AT101"/>
  <c r="AC99"/>
  <c r="AG99"/>
  <c r="K99"/>
  <c r="K98"/>
  <c r="F24" i="2"/>
  <c r="AX99" i="1"/>
  <c r="BC99"/>
  <c r="AJ92"/>
  <c r="AL92"/>
  <c r="AK92"/>
  <c r="AV90"/>
  <c r="BC90"/>
  <c r="AC71"/>
  <c r="AG71"/>
  <c r="AE71"/>
  <c r="AC64"/>
  <c r="AG64"/>
  <c r="AE64"/>
  <c r="AC36"/>
  <c r="AG36"/>
  <c r="AE36"/>
  <c r="AX36"/>
  <c r="BC36"/>
  <c r="K36"/>
  <c r="AF379"/>
  <c r="AD379"/>
  <c r="AL377"/>
  <c r="AG377"/>
  <c r="AE377"/>
  <c r="AF375"/>
  <c r="AD375"/>
  <c r="AL373"/>
  <c r="AG373"/>
  <c r="AE373"/>
  <c r="AF371"/>
  <c r="AD371"/>
  <c r="AL369"/>
  <c r="AG369"/>
  <c r="AE369"/>
  <c r="AF367"/>
  <c r="AD367"/>
  <c r="AL365"/>
  <c r="AG365"/>
  <c r="AE365"/>
  <c r="AF363"/>
  <c r="AD363"/>
  <c r="AL361"/>
  <c r="AG361"/>
  <c r="AE361"/>
  <c r="AF359"/>
  <c r="AD359"/>
  <c r="AL357"/>
  <c r="AU338"/>
  <c r="AG357"/>
  <c r="AE357"/>
  <c r="AF355"/>
  <c r="AD355"/>
  <c r="AL353"/>
  <c r="AG353"/>
  <c r="AE353"/>
  <c r="AF351"/>
  <c r="AD351"/>
  <c r="AG349"/>
  <c r="AE349"/>
  <c r="AV347"/>
  <c r="AG347"/>
  <c r="BC345"/>
  <c r="AH345"/>
  <c r="AJ345"/>
  <c r="AL345"/>
  <c r="AV343"/>
  <c r="AG343"/>
  <c r="BC341"/>
  <c r="AH341"/>
  <c r="AJ341"/>
  <c r="AS338"/>
  <c r="AL341"/>
  <c r="AV339"/>
  <c r="AT338"/>
  <c r="AG339"/>
  <c r="L338"/>
  <c r="G47" i="2"/>
  <c r="I47" s="1"/>
  <c r="AK336" i="1"/>
  <c r="AF336"/>
  <c r="J336"/>
  <c r="BC335"/>
  <c r="K335"/>
  <c r="K333"/>
  <c r="F46" i="2"/>
  <c r="AK334" i="1"/>
  <c r="AT333"/>
  <c r="AF334"/>
  <c r="J334"/>
  <c r="J333"/>
  <c r="E46" i="2"/>
  <c r="L333" i="1"/>
  <c r="G46" i="2"/>
  <c r="I46" s="1"/>
  <c r="AV332" i="1"/>
  <c r="AG332"/>
  <c r="BC331"/>
  <c r="AH331"/>
  <c r="AJ331"/>
  <c r="AL331"/>
  <c r="AV330"/>
  <c r="AG330"/>
  <c r="BC328"/>
  <c r="AH328"/>
  <c r="AJ328"/>
  <c r="AL328"/>
  <c r="AV327"/>
  <c r="AG327"/>
  <c r="BC326"/>
  <c r="AH326"/>
  <c r="AJ326"/>
  <c r="AS325"/>
  <c r="AL326"/>
  <c r="AU325"/>
  <c r="BC324"/>
  <c r="K324"/>
  <c r="AK323"/>
  <c r="AF323"/>
  <c r="J323"/>
  <c r="BC322"/>
  <c r="K322"/>
  <c r="AK321"/>
  <c r="AF321"/>
  <c r="J321"/>
  <c r="BC320"/>
  <c r="K320"/>
  <c r="AK319"/>
  <c r="AF319"/>
  <c r="J319"/>
  <c r="BC318"/>
  <c r="K318"/>
  <c r="K315"/>
  <c r="F44" i="2"/>
  <c r="AK316" i="1"/>
  <c r="AF316"/>
  <c r="J316"/>
  <c r="L315"/>
  <c r="G44" i="2"/>
  <c r="I44"/>
  <c r="AV314" i="1"/>
  <c r="AG314"/>
  <c r="BC313"/>
  <c r="AH313"/>
  <c r="AJ313"/>
  <c r="AL313"/>
  <c r="AV312"/>
  <c r="AG312"/>
  <c r="BC311"/>
  <c r="AH311"/>
  <c r="AJ311"/>
  <c r="AL311"/>
  <c r="AV310"/>
  <c r="AG310"/>
  <c r="BC308"/>
  <c r="AH308"/>
  <c r="AJ308"/>
  <c r="AL308"/>
  <c r="AV307"/>
  <c r="AG307"/>
  <c r="BC306"/>
  <c r="AH306"/>
  <c r="AJ306"/>
  <c r="AL306"/>
  <c r="AV305"/>
  <c r="AG305"/>
  <c r="BC303"/>
  <c r="AH303"/>
  <c r="AJ303"/>
  <c r="AL303"/>
  <c r="AV302"/>
  <c r="AG302"/>
  <c r="BC301"/>
  <c r="AH301"/>
  <c r="AJ301"/>
  <c r="AL301"/>
  <c r="AV300"/>
  <c r="AG300"/>
  <c r="BC298"/>
  <c r="AH298"/>
  <c r="AJ298"/>
  <c r="AS297"/>
  <c r="AL298"/>
  <c r="AU297"/>
  <c r="BC296"/>
  <c r="K296"/>
  <c r="AK294"/>
  <c r="AF294"/>
  <c r="J294"/>
  <c r="BC292"/>
  <c r="K292"/>
  <c r="AK290"/>
  <c r="AF290"/>
  <c r="J290"/>
  <c r="J288"/>
  <c r="E42" i="2"/>
  <c r="BC289" i="1"/>
  <c r="K289"/>
  <c r="K288"/>
  <c r="F42" i="2" s="1"/>
  <c r="BC287" i="1"/>
  <c r="AH287"/>
  <c r="AJ287"/>
  <c r="AL287"/>
  <c r="AV286"/>
  <c r="AG286"/>
  <c r="BC285"/>
  <c r="AH285"/>
  <c r="AJ285"/>
  <c r="AL285"/>
  <c r="AV284"/>
  <c r="AG284"/>
  <c r="BC283"/>
  <c r="AH283"/>
  <c r="AJ283"/>
  <c r="AL283"/>
  <c r="AV282"/>
  <c r="AG282"/>
  <c r="BC281"/>
  <c r="AH281"/>
  <c r="AJ281"/>
  <c r="AL281"/>
  <c r="AV280"/>
  <c r="BC279"/>
  <c r="AH279"/>
  <c r="AJ279"/>
  <c r="AL279"/>
  <c r="AV278"/>
  <c r="AG278"/>
  <c r="BC277"/>
  <c r="AH277"/>
  <c r="AJ277"/>
  <c r="AL277"/>
  <c r="AV276"/>
  <c r="AG276"/>
  <c r="BC275"/>
  <c r="AH275"/>
  <c r="AJ275"/>
  <c r="AL275"/>
  <c r="AV274"/>
  <c r="AG274"/>
  <c r="BC273"/>
  <c r="AH273"/>
  <c r="AJ273"/>
  <c r="AL273"/>
  <c r="AV272"/>
  <c r="AG272"/>
  <c r="BC271"/>
  <c r="AH271"/>
  <c r="AJ271"/>
  <c r="AL271"/>
  <c r="AV270"/>
  <c r="AG270"/>
  <c r="BC269"/>
  <c r="AH269"/>
  <c r="AJ269"/>
  <c r="AL269"/>
  <c r="AV268"/>
  <c r="AG268"/>
  <c r="BC267"/>
  <c r="AH267"/>
  <c r="AJ267"/>
  <c r="AS266"/>
  <c r="AL267"/>
  <c r="BC265"/>
  <c r="K265"/>
  <c r="AK264"/>
  <c r="AF264"/>
  <c r="J264"/>
  <c r="BC263"/>
  <c r="K263"/>
  <c r="AK262"/>
  <c r="AF262"/>
  <c r="J262"/>
  <c r="BC261"/>
  <c r="K261"/>
  <c r="AK260"/>
  <c r="AF260"/>
  <c r="J260"/>
  <c r="BC259"/>
  <c r="K259"/>
  <c r="K257"/>
  <c r="F40" i="2"/>
  <c r="AK258" i="1"/>
  <c r="AT257"/>
  <c r="AF258"/>
  <c r="J258"/>
  <c r="J257"/>
  <c r="E40" i="2"/>
  <c r="L257" i="1"/>
  <c r="G40" i="2"/>
  <c r="I40" s="1"/>
  <c r="AV256" i="1"/>
  <c r="AG256"/>
  <c r="BC255"/>
  <c r="AH255"/>
  <c r="AJ255"/>
  <c r="AL255"/>
  <c r="AV254"/>
  <c r="AG254"/>
  <c r="BC253"/>
  <c r="AH253"/>
  <c r="AJ253"/>
  <c r="AL253"/>
  <c r="AV252"/>
  <c r="AG252"/>
  <c r="BC251"/>
  <c r="AH251"/>
  <c r="AJ251"/>
  <c r="AS249"/>
  <c r="AL251"/>
  <c r="AU249"/>
  <c r="AV250"/>
  <c r="J249"/>
  <c r="E39" i="2"/>
  <c r="AT249" i="1"/>
  <c r="AG250"/>
  <c r="L249"/>
  <c r="G39" i="2"/>
  <c r="I39" s="1"/>
  <c r="AK248" i="1"/>
  <c r="AF248"/>
  <c r="J248"/>
  <c r="BC247"/>
  <c r="K247"/>
  <c r="AK246"/>
  <c r="AT244"/>
  <c r="AF246"/>
  <c r="J246"/>
  <c r="J244"/>
  <c r="E38" i="2"/>
  <c r="BC245" i="1"/>
  <c r="K245"/>
  <c r="K244"/>
  <c r="F38" i="2"/>
  <c r="BC243" i="1"/>
  <c r="AH243"/>
  <c r="AJ243"/>
  <c r="AL243"/>
  <c r="AV241"/>
  <c r="AG241"/>
  <c r="BC240"/>
  <c r="AH240"/>
  <c r="AJ240"/>
  <c r="AS238"/>
  <c r="AL240"/>
  <c r="AU238"/>
  <c r="AV239"/>
  <c r="J238"/>
  <c r="E37" i="2"/>
  <c r="AT238" i="1"/>
  <c r="AG239"/>
  <c r="L238"/>
  <c r="G37" i="2"/>
  <c r="I37"/>
  <c r="AK237" i="1"/>
  <c r="AF237"/>
  <c r="J237"/>
  <c r="BC236"/>
  <c r="K236"/>
  <c r="AK235"/>
  <c r="AF235"/>
  <c r="J235"/>
  <c r="BC234"/>
  <c r="K234"/>
  <c r="AK233"/>
  <c r="AF233"/>
  <c r="J233"/>
  <c r="BC232"/>
  <c r="K232"/>
  <c r="AK231"/>
  <c r="AF231"/>
  <c r="J231"/>
  <c r="BC230"/>
  <c r="K230"/>
  <c r="AK229"/>
  <c r="AF229"/>
  <c r="J229"/>
  <c r="BC228"/>
  <c r="K228"/>
  <c r="AK227"/>
  <c r="AF227"/>
  <c r="J227"/>
  <c r="BC226"/>
  <c r="K226"/>
  <c r="AK225"/>
  <c r="AF225"/>
  <c r="J225"/>
  <c r="BC224"/>
  <c r="K224"/>
  <c r="AK223"/>
  <c r="AF223"/>
  <c r="J223"/>
  <c r="BC222"/>
  <c r="K222"/>
  <c r="AK221"/>
  <c r="AF221"/>
  <c r="J221"/>
  <c r="BC220"/>
  <c r="K220"/>
  <c r="AK219"/>
  <c r="AF219"/>
  <c r="J219"/>
  <c r="BC218"/>
  <c r="K218"/>
  <c r="AK217"/>
  <c r="AF217"/>
  <c r="J217"/>
  <c r="BC216"/>
  <c r="K216"/>
  <c r="AK215"/>
  <c r="AF215"/>
  <c r="J215"/>
  <c r="BC214"/>
  <c r="K214"/>
  <c r="AK213"/>
  <c r="AF213"/>
  <c r="J213"/>
  <c r="BC212"/>
  <c r="K212"/>
  <c r="AK211"/>
  <c r="AF211"/>
  <c r="J211"/>
  <c r="BC210"/>
  <c r="K210"/>
  <c r="AK209"/>
  <c r="AF209"/>
  <c r="J209"/>
  <c r="BC208"/>
  <c r="K208"/>
  <c r="AK207"/>
  <c r="AF207"/>
  <c r="J207"/>
  <c r="BC206"/>
  <c r="K206"/>
  <c r="AK205"/>
  <c r="AF205"/>
  <c r="J205"/>
  <c r="BC204"/>
  <c r="K204"/>
  <c r="AK202"/>
  <c r="AF202"/>
  <c r="J202"/>
  <c r="BC200"/>
  <c r="K200"/>
  <c r="K197"/>
  <c r="F36" i="2"/>
  <c r="AK198" i="1"/>
  <c r="AF198"/>
  <c r="J198"/>
  <c r="L197"/>
  <c r="G36" i="2"/>
  <c r="I36"/>
  <c r="AV196" i="1"/>
  <c r="AG196"/>
  <c r="BC195"/>
  <c r="AH195"/>
  <c r="AJ195"/>
  <c r="AL195"/>
  <c r="AV194"/>
  <c r="AG194"/>
  <c r="BC193"/>
  <c r="AH193"/>
  <c r="AJ193"/>
  <c r="AL193"/>
  <c r="AV192"/>
  <c r="AG192"/>
  <c r="BC191"/>
  <c r="AH191"/>
  <c r="AJ191"/>
  <c r="AL191"/>
  <c r="AV190"/>
  <c r="AG190"/>
  <c r="BC189"/>
  <c r="AH189"/>
  <c r="AJ189"/>
  <c r="AL189"/>
  <c r="AJ188"/>
  <c r="AK188"/>
  <c r="AV186"/>
  <c r="BC186"/>
  <c r="AB185"/>
  <c r="AF185"/>
  <c r="AW185"/>
  <c r="J185"/>
  <c r="AD185"/>
  <c r="AH183"/>
  <c r="AJ183"/>
  <c r="AL183"/>
  <c r="AK183"/>
  <c r="AT177"/>
  <c r="AV182"/>
  <c r="BC182"/>
  <c r="AB181"/>
  <c r="AF181"/>
  <c r="AW181"/>
  <c r="J181"/>
  <c r="AD181"/>
  <c r="AH179"/>
  <c r="AJ179"/>
  <c r="AS177"/>
  <c r="AL179"/>
  <c r="AU177"/>
  <c r="AK179"/>
  <c r="AV178"/>
  <c r="BC178"/>
  <c r="J177"/>
  <c r="E35" i="2"/>
  <c r="AC174" i="1"/>
  <c r="AG174"/>
  <c r="K174"/>
  <c r="AE170"/>
  <c r="AH167"/>
  <c r="AJ167"/>
  <c r="AS166"/>
  <c r="AL167"/>
  <c r="AU166"/>
  <c r="L166"/>
  <c r="G33" i="2"/>
  <c r="I33" s="1"/>
  <c r="AK167" i="1"/>
  <c r="AT166"/>
  <c r="AC164"/>
  <c r="AG164"/>
  <c r="K164"/>
  <c r="K163"/>
  <c r="F32" i="2"/>
  <c r="AB162" i="1"/>
  <c r="AF162"/>
  <c r="AW162"/>
  <c r="J162"/>
  <c r="AD162"/>
  <c r="AH160"/>
  <c r="AJ160"/>
  <c r="AL160"/>
  <c r="AK160"/>
  <c r="AV159"/>
  <c r="BC159"/>
  <c r="AB158"/>
  <c r="AF158"/>
  <c r="AW158"/>
  <c r="J158"/>
  <c r="AD158"/>
  <c r="AH155"/>
  <c r="AJ155"/>
  <c r="AL155"/>
  <c r="AK155"/>
  <c r="AV154"/>
  <c r="BC154"/>
  <c r="AB153"/>
  <c r="AF153"/>
  <c r="AW153"/>
  <c r="J153"/>
  <c r="AD153"/>
  <c r="AE150"/>
  <c r="AC148"/>
  <c r="AG148"/>
  <c r="K148"/>
  <c r="AE146"/>
  <c r="AC144"/>
  <c r="AG144"/>
  <c r="K144"/>
  <c r="AE142"/>
  <c r="AC140"/>
  <c r="AG140"/>
  <c r="K140"/>
  <c r="AE138"/>
  <c r="K136"/>
  <c r="F30" i="2"/>
  <c r="AT136" i="1"/>
  <c r="J136"/>
  <c r="E30" i="2"/>
  <c r="AH132" i="1"/>
  <c r="AJ132"/>
  <c r="AL132"/>
  <c r="AK132"/>
  <c r="AV131"/>
  <c r="BC131"/>
  <c r="AB129"/>
  <c r="AF129"/>
  <c r="AW129"/>
  <c r="J129"/>
  <c r="AD129"/>
  <c r="AH127"/>
  <c r="AJ127"/>
  <c r="AL127"/>
  <c r="AK127"/>
  <c r="AV126"/>
  <c r="BC126"/>
  <c r="AB125"/>
  <c r="AF125"/>
  <c r="AW125"/>
  <c r="J125"/>
  <c r="AD125"/>
  <c r="AH123"/>
  <c r="AJ123"/>
  <c r="AL123"/>
  <c r="AK123"/>
  <c r="AV122"/>
  <c r="BC122"/>
  <c r="AB121"/>
  <c r="AF121"/>
  <c r="AW121"/>
  <c r="J121"/>
  <c r="J111"/>
  <c r="E29" i="2"/>
  <c r="AD121" i="1"/>
  <c r="AH118"/>
  <c r="AJ118"/>
  <c r="AL118"/>
  <c r="AK118"/>
  <c r="AV117"/>
  <c r="BC117"/>
  <c r="AB116"/>
  <c r="AF116"/>
  <c r="AW116"/>
  <c r="J116"/>
  <c r="AD116"/>
  <c r="AH114"/>
  <c r="AJ114"/>
  <c r="AS111"/>
  <c r="AL114"/>
  <c r="AK114"/>
  <c r="AV112"/>
  <c r="BC112"/>
  <c r="AT111"/>
  <c r="AH106"/>
  <c r="AJ106"/>
  <c r="AS105"/>
  <c r="AL106"/>
  <c r="AU105"/>
  <c r="L105"/>
  <c r="G27" i="2"/>
  <c r="I27" s="1"/>
  <c r="AK106" i="1"/>
  <c r="AT105"/>
  <c r="AC104"/>
  <c r="AG104"/>
  <c r="K104"/>
  <c r="K103"/>
  <c r="F26" i="2"/>
  <c r="AB102" i="1"/>
  <c r="AF102"/>
  <c r="AW102"/>
  <c r="J102"/>
  <c r="J101"/>
  <c r="E25" i="2"/>
  <c r="AD102" i="1"/>
  <c r="AE99"/>
  <c r="AV96"/>
  <c r="BC96"/>
  <c r="Z95"/>
  <c r="AH95"/>
  <c r="AB95"/>
  <c r="AF95"/>
  <c r="AW95"/>
  <c r="J95"/>
  <c r="AC85"/>
  <c r="AG85"/>
  <c r="AE85"/>
  <c r="AT79"/>
  <c r="J79"/>
  <c r="E22" i="2"/>
  <c r="AJ77" i="1"/>
  <c r="AL77"/>
  <c r="AK77"/>
  <c r="AV76"/>
  <c r="BC76"/>
  <c r="Z75"/>
  <c r="AH75"/>
  <c r="AB75"/>
  <c r="AF75"/>
  <c r="AW75"/>
  <c r="J75"/>
  <c r="K71"/>
  <c r="K64"/>
  <c r="AV60"/>
  <c r="BC60"/>
  <c r="Z59"/>
  <c r="AH59"/>
  <c r="AB59"/>
  <c r="AF59"/>
  <c r="AW59"/>
  <c r="J59"/>
  <c r="J58"/>
  <c r="E19" i="2"/>
  <c r="Z48" i="1"/>
  <c r="AH48"/>
  <c r="AB48"/>
  <c r="AF48"/>
  <c r="AD48"/>
  <c r="AW48"/>
  <c r="J48"/>
  <c r="AC42"/>
  <c r="AG42"/>
  <c r="AE42"/>
  <c r="AX42"/>
  <c r="BC42"/>
  <c r="K42"/>
  <c r="AJ30"/>
  <c r="AL30"/>
  <c r="AK30"/>
  <c r="AT22"/>
  <c r="AV29"/>
  <c r="BC29"/>
  <c r="Z28"/>
  <c r="AH28"/>
  <c r="AB28"/>
  <c r="AF28"/>
  <c r="AD28"/>
  <c r="AW28"/>
  <c r="J28"/>
  <c r="AJ20"/>
  <c r="AL20"/>
  <c r="AK20"/>
  <c r="AV19"/>
  <c r="BC19"/>
  <c r="Z18"/>
  <c r="AH18"/>
  <c r="AB18"/>
  <c r="AF18"/>
  <c r="AD18"/>
  <c r="AW18"/>
  <c r="J18"/>
  <c r="AF347"/>
  <c r="AD347"/>
  <c r="AG345"/>
  <c r="AE345"/>
  <c r="AF343"/>
  <c r="AD343"/>
  <c r="AG341"/>
  <c r="AE341"/>
  <c r="AF339"/>
  <c r="AD339"/>
  <c r="AG336"/>
  <c r="AE336"/>
  <c r="AF335"/>
  <c r="AD335"/>
  <c r="AG334"/>
  <c r="AE334"/>
  <c r="AF332"/>
  <c r="AD332"/>
  <c r="AG331"/>
  <c r="AE331"/>
  <c r="AF330"/>
  <c r="AD330"/>
  <c r="AG328"/>
  <c r="AE328"/>
  <c r="AF327"/>
  <c r="AD327"/>
  <c r="AG326"/>
  <c r="AE326"/>
  <c r="AF324"/>
  <c r="AD324"/>
  <c r="AG323"/>
  <c r="AE323"/>
  <c r="AF322"/>
  <c r="AD322"/>
  <c r="AG321"/>
  <c r="AE321"/>
  <c r="AF320"/>
  <c r="AD320"/>
  <c r="AG319"/>
  <c r="AE319"/>
  <c r="AF318"/>
  <c r="AD318"/>
  <c r="AG316"/>
  <c r="AE316"/>
  <c r="AF314"/>
  <c r="AD314"/>
  <c r="AG313"/>
  <c r="AE313"/>
  <c r="AF312"/>
  <c r="AD312"/>
  <c r="AG311"/>
  <c r="AE311"/>
  <c r="AF310"/>
  <c r="AD310"/>
  <c r="AG308"/>
  <c r="AE308"/>
  <c r="AF307"/>
  <c r="AD307"/>
  <c r="AG306"/>
  <c r="AE306"/>
  <c r="AF305"/>
  <c r="AD305"/>
  <c r="AG303"/>
  <c r="AE303"/>
  <c r="AF302"/>
  <c r="AD302"/>
  <c r="AG301"/>
  <c r="AE301"/>
  <c r="AF300"/>
  <c r="AD300"/>
  <c r="AG298"/>
  <c r="AE298"/>
  <c r="AF296"/>
  <c r="AD296"/>
  <c r="AG294"/>
  <c r="AE294"/>
  <c r="AF292"/>
  <c r="AD292"/>
  <c r="AG290"/>
  <c r="AE290"/>
  <c r="AG287"/>
  <c r="AE287"/>
  <c r="AF286"/>
  <c r="AD286"/>
  <c r="AG285"/>
  <c r="AE285"/>
  <c r="AF284"/>
  <c r="AD284"/>
  <c r="AG283"/>
  <c r="AE283"/>
  <c r="AF282"/>
  <c r="AD282"/>
  <c r="AG281"/>
  <c r="AE281"/>
  <c r="AF280"/>
  <c r="AD280"/>
  <c r="AG279"/>
  <c r="AE279"/>
  <c r="AF278"/>
  <c r="AD278"/>
  <c r="AG277"/>
  <c r="AE277"/>
  <c r="AF276"/>
  <c r="AD276"/>
  <c r="AG275"/>
  <c r="AE275"/>
  <c r="AF274"/>
  <c r="AD274"/>
  <c r="AG273"/>
  <c r="AE273"/>
  <c r="AF272"/>
  <c r="AD272"/>
  <c r="AG271"/>
  <c r="AE271"/>
  <c r="AF270"/>
  <c r="AD270"/>
  <c r="AG269"/>
  <c r="AE269"/>
  <c r="AF268"/>
  <c r="AD268"/>
  <c r="AG267"/>
  <c r="AE267"/>
  <c r="AF265"/>
  <c r="AD265"/>
  <c r="AG264"/>
  <c r="AE264"/>
  <c r="AF263"/>
  <c r="AD263"/>
  <c r="AG262"/>
  <c r="AE262"/>
  <c r="AF261"/>
  <c r="AD261"/>
  <c r="AG260"/>
  <c r="AE260"/>
  <c r="AF259"/>
  <c r="AD259"/>
  <c r="AG258"/>
  <c r="AE258"/>
  <c r="AF256"/>
  <c r="AD256"/>
  <c r="AG255"/>
  <c r="AE255"/>
  <c r="AF254"/>
  <c r="AD254"/>
  <c r="AG253"/>
  <c r="AE253"/>
  <c r="AF252"/>
  <c r="AD252"/>
  <c r="AG251"/>
  <c r="AE251"/>
  <c r="AF250"/>
  <c r="AD250"/>
  <c r="AG248"/>
  <c r="AE248"/>
  <c r="AF247"/>
  <c r="AD247"/>
  <c r="AG246"/>
  <c r="AE246"/>
  <c r="AF245"/>
  <c r="AD245"/>
  <c r="AG243"/>
  <c r="AE243"/>
  <c r="AF241"/>
  <c r="AD241"/>
  <c r="AG240"/>
  <c r="AE240"/>
  <c r="AF239"/>
  <c r="AD239"/>
  <c r="AG237"/>
  <c r="AE237"/>
  <c r="AF236"/>
  <c r="AD236"/>
  <c r="AG235"/>
  <c r="AE235"/>
  <c r="AF234"/>
  <c r="AD234"/>
  <c r="AG233"/>
  <c r="AE233"/>
  <c r="AF232"/>
  <c r="AD232"/>
  <c r="AG231"/>
  <c r="AE231"/>
  <c r="AF230"/>
  <c r="AD230"/>
  <c r="AG229"/>
  <c r="AE229"/>
  <c r="AF228"/>
  <c r="AD228"/>
  <c r="AG227"/>
  <c r="AE227"/>
  <c r="AF226"/>
  <c r="AD226"/>
  <c r="AG225"/>
  <c r="AE225"/>
  <c r="AF224"/>
  <c r="AD224"/>
  <c r="AG223"/>
  <c r="AE223"/>
  <c r="AF222"/>
  <c r="AD222"/>
  <c r="AG221"/>
  <c r="AE221"/>
  <c r="AF220"/>
  <c r="AD220"/>
  <c r="AG219"/>
  <c r="AE219"/>
  <c r="AF218"/>
  <c r="AD218"/>
  <c r="AG217"/>
  <c r="AE217"/>
  <c r="AF216"/>
  <c r="AD216"/>
  <c r="AG215"/>
  <c r="AE215"/>
  <c r="AF214"/>
  <c r="AD214"/>
  <c r="AG213"/>
  <c r="AE213"/>
  <c r="AF212"/>
  <c r="AD212"/>
  <c r="AG211"/>
  <c r="AE211"/>
  <c r="AF210"/>
  <c r="AD210"/>
  <c r="AG209"/>
  <c r="AE209"/>
  <c r="AF208"/>
  <c r="AD208"/>
  <c r="AG207"/>
  <c r="AE207"/>
  <c r="AF206"/>
  <c r="AD206"/>
  <c r="AG205"/>
  <c r="AE205"/>
  <c r="AF204"/>
  <c r="AD204"/>
  <c r="AG202"/>
  <c r="AE202"/>
  <c r="AF200"/>
  <c r="AD200"/>
  <c r="AG198"/>
  <c r="AE198"/>
  <c r="AF196"/>
  <c r="AD196"/>
  <c r="AG195"/>
  <c r="AE195"/>
  <c r="AF194"/>
  <c r="AD194"/>
  <c r="AG193"/>
  <c r="AE193"/>
  <c r="AF192"/>
  <c r="AD192"/>
  <c r="AG191"/>
  <c r="AE191"/>
  <c r="AF190"/>
  <c r="AD190"/>
  <c r="AG189"/>
  <c r="AE189"/>
  <c r="AF188"/>
  <c r="K186"/>
  <c r="K184"/>
  <c r="K182"/>
  <c r="K180"/>
  <c r="K178"/>
  <c r="BC176"/>
  <c r="AH176"/>
  <c r="AJ176"/>
  <c r="AL176"/>
  <c r="AV174"/>
  <c r="BC172"/>
  <c r="AH172"/>
  <c r="AJ172"/>
  <c r="AS169"/>
  <c r="AL172"/>
  <c r="AU169"/>
  <c r="AV170"/>
  <c r="J169"/>
  <c r="E34" i="2"/>
  <c r="AT169" i="1"/>
  <c r="L169"/>
  <c r="G34" i="2"/>
  <c r="I34" s="1"/>
  <c r="AV164" i="1"/>
  <c r="K161"/>
  <c r="K159"/>
  <c r="K157"/>
  <c r="K154"/>
  <c r="K152"/>
  <c r="F31" i="2"/>
  <c r="AV150" i="1"/>
  <c r="BC149"/>
  <c r="AH149"/>
  <c r="AJ149"/>
  <c r="AL149"/>
  <c r="AV148"/>
  <c r="BC147"/>
  <c r="AH147"/>
  <c r="AJ147"/>
  <c r="AL147"/>
  <c r="AV146"/>
  <c r="BC145"/>
  <c r="AH145"/>
  <c r="AJ145"/>
  <c r="AL145"/>
  <c r="AV144"/>
  <c r="BC143"/>
  <c r="AH143"/>
  <c r="AJ143"/>
  <c r="AL143"/>
  <c r="AV142"/>
  <c r="BC141"/>
  <c r="AH141"/>
  <c r="AJ141"/>
  <c r="AL141"/>
  <c r="AV140"/>
  <c r="BC139"/>
  <c r="AH139"/>
  <c r="AJ139"/>
  <c r="AL139"/>
  <c r="AV138"/>
  <c r="BC137"/>
  <c r="AH137"/>
  <c r="AJ137"/>
  <c r="AS136"/>
  <c r="AL137"/>
  <c r="K134"/>
  <c r="K131"/>
  <c r="K128"/>
  <c r="K126"/>
  <c r="K124"/>
  <c r="K122"/>
  <c r="K119"/>
  <c r="K117"/>
  <c r="K115"/>
  <c r="K112"/>
  <c r="BC110"/>
  <c r="AH110"/>
  <c r="AJ110"/>
  <c r="AS109"/>
  <c r="AL110"/>
  <c r="AU109"/>
  <c r="K107"/>
  <c r="K105"/>
  <c r="F27" i="2"/>
  <c r="AV104" i="1"/>
  <c r="AV99"/>
  <c r="AJ95"/>
  <c r="AL95"/>
  <c r="AK95"/>
  <c r="AT89"/>
  <c r="AV94"/>
  <c r="BC94"/>
  <c r="AB92"/>
  <c r="AF92"/>
  <c r="AW92"/>
  <c r="J92"/>
  <c r="J89"/>
  <c r="E23" i="2"/>
  <c r="AD92" i="1"/>
  <c r="AS89"/>
  <c r="L89"/>
  <c r="G23" i="2"/>
  <c r="I23" s="1"/>
  <c r="AC82" i="1"/>
  <c r="AG82"/>
  <c r="K82"/>
  <c r="K79"/>
  <c r="F22" i="2"/>
  <c r="AV78" i="1"/>
  <c r="BC78"/>
  <c r="AB77"/>
  <c r="AF77"/>
  <c r="AW77"/>
  <c r="J77"/>
  <c r="AD77"/>
  <c r="AJ75"/>
  <c r="AS74"/>
  <c r="AL75"/>
  <c r="L74"/>
  <c r="G21" i="2"/>
  <c r="I21"/>
  <c r="AK75" i="1"/>
  <c r="AT74"/>
  <c r="AC73"/>
  <c r="AG73"/>
  <c r="K73"/>
  <c r="AC68"/>
  <c r="AG68"/>
  <c r="K68"/>
  <c r="K61"/>
  <c r="F20" i="2"/>
  <c r="AT61" i="1"/>
  <c r="J61"/>
  <c r="E20" i="2"/>
  <c r="AJ59" i="1"/>
  <c r="AS58"/>
  <c r="AL59"/>
  <c r="AU58"/>
  <c r="L58"/>
  <c r="G19" i="2"/>
  <c r="I19"/>
  <c r="AK59" i="1"/>
  <c r="AT58"/>
  <c r="AC57"/>
  <c r="AG57"/>
  <c r="K57"/>
  <c r="K55"/>
  <c r="F18" i="2"/>
  <c r="AV53" i="1"/>
  <c r="BC53"/>
  <c r="AC50"/>
  <c r="AG50"/>
  <c r="K50"/>
  <c r="AJ46"/>
  <c r="AL46"/>
  <c r="AK46"/>
  <c r="AV45"/>
  <c r="BC45"/>
  <c r="AC25"/>
  <c r="AG25"/>
  <c r="AE25"/>
  <c r="AX25"/>
  <c r="BC25"/>
  <c r="K25"/>
  <c r="AF186"/>
  <c r="AD186"/>
  <c r="AG185"/>
  <c r="AE185"/>
  <c r="AF184"/>
  <c r="AD184"/>
  <c r="AG183"/>
  <c r="AE183"/>
  <c r="AF182"/>
  <c r="AD182"/>
  <c r="AG181"/>
  <c r="AE181"/>
  <c r="AF180"/>
  <c r="AD180"/>
  <c r="AG179"/>
  <c r="AE179"/>
  <c r="AF178"/>
  <c r="AD178"/>
  <c r="AG176"/>
  <c r="AE176"/>
  <c r="AF174"/>
  <c r="AD174"/>
  <c r="AG172"/>
  <c r="AE172"/>
  <c r="AF170"/>
  <c r="AD170"/>
  <c r="AG167"/>
  <c r="AE167"/>
  <c r="AF164"/>
  <c r="AD164"/>
  <c r="AG162"/>
  <c r="AE162"/>
  <c r="AF161"/>
  <c r="AD161"/>
  <c r="AG160"/>
  <c r="AE160"/>
  <c r="AF159"/>
  <c r="AD159"/>
  <c r="AG158"/>
  <c r="AE158"/>
  <c r="AF157"/>
  <c r="AD157"/>
  <c r="AG155"/>
  <c r="AE155"/>
  <c r="AF154"/>
  <c r="AD154"/>
  <c r="AG153"/>
  <c r="AE153"/>
  <c r="AF150"/>
  <c r="AD150"/>
  <c r="AG149"/>
  <c r="AE149"/>
  <c r="AF148"/>
  <c r="AD148"/>
  <c r="AG147"/>
  <c r="AE147"/>
  <c r="AF146"/>
  <c r="AD146"/>
  <c r="AG145"/>
  <c r="AE145"/>
  <c r="AF144"/>
  <c r="AD144"/>
  <c r="AG143"/>
  <c r="AE143"/>
  <c r="AF142"/>
  <c r="AD142"/>
  <c r="AG141"/>
  <c r="AE141"/>
  <c r="AF140"/>
  <c r="AD140"/>
  <c r="AG139"/>
  <c r="AE139"/>
  <c r="AF138"/>
  <c r="AD138"/>
  <c r="AG137"/>
  <c r="AE137"/>
  <c r="AF134"/>
  <c r="AD134"/>
  <c r="AG132"/>
  <c r="AE132"/>
  <c r="AF131"/>
  <c r="AD131"/>
  <c r="AG129"/>
  <c r="AE129"/>
  <c r="AF128"/>
  <c r="AD128"/>
  <c r="AG127"/>
  <c r="AE127"/>
  <c r="AF126"/>
  <c r="AD126"/>
  <c r="AG125"/>
  <c r="AE125"/>
  <c r="AF124"/>
  <c r="AD124"/>
  <c r="AG123"/>
  <c r="AE123"/>
  <c r="AF122"/>
  <c r="AD122"/>
  <c r="AG121"/>
  <c r="AE121"/>
  <c r="AF119"/>
  <c r="AD119"/>
  <c r="AG118"/>
  <c r="AE118"/>
  <c r="AF117"/>
  <c r="AD117"/>
  <c r="AG116"/>
  <c r="AE116"/>
  <c r="AF115"/>
  <c r="AD115"/>
  <c r="AG114"/>
  <c r="AE114"/>
  <c r="AF112"/>
  <c r="AD112"/>
  <c r="AG110"/>
  <c r="AE110"/>
  <c r="AF107"/>
  <c r="AD107"/>
  <c r="AG106"/>
  <c r="AE106"/>
  <c r="AF104"/>
  <c r="AD104"/>
  <c r="AG102"/>
  <c r="AE102"/>
  <c r="AH99"/>
  <c r="AF99"/>
  <c r="K96"/>
  <c r="K94"/>
  <c r="K90"/>
  <c r="BC87"/>
  <c r="AH87"/>
  <c r="AJ87"/>
  <c r="AL87"/>
  <c r="AV85"/>
  <c r="BC83"/>
  <c r="AH83"/>
  <c r="AJ83"/>
  <c r="AL83"/>
  <c r="AV82"/>
  <c r="BC80"/>
  <c r="AH80"/>
  <c r="AJ80"/>
  <c r="AS79"/>
  <c r="AL80"/>
  <c r="K78"/>
  <c r="K76"/>
  <c r="K74"/>
  <c r="F21" i="2"/>
  <c r="AV73" i="1"/>
  <c r="BC72"/>
  <c r="AH72"/>
  <c r="AJ72"/>
  <c r="AL72"/>
  <c r="AV71"/>
  <c r="BC70"/>
  <c r="AH70"/>
  <c r="AJ70"/>
  <c r="AL70"/>
  <c r="AV68"/>
  <c r="BC66"/>
  <c r="AH66"/>
  <c r="AJ66"/>
  <c r="AL66"/>
  <c r="AV64"/>
  <c r="BC62"/>
  <c r="AH62"/>
  <c r="AJ62"/>
  <c r="AL62"/>
  <c r="AU61"/>
  <c r="K60"/>
  <c r="K58"/>
  <c r="F19" i="2"/>
  <c r="AV57" i="1"/>
  <c r="BC56"/>
  <c r="AH56"/>
  <c r="AJ56"/>
  <c r="AS55"/>
  <c r="AL56"/>
  <c r="AU55"/>
  <c r="K53"/>
  <c r="K52"/>
  <c r="F17" i="2"/>
  <c r="BC51" i="1"/>
  <c r="AH51"/>
  <c r="AJ51"/>
  <c r="AL51"/>
  <c r="AV50"/>
  <c r="J49"/>
  <c r="J44"/>
  <c r="E16" i="2"/>
  <c r="AW49" i="1"/>
  <c r="AH49"/>
  <c r="AJ49"/>
  <c r="AL49"/>
  <c r="AJ48"/>
  <c r="AL48"/>
  <c r="AK48"/>
  <c r="AT44"/>
  <c r="AV47"/>
  <c r="BC47"/>
  <c r="AB46"/>
  <c r="AF46"/>
  <c r="AW46"/>
  <c r="J46"/>
  <c r="AD46"/>
  <c r="AS44"/>
  <c r="L44"/>
  <c r="G16" i="2"/>
  <c r="I16"/>
  <c r="AC40" i="1"/>
  <c r="AG40"/>
  <c r="K40"/>
  <c r="AC33"/>
  <c r="AG33"/>
  <c r="K33"/>
  <c r="AB30"/>
  <c r="AF30"/>
  <c r="AW30"/>
  <c r="J30"/>
  <c r="AD30"/>
  <c r="AJ28"/>
  <c r="AL28"/>
  <c r="AK28"/>
  <c r="AJ13"/>
  <c r="AL13"/>
  <c r="AU12"/>
  <c r="L12"/>
  <c r="AK13"/>
  <c r="AF96"/>
  <c r="AD96"/>
  <c r="AG95"/>
  <c r="AE95"/>
  <c r="AF94"/>
  <c r="AD94"/>
  <c r="AG92"/>
  <c r="AE92"/>
  <c r="AF90"/>
  <c r="AD90"/>
  <c r="AG87"/>
  <c r="AE87"/>
  <c r="AF85"/>
  <c r="AD85"/>
  <c r="AG83"/>
  <c r="AE83"/>
  <c r="AF82"/>
  <c r="AD82"/>
  <c r="AG80"/>
  <c r="AE80"/>
  <c r="AF78"/>
  <c r="AD78"/>
  <c r="AG77"/>
  <c r="AE77"/>
  <c r="AF76"/>
  <c r="AD76"/>
  <c r="AG75"/>
  <c r="AE75"/>
  <c r="AF73"/>
  <c r="AD73"/>
  <c r="AG72"/>
  <c r="AE72"/>
  <c r="AF71"/>
  <c r="AD71"/>
  <c r="AG70"/>
  <c r="AE70"/>
  <c r="AF68"/>
  <c r="AD68"/>
  <c r="AG66"/>
  <c r="AE66"/>
  <c r="AF64"/>
  <c r="AD64"/>
  <c r="AG62"/>
  <c r="AE62"/>
  <c r="AF60"/>
  <c r="AD60"/>
  <c r="AG59"/>
  <c r="AE59"/>
  <c r="AF57"/>
  <c r="AD57"/>
  <c r="AG56"/>
  <c r="AE56"/>
  <c r="AF53"/>
  <c r="AD53"/>
  <c r="AG51"/>
  <c r="AE51"/>
  <c r="AF50"/>
  <c r="AD50"/>
  <c r="AG49"/>
  <c r="AE49"/>
  <c r="K47"/>
  <c r="K45"/>
  <c r="BC43"/>
  <c r="AH43"/>
  <c r="AJ43"/>
  <c r="AL43"/>
  <c r="AV42"/>
  <c r="BC41"/>
  <c r="AH41"/>
  <c r="AJ41"/>
  <c r="AL41"/>
  <c r="AV40"/>
  <c r="BC38"/>
  <c r="AH38"/>
  <c r="AJ38"/>
  <c r="AL38"/>
  <c r="AV36"/>
  <c r="BC35"/>
  <c r="AH35"/>
  <c r="AJ35"/>
  <c r="AL35"/>
  <c r="AU32"/>
  <c r="AV33"/>
  <c r="J32"/>
  <c r="E15" i="2"/>
  <c r="AT32" i="1"/>
  <c r="L32"/>
  <c r="G15" i="2"/>
  <c r="I15" s="1"/>
  <c r="K29" i="1"/>
  <c r="AC26"/>
  <c r="AE26"/>
  <c r="AG26"/>
  <c r="AC23"/>
  <c r="AG23"/>
  <c r="K23"/>
  <c r="K22"/>
  <c r="F14" i="2"/>
  <c r="AB20" i="1"/>
  <c r="AF20"/>
  <c r="AW20"/>
  <c r="J20"/>
  <c r="AD20"/>
  <c r="AJ18"/>
  <c r="AS17"/>
  <c r="AL18"/>
  <c r="AU17"/>
  <c r="L17"/>
  <c r="G13" i="2"/>
  <c r="I13" s="1"/>
  <c r="AK18" i="1"/>
  <c r="AC15"/>
  <c r="AG15"/>
  <c r="K15"/>
  <c r="K14"/>
  <c r="F12" i="2"/>
  <c r="AB13" i="1"/>
  <c r="AF13"/>
  <c r="AW13"/>
  <c r="J13"/>
  <c r="J12"/>
  <c r="E11" i="2"/>
  <c r="AD13" i="1"/>
  <c r="AG48"/>
  <c r="AE48"/>
  <c r="AF47"/>
  <c r="AD47"/>
  <c r="AG46"/>
  <c r="AE46"/>
  <c r="AF45"/>
  <c r="AD45"/>
  <c r="AG43"/>
  <c r="AE43"/>
  <c r="AF42"/>
  <c r="AD42"/>
  <c r="AG41"/>
  <c r="AE41"/>
  <c r="AF40"/>
  <c r="AD40"/>
  <c r="AG38"/>
  <c r="AE38"/>
  <c r="AF36"/>
  <c r="AD36"/>
  <c r="AG35"/>
  <c r="AE35"/>
  <c r="AF33"/>
  <c r="AD33"/>
  <c r="AG30"/>
  <c r="AE30"/>
  <c r="AF29"/>
  <c r="AD29"/>
  <c r="AG28"/>
  <c r="AE28"/>
  <c r="BC26"/>
  <c r="AH26"/>
  <c r="AJ26"/>
  <c r="AL26"/>
  <c r="AV25"/>
  <c r="BC24"/>
  <c r="AH24"/>
  <c r="AJ24"/>
  <c r="AL24"/>
  <c r="AU22"/>
  <c r="AV23"/>
  <c r="J22"/>
  <c r="E14" i="2"/>
  <c r="L22" i="1"/>
  <c r="G14" i="2"/>
  <c r="I14"/>
  <c r="K19" i="1"/>
  <c r="K17"/>
  <c r="F13" i="2"/>
  <c r="AV15" i="1"/>
  <c r="AF25"/>
  <c r="AD25"/>
  <c r="AG24"/>
  <c r="AE24"/>
  <c r="AF23"/>
  <c r="AD23"/>
  <c r="AG20"/>
  <c r="AE20"/>
  <c r="AF19"/>
  <c r="AD19"/>
  <c r="AG18"/>
  <c r="AE18"/>
  <c r="AF15"/>
  <c r="AD15"/>
  <c r="AG13"/>
  <c r="AE13"/>
  <c r="G11" i="2"/>
  <c r="I11" s="1"/>
  <c r="L381" i="1"/>
  <c r="AS12"/>
  <c r="BC30"/>
  <c r="AV30"/>
  <c r="BC46"/>
  <c r="AV46"/>
  <c r="AU44"/>
  <c r="BC18"/>
  <c r="AV18"/>
  <c r="BC28"/>
  <c r="AV28"/>
  <c r="BC59"/>
  <c r="AV59"/>
  <c r="BC75"/>
  <c r="AV75"/>
  <c r="BC116"/>
  <c r="AV116"/>
  <c r="BC125"/>
  <c r="AV125"/>
  <c r="BC153"/>
  <c r="AV153"/>
  <c r="BC162"/>
  <c r="AV162"/>
  <c r="BC185"/>
  <c r="AV185"/>
  <c r="BC114"/>
  <c r="AV114"/>
  <c r="BC118"/>
  <c r="AV118"/>
  <c r="BC123"/>
  <c r="AV123"/>
  <c r="BC127"/>
  <c r="AV127"/>
  <c r="BC132"/>
  <c r="AV132"/>
  <c r="AS152"/>
  <c r="K169"/>
  <c r="F34" i="2"/>
  <c r="BC179" i="1"/>
  <c r="AV179"/>
  <c r="BC183"/>
  <c r="AV183"/>
  <c r="AS22"/>
  <c r="BC13"/>
  <c r="AV13"/>
  <c r="AT17"/>
  <c r="BC20"/>
  <c r="AV20"/>
  <c r="AS32"/>
  <c r="K44"/>
  <c r="F16" i="2"/>
  <c r="AT12" i="1"/>
  <c r="K32"/>
  <c r="F15" i="2"/>
  <c r="BC49" i="1"/>
  <c r="AV49"/>
  <c r="AS61"/>
  <c r="AU79"/>
  <c r="K89"/>
  <c r="F23" i="2"/>
  <c r="AU74" i="1"/>
  <c r="BC77"/>
  <c r="AV77"/>
  <c r="BC92"/>
  <c r="AV92"/>
  <c r="K111"/>
  <c r="F29" i="2"/>
  <c r="AU136" i="1"/>
  <c r="K177"/>
  <c r="F35" i="2"/>
  <c r="J17" i="1"/>
  <c r="E13" i="2"/>
  <c r="BC48" i="1"/>
  <c r="AV48"/>
  <c r="J74"/>
  <c r="E21" i="2"/>
  <c r="BC95" i="1"/>
  <c r="AV95"/>
  <c r="BC102"/>
  <c r="AV102"/>
  <c r="AU111"/>
  <c r="BC121"/>
  <c r="AV121"/>
  <c r="BC129"/>
  <c r="AV129"/>
  <c r="J152"/>
  <c r="E31" i="2"/>
  <c r="BC158" i="1"/>
  <c r="AV158"/>
  <c r="BC181"/>
  <c r="AV181"/>
  <c r="AV188"/>
  <c r="J197"/>
  <c r="E36" i="2"/>
  <c r="AT197" i="1"/>
  <c r="AU266"/>
  <c r="J315"/>
  <c r="E44" i="2"/>
  <c r="AT315" i="1"/>
  <c r="AU89"/>
  <c r="BC106"/>
  <c r="AV106"/>
  <c r="AT152"/>
  <c r="AU152"/>
  <c r="BC155"/>
  <c r="AV155"/>
  <c r="BC160"/>
  <c r="AV160"/>
  <c r="BC167"/>
  <c r="AV167"/>
  <c r="AU197"/>
  <c r="AC280"/>
  <c r="AG280"/>
  <c r="AE280"/>
  <c r="C17" i="3"/>
  <c r="K338" i="1"/>
  <c r="F47" i="2"/>
  <c r="G48" l="1"/>
  <c r="AF289" i="1"/>
  <c r="C18" i="3" s="1"/>
  <c r="AB289" i="1"/>
  <c r="C14" i="3" s="1"/>
  <c r="C22" s="1"/>
  <c r="I22" s="1"/>
  <c r="C29" s="1"/>
  <c r="F29" s="1"/>
  <c r="Z289" i="1"/>
  <c r="C21" i="3" s="1"/>
  <c r="AC289" i="1"/>
  <c r="C15" i="3" s="1"/>
  <c r="AJ289" i="1"/>
  <c r="AK289"/>
  <c r="AT288" l="1"/>
  <c r="C28" i="3"/>
  <c r="F28" s="1"/>
  <c r="AS288" i="1"/>
  <c r="C27" i="3"/>
  <c r="I28" l="1"/>
  <c r="I29" s="1"/>
</calcChain>
</file>

<file path=xl/sharedStrings.xml><?xml version="1.0" encoding="utf-8"?>
<sst xmlns="http://schemas.openxmlformats.org/spreadsheetml/2006/main" count="3404" uniqueCount="1019">
  <si>
    <t>92</t>
  </si>
  <si>
    <t>972054241R00</t>
  </si>
  <si>
    <t>165</t>
  </si>
  <si>
    <t>Doba výstavby:</t>
  </si>
  <si>
    <t>Hloubené vykopávky</t>
  </si>
  <si>
    <t>198</t>
  </si>
  <si>
    <t>261</t>
  </si>
  <si>
    <t>Připojení příček ke stáv.konst.nastřelenou kotvou</t>
  </si>
  <si>
    <t>286550975</t>
  </si>
  <si>
    <t>162701105R00</t>
  </si>
  <si>
    <t>Projektant</t>
  </si>
  <si>
    <t>722280106R00</t>
  </si>
  <si>
    <t>67</t>
  </si>
  <si>
    <t>209</t>
  </si>
  <si>
    <t>226</t>
  </si>
  <si>
    <t>Základ 15%</t>
  </si>
  <si>
    <t>Malby</t>
  </si>
  <si>
    <t>183</t>
  </si>
  <si>
    <t>899103111RT2</t>
  </si>
  <si>
    <t>103</t>
  </si>
  <si>
    <t>602011131RT3</t>
  </si>
  <si>
    <t>998721101R00</t>
  </si>
  <si>
    <t>Výztuž základových pasů ze svařovaných sítí</t>
  </si>
  <si>
    <t>417320031RAA</t>
  </si>
  <si>
    <t>Vyrovnání podk.samoniv.hmotou inter.</t>
  </si>
  <si>
    <t>722182011R00</t>
  </si>
  <si>
    <t>721176104R00</t>
  </si>
  <si>
    <t>166</t>
  </si>
  <si>
    <t>Ozn.3,4-Dveře vnitřní laminát plné 1-křídlé 800 x 1970 mm</t>
  </si>
  <si>
    <t>228</t>
  </si>
  <si>
    <t>722172962R00</t>
  </si>
  <si>
    <t>Osazení betonových skruží rovných 29/100/9</t>
  </si>
  <si>
    <t>91</t>
  </si>
  <si>
    <t>28655006</t>
  </si>
  <si>
    <t>87</t>
  </si>
  <si>
    <t>728314115R00</t>
  </si>
  <si>
    <t>Podklad z kameniva zpev.cementem SC C8/10 tl.15 cm</t>
  </si>
  <si>
    <t>Základ 21%</t>
  </si>
  <si>
    <t>20</t>
  </si>
  <si>
    <t>Vyzdívka mezi nosníky cihlami pálenými na MC</t>
  </si>
  <si>
    <t>721176135R00</t>
  </si>
  <si>
    <t>998781101R00</t>
  </si>
  <si>
    <t>Přesun hmot pro obklady keramické, výšky do 6 m</t>
  </si>
  <si>
    <t>237</t>
  </si>
  <si>
    <t>Sokl s požlábkem 20 x 20 cm  bílá mat</t>
  </si>
  <si>
    <t>Dodávka</t>
  </si>
  <si>
    <t>Proplach stávající kanalizace</t>
  </si>
  <si>
    <t>NUS celkem z obj.</t>
  </si>
  <si>
    <t>642942111RT4</t>
  </si>
  <si>
    <t>3_</t>
  </si>
  <si>
    <t>998767101R00</t>
  </si>
  <si>
    <t>Vybourání kanal.rámů a poklopů plochy nad 0,6 m2</t>
  </si>
  <si>
    <t>167</t>
  </si>
  <si>
    <t>721179325R00</t>
  </si>
  <si>
    <t>Náklady (Kč) - celkem</t>
  </si>
  <si>
    <t>711</t>
  </si>
  <si>
    <t>Zkouška těsnosti kanalizace vodou DN 125 mm</t>
  </si>
  <si>
    <t>72_</t>
  </si>
  <si>
    <t>171</t>
  </si>
  <si>
    <t>147</t>
  </si>
  <si>
    <t>Název stavby:</t>
  </si>
  <si>
    <t>Ostatní materiál</t>
  </si>
  <si>
    <t>Otlučení omítek vnitřních stěn v rozsahu do 100 %</t>
  </si>
  <si>
    <t>Ozn.1-Dveře vchodové plastové sklo 2křídlové 150x197 cm -cena předběžná</t>
  </si>
  <si>
    <t>567122114R00</t>
  </si>
  <si>
    <t>48</t>
  </si>
  <si>
    <t>29</t>
  </si>
  <si>
    <t>Č</t>
  </si>
  <si>
    <t>89_</t>
  </si>
  <si>
    <t>s použitím suché maltové směsi</t>
  </si>
  <si>
    <t>791</t>
  </si>
  <si>
    <t>Osazení stojat. obrub.bet. s opěrou,lože z C 12/15</t>
  </si>
  <si>
    <t>311361821R00</t>
  </si>
  <si>
    <t>Poznámka:</t>
  </si>
  <si>
    <t>979990111R00</t>
  </si>
  <si>
    <t>Oprava omítek stropů s rákosem do 5% pl.- hladkých</t>
  </si>
  <si>
    <t>Lokalita:</t>
  </si>
  <si>
    <t>79</t>
  </si>
  <si>
    <t>71</t>
  </si>
  <si>
    <t>16</t>
  </si>
  <si>
    <t>PSV</t>
  </si>
  <si>
    <t>189</t>
  </si>
  <si>
    <t>24</t>
  </si>
  <si>
    <t>Bez pevné podl.</t>
  </si>
  <si>
    <t>597642031</t>
  </si>
  <si>
    <t>Uložení sypaniny na skládku</t>
  </si>
  <si>
    <t>733_</t>
  </si>
  <si>
    <t>Celkem</t>
  </si>
  <si>
    <t>722172963R00</t>
  </si>
  <si>
    <t>Prah dubový dl. 800 mm, š. 150 mm, tl. 20 mm</t>
  </si>
  <si>
    <t>Zařízení staveniště</t>
  </si>
  <si>
    <t>317234410RT2</t>
  </si>
  <si>
    <t>vysekání drážky, dodávka profilů IPE 160</t>
  </si>
  <si>
    <t>Přesun hmot pro vnitřní kanalizaci, výšky do 6 m</t>
  </si>
  <si>
    <t>Izolace z minerální plsti Al 22x20 mm</t>
  </si>
  <si>
    <t>766_</t>
  </si>
  <si>
    <t>1_</t>
  </si>
  <si>
    <t>771411043R00</t>
  </si>
  <si>
    <t>4</t>
  </si>
  <si>
    <t>97</t>
  </si>
  <si>
    <t>121</t>
  </si>
  <si>
    <t>94</t>
  </si>
  <si>
    <t>311112130RT2</t>
  </si>
  <si>
    <t>54914627</t>
  </si>
  <si>
    <t>145</t>
  </si>
  <si>
    <t>564851115R00</t>
  </si>
  <si>
    <t>60</t>
  </si>
  <si>
    <t>vnitřní průměr 22 mm</t>
  </si>
  <si>
    <t>Základní rozpočtové náklady</t>
  </si>
  <si>
    <t>722175126R00</t>
  </si>
  <si>
    <t>Penetrace podkladu univerzální  1x</t>
  </si>
  <si>
    <t>235</t>
  </si>
  <si>
    <t>26</t>
  </si>
  <si>
    <t>6_</t>
  </si>
  <si>
    <t>105</t>
  </si>
  <si>
    <t>73553001VD</t>
  </si>
  <si>
    <t>Trubka D 50 x 3,8 mm délka 5 m PP-H</t>
  </si>
  <si>
    <t>Udržovací skříň se zvlhčováním</t>
  </si>
  <si>
    <t>135</t>
  </si>
  <si>
    <t>28655128</t>
  </si>
  <si>
    <t>zeď tloušťky 60 cm</t>
  </si>
  <si>
    <t>342941112R00</t>
  </si>
  <si>
    <t>Konstrukce ze zemin</t>
  </si>
  <si>
    <t>253</t>
  </si>
  <si>
    <t>M24</t>
  </si>
  <si>
    <t>Vybourání plastových oken do 4 m2</t>
  </si>
  <si>
    <t>Celkem bez DPH</t>
  </si>
  <si>
    <t>Vybourání otv. zeď cihel. pl.0,09 m2, tl.15cm, MVC</t>
  </si>
  <si>
    <t>122</t>
  </si>
  <si>
    <t>725860180R00</t>
  </si>
  <si>
    <t>Montáž plastového vodovodního potrubí, rovného, polyfuzně svařeného, D 50 mm</t>
  </si>
  <si>
    <t>781670116RA0</t>
  </si>
  <si>
    <t>138</t>
  </si>
  <si>
    <t>2_</t>
  </si>
  <si>
    <t>M21</t>
  </si>
  <si>
    <t>Omítka jednovrstvá hlazená , ručně</t>
  </si>
  <si>
    <t>781419706R00</t>
  </si>
  <si>
    <t>721_</t>
  </si>
  <si>
    <t>762522811R00</t>
  </si>
  <si>
    <t>Stroj univerzální , kotel 60 L, 30 L, metly,háky,míchače,mlýnek</t>
  </si>
  <si>
    <t>172</t>
  </si>
  <si>
    <t>722202221R00</t>
  </si>
  <si>
    <t>Potěr ze SMS , ruční zpracování, tl. 15 mm</t>
  </si>
  <si>
    <t>242</t>
  </si>
  <si>
    <t>767990010RAD</t>
  </si>
  <si>
    <t>722290234R00</t>
  </si>
  <si>
    <t>342256253R00</t>
  </si>
  <si>
    <t>223</t>
  </si>
  <si>
    <t>6</t>
  </si>
  <si>
    <t>Rozpočtové náklady v Kč</t>
  </si>
  <si>
    <t>631621117R00</t>
  </si>
  <si>
    <t>Ocelové konstrukce - L 150/150/10</t>
  </si>
  <si>
    <t>68</t>
  </si>
  <si>
    <t>81</t>
  </si>
  <si>
    <t>766661422R00</t>
  </si>
  <si>
    <t>Příčky z cihel plných pálených 290 mm, tl. 140 mm</t>
  </si>
  <si>
    <t>216</t>
  </si>
  <si>
    <t>Přesun hmot pro opravy a údržbu do výšky 6 m</t>
  </si>
  <si>
    <t>764900050RAA</t>
  </si>
  <si>
    <t>B</t>
  </si>
  <si>
    <t>119</t>
  </si>
  <si>
    <t>Demontáž otopných těles panelových dvouřadých, délky do 1500 mm</t>
  </si>
  <si>
    <t>160</t>
  </si>
  <si>
    <t>Náklady na umístění stavby (NUS)</t>
  </si>
  <si>
    <t>894403011R00</t>
  </si>
  <si>
    <t>42</t>
  </si>
  <si>
    <t>231</t>
  </si>
  <si>
    <t>82</t>
  </si>
  <si>
    <t>Montáž</t>
  </si>
  <si>
    <t>721100917R00</t>
  </si>
  <si>
    <t>711212002RT3</t>
  </si>
  <si>
    <t>229</t>
  </si>
  <si>
    <t>Datum, razítko a podpis</t>
  </si>
  <si>
    <t>ZRN celkem</t>
  </si>
  <si>
    <t>968072455R00</t>
  </si>
  <si>
    <t>725100001RA0</t>
  </si>
  <si>
    <t>602016195R00</t>
  </si>
  <si>
    <t>346244381R00</t>
  </si>
  <si>
    <t>Pracovní stůl chlazený</t>
  </si>
  <si>
    <t>28615423.A</t>
  </si>
  <si>
    <t>iMK Kladno, s.r.o.Kladno</t>
  </si>
  <si>
    <t>Stěrka hydroizolační, vč. dodávky HI hmoty</t>
  </si>
  <si>
    <t>722181211RT7</t>
  </si>
  <si>
    <t>17_</t>
  </si>
  <si>
    <t>979082121R00</t>
  </si>
  <si>
    <t>Montáž plastových vodovodních tvarovek, polyfuzně svařovaných, dva spoje, D 25 mm</t>
  </si>
  <si>
    <t>999281105R00</t>
  </si>
  <si>
    <t>931961115R00</t>
  </si>
  <si>
    <t>bednění, výztuž 90 kg/m3-rampa</t>
  </si>
  <si>
    <t>69</t>
  </si>
  <si>
    <t>722174212R00</t>
  </si>
  <si>
    <t>141</t>
  </si>
  <si>
    <t>T kus d 25x20x25 mm PP-H redukovaný</t>
  </si>
  <si>
    <t>274321311R00</t>
  </si>
  <si>
    <t>bm</t>
  </si>
  <si>
    <t>včetně dodávky poklopu lit. kruhového D 600</t>
  </si>
  <si>
    <t>965081713RT1</t>
  </si>
  <si>
    <t>894402211RT2</t>
  </si>
  <si>
    <t>Tlaková zkouška otopných těles litinových - vodou</t>
  </si>
  <si>
    <t>33</t>
  </si>
  <si>
    <t>258</t>
  </si>
  <si>
    <t>263</t>
  </si>
  <si>
    <t>DPH 15%</t>
  </si>
  <si>
    <t>78</t>
  </si>
  <si>
    <t>784950030RAA</t>
  </si>
  <si>
    <t>Montáž obkladů stěn, porovin.,tmel, 20x20,30x15 cm</t>
  </si>
  <si>
    <t>722175113R00</t>
  </si>
  <si>
    <t>Koleno d 50 mm 90°  PP-H</t>
  </si>
  <si>
    <t>Překlad nenosný z pórobetonu  100 x 250 x 2000 mm</t>
  </si>
  <si>
    <t>Krycí list slepého rozpočtu</t>
  </si>
  <si>
    <t>771578011R00</t>
  </si>
  <si>
    <t>120</t>
  </si>
  <si>
    <t>63</t>
  </si>
  <si>
    <t>230</t>
  </si>
  <si>
    <t>Potrubí KG odvětrání, D 110 x 3,2 mm</t>
  </si>
  <si>
    <t>28615153</t>
  </si>
  <si>
    <t>Tlaková zkouška vodovodního potrubí DN 50 mm</t>
  </si>
  <si>
    <t>783_</t>
  </si>
  <si>
    <t>Stěny a příčky</t>
  </si>
  <si>
    <t>154</t>
  </si>
  <si>
    <t>Kotek varný s mícháním</t>
  </si>
  <si>
    <t>192</t>
  </si>
  <si>
    <t>971033331R00</t>
  </si>
  <si>
    <t>77_</t>
  </si>
  <si>
    <t>766695213R00</t>
  </si>
  <si>
    <t>137</t>
  </si>
  <si>
    <t>346971162R00</t>
  </si>
  <si>
    <t>Montáž plastových vodovodních tvarovek, polyfuzně svařovaných, jeden spoj, D 20 mm</t>
  </si>
  <si>
    <t>178</t>
  </si>
  <si>
    <t>Vysávání podlah prům.vysavačem pro pokládku dlažby</t>
  </si>
  <si>
    <t>25</t>
  </si>
  <si>
    <t>195</t>
  </si>
  <si>
    <t>kus</t>
  </si>
  <si>
    <t>Zábradlí nerez anticor z jackelů v.1,0 m</t>
  </si>
  <si>
    <t>28615421.A</t>
  </si>
  <si>
    <t>735151821R00</t>
  </si>
  <si>
    <t>Dodávky</t>
  </si>
  <si>
    <t>219</t>
  </si>
  <si>
    <t>735118110R00</t>
  </si>
  <si>
    <t>soustava</t>
  </si>
  <si>
    <t>Otvor v obkladačce diamant.korunkou prům.do 90 mm</t>
  </si>
  <si>
    <t>962031113R00</t>
  </si>
  <si>
    <t>Výztuž nadzákladových zdí z betonářské oceli B500B (10 505)</t>
  </si>
  <si>
    <t>Vnitrostaveništní doprava suti do 10 m</t>
  </si>
  <si>
    <t>Ostatní mat.</t>
  </si>
  <si>
    <t>941955001R00</t>
  </si>
  <si>
    <t>130</t>
  </si>
  <si>
    <t>781101210RT1</t>
  </si>
  <si>
    <t>781497111R00</t>
  </si>
  <si>
    <t>Cenová</t>
  </si>
  <si>
    <t>31.05.2023</t>
  </si>
  <si>
    <t>Montáž kliky a štítku</t>
  </si>
  <si>
    <t>133</t>
  </si>
  <si>
    <t>273321411R00</t>
  </si>
  <si>
    <t>61143262</t>
  </si>
  <si>
    <t>273351216R00</t>
  </si>
  <si>
    <t>612481211RT8</t>
  </si>
  <si>
    <t>254</t>
  </si>
  <si>
    <t>175</t>
  </si>
  <si>
    <t>597623181</t>
  </si>
  <si>
    <t>170</t>
  </si>
  <si>
    <t>HSV prac</t>
  </si>
  <si>
    <t>767_</t>
  </si>
  <si>
    <t>631621116R00</t>
  </si>
  <si>
    <t>139</t>
  </si>
  <si>
    <t>vnitřní průměr 28 mm</t>
  </si>
  <si>
    <t>129</t>
  </si>
  <si>
    <t>Montáž vchodových 2kř dveří plastových</t>
  </si>
  <si>
    <t>151</t>
  </si>
  <si>
    <t>Příplatek za dalších započatých 1000 m nad 6000 m</t>
  </si>
  <si>
    <t>611421231R00</t>
  </si>
  <si>
    <t>Oprava maleb z malířských směsí</t>
  </si>
  <si>
    <t>642942111RZ1</t>
  </si>
  <si>
    <t>13</t>
  </si>
  <si>
    <t>711210020RAA</t>
  </si>
  <si>
    <t>721273150RT1</t>
  </si>
  <si>
    <t>Vsazení odbočky do plastového potrubí polyfuzí včetně T-kusu D 25 mm, PP-H</t>
  </si>
  <si>
    <t>642103021RAC</t>
  </si>
  <si>
    <t>771579791R00</t>
  </si>
  <si>
    <t>722174216R00</t>
  </si>
  <si>
    <t>771579793R00</t>
  </si>
  <si>
    <t>232</t>
  </si>
  <si>
    <t>"M"</t>
  </si>
  <si>
    <t>Konstrukce doplňkové stavební (zámečnické)</t>
  </si>
  <si>
    <t>342256256R00</t>
  </si>
  <si>
    <t>722175116R00</t>
  </si>
  <si>
    <t>998771101R00</t>
  </si>
  <si>
    <t>140</t>
  </si>
  <si>
    <t>97_</t>
  </si>
  <si>
    <t>317940911RAA</t>
  </si>
  <si>
    <t>Elektrický tálový sporák 4/900 s troubou</t>
  </si>
  <si>
    <t>61187156</t>
  </si>
  <si>
    <t>Čisticí kus HTRE, tlakové odpadní svislé, D 110 mm</t>
  </si>
  <si>
    <t>Izolace návleková  tl. stěny 13 mm</t>
  </si>
  <si>
    <t>Vyčištění budov o výšce podlaží do 4 m</t>
  </si>
  <si>
    <t>Dlaždice keramické 30x30 - dle výběru</t>
  </si>
  <si>
    <t>Výztuž z armovací sklovláknité tkaniny do potěrů</t>
  </si>
  <si>
    <t>180</t>
  </si>
  <si>
    <t>171201201R00</t>
  </si>
  <si>
    <t>Cena/MJ</t>
  </si>
  <si>
    <t>Konec výstavby:</t>
  </si>
  <si>
    <t>Bourání příček ze skleněných tvárnic tl. 15 cm</t>
  </si>
  <si>
    <t>127</t>
  </si>
  <si>
    <t>z plechu pozinkovaného</t>
  </si>
  <si>
    <t>784191101R00</t>
  </si>
  <si>
    <t>Montáž prahů dveří jednokřídlových š. nad 10 cm</t>
  </si>
  <si>
    <t>Kód</t>
  </si>
  <si>
    <t>S</t>
  </si>
  <si>
    <t>43</t>
  </si>
  <si>
    <t>200</t>
  </si>
  <si>
    <t>722280108R00</t>
  </si>
  <si>
    <t>Montáž podlah keram.,hladké, tmel, 30x30 cm</t>
  </si>
  <si>
    <t>Myčka průběžná 1000ks/hod  PT-M+stoly</t>
  </si>
  <si>
    <t>979990105R00</t>
  </si>
  <si>
    <t>Poplatek za uložení suti - plast + sklo, skupina odpadu 170904</t>
  </si>
  <si>
    <t>Obklad parapetu, tmel , šířka do 30 cm</t>
  </si>
  <si>
    <t>Ventil přímý PP-H, D 20 mm x 1/2"</t>
  </si>
  <si>
    <t>vnitřní průměr 50 mm</t>
  </si>
  <si>
    <t>783401811R00</t>
  </si>
  <si>
    <t>Bourání parapetů plastových š. do 50 cm</t>
  </si>
  <si>
    <t>221</t>
  </si>
  <si>
    <t>Zazdění okenního otvoru 1,5 m2, omítky</t>
  </si>
  <si>
    <t>Lešení lehké pomocné, výška podlahy do 1,2 m</t>
  </si>
  <si>
    <t>Kladení zámkové dlažby tl. 8 cm do drtě tl. 4 cm</t>
  </si>
  <si>
    <t>MJ</t>
  </si>
  <si>
    <t>965081702R00</t>
  </si>
  <si>
    <t>Koleno d 20 mm 90°  PP-H</t>
  </si>
  <si>
    <t>45</t>
  </si>
  <si>
    <t>28655003</t>
  </si>
  <si>
    <t>40</t>
  </si>
  <si>
    <t>Penetrace stěn</t>
  </si>
  <si>
    <t>Beton podkladní základových pasů prostý C 12/15</t>
  </si>
  <si>
    <t>283772613</t>
  </si>
  <si>
    <t>včetně dodávky zárubně 800 x 1970 x 150 mm</t>
  </si>
  <si>
    <t>9_</t>
  </si>
  <si>
    <t>Dodávka+montáž - dle fy Univers</t>
  </si>
  <si>
    <t>722173983R00</t>
  </si>
  <si>
    <t>Izolace návleková  tl. stěny 6 mm</t>
  </si>
  <si>
    <t>Doplňující konstrukce a práce na pozemních komunikacích a zpevněných plochách</t>
  </si>
  <si>
    <t>Doplňkové náklady</t>
  </si>
  <si>
    <t>224</t>
  </si>
  <si>
    <t>735117110R00</t>
  </si>
  <si>
    <t>Provedení opravy vnitřní kanalizace, potrubí litinové, přechod z litiny na plast, DN 70 mm</t>
  </si>
  <si>
    <t>132</t>
  </si>
  <si>
    <t>Prah dubový dl. 800 mm, š. 100 mm, tl. 20 mm</t>
  </si>
  <si>
    <t>220</t>
  </si>
  <si>
    <t>612421626R00</t>
  </si>
  <si>
    <t>PSV prac</t>
  </si>
  <si>
    <t>HSV</t>
  </si>
  <si>
    <t>Ventil přímý s výpustí d 25 x 3/4" PP-H</t>
  </si>
  <si>
    <t>979990161R00</t>
  </si>
  <si>
    <t>722181213RT9</t>
  </si>
  <si>
    <t>9</t>
  </si>
  <si>
    <t>Bourání dlažeb keramických tl.10 mm, nad 1 m2</t>
  </si>
  <si>
    <t>Sokl s požlábkem vnitřní roh 2,4 x20 cm bílá mat</t>
  </si>
  <si>
    <t>783900020RAB</t>
  </si>
  <si>
    <t>722130901R00</t>
  </si>
  <si>
    <t>Regál kovový 5 polic 3500x700x2000</t>
  </si>
  <si>
    <t>143</t>
  </si>
  <si>
    <t>104</t>
  </si>
  <si>
    <t>Různé dokončovací konstrukce a práce inženýrských staveb</t>
  </si>
  <si>
    <t>Montáž mřížky větrací nebo ventilační do d 100 mm</t>
  </si>
  <si>
    <t>79_</t>
  </si>
  <si>
    <t>783425250R00</t>
  </si>
  <si>
    <t>15</t>
  </si>
  <si>
    <t>Osazení beton. skruží přechodových 60/100/70/9</t>
  </si>
  <si>
    <t>978059531R00</t>
  </si>
  <si>
    <t>95</t>
  </si>
  <si>
    <t>Bourání příček z cihel pálených plných tl. 65 mm</t>
  </si>
  <si>
    <t>ISWORK</t>
  </si>
  <si>
    <t>596215040R00</t>
  </si>
  <si>
    <t>Celkem včetně DPH</t>
  </si>
  <si>
    <t>429727810</t>
  </si>
  <si>
    <t>142</t>
  </si>
  <si>
    <t>Základ 0%</t>
  </si>
  <si>
    <t>252</t>
  </si>
  <si>
    <t>156</t>
  </si>
  <si>
    <t>199</t>
  </si>
  <si>
    <t>150</t>
  </si>
  <si>
    <t>S_</t>
  </si>
  <si>
    <t>Zásyp jam,rýh a šachet štěrkopískem</t>
  </si>
  <si>
    <t>973031813R00</t>
  </si>
  <si>
    <t>61143252</t>
  </si>
  <si>
    <t>721176103R00</t>
  </si>
  <si>
    <t>728415121R00</t>
  </si>
  <si>
    <t>260</t>
  </si>
  <si>
    <t>766</t>
  </si>
  <si>
    <t>973031842R00</t>
  </si>
  <si>
    <t>Výztuž základových desek ze svařovaných sítí</t>
  </si>
  <si>
    <t>Demontáž otopného žebříku</t>
  </si>
  <si>
    <t>52</t>
  </si>
  <si>
    <t>118</t>
  </si>
  <si>
    <t>penetrační nátěr Primer G</t>
  </si>
  <si>
    <t>51</t>
  </si>
  <si>
    <t>přivzdušňovací ventil HL900, D 50/75/110 mm</t>
  </si>
  <si>
    <t>894401211RT2</t>
  </si>
  <si>
    <t>Ozn.5-Dveře vchodové plastové sklo 2křídlové 150x197 cm -cena předběžná</t>
  </si>
  <si>
    <t>Provedení opravy vnitřní kanalizace, potrubí plastové, vsazení odbočky, D 50 mm</t>
  </si>
  <si>
    <t>227</t>
  </si>
  <si>
    <t>Přesuny sutí</t>
  </si>
  <si>
    <t>721170905R00</t>
  </si>
  <si>
    <t>Mont prac</t>
  </si>
  <si>
    <t>Trubka D 25 x 2,3 mm délka 5 m PP-H</t>
  </si>
  <si>
    <t>Odtok podlahové rošty a vpusti</t>
  </si>
  <si>
    <t>Obklady (keramické)</t>
  </si>
  <si>
    <t>44</t>
  </si>
  <si>
    <t>Provedení spoje plastového vodovodního potrubí, elektrotvarovkami, D 25 mm</t>
  </si>
  <si>
    <t>21011111VD</t>
  </si>
  <si>
    <t>642942111RU4</t>
  </si>
  <si>
    <t>78_</t>
  </si>
  <si>
    <t>Dlažba keramická protiskluz. SB 300x300x9 mm</t>
  </si>
  <si>
    <t>Vyvěšení dřevěných a plastových dveřních křídel pl. nad 2 m2</t>
  </si>
  <si>
    <t>Potrubí HT připojovací, D 50 x 1,8 mm</t>
  </si>
  <si>
    <t>721140933R00</t>
  </si>
  <si>
    <t>23</t>
  </si>
  <si>
    <t>733190106R00</t>
  </si>
  <si>
    <t>972054141R00</t>
  </si>
  <si>
    <t>725_</t>
  </si>
  <si>
    <t>781_</t>
  </si>
  <si>
    <t>771575109RU1</t>
  </si>
  <si>
    <t>Montáž tepelné izolace skruží na potrubí přímé, DN 25 mm, lepicí páska</t>
  </si>
  <si>
    <t>262</t>
  </si>
  <si>
    <t>767</t>
  </si>
  <si>
    <t>128</t>
  </si>
  <si>
    <t>597813701</t>
  </si>
  <si>
    <t>Překlad nenosný z pórobetonu  150 x 250 x 1200 mm</t>
  </si>
  <si>
    <t>59</t>
  </si>
  <si>
    <t>250</t>
  </si>
  <si>
    <t>109</t>
  </si>
  <si>
    <t>t</t>
  </si>
  <si>
    <t>nivelační hmota tl. 3 mm, penetrace-č.016</t>
  </si>
  <si>
    <t>733113114R00</t>
  </si>
  <si>
    <t>117</t>
  </si>
  <si>
    <t>Montáže vzduchotechnických zařízení</t>
  </si>
  <si>
    <t>Redukce D 50/25 PP-H</t>
  </si>
  <si>
    <t> </t>
  </si>
  <si>
    <t>53</t>
  </si>
  <si>
    <t>246</t>
  </si>
  <si>
    <t>Zdivo z tvárnic pórobetonových P4-600 HL, tl. 300 mm</t>
  </si>
  <si>
    <t>Konstrukce truhlářské</t>
  </si>
  <si>
    <t>968096002R00</t>
  </si>
  <si>
    <t>99</t>
  </si>
  <si>
    <t>161</t>
  </si>
  <si>
    <t>107</t>
  </si>
  <si>
    <t>243</t>
  </si>
  <si>
    <t>721179324R00</t>
  </si>
  <si>
    <t>Redukce D 25/20 PP-H</t>
  </si>
  <si>
    <t>125</t>
  </si>
  <si>
    <t>54914626</t>
  </si>
  <si>
    <t>Chladnice  600 L</t>
  </si>
  <si>
    <t>Vybourání plastových oken do 2 m2</t>
  </si>
  <si>
    <t>771100010RAA</t>
  </si>
  <si>
    <t>132101110R00</t>
  </si>
  <si>
    <t>JKSO:</t>
  </si>
  <si>
    <t>85</t>
  </si>
  <si>
    <t>64</t>
  </si>
  <si>
    <t>973031844R00</t>
  </si>
  <si>
    <t>Poplatek za uložení suti - sádrokartonové desky, skupina odpadu 170802</t>
  </si>
  <si>
    <t>Lišta hliníková ukončovacích k obkladům</t>
  </si>
  <si>
    <t>Odpojení a připojení těles po nátěru</t>
  </si>
  <si>
    <t>Příplatek k vnitrost. dopravě suti za dalších 5 m</t>
  </si>
  <si>
    <t>255</t>
  </si>
  <si>
    <t>Podklad ze štěrkodrti po zhutnění tloušťky 19 cm</t>
  </si>
  <si>
    <t>61187161</t>
  </si>
  <si>
    <t>Demontáž oplechování parapetů</t>
  </si>
  <si>
    <t>Náklady (Kč) - dodávka</t>
  </si>
  <si>
    <t>197</t>
  </si>
  <si>
    <t>Zátka HTM D 50 mm PP</t>
  </si>
  <si>
    <t>Konvektomat</t>
  </si>
  <si>
    <t>2401111VD</t>
  </si>
  <si>
    <t>Provedení spoje plastového vodovodního potrubí, elektrotvarovkami, D 50 mm</t>
  </si>
  <si>
    <t>77</t>
  </si>
  <si>
    <t>233</t>
  </si>
  <si>
    <t>Varianta:</t>
  </si>
  <si>
    <t>DN celkem</t>
  </si>
  <si>
    <t>H99_</t>
  </si>
  <si>
    <t>766660014RA0</t>
  </si>
  <si>
    <t>Vysekání kapes pro zavázání příček tl. 10 cm, MC</t>
  </si>
  <si>
    <t>šachta</t>
  </si>
  <si>
    <t>116</t>
  </si>
  <si>
    <t>GROUPCODE</t>
  </si>
  <si>
    <t>146</t>
  </si>
  <si>
    <t>979990110R00</t>
  </si>
  <si>
    <t>Poplatek za uložení suti - stavební keramika, skupina odpadu 170103</t>
  </si>
  <si>
    <t>0</t>
  </si>
  <si>
    <t>182</t>
  </si>
  <si>
    <t>721170909R00</t>
  </si>
  <si>
    <t>Provozní vlivy</t>
  </si>
  <si>
    <t>5</t>
  </si>
  <si>
    <t>Čisticí kus HTRE , tlakové odpadní svislé, D 75 mm</t>
  </si>
  <si>
    <t>Vzduchotechnika - viz samostatný rozpočet (příloha)</t>
  </si>
  <si>
    <t>963016111R00</t>
  </si>
  <si>
    <t>Odstranění nátěru z potrubí DN do 50 mm</t>
  </si>
  <si>
    <t>76_</t>
  </si>
  <si>
    <t>76791116VD</t>
  </si>
  <si>
    <t>Přesun hmot pro vnitřní vodovod, výšky do 6 m</t>
  </si>
  <si>
    <t>Elektrický kotel  150/900</t>
  </si>
  <si>
    <t>203</t>
  </si>
  <si>
    <t>72190000VD</t>
  </si>
  <si>
    <t>Dodávka+montáž</t>
  </si>
  <si>
    <t>Vysekání kapes pro zavázání příček tl. 15 cm</t>
  </si>
  <si>
    <t>248</t>
  </si>
  <si>
    <t>Montáž plastových vodovodních tvarovek, polyfuzně svařovaných, dva spoje, D 50 mm</t>
  </si>
  <si>
    <t>144</t>
  </si>
  <si>
    <t>264</t>
  </si>
  <si>
    <t>Druh stavby:</t>
  </si>
  <si>
    <t>Odtokový sprchový žlábek dl.120 cm</t>
  </si>
  <si>
    <t>Ozn.1-Dveře protipožární EI45 plné 1-křídlé 900 x 1970 mm</t>
  </si>
  <si>
    <t>Penetrace podkladu pod obklady</t>
  </si>
  <si>
    <t>Tlaková zkouška potrubí  DN 32</t>
  </si>
  <si>
    <t>Montáž dveří protipožárních 1kříd. nad 80 cm</t>
  </si>
  <si>
    <t>162</t>
  </si>
  <si>
    <t>Podklad z obalovaného kameniva tl. 70 mm</t>
  </si>
  <si>
    <t>784</t>
  </si>
  <si>
    <t>722181213RW6</t>
  </si>
  <si>
    <t>Vybourání otv. stropy ŽB pl. 0,09 m2, tl. 15 cm</t>
  </si>
  <si>
    <t>238</t>
  </si>
  <si>
    <t>96</t>
  </si>
  <si>
    <t>Vybourání kovových dveřních zárubní pl. do 2 m2</t>
  </si>
  <si>
    <t>735169211R00</t>
  </si>
  <si>
    <t>Zpracováno dne:</t>
  </si>
  <si>
    <t>735_</t>
  </si>
  <si>
    <t>728</t>
  </si>
  <si>
    <t>Příplatek za spárovací vodotěsnou hmotu - plošně</t>
  </si>
  <si>
    <t>202</t>
  </si>
  <si>
    <t>968072456R00</t>
  </si>
  <si>
    <t>194</t>
  </si>
  <si>
    <t>včetně výztužné sítě a stěrkového tmelu Cemix</t>
  </si>
  <si>
    <t>783</t>
  </si>
  <si>
    <t>611601203</t>
  </si>
  <si>
    <t>553310043</t>
  </si>
  <si>
    <t>Železobeton základových pasů C 16/20</t>
  </si>
  <si>
    <t>632411115R00</t>
  </si>
  <si>
    <t>Vybourání otv. zeď cihel. pl.4 m2, tl.15 cm, MVC</t>
  </si>
  <si>
    <t>Bourání zdiva z cihel pálených na MVC</t>
  </si>
  <si>
    <t>Příčka z tvárnic pórobetonových tl. 100 mm</t>
  </si>
  <si>
    <t>10</t>
  </si>
  <si>
    <t>212</t>
  </si>
  <si>
    <t>Obklad soklíků s požlábkem porovinových 15x15 cm</t>
  </si>
  <si>
    <t>149</t>
  </si>
  <si>
    <t>58</t>
  </si>
  <si>
    <t>36</t>
  </si>
  <si>
    <t>7919999VD</t>
  </si>
  <si>
    <t>Dilatace příček od stropu š. do 150 mm, tl.30 mm</t>
  </si>
  <si>
    <t>14</t>
  </si>
  <si>
    <t>968083003R00</t>
  </si>
  <si>
    <t>31</t>
  </si>
  <si>
    <t>Zařizovací předměty</t>
  </si>
  <si>
    <t>84</t>
  </si>
  <si>
    <t>28655002</t>
  </si>
  <si>
    <t>791_</t>
  </si>
  <si>
    <t>612425931R00</t>
  </si>
  <si>
    <t>KY 81, drát d 8,0 mm, oko 100 x 100 mm - 2x</t>
  </si>
  <si>
    <t>Staveništní přesuny hmot</t>
  </si>
  <si>
    <t>Osazení válcovaných profilů dodatečně</t>
  </si>
  <si>
    <t>Množství</t>
  </si>
  <si>
    <t>Montáž těles otopných litinových článkových</t>
  </si>
  <si>
    <t>5_</t>
  </si>
  <si>
    <t>38</t>
  </si>
  <si>
    <t>Odstranění nátěru ze zábradlí</t>
  </si>
  <si>
    <t>286551401</t>
  </si>
  <si>
    <t>Žaluzie protidešťová PDZM 1200 x 600 mm</t>
  </si>
  <si>
    <t>174</t>
  </si>
  <si>
    <t>95_</t>
  </si>
  <si>
    <t>Vnitřní vodovod</t>
  </si>
  <si>
    <t>Typ skupiny</t>
  </si>
  <si>
    <t>73</t>
  </si>
  <si>
    <t>28655102</t>
  </si>
  <si>
    <t>979990163R00</t>
  </si>
  <si>
    <t>Stěna z tvárnic ztraceného bednění, tl. 300 mm</t>
  </si>
  <si>
    <t>Železobeton základových desek C 25/30</t>
  </si>
  <si>
    <t>Podklad z obalovaného kameniva tl. 60 mm</t>
  </si>
  <si>
    <t>256</t>
  </si>
  <si>
    <t>Mřížka kruhová PVC průměr 100 mm</t>
  </si>
  <si>
    <t>SPŠ stavební a Obchodní akademie</t>
  </si>
  <si>
    <t>61_</t>
  </si>
  <si>
    <t>včetně dodávky skruže TBS-Q 100/25 PS 100/250/90</t>
  </si>
  <si>
    <t>188</t>
  </si>
  <si>
    <t>56</t>
  </si>
  <si>
    <t>766695212R00</t>
  </si>
  <si>
    <t>722_</t>
  </si>
  <si>
    <t>19</t>
  </si>
  <si>
    <t>C</t>
  </si>
  <si>
    <t>M24_</t>
  </si>
  <si>
    <t>Náklady (Kč)</t>
  </si>
  <si>
    <t>721</t>
  </si>
  <si>
    <t>110</t>
  </si>
  <si>
    <t>39</t>
  </si>
  <si>
    <t>30</t>
  </si>
  <si>
    <t>241</t>
  </si>
  <si>
    <t>Ostatní konstrukce a práce na trubním vedení</t>
  </si>
  <si>
    <t>IČO/DIČ:</t>
  </si>
  <si>
    <t>hod</t>
  </si>
  <si>
    <t>Ostatní</t>
  </si>
  <si>
    <t>Montáž plastového vodovodního potrubí, rovného, polyfuzně svařeného, D 25 mm</t>
  </si>
  <si>
    <t>Přesun hmot pro zámečnické konstr., výšky do 6 m</t>
  </si>
  <si>
    <t>86</t>
  </si>
  <si>
    <t>222</t>
  </si>
  <si>
    <t>Montáž dveří jednokřídlových šířky 80 cm</t>
  </si>
  <si>
    <t>55</t>
  </si>
  <si>
    <t>4295330155</t>
  </si>
  <si>
    <t>Odstranění nátěrů z litinových radiátorů</t>
  </si>
  <si>
    <t>Zpracoval:</t>
  </si>
  <si>
    <t>Vodorovné přemístění suti na skládku do 6000 m</t>
  </si>
  <si>
    <t>Omítka vnitřní zdiva, MVC, hladká</t>
  </si>
  <si>
    <t>Vyvěšení dřevěných a plastových okenních křídel pl. nad 1,5 m2</t>
  </si>
  <si>
    <t>76</t>
  </si>
  <si>
    <t>Podkladní vrstvy komunikací, letišť a ploch</t>
  </si>
  <si>
    <t>Příplatek za plochu podlah keram. do 5 m2 jednotl.</t>
  </si>
  <si>
    <t>Vybourání otv. zeď cihel. 0,0225 m2, tl. 60cm, MVC</t>
  </si>
  <si>
    <t>Dle výběrového řízení</t>
  </si>
  <si>
    <t>KY 80, drát d 8,0 mm, oko 150 x 150 mm</t>
  </si>
  <si>
    <t>64_</t>
  </si>
  <si>
    <t>998722101R00</t>
  </si>
  <si>
    <t>207</t>
  </si>
  <si>
    <t>Zhotovitel</t>
  </si>
  <si>
    <t>199000002R00</t>
  </si>
  <si>
    <t>dovoz štěrkopísku ze vzdálenosti 10 km-rampa</t>
  </si>
  <si>
    <t>783401812R00</t>
  </si>
  <si>
    <t>RTS I / 2023</t>
  </si>
  <si>
    <t>vč.naložení a složení</t>
  </si>
  <si>
    <t>190</t>
  </si>
  <si>
    <t>979083191R00</t>
  </si>
  <si>
    <t>342241162R00</t>
  </si>
  <si>
    <t>27_</t>
  </si>
  <si>
    <t>2</t>
  </si>
  <si>
    <t>Projektant:</t>
  </si>
  <si>
    <t>ORN celkem</t>
  </si>
  <si>
    <t>Koleno d 25 mm 90°  PP-H</t>
  </si>
  <si>
    <t>Zkrácený popis / Varianta</t>
  </si>
  <si>
    <t/>
  </si>
  <si>
    <t>152</t>
  </si>
  <si>
    <t>968061126R00</t>
  </si>
  <si>
    <t>17</t>
  </si>
  <si>
    <t>Stolní krouhač</t>
  </si>
  <si>
    <t>Výdejní vozík</t>
  </si>
  <si>
    <t>ks</t>
  </si>
  <si>
    <t>735111810R00</t>
  </si>
  <si>
    <t>98</t>
  </si>
  <si>
    <t>112</t>
  </si>
  <si>
    <t>Lešení a stavební výtahy</t>
  </si>
  <si>
    <t>Montáž plastových vodovodních tvarovek, polyfuzně svařovaných, jeden spoj, D 50 mm</t>
  </si>
  <si>
    <t>Montáž protidešťové žaluzie čtyřhranné do 0,75 m2</t>
  </si>
  <si>
    <t>21</t>
  </si>
  <si>
    <t>61187181</t>
  </si>
  <si>
    <t>274313511R00</t>
  </si>
  <si>
    <t>Omítka vnitřní zdiva, MVC, štuková</t>
  </si>
  <si>
    <t>34_</t>
  </si>
  <si>
    <t>Ventil přímý s výpustí d 50 x 6/4" PP-H</t>
  </si>
  <si>
    <t>61165612</t>
  </si>
  <si>
    <t>Potrubí HT svodné (ležaté) zavěšené, D 110 x 2,7 mm</t>
  </si>
  <si>
    <t>Úprava povrchů vnitřní</t>
  </si>
  <si>
    <t>Práce přesčas</t>
  </si>
  <si>
    <t>735119140R00</t>
  </si>
  <si>
    <t>31_</t>
  </si>
  <si>
    <t>Bednění stěn základových desek - odstranění</t>
  </si>
  <si>
    <t>41_</t>
  </si>
  <si>
    <t>61</t>
  </si>
  <si>
    <t>317147501R00</t>
  </si>
  <si>
    <t>Proplach a dezinfekce vodovodního potrubí DN 80 mm</t>
  </si>
  <si>
    <t xml:space="preserve"> proti vlhkosti-č.010</t>
  </si>
  <si>
    <t>Úprava stropních prostupů - cena předběžná</t>
  </si>
  <si>
    <t>Zátka d 20 mm montážní PP-H</t>
  </si>
  <si>
    <t>126</t>
  </si>
  <si>
    <t>124</t>
  </si>
  <si>
    <t>včetně skruže přechod. TBR-Q 625/600/90/SPK (SLK)</t>
  </si>
  <si>
    <t>Přesun hmot pro otopná tělesa, výšky do 6 m</t>
  </si>
  <si>
    <t>158</t>
  </si>
  <si>
    <t>tloušťka vrstvy 5 mm</t>
  </si>
  <si>
    <t>12</t>
  </si>
  <si>
    <t>998735101R00</t>
  </si>
  <si>
    <t>234</t>
  </si>
  <si>
    <t>Kulturní památka</t>
  </si>
  <si>
    <t>Objekt</t>
  </si>
  <si>
    <t>Různé dokončovací konstrukce a práce na pozemních stavbách</t>
  </si>
  <si>
    <t>168</t>
  </si>
  <si>
    <t>Stropy a stropní konstrukce (pro pozemní stavby)</t>
  </si>
  <si>
    <t>Bourání konstrukcí</t>
  </si>
  <si>
    <t>Otopná tělesa</t>
  </si>
  <si>
    <t>722174213R00</t>
  </si>
  <si>
    <t>DPH 21%</t>
  </si>
  <si>
    <t>184</t>
  </si>
  <si>
    <t>249</t>
  </si>
  <si>
    <t>134</t>
  </si>
  <si>
    <t>opálením</t>
  </si>
  <si>
    <t>211</t>
  </si>
  <si>
    <t>196</t>
  </si>
  <si>
    <t>721140935R00</t>
  </si>
  <si>
    <t>Elektromontáže</t>
  </si>
  <si>
    <t>Hloubení rýh š.do 60 cm v hor.2 do 50 m3, STROJNĚ</t>
  </si>
  <si>
    <t>971033231R00</t>
  </si>
  <si>
    <t>Provedení opravy vnitřní kanalizace, potrubí litinové, přechod z litiny na plast,DN 100 mm</t>
  </si>
  <si>
    <t>965048150R00</t>
  </si>
  <si>
    <t>187</t>
  </si>
  <si>
    <t>_</t>
  </si>
  <si>
    <t>kpl</t>
  </si>
  <si>
    <t>ORN celkem z obj.</t>
  </si>
  <si>
    <t>721170907R00</t>
  </si>
  <si>
    <t>Elektrická smažící pánev 80/900</t>
  </si>
  <si>
    <t>191</t>
  </si>
  <si>
    <t>Přesun hmot pro podlahy z dlaždic, výšky do 6 m</t>
  </si>
  <si>
    <t>Demontáž těles otopných litinových článkových</t>
  </si>
  <si>
    <t>Příčka z tvárnic pórobetonových  tl. 150 mm</t>
  </si>
  <si>
    <t>49</t>
  </si>
  <si>
    <t>Příčka z tvárnic pórobetonových  tl. 200 mm</t>
  </si>
  <si>
    <t>72</t>
  </si>
  <si>
    <t>Nátěr syntetický litin. radiátorů Z +2x + 1x email</t>
  </si>
  <si>
    <t>968061113R00</t>
  </si>
  <si>
    <t>Přesuny</t>
  </si>
  <si>
    <t>MAT</t>
  </si>
  <si>
    <t>Přesun hmot pro izolace proti vodě, výšky do 6 m</t>
  </si>
  <si>
    <t>Dveřní kování  klíč Cr</t>
  </si>
  <si>
    <t>978013191R00</t>
  </si>
  <si>
    <t>7259911VD</t>
  </si>
  <si>
    <t>70</t>
  </si>
  <si>
    <t>597623141</t>
  </si>
  <si>
    <t>766670021R00</t>
  </si>
  <si>
    <t>979083117R00</t>
  </si>
  <si>
    <t>8</t>
  </si>
  <si>
    <t>Celkem:</t>
  </si>
  <si>
    <t>Mimostav. doprava</t>
  </si>
  <si>
    <t>Nátěry</t>
  </si>
  <si>
    <t>7679111VD</t>
  </si>
  <si>
    <t>Provedení opravy vnitřní kanalizace, potrubí plastové, vsazení odbočky, D 75 mm</t>
  </si>
  <si>
    <t>18</t>
  </si>
  <si>
    <t>DN celkem z obj.</t>
  </si>
  <si>
    <t>Přesun hmot pro truhlářské konstr., výšky do 6 m</t>
  </si>
  <si>
    <t>722175123R00</t>
  </si>
  <si>
    <t>včetně obrubníku ABO 2 - 15 100/15/25</t>
  </si>
  <si>
    <t>28655108</t>
  </si>
  <si>
    <t>Komplet nástěnný  PP-H, D 20 mm x R 1/2"</t>
  </si>
  <si>
    <t>46</t>
  </si>
  <si>
    <t>781</t>
  </si>
  <si>
    <t>728_</t>
  </si>
  <si>
    <t>181</t>
  </si>
  <si>
    <t>214</t>
  </si>
  <si>
    <t>Vybourání otv. stropy ŽB pl. 1 m2, tl. nad 8 cm</t>
  </si>
  <si>
    <t>273361921RT8</t>
  </si>
  <si>
    <t>Montáž vodovodních armatur,1závit, G 2"</t>
  </si>
  <si>
    <t>71_</t>
  </si>
  <si>
    <t>176</t>
  </si>
  <si>
    <t>972054491R00</t>
  </si>
  <si>
    <t>Montáž vchodových dveří plastových</t>
  </si>
  <si>
    <t>100</t>
  </si>
  <si>
    <t>108</t>
  </si>
  <si>
    <t>vč.naložení</t>
  </si>
  <si>
    <t>50</t>
  </si>
  <si>
    <t>Základy</t>
  </si>
  <si>
    <t>1.NP</t>
  </si>
  <si>
    <t>4_</t>
  </si>
  <si>
    <t>m</t>
  </si>
  <si>
    <t>Zařízení velkokuchyní</t>
  </si>
  <si>
    <t>Vybourání otv. zeď cihel. pl.0,09 m2, tl.60cm, MVC</t>
  </si>
  <si>
    <t>Slepý stavební rozpočet - rekapitulace</t>
  </si>
  <si>
    <t>217</t>
  </si>
  <si>
    <t>225</t>
  </si>
  <si>
    <t>Přemístění výkopku</t>
  </si>
  <si>
    <t>Dodávka+montáž-rampa</t>
  </si>
  <si>
    <t>11</t>
  </si>
  <si>
    <t>998725101R00</t>
  </si>
  <si>
    <t>28615161</t>
  </si>
  <si>
    <t>Vodorovné přemístění výkopku z hor.1-4 do 10000 m</t>
  </si>
  <si>
    <t>240</t>
  </si>
  <si>
    <t>32</t>
  </si>
  <si>
    <t>Rozvod potrubí</t>
  </si>
  <si>
    <t>721290111R00</t>
  </si>
  <si>
    <t>Objednatel:</t>
  </si>
  <si>
    <t>204</t>
  </si>
  <si>
    <t>998766101R00</t>
  </si>
  <si>
    <t>721176212R00</t>
  </si>
  <si>
    <t>Malba otěruvzdorná, bílá, bez penetrace, 2 x</t>
  </si>
  <si>
    <t>597623201</t>
  </si>
  <si>
    <t>968083002R00</t>
  </si>
  <si>
    <t>Multifunkční pánev  150 L+změkčovač</t>
  </si>
  <si>
    <t>8_</t>
  </si>
  <si>
    <t>bez materiálu</t>
  </si>
  <si>
    <t>PSV mat</t>
  </si>
  <si>
    <t xml:space="preserve"> tl. 2 mm</t>
  </si>
  <si>
    <t>Demontáž podlah s polštáři z prken tl. do 32 mm</t>
  </si>
  <si>
    <t>Elektroinstalace - viz samostatný rozpočet (příloha)</t>
  </si>
  <si>
    <t>Umyvadlo, baterie, zápachová uzávěrka</t>
  </si>
  <si>
    <t>Vybourání kovových dveřních zárubní pl. nad 2 m2</t>
  </si>
  <si>
    <t>Střední průmyslová škola stavební a Obchodní akademie</t>
  </si>
  <si>
    <t>Nátěr syntet. zábradlí Z +1x +1x email</t>
  </si>
  <si>
    <t>3</t>
  </si>
  <si>
    <t>Bednění stěn základových desek - zřízení</t>
  </si>
  <si>
    <t>Vybourání otv. stropy ŽB pl. 0,0225 m2, tl. 15 cm</t>
  </si>
  <si>
    <t>Přesun hmot pro rozvody potrubí, výšky do 6 m</t>
  </si>
  <si>
    <t>711_</t>
  </si>
  <si>
    <t>766629304R00</t>
  </si>
  <si>
    <t>102</t>
  </si>
  <si>
    <t>Zhotovitel:</t>
  </si>
  <si>
    <t>174100050RAC</t>
  </si>
  <si>
    <t>Poplatek za uložení suti - cihelné výrobky, skupina odpadu 170102</t>
  </si>
  <si>
    <t>Podlahy z dlaždic</t>
  </si>
  <si>
    <t>96_</t>
  </si>
  <si>
    <t>952901111R00</t>
  </si>
  <si>
    <t>733111324R00</t>
  </si>
  <si>
    <t>Sifon pračkový , D 40/50 mm nerezový</t>
  </si>
  <si>
    <t>784_</t>
  </si>
  <si>
    <t>35</t>
  </si>
  <si>
    <t>Zárubeň ocelová  "LZ" 150 rozměr 900 x 1970 mm L, P</t>
  </si>
  <si>
    <t>Začátek výstavby:</t>
  </si>
  <si>
    <t>Potrubí HT připojovací, D 75 x 1,9 mm</t>
  </si>
  <si>
    <t>Dveřní kování klíč Ti</t>
  </si>
  <si>
    <t>783324240R00</t>
  </si>
  <si>
    <t>781111116R00</t>
  </si>
  <si>
    <t>Zakování dveří 1křídlých kompletizovaných</t>
  </si>
  <si>
    <t>A</t>
  </si>
  <si>
    <t>208</t>
  </si>
  <si>
    <t>Pracovní stoly</t>
  </si>
  <si>
    <t>Mont mat</t>
  </si>
  <si>
    <t>Obkládačka keramická - dle výběru</t>
  </si>
  <si>
    <t>163</t>
  </si>
  <si>
    <t>13_</t>
  </si>
  <si>
    <t>722</t>
  </si>
  <si>
    <t>722202512R00</t>
  </si>
  <si>
    <t>998733101R00</t>
  </si>
  <si>
    <t>Zazátkování vývodu</t>
  </si>
  <si>
    <t>Slepý stavební rozpočet</t>
  </si>
  <si>
    <t>93</t>
  </si>
  <si>
    <t>73_</t>
  </si>
  <si>
    <t>Osazení zárubní dveřních ocelových, pl. do 2,5 m2</t>
  </si>
  <si>
    <t>Montáž plastových vodovodních tvarovek, polyfuzně svařovaných, jeden spoj, D 25 mm</t>
  </si>
  <si>
    <t>273351215R00</t>
  </si>
  <si>
    <t>Vložky do dilatačních spár, polystyren, tl 50 mm</t>
  </si>
  <si>
    <t>oškrábání, umytí, vyhlazení, 2x malba-jídelna</t>
  </si>
  <si>
    <t>Cyrila Boudy 2954, Kladno, kat.úz.Kladno</t>
  </si>
  <si>
    <t>parapetní zdivo</t>
  </si>
  <si>
    <t>173</t>
  </si>
  <si>
    <t>Tlaková zkouška vodovodního potrubí DN 32 mm</t>
  </si>
  <si>
    <t>63_</t>
  </si>
  <si>
    <t>157</t>
  </si>
  <si>
    <t>101</t>
  </si>
  <si>
    <t>75</t>
  </si>
  <si>
    <t>Trubka D 20 x 1,9 mm délka 5 m PP-H</t>
  </si>
  <si>
    <t>54</t>
  </si>
  <si>
    <t>342256255R00</t>
  </si>
  <si>
    <t>205</t>
  </si>
  <si>
    <t xml:space="preserve"> </t>
  </si>
  <si>
    <t>16_</t>
  </si>
  <si>
    <t>136</t>
  </si>
  <si>
    <t>153</t>
  </si>
  <si>
    <t>Myčka na černé nádobí</t>
  </si>
  <si>
    <t>Ardex FB 9 L (flex.lepidlo), Ardex FL (spár.hmota)</t>
  </si>
  <si>
    <t>Podstolová chladnice 130 L</t>
  </si>
  <si>
    <t>T kus d 50x25x50 mm PP-H redukovaný</t>
  </si>
  <si>
    <t>Vybourání otv. zeď cihel. 0,0225 m2, tl. 15cm, MVC</t>
  </si>
  <si>
    <t>123</t>
  </si>
  <si>
    <t>Příplatek za spárovací hmotu - plošně,keram.dlažba</t>
  </si>
  <si>
    <t>159</t>
  </si>
  <si>
    <t>Poplatek za uložení - dřevo, skupina odpadu 170201</t>
  </si>
  <si>
    <t>Kryty pozemních komunikací, letišť a ploch dlážděných (předlažby)</t>
  </si>
  <si>
    <t>Potrubí závitové běžné svař. níz/středotl. DN 20</t>
  </si>
  <si>
    <t>kg</t>
  </si>
  <si>
    <t>Provedení opravy vnitřní kanalizace, potrubí plastové, vsazení odbočky, D 110 mm</t>
  </si>
  <si>
    <t>Objednatel</t>
  </si>
  <si>
    <t>57</t>
  </si>
  <si>
    <t>257</t>
  </si>
  <si>
    <t>998711101R00</t>
  </si>
  <si>
    <t>(Kč)</t>
  </si>
  <si>
    <t>783424340R00</t>
  </si>
  <si>
    <t>22</t>
  </si>
  <si>
    <t>115</t>
  </si>
  <si>
    <t>Územní vlivy</t>
  </si>
  <si>
    <t>Zdi podpěrné a volné</t>
  </si>
  <si>
    <t>611423121R00</t>
  </si>
  <si>
    <t>286550972</t>
  </si>
  <si>
    <t>Spára podlaha - stěna, silikonem</t>
  </si>
  <si>
    <t>592452655</t>
  </si>
  <si>
    <t>m3</t>
  </si>
  <si>
    <t>725</t>
  </si>
  <si>
    <t>ručně, dlaždice keramické</t>
  </si>
  <si>
    <t>Stěrka hydroizolační těsnicí hmotou</t>
  </si>
  <si>
    <t>Provedení opravy vnitřní kanalizace, výměna kroužku s přetěsněním zátky</t>
  </si>
  <si>
    <t>T</t>
  </si>
  <si>
    <t>259</t>
  </si>
  <si>
    <t>722175112R00</t>
  </si>
  <si>
    <t>722173986R00</t>
  </si>
  <si>
    <t>Bourání soklíků z dlažeb keramických</t>
  </si>
  <si>
    <t>Příplatek za zhotovení přípojky DN 20</t>
  </si>
  <si>
    <t>766665921R00</t>
  </si>
  <si>
    <t>Datum:</t>
  </si>
  <si>
    <t>91_</t>
  </si>
  <si>
    <t>Prstenec vyrovnávací šachetní.1 63/10</t>
  </si>
  <si>
    <t>215</t>
  </si>
  <si>
    <t>781415015R00</t>
  </si>
  <si>
    <t>27</t>
  </si>
  <si>
    <t>Montáž prahů dveří jednokřídlových š. do 15 cm</t>
  </si>
  <si>
    <t>37</t>
  </si>
  <si>
    <t>80</t>
  </si>
  <si>
    <t>m2</t>
  </si>
  <si>
    <t>Osazení poklopu s rámem do 150 kg</t>
  </si>
  <si>
    <t>41</t>
  </si>
  <si>
    <t>59_</t>
  </si>
  <si>
    <t>186</t>
  </si>
  <si>
    <t>Přesun hmot a sutí</t>
  </si>
  <si>
    <t>NUS z rozpočtu</t>
  </si>
  <si>
    <t>1.PP</t>
  </si>
  <si>
    <t>251</t>
  </si>
  <si>
    <t>28655122</t>
  </si>
  <si>
    <t>59224349.A</t>
  </si>
  <si>
    <t>962031116R00</t>
  </si>
  <si>
    <t>1</t>
  </si>
  <si>
    <t>stávající šachta</t>
  </si>
  <si>
    <t>Montáž otopných těles trubkových</t>
  </si>
  <si>
    <t>206</t>
  </si>
  <si>
    <t>7</t>
  </si>
  <si>
    <t>274361921RT9</t>
  </si>
  <si>
    <t>236</t>
  </si>
  <si>
    <t>Rozměry</t>
  </si>
  <si>
    <t>Montáž vodovodních armatur,1závit, G 1"</t>
  </si>
  <si>
    <t>722229106R00</t>
  </si>
  <si>
    <t>Vsazení odbočky do plastového potrubí polyfuzí včetně T-kusu D 20 mm, PP-H</t>
  </si>
  <si>
    <t>771575109R00</t>
  </si>
  <si>
    <t>74</t>
  </si>
  <si>
    <t>Položek:</t>
  </si>
  <si>
    <t>767200002RA0</t>
  </si>
  <si>
    <t>NUS celkem</t>
  </si>
  <si>
    <t>Podlahy a podlahové konstrukce</t>
  </si>
  <si>
    <t>WORK</t>
  </si>
  <si>
    <t>962081141R00</t>
  </si>
  <si>
    <t>164</t>
  </si>
  <si>
    <t>131</t>
  </si>
  <si>
    <t>612421637R00</t>
  </si>
  <si>
    <t>979082111R00</t>
  </si>
  <si>
    <t>83</t>
  </si>
  <si>
    <t>771_</t>
  </si>
  <si>
    <t>Výplně otvorů</t>
  </si>
  <si>
    <t>213</t>
  </si>
  <si>
    <t>93_</t>
  </si>
  <si>
    <t>Demontáž podhledu SDK, kovová kce., 1xoplášť.12,5 mm</t>
  </si>
  <si>
    <t>9531199VD</t>
  </si>
  <si>
    <t>733</t>
  </si>
  <si>
    <t>114</t>
  </si>
  <si>
    <t>47</t>
  </si>
  <si>
    <t>735</t>
  </si>
  <si>
    <t>Montáž plastového vodovodního potrubí, rovného, polyfuzně svařeného, D 20 mm</t>
  </si>
  <si>
    <t>Omítka vápenná vnitřního ostění - štuková</t>
  </si>
  <si>
    <t>962032241R00</t>
  </si>
  <si>
    <t>HSV mat</t>
  </si>
  <si>
    <t>Regály</t>
  </si>
  <si>
    <t>M21_</t>
  </si>
  <si>
    <t>177</t>
  </si>
  <si>
    <t>66</t>
  </si>
  <si>
    <t>Nátěr syntet. potrubí do DN 50 mm  Z+2x +1x email</t>
  </si>
  <si>
    <t>56_</t>
  </si>
  <si>
    <t>722229103R00</t>
  </si>
  <si>
    <t>Prah dubový dl. 900 mm, š. 150 mm, tl. 20 mm</t>
  </si>
  <si>
    <t>Vzduchotechnika</t>
  </si>
  <si>
    <t>917862111RT7</t>
  </si>
  <si>
    <t>Osazení betonových stropních dílců jakýchkoliv</t>
  </si>
  <si>
    <t>317147304R00</t>
  </si>
  <si>
    <t>Ztužující věnec ŽB beton C 16/20, 30 x 30 cm</t>
  </si>
  <si>
    <t>201</t>
  </si>
  <si>
    <t>H99</t>
  </si>
  <si>
    <t>155</t>
  </si>
  <si>
    <t>247</t>
  </si>
  <si>
    <t>včetně dodávky zárubně 800 x 1970 x 100 mm</t>
  </si>
  <si>
    <t>90</t>
  </si>
  <si>
    <t>210</t>
  </si>
  <si>
    <t>Bourání příček z cihel pálených plných tl. 140 mm</t>
  </si>
  <si>
    <t>89</t>
  </si>
  <si>
    <t>245</t>
  </si>
  <si>
    <t>Hlavice ventilační přivětrávací HL900</t>
  </si>
  <si>
    <t>971033361R00</t>
  </si>
  <si>
    <t>179</t>
  </si>
  <si>
    <t>317147321R00</t>
  </si>
  <si>
    <t>185</t>
  </si>
  <si>
    <t>88</t>
  </si>
  <si>
    <t>Poplatek za skládku horniny 1- 4, č. dle katal. odpadů 17 05 04</t>
  </si>
  <si>
    <t>148</t>
  </si>
  <si>
    <t>Zkrácený popis</t>
  </si>
  <si>
    <t>Bourání zdiva z cihel pálených na MC</t>
  </si>
  <si>
    <t>28</t>
  </si>
  <si>
    <t>Vysekání kapes pro zavázání zdí tl. 30 cm, MC</t>
  </si>
  <si>
    <t>Dočištění povrchu po vybourání dlažeb, tmel do 50%</t>
  </si>
  <si>
    <t>111</t>
  </si>
  <si>
    <t>971033631R00</t>
  </si>
  <si>
    <t>962032231R00</t>
  </si>
  <si>
    <t>311271887R00</t>
  </si>
  <si>
    <t>239</t>
  </si>
  <si>
    <t>976085411R00</t>
  </si>
  <si>
    <t>771</t>
  </si>
  <si>
    <t>CELK</t>
  </si>
  <si>
    <t>632481211R00</t>
  </si>
  <si>
    <t>113</t>
  </si>
  <si>
    <t>Přesun hmot pro zařizovací předměty, výšky do 6 m</t>
  </si>
  <si>
    <t>106</t>
  </si>
  <si>
    <t>94_</t>
  </si>
  <si>
    <t>784195212R00</t>
  </si>
  <si>
    <t>971033261R00</t>
  </si>
  <si>
    <t>65</t>
  </si>
  <si>
    <t>Prorážení otvorů a ostatní bourací práce</t>
  </si>
  <si>
    <t>244</t>
  </si>
  <si>
    <t>Zátka HTM D 110 mm PP</t>
  </si>
  <si>
    <t>771101101R00</t>
  </si>
  <si>
    <t>169</t>
  </si>
  <si>
    <t>34</t>
  </si>
  <si>
    <t>62</t>
  </si>
  <si>
    <t>193</t>
  </si>
  <si>
    <t>Odsekání vnitřních obkladů stěn nad 2 m2</t>
  </si>
  <si>
    <t>Montáž výztužné sítě(perlinky)do stěrky-vnit.stěny</t>
  </si>
  <si>
    <t>Deska výdejového okna - cena předběžná</t>
  </si>
  <si>
    <t>č.016</t>
  </si>
  <si>
    <t>Izolace proti vodě</t>
  </si>
  <si>
    <t>218</t>
  </si>
  <si>
    <t>zalití tvárnic betonem C 16/20</t>
  </si>
  <si>
    <t>Nákladní váha podlahová</t>
  </si>
  <si>
    <t>Oprava váp.omítek stropů do 10% plochy - štukových</t>
  </si>
  <si>
    <t>28615152</t>
  </si>
  <si>
    <t>Rekonstrukce kuchyně</t>
  </si>
  <si>
    <t>Náklady (Kč) - Montáž</t>
  </si>
  <si>
    <t>Plentování ocelových nosníků výšky do 20 cm</t>
  </si>
  <si>
    <t>Rolovací mříže na vodící lišty 2ks 300x247 cm +1ks 175x247+ motor</t>
  </si>
  <si>
    <t>Ozn.č.2-Dveře vchodové plastové 2/3 sklo1křídlové 90x197 cm-cena předběžná</t>
  </si>
  <si>
    <t>Vnitřní kanalizace</t>
  </si>
  <si>
    <t>Dlažba zámková přírodní 20x10x8</t>
  </si>
  <si>
    <t>Překlad nosný z pórobetonu  100 x 250 x 1200 mm</t>
  </si>
</sst>
</file>

<file path=xl/styles.xml><?xml version="1.0" encoding="utf-8"?>
<styleSheet xmlns="http://schemas.openxmlformats.org/spreadsheetml/2006/main">
  <fonts count="12">
    <font>
      <sz val="8"/>
      <name val="Arial"/>
    </font>
    <font>
      <sz val="11"/>
      <name val="Calibri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sz val="12"/>
      <color rgb="FF000000"/>
      <name val="Arial"/>
      <charset val="238"/>
    </font>
    <font>
      <i/>
      <sz val="10"/>
      <color rgb="FF000000"/>
      <name val="Arial"/>
      <charset val="238"/>
    </font>
    <font>
      <b/>
      <sz val="12"/>
      <color rgb="FF000000"/>
      <name val="Arial"/>
      <charset val="238"/>
    </font>
    <font>
      <b/>
      <sz val="20"/>
      <color rgb="FF000000"/>
      <name val="Arial"/>
      <charset val="238"/>
    </font>
    <font>
      <sz val="18"/>
      <color rgb="FF000000"/>
      <name val="Arial"/>
      <charset val="238"/>
    </font>
    <font>
      <b/>
      <sz val="18"/>
      <color rgb="FF000000"/>
      <name val="Arial"/>
      <charset val="238"/>
    </font>
    <font>
      <b/>
      <sz val="11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3"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3" fillId="2" borderId="7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/>
    </xf>
    <xf numFmtId="4" fontId="5" fillId="0" borderId="8" xfId="0" applyNumberFormat="1" applyFont="1" applyFill="1" applyBorder="1" applyAlignment="1" applyProtection="1">
      <alignment horizontal="right" vertical="center"/>
    </xf>
    <xf numFmtId="4" fontId="5" fillId="0" borderId="9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2" borderId="8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8" fillId="2" borderId="17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6" fillId="0" borderId="18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4" fontId="7" fillId="2" borderId="5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2" borderId="0" xfId="0" applyNumberFormat="1" applyFont="1" applyFill="1" applyBorder="1" applyAlignment="1" applyProtection="1">
      <alignment horizontal="right" vertical="center"/>
    </xf>
    <xf numFmtId="0" fontId="2" fillId="2" borderId="8" xfId="0" applyNumberFormat="1" applyFont="1" applyFill="1" applyBorder="1" applyAlignment="1" applyProtection="1">
      <alignment horizontal="right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horizontal="righ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7" xfId="0" applyNumberFormat="1" applyFont="1" applyFill="1" applyBorder="1" applyAlignment="1" applyProtection="1">
      <alignment horizontal="left" vertical="center"/>
    </xf>
    <xf numFmtId="4" fontId="5" fillId="0" borderId="13" xfId="0" applyNumberFormat="1" applyFont="1" applyFill="1" applyBorder="1" applyAlignment="1" applyProtection="1">
      <alignment horizontal="righ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right" vertical="center"/>
    </xf>
    <xf numFmtId="4" fontId="7" fillId="2" borderId="9" xfId="0" applyNumberFormat="1" applyFont="1" applyFill="1" applyBorder="1" applyAlignment="1" applyProtection="1">
      <alignment horizontal="right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left" vertical="center"/>
    </xf>
    <xf numFmtId="0" fontId="6" fillId="0" borderId="18" xfId="0" applyNumberFormat="1" applyFont="1" applyFill="1" applyBorder="1" applyAlignment="1" applyProtection="1">
      <alignment horizontal="left" vertical="center" wrapText="1"/>
    </xf>
    <xf numFmtId="0" fontId="6" fillId="0" borderId="18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left" vertical="center" wrapText="1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24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5" fillId="0" borderId="31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33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left" vertical="center"/>
    </xf>
    <xf numFmtId="0" fontId="5" fillId="0" borderId="30" xfId="0" applyNumberFormat="1" applyFont="1" applyFill="1" applyBorder="1" applyAlignment="1" applyProtection="1">
      <alignment horizontal="left" vertical="center"/>
    </xf>
    <xf numFmtId="0" fontId="5" fillId="0" borderId="32" xfId="0" applyNumberFormat="1" applyFont="1" applyFill="1" applyBorder="1" applyAlignment="1" applyProtection="1">
      <alignment horizontal="left" vertical="center"/>
    </xf>
    <xf numFmtId="0" fontId="5" fillId="0" borderId="34" xfId="0" applyNumberFormat="1" applyFont="1" applyFill="1" applyBorder="1" applyAlignment="1" applyProtection="1">
      <alignment horizontal="left" vertical="center"/>
    </xf>
    <xf numFmtId="0" fontId="7" fillId="2" borderId="29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9" xfId="0" applyNumberFormat="1" applyFont="1" applyFill="1" applyBorder="1" applyAlignment="1" applyProtection="1">
      <alignment horizontal="left" vertical="center"/>
    </xf>
    <xf numFmtId="0" fontId="7" fillId="2" borderId="18" xfId="0" applyNumberFormat="1" applyFont="1" applyFill="1" applyBorder="1" applyAlignment="1" applyProtection="1">
      <alignment horizontal="left" vertical="center"/>
    </xf>
    <xf numFmtId="0" fontId="5" fillId="0" borderId="18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0" fontId="7" fillId="0" borderId="28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 applyProtection="1">
      <alignment horizontal="lef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0" fontId="11" fillId="0" borderId="28" xfId="0" applyNumberFormat="1" applyFont="1" applyFill="1" applyBorder="1" applyAlignment="1" applyProtection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7" fillId="0" borderId="29" xfId="0" applyNumberFormat="1" applyFont="1" applyFill="1" applyBorder="1" applyAlignment="1" applyProtection="1">
      <alignment horizontal="left" vertical="center"/>
    </xf>
    <xf numFmtId="1" fontId="3" fillId="0" borderId="8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400050</xdr:colOff>
      <xdr:row>0</xdr:row>
      <xdr:rowOff>666750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0</xdr:row>
      <xdr:rowOff>666750</xdr:rowOff>
    </xdr:to>
    <xdr:pic>
      <xdr:nvPicPr>
        <xdr:cNvPr id="20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30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BV383"/>
  <sheetViews>
    <sheetView tabSelected="1" showOutlineSymbols="0" workbookViewId="0">
      <pane ySplit="11" topLeftCell="A267" activePane="bottomLeft" state="frozenSplit"/>
      <selection activeCell="A383" sqref="A383:M383"/>
      <selection pane="bottomLeft" activeCell="J6" sqref="J6:M7"/>
    </sheetView>
  </sheetViews>
  <sheetFormatPr defaultColWidth="14.1640625" defaultRowHeight="15" customHeight="1"/>
  <cols>
    <col min="1" max="1" width="4.6640625" customWidth="1"/>
    <col min="2" max="2" width="20.83203125" customWidth="1"/>
    <col min="3" max="3" width="1.6640625" customWidth="1"/>
    <col min="4" max="4" width="84.1640625" customWidth="1"/>
    <col min="7" max="7" width="5" customWidth="1"/>
    <col min="8" max="8" width="15" customWidth="1"/>
    <col min="9" max="9" width="14" customWidth="1"/>
    <col min="10" max="12" width="18.33203125" customWidth="1"/>
    <col min="13" max="13" width="15.6640625" customWidth="1"/>
    <col min="25" max="74" width="14.1640625" hidden="1" customWidth="1"/>
  </cols>
  <sheetData>
    <row r="1" spans="1:64" ht="54.75" customHeight="1">
      <c r="A1" s="75" t="s">
        <v>819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AS1" s="49">
        <f>SUM(AJ1:AJ2)</f>
        <v>0</v>
      </c>
      <c r="AT1" s="49">
        <f>SUM(AK1:AK2)</f>
        <v>0</v>
      </c>
      <c r="AU1" s="49">
        <f>SUM(AL1:AL2)</f>
        <v>0</v>
      </c>
    </row>
    <row r="2" spans="1:64" ht="15" customHeight="1">
      <c r="A2" s="76" t="s">
        <v>60</v>
      </c>
      <c r="B2" s="68"/>
      <c r="C2" s="73" t="s">
        <v>1011</v>
      </c>
      <c r="D2" s="74"/>
      <c r="E2" s="68" t="s">
        <v>3</v>
      </c>
      <c r="F2" s="68"/>
      <c r="G2" s="68" t="s">
        <v>839</v>
      </c>
      <c r="H2" s="68"/>
      <c r="I2" s="67" t="s">
        <v>766</v>
      </c>
      <c r="J2" s="67" t="s">
        <v>574</v>
      </c>
      <c r="K2" s="68"/>
      <c r="L2" s="68"/>
      <c r="M2" s="69"/>
    </row>
    <row r="3" spans="1:64" ht="15" customHeight="1">
      <c r="A3" s="77"/>
      <c r="B3" s="53"/>
      <c r="C3" s="60"/>
      <c r="D3" s="60"/>
      <c r="E3" s="53"/>
      <c r="F3" s="53"/>
      <c r="G3" s="53"/>
      <c r="H3" s="53"/>
      <c r="I3" s="53"/>
      <c r="J3" s="53"/>
      <c r="K3" s="53"/>
      <c r="L3" s="53"/>
      <c r="M3" s="70"/>
    </row>
    <row r="4" spans="1:64" ht="15" customHeight="1">
      <c r="A4" s="78" t="s">
        <v>505</v>
      </c>
      <c r="B4" s="53"/>
      <c r="C4" s="52" t="s">
        <v>782</v>
      </c>
      <c r="D4" s="53"/>
      <c r="E4" s="53" t="s">
        <v>802</v>
      </c>
      <c r="F4" s="53"/>
      <c r="G4" s="53" t="s">
        <v>839</v>
      </c>
      <c r="H4" s="53"/>
      <c r="I4" s="52" t="s">
        <v>626</v>
      </c>
      <c r="J4" s="52" t="s">
        <v>180</v>
      </c>
      <c r="K4" s="53"/>
      <c r="L4" s="53"/>
      <c r="M4" s="70"/>
    </row>
    <row r="5" spans="1:64" ht="15" customHeight="1">
      <c r="A5" s="77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70"/>
    </row>
    <row r="6" spans="1:64" ht="15" customHeight="1">
      <c r="A6" s="78" t="s">
        <v>76</v>
      </c>
      <c r="B6" s="53"/>
      <c r="C6" s="52" t="s">
        <v>827</v>
      </c>
      <c r="D6" s="53"/>
      <c r="E6" s="53" t="s">
        <v>300</v>
      </c>
      <c r="F6" s="53"/>
      <c r="G6" s="53" t="s">
        <v>839</v>
      </c>
      <c r="H6" s="53"/>
      <c r="I6" s="52" t="s">
        <v>791</v>
      </c>
      <c r="J6" s="52" t="s">
        <v>610</v>
      </c>
      <c r="K6" s="53"/>
      <c r="L6" s="53"/>
      <c r="M6" s="70"/>
    </row>
    <row r="7" spans="1:64" ht="15" customHeight="1">
      <c r="A7" s="77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70"/>
    </row>
    <row r="8" spans="1:64" ht="15" customHeight="1">
      <c r="A8" s="78" t="s">
        <v>453</v>
      </c>
      <c r="B8" s="53"/>
      <c r="C8" s="52" t="s">
        <v>839</v>
      </c>
      <c r="D8" s="53"/>
      <c r="E8" s="53" t="s">
        <v>520</v>
      </c>
      <c r="F8" s="53"/>
      <c r="G8" s="53" t="s">
        <v>250</v>
      </c>
      <c r="H8" s="53"/>
      <c r="I8" s="52" t="s">
        <v>602</v>
      </c>
      <c r="J8" s="53" t="s">
        <v>435</v>
      </c>
      <c r="K8" s="53"/>
      <c r="L8" s="53"/>
      <c r="M8" s="70"/>
    </row>
    <row r="9" spans="1:64" ht="15" customHeight="1">
      <c r="A9" s="77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70"/>
    </row>
    <row r="10" spans="1:64" ht="15" customHeight="1">
      <c r="A10" s="1" t="s">
        <v>67</v>
      </c>
      <c r="B10" s="6" t="s">
        <v>306</v>
      </c>
      <c r="C10" s="71" t="s">
        <v>629</v>
      </c>
      <c r="D10" s="71"/>
      <c r="E10" s="71"/>
      <c r="F10" s="72"/>
      <c r="G10" s="6" t="s">
        <v>324</v>
      </c>
      <c r="H10" s="2" t="s">
        <v>555</v>
      </c>
      <c r="I10" s="51" t="s">
        <v>299</v>
      </c>
      <c r="J10" s="64" t="s">
        <v>584</v>
      </c>
      <c r="K10" s="65"/>
      <c r="L10" s="66"/>
      <c r="M10" s="2" t="s">
        <v>249</v>
      </c>
      <c r="BK10" s="30" t="s">
        <v>369</v>
      </c>
      <c r="BL10" s="43" t="s">
        <v>480</v>
      </c>
    </row>
    <row r="11" spans="1:64" ht="15" customHeight="1">
      <c r="A11" s="27" t="s">
        <v>839</v>
      </c>
      <c r="B11" s="48" t="s">
        <v>839</v>
      </c>
      <c r="C11" s="62" t="s">
        <v>910</v>
      </c>
      <c r="D11" s="62"/>
      <c r="E11" s="62"/>
      <c r="F11" s="63"/>
      <c r="G11" s="48" t="s">
        <v>839</v>
      </c>
      <c r="H11" s="48" t="s">
        <v>839</v>
      </c>
      <c r="I11" s="5" t="s">
        <v>860</v>
      </c>
      <c r="J11" s="21" t="s">
        <v>45</v>
      </c>
      <c r="K11" s="24" t="s">
        <v>168</v>
      </c>
      <c r="L11" s="26" t="s">
        <v>87</v>
      </c>
      <c r="M11" s="24" t="s">
        <v>239</v>
      </c>
      <c r="Z11" s="30" t="s">
        <v>708</v>
      </c>
      <c r="AA11" s="30" t="s">
        <v>565</v>
      </c>
      <c r="AB11" s="30" t="s">
        <v>940</v>
      </c>
      <c r="AC11" s="30" t="s">
        <v>261</v>
      </c>
      <c r="AD11" s="30" t="s">
        <v>776</v>
      </c>
      <c r="AE11" s="30" t="s">
        <v>347</v>
      </c>
      <c r="AF11" s="30" t="s">
        <v>811</v>
      </c>
      <c r="AG11" s="30" t="s">
        <v>401</v>
      </c>
      <c r="AH11" s="30" t="s">
        <v>244</v>
      </c>
      <c r="BH11" s="30" t="s">
        <v>709</v>
      </c>
      <c r="BI11" s="30" t="s">
        <v>920</v>
      </c>
      <c r="BJ11" s="30" t="s">
        <v>984</v>
      </c>
    </row>
    <row r="12" spans="1:64" ht="15" customHeight="1">
      <c r="A12" s="46" t="s">
        <v>630</v>
      </c>
      <c r="B12" s="10" t="s">
        <v>273</v>
      </c>
      <c r="C12" s="61" t="s">
        <v>4</v>
      </c>
      <c r="D12" s="61"/>
      <c r="E12" s="61"/>
      <c r="F12" s="61"/>
      <c r="G12" s="20" t="s">
        <v>839</v>
      </c>
      <c r="H12" s="20" t="s">
        <v>839</v>
      </c>
      <c r="I12" s="20" t="s">
        <v>839</v>
      </c>
      <c r="J12" s="37">
        <f>SUM(J13:J13)</f>
        <v>0</v>
      </c>
      <c r="K12" s="37">
        <f>SUM(K13:K13)</f>
        <v>0</v>
      </c>
      <c r="L12" s="37">
        <f>SUM(L13:L13)</f>
        <v>0</v>
      </c>
      <c r="M12" s="38" t="s">
        <v>630</v>
      </c>
      <c r="AI12" s="30" t="s">
        <v>630</v>
      </c>
      <c r="AS12" s="49">
        <f>SUM(AJ13:AJ13)</f>
        <v>0</v>
      </c>
      <c r="AT12" s="49">
        <f>SUM(AK13:AK13)</f>
        <v>0</v>
      </c>
      <c r="AU12" s="49">
        <f>SUM(AL13:AL13)</f>
        <v>0</v>
      </c>
    </row>
    <row r="13" spans="1:64" ht="15" customHeight="1">
      <c r="A13" s="22" t="s">
        <v>903</v>
      </c>
      <c r="B13" s="9" t="s">
        <v>452</v>
      </c>
      <c r="C13" s="53" t="s">
        <v>689</v>
      </c>
      <c r="D13" s="53"/>
      <c r="E13" s="53"/>
      <c r="F13" s="53"/>
      <c r="G13" s="9" t="s">
        <v>870</v>
      </c>
      <c r="H13" s="4">
        <v>5.7</v>
      </c>
      <c r="I13" s="4">
        <v>0</v>
      </c>
      <c r="J13" s="4">
        <f>H13*AO13</f>
        <v>0</v>
      </c>
      <c r="K13" s="4">
        <f>H13*AP13</f>
        <v>0</v>
      </c>
      <c r="L13" s="4">
        <f>H13*I13</f>
        <v>0</v>
      </c>
      <c r="M13" s="17" t="s">
        <v>619</v>
      </c>
      <c r="Z13" s="4">
        <f>IF(AQ13="5",BJ13,0)</f>
        <v>0</v>
      </c>
      <c r="AB13" s="4">
        <f>IF(AQ13="1",BH13,0)</f>
        <v>0</v>
      </c>
      <c r="AC13" s="4">
        <f>IF(AQ13="1",BI13,0)</f>
        <v>0</v>
      </c>
      <c r="AD13" s="4">
        <f>IF(AQ13="7",BH13,0)</f>
        <v>0</v>
      </c>
      <c r="AE13" s="4">
        <f>IF(AQ13="7",BI13,0)</f>
        <v>0</v>
      </c>
      <c r="AF13" s="4">
        <f>IF(AQ13="2",BH13,0)</f>
        <v>0</v>
      </c>
      <c r="AG13" s="4">
        <f>IF(AQ13="2",BI13,0)</f>
        <v>0</v>
      </c>
      <c r="AH13" s="4">
        <f>IF(AQ13="0",BJ13,0)</f>
        <v>0</v>
      </c>
      <c r="AI13" s="30" t="s">
        <v>630</v>
      </c>
      <c r="AJ13" s="4">
        <f>IF(AN13=0,L13,0)</f>
        <v>0</v>
      </c>
      <c r="AK13" s="4">
        <f>IF(AN13=15,L13,0)</f>
        <v>0</v>
      </c>
      <c r="AL13" s="4">
        <f>IF(AN13=21,L13,0)</f>
        <v>0</v>
      </c>
      <c r="AN13" s="4">
        <v>21</v>
      </c>
      <c r="AO13" s="4">
        <f>I13*0</f>
        <v>0</v>
      </c>
      <c r="AP13" s="4">
        <f>I13*(1-0)</f>
        <v>0</v>
      </c>
      <c r="AQ13" s="14" t="s">
        <v>903</v>
      </c>
      <c r="AV13" s="4">
        <f>AW13+AX13</f>
        <v>0</v>
      </c>
      <c r="AW13" s="4">
        <f>H13*AO13</f>
        <v>0</v>
      </c>
      <c r="AX13" s="4">
        <f>H13*AP13</f>
        <v>0</v>
      </c>
      <c r="AY13" s="14" t="s">
        <v>814</v>
      </c>
      <c r="AZ13" s="14" t="s">
        <v>96</v>
      </c>
      <c r="BA13" s="30" t="s">
        <v>694</v>
      </c>
      <c r="BC13" s="4">
        <f>AW13+AX13</f>
        <v>0</v>
      </c>
      <c r="BD13" s="4">
        <f>I13/(100-BE13)*100</f>
        <v>0</v>
      </c>
      <c r="BE13" s="4">
        <v>0</v>
      </c>
      <c r="BF13" s="4">
        <f>13</f>
        <v>13</v>
      </c>
      <c r="BH13" s="4">
        <f>H13*AO13</f>
        <v>0</v>
      </c>
      <c r="BI13" s="4">
        <f>H13*AP13</f>
        <v>0</v>
      </c>
      <c r="BJ13" s="4">
        <f>H13*I13</f>
        <v>0</v>
      </c>
      <c r="BK13" s="4"/>
      <c r="BL13" s="4">
        <v>13</v>
      </c>
    </row>
    <row r="14" spans="1:64" ht="15" customHeight="1">
      <c r="A14" s="12" t="s">
        <v>630</v>
      </c>
      <c r="B14" s="32" t="s">
        <v>79</v>
      </c>
      <c r="C14" s="61" t="s">
        <v>756</v>
      </c>
      <c r="D14" s="61"/>
      <c r="E14" s="61"/>
      <c r="F14" s="61"/>
      <c r="G14" s="45" t="s">
        <v>839</v>
      </c>
      <c r="H14" s="45" t="s">
        <v>839</v>
      </c>
      <c r="I14" s="45" t="s">
        <v>839</v>
      </c>
      <c r="J14" s="49">
        <f>SUM(J15:J15)</f>
        <v>0</v>
      </c>
      <c r="K14" s="49">
        <f>SUM(K15:K15)</f>
        <v>0</v>
      </c>
      <c r="L14" s="49">
        <f>SUM(L15:L15)</f>
        <v>0</v>
      </c>
      <c r="M14" s="29" t="s">
        <v>630</v>
      </c>
      <c r="AI14" s="30" t="s">
        <v>630</v>
      </c>
      <c r="AS14" s="49">
        <f>SUM(AJ15:AJ15)</f>
        <v>0</v>
      </c>
      <c r="AT14" s="49">
        <f>SUM(AK15:AK15)</f>
        <v>0</v>
      </c>
      <c r="AU14" s="49">
        <f>SUM(AL15:AL15)</f>
        <v>0</v>
      </c>
    </row>
    <row r="15" spans="1:64" ht="15" customHeight="1">
      <c r="A15" s="22" t="s">
        <v>625</v>
      </c>
      <c r="B15" s="9" t="s">
        <v>9</v>
      </c>
      <c r="C15" s="53" t="s">
        <v>761</v>
      </c>
      <c r="D15" s="53"/>
      <c r="E15" s="53"/>
      <c r="F15" s="53"/>
      <c r="G15" s="9" t="s">
        <v>870</v>
      </c>
      <c r="H15" s="4">
        <v>5.7</v>
      </c>
      <c r="I15" s="4">
        <v>0</v>
      </c>
      <c r="J15" s="4">
        <f>H15*AO15</f>
        <v>0</v>
      </c>
      <c r="K15" s="4">
        <f>H15*AP15</f>
        <v>0</v>
      </c>
      <c r="L15" s="4">
        <f>H15*I15</f>
        <v>0</v>
      </c>
      <c r="M15" s="17" t="s">
        <v>619</v>
      </c>
      <c r="Z15" s="4">
        <f>IF(AQ15="5",BJ15,0)</f>
        <v>0</v>
      </c>
      <c r="AB15" s="4">
        <f>IF(AQ15="1",BH15,0)</f>
        <v>0</v>
      </c>
      <c r="AC15" s="4">
        <f>IF(AQ15="1",BI15,0)</f>
        <v>0</v>
      </c>
      <c r="AD15" s="4">
        <f>IF(AQ15="7",BH15,0)</f>
        <v>0</v>
      </c>
      <c r="AE15" s="4">
        <f>IF(AQ15="7",BI15,0)</f>
        <v>0</v>
      </c>
      <c r="AF15" s="4">
        <f>IF(AQ15="2",BH15,0)</f>
        <v>0</v>
      </c>
      <c r="AG15" s="4">
        <f>IF(AQ15="2",BI15,0)</f>
        <v>0</v>
      </c>
      <c r="AH15" s="4">
        <f>IF(AQ15="0",BJ15,0)</f>
        <v>0</v>
      </c>
      <c r="AI15" s="30" t="s">
        <v>630</v>
      </c>
      <c r="AJ15" s="4">
        <f>IF(AN15=0,L15,0)</f>
        <v>0</v>
      </c>
      <c r="AK15" s="4">
        <f>IF(AN15=15,L15,0)</f>
        <v>0</v>
      </c>
      <c r="AL15" s="4">
        <f>IF(AN15=21,L15,0)</f>
        <v>0</v>
      </c>
      <c r="AN15" s="4">
        <v>21</v>
      </c>
      <c r="AO15" s="4">
        <f>I15*0</f>
        <v>0</v>
      </c>
      <c r="AP15" s="4">
        <f>I15*(1-0)</f>
        <v>0</v>
      </c>
      <c r="AQ15" s="14" t="s">
        <v>903</v>
      </c>
      <c r="AV15" s="4">
        <f>AW15+AX15</f>
        <v>0</v>
      </c>
      <c r="AW15" s="4">
        <f>H15*AO15</f>
        <v>0</v>
      </c>
      <c r="AX15" s="4">
        <f>H15*AP15</f>
        <v>0</v>
      </c>
      <c r="AY15" s="14" t="s">
        <v>840</v>
      </c>
      <c r="AZ15" s="14" t="s">
        <v>96</v>
      </c>
      <c r="BA15" s="30" t="s">
        <v>694</v>
      </c>
      <c r="BC15" s="4">
        <f>AW15+AX15</f>
        <v>0</v>
      </c>
      <c r="BD15" s="4">
        <f>I15/(100-BE15)*100</f>
        <v>0</v>
      </c>
      <c r="BE15" s="4">
        <v>0</v>
      </c>
      <c r="BF15" s="4">
        <f>15</f>
        <v>15</v>
      </c>
      <c r="BH15" s="4">
        <f>H15*AO15</f>
        <v>0</v>
      </c>
      <c r="BI15" s="4">
        <f>H15*AP15</f>
        <v>0</v>
      </c>
      <c r="BJ15" s="4">
        <f>H15*I15</f>
        <v>0</v>
      </c>
      <c r="BK15" s="4"/>
      <c r="BL15" s="4">
        <v>16</v>
      </c>
    </row>
    <row r="16" spans="1:64" ht="13.5" customHeight="1">
      <c r="A16" s="13"/>
      <c r="B16" s="18" t="s">
        <v>473</v>
      </c>
      <c r="C16" s="54" t="s">
        <v>745</v>
      </c>
      <c r="D16" s="55"/>
      <c r="E16" s="55"/>
      <c r="F16" s="55"/>
      <c r="G16" s="55"/>
      <c r="H16" s="55"/>
      <c r="I16" s="55"/>
      <c r="J16" s="55"/>
      <c r="K16" s="55"/>
      <c r="L16" s="55"/>
      <c r="M16" s="56"/>
    </row>
    <row r="17" spans="1:64" ht="15" customHeight="1">
      <c r="A17" s="12" t="s">
        <v>630</v>
      </c>
      <c r="B17" s="32" t="s">
        <v>633</v>
      </c>
      <c r="C17" s="61" t="s">
        <v>122</v>
      </c>
      <c r="D17" s="61"/>
      <c r="E17" s="61"/>
      <c r="F17" s="61"/>
      <c r="G17" s="45" t="s">
        <v>839</v>
      </c>
      <c r="H17" s="45" t="s">
        <v>839</v>
      </c>
      <c r="I17" s="45" t="s">
        <v>839</v>
      </c>
      <c r="J17" s="49">
        <f>SUM(J18:J20)</f>
        <v>0</v>
      </c>
      <c r="K17" s="49">
        <f>SUM(K18:K20)</f>
        <v>0</v>
      </c>
      <c r="L17" s="49">
        <f>SUM(L18:L20)</f>
        <v>0</v>
      </c>
      <c r="M17" s="29" t="s">
        <v>630</v>
      </c>
      <c r="AI17" s="30" t="s">
        <v>630</v>
      </c>
      <c r="AS17" s="49">
        <f>SUM(AJ18:AJ20)</f>
        <v>0</v>
      </c>
      <c r="AT17" s="49">
        <f>SUM(AK18:AK20)</f>
        <v>0</v>
      </c>
      <c r="AU17" s="49">
        <f>SUM(AL18:AL20)</f>
        <v>0</v>
      </c>
    </row>
    <row r="18" spans="1:64" ht="15" customHeight="1">
      <c r="A18" s="22" t="s">
        <v>784</v>
      </c>
      <c r="B18" s="9" t="s">
        <v>298</v>
      </c>
      <c r="C18" s="53" t="s">
        <v>85</v>
      </c>
      <c r="D18" s="53"/>
      <c r="E18" s="53"/>
      <c r="F18" s="53"/>
      <c r="G18" s="9" t="s">
        <v>870</v>
      </c>
      <c r="H18" s="4">
        <v>5.7</v>
      </c>
      <c r="I18" s="4">
        <v>0</v>
      </c>
      <c r="J18" s="4">
        <f>H18*AO18</f>
        <v>0</v>
      </c>
      <c r="K18" s="4">
        <f>H18*AP18</f>
        <v>0</v>
      </c>
      <c r="L18" s="4">
        <f>H18*I18</f>
        <v>0</v>
      </c>
      <c r="M18" s="17" t="s">
        <v>619</v>
      </c>
      <c r="Z18" s="4">
        <f>IF(AQ18="5",BJ18,0)</f>
        <v>0</v>
      </c>
      <c r="AB18" s="4">
        <f>IF(AQ18="1",BH18,0)</f>
        <v>0</v>
      </c>
      <c r="AC18" s="4">
        <f>IF(AQ18="1",BI18,0)</f>
        <v>0</v>
      </c>
      <c r="AD18" s="4">
        <f>IF(AQ18="7",BH18,0)</f>
        <v>0</v>
      </c>
      <c r="AE18" s="4">
        <f>IF(AQ18="7",BI18,0)</f>
        <v>0</v>
      </c>
      <c r="AF18" s="4">
        <f>IF(AQ18="2",BH18,0)</f>
        <v>0</v>
      </c>
      <c r="AG18" s="4">
        <f>IF(AQ18="2",BI18,0)</f>
        <v>0</v>
      </c>
      <c r="AH18" s="4">
        <f>IF(AQ18="0",BJ18,0)</f>
        <v>0</v>
      </c>
      <c r="AI18" s="30" t="s">
        <v>630</v>
      </c>
      <c r="AJ18" s="4">
        <f>IF(AN18=0,L18,0)</f>
        <v>0</v>
      </c>
      <c r="AK18" s="4">
        <f>IF(AN18=15,L18,0)</f>
        <v>0</v>
      </c>
      <c r="AL18" s="4">
        <f>IF(AN18=21,L18,0)</f>
        <v>0</v>
      </c>
      <c r="AN18" s="4">
        <v>21</v>
      </c>
      <c r="AO18" s="4">
        <f>I18*0</f>
        <v>0</v>
      </c>
      <c r="AP18" s="4">
        <f>I18*(1-0)</f>
        <v>0</v>
      </c>
      <c r="AQ18" s="14" t="s">
        <v>903</v>
      </c>
      <c r="AV18" s="4">
        <f>AW18+AX18</f>
        <v>0</v>
      </c>
      <c r="AW18" s="4">
        <f>H18*AO18</f>
        <v>0</v>
      </c>
      <c r="AX18" s="4">
        <f>H18*AP18</f>
        <v>0</v>
      </c>
      <c r="AY18" s="14" t="s">
        <v>183</v>
      </c>
      <c r="AZ18" s="14" t="s">
        <v>96</v>
      </c>
      <c r="BA18" s="30" t="s">
        <v>694</v>
      </c>
      <c r="BC18" s="4">
        <f>AW18+AX18</f>
        <v>0</v>
      </c>
      <c r="BD18" s="4">
        <f>I18/(100-BE18)*100</f>
        <v>0</v>
      </c>
      <c r="BE18" s="4">
        <v>0</v>
      </c>
      <c r="BF18" s="4">
        <f>18</f>
        <v>18</v>
      </c>
      <c r="BH18" s="4">
        <f>H18*AO18</f>
        <v>0</v>
      </c>
      <c r="BI18" s="4">
        <f>H18*AP18</f>
        <v>0</v>
      </c>
      <c r="BJ18" s="4">
        <f>H18*I18</f>
        <v>0</v>
      </c>
      <c r="BK18" s="4"/>
      <c r="BL18" s="4">
        <v>17</v>
      </c>
    </row>
    <row r="19" spans="1:64" ht="15" customHeight="1">
      <c r="A19" s="22" t="s">
        <v>98</v>
      </c>
      <c r="B19" s="9" t="s">
        <v>616</v>
      </c>
      <c r="C19" s="53" t="s">
        <v>970</v>
      </c>
      <c r="D19" s="53"/>
      <c r="E19" s="53"/>
      <c r="F19" s="53"/>
      <c r="G19" s="9" t="s">
        <v>870</v>
      </c>
      <c r="H19" s="4">
        <v>5.7</v>
      </c>
      <c r="I19" s="4">
        <v>0</v>
      </c>
      <c r="J19" s="4">
        <f>H19*AO19</f>
        <v>0</v>
      </c>
      <c r="K19" s="4">
        <f>H19*AP19</f>
        <v>0</v>
      </c>
      <c r="L19" s="4">
        <f>H19*I19</f>
        <v>0</v>
      </c>
      <c r="M19" s="17" t="s">
        <v>619</v>
      </c>
      <c r="Z19" s="4">
        <f>IF(AQ19="5",BJ19,0)</f>
        <v>0</v>
      </c>
      <c r="AB19" s="4">
        <f>IF(AQ19="1",BH19,0)</f>
        <v>0</v>
      </c>
      <c r="AC19" s="4">
        <f>IF(AQ19="1",BI19,0)</f>
        <v>0</v>
      </c>
      <c r="AD19" s="4">
        <f>IF(AQ19="7",BH19,0)</f>
        <v>0</v>
      </c>
      <c r="AE19" s="4">
        <f>IF(AQ19="7",BI19,0)</f>
        <v>0</v>
      </c>
      <c r="AF19" s="4">
        <f>IF(AQ19="2",BH19,0)</f>
        <v>0</v>
      </c>
      <c r="AG19" s="4">
        <f>IF(AQ19="2",BI19,0)</f>
        <v>0</v>
      </c>
      <c r="AH19" s="4">
        <f>IF(AQ19="0",BJ19,0)</f>
        <v>0</v>
      </c>
      <c r="AI19" s="30" t="s">
        <v>630</v>
      </c>
      <c r="AJ19" s="4">
        <f>IF(AN19=0,L19,0)</f>
        <v>0</v>
      </c>
      <c r="AK19" s="4">
        <f>IF(AN19=15,L19,0)</f>
        <v>0</v>
      </c>
      <c r="AL19" s="4">
        <f>IF(AN19=21,L19,0)</f>
        <v>0</v>
      </c>
      <c r="AN19" s="4">
        <v>21</v>
      </c>
      <c r="AO19" s="4">
        <f>I19*0</f>
        <v>0</v>
      </c>
      <c r="AP19" s="4">
        <f>I19*(1-0)</f>
        <v>0</v>
      </c>
      <c r="AQ19" s="14" t="s">
        <v>903</v>
      </c>
      <c r="AV19" s="4">
        <f>AW19+AX19</f>
        <v>0</v>
      </c>
      <c r="AW19" s="4">
        <f>H19*AO19</f>
        <v>0</v>
      </c>
      <c r="AX19" s="4">
        <f>H19*AP19</f>
        <v>0</v>
      </c>
      <c r="AY19" s="14" t="s">
        <v>183</v>
      </c>
      <c r="AZ19" s="14" t="s">
        <v>96</v>
      </c>
      <c r="BA19" s="30" t="s">
        <v>694</v>
      </c>
      <c r="BC19" s="4">
        <f>AW19+AX19</f>
        <v>0</v>
      </c>
      <c r="BD19" s="4">
        <f>I19/(100-BE19)*100</f>
        <v>0</v>
      </c>
      <c r="BE19" s="4">
        <v>0</v>
      </c>
      <c r="BF19" s="4">
        <f>19</f>
        <v>19</v>
      </c>
      <c r="BH19" s="4">
        <f>H19*AO19</f>
        <v>0</v>
      </c>
      <c r="BI19" s="4">
        <f>H19*AP19</f>
        <v>0</v>
      </c>
      <c r="BJ19" s="4">
        <f>H19*I19</f>
        <v>0</v>
      </c>
      <c r="BK19" s="4"/>
      <c r="BL19" s="4">
        <v>17</v>
      </c>
    </row>
    <row r="20" spans="1:64" ht="15" customHeight="1">
      <c r="A20" s="22" t="s">
        <v>488</v>
      </c>
      <c r="B20" s="9" t="s">
        <v>792</v>
      </c>
      <c r="C20" s="53" t="s">
        <v>380</v>
      </c>
      <c r="D20" s="53"/>
      <c r="E20" s="53"/>
      <c r="F20" s="53"/>
      <c r="G20" s="9" t="s">
        <v>870</v>
      </c>
      <c r="H20" s="4">
        <v>6.0839999999999996</v>
      </c>
      <c r="I20" s="4">
        <v>0</v>
      </c>
      <c r="J20" s="4">
        <f>H20*AO20</f>
        <v>0</v>
      </c>
      <c r="K20" s="4">
        <f>H20*AP20</f>
        <v>0</v>
      </c>
      <c r="L20" s="4">
        <f>H20*I20</f>
        <v>0</v>
      </c>
      <c r="M20" s="17" t="s">
        <v>619</v>
      </c>
      <c r="Z20" s="4">
        <f>IF(AQ20="5",BJ20,0)</f>
        <v>0</v>
      </c>
      <c r="AB20" s="4">
        <f>IF(AQ20="1",BH20,0)</f>
        <v>0</v>
      </c>
      <c r="AC20" s="4">
        <f>IF(AQ20="1",BI20,0)</f>
        <v>0</v>
      </c>
      <c r="AD20" s="4">
        <f>IF(AQ20="7",BH20,0)</f>
        <v>0</v>
      </c>
      <c r="AE20" s="4">
        <f>IF(AQ20="7",BI20,0)</f>
        <v>0</v>
      </c>
      <c r="AF20" s="4">
        <f>IF(AQ20="2",BH20,0)</f>
        <v>0</v>
      </c>
      <c r="AG20" s="4">
        <f>IF(AQ20="2",BI20,0)</f>
        <v>0</v>
      </c>
      <c r="AH20" s="4">
        <f>IF(AQ20="0",BJ20,0)</f>
        <v>0</v>
      </c>
      <c r="AI20" s="30" t="s">
        <v>630</v>
      </c>
      <c r="AJ20" s="4">
        <f>IF(AN20=0,L20,0)</f>
        <v>0</v>
      </c>
      <c r="AK20" s="4">
        <f>IF(AN20=15,L20,0)</f>
        <v>0</v>
      </c>
      <c r="AL20" s="4">
        <f>IF(AN20=21,L20,0)</f>
        <v>0</v>
      </c>
      <c r="AN20" s="4">
        <v>21</v>
      </c>
      <c r="AO20" s="4">
        <f>I20*0.563822067986434</f>
        <v>0</v>
      </c>
      <c r="AP20" s="4">
        <f>I20*(1-0.563822067986434)</f>
        <v>0</v>
      </c>
      <c r="AQ20" s="14" t="s">
        <v>903</v>
      </c>
      <c r="AV20" s="4">
        <f>AW20+AX20</f>
        <v>0</v>
      </c>
      <c r="AW20" s="4">
        <f>H20*AO20</f>
        <v>0</v>
      </c>
      <c r="AX20" s="4">
        <f>H20*AP20</f>
        <v>0</v>
      </c>
      <c r="AY20" s="14" t="s">
        <v>183</v>
      </c>
      <c r="AZ20" s="14" t="s">
        <v>96</v>
      </c>
      <c r="BA20" s="30" t="s">
        <v>694</v>
      </c>
      <c r="BC20" s="4">
        <f>AW20+AX20</f>
        <v>0</v>
      </c>
      <c r="BD20" s="4">
        <f>I20/(100-BE20)*100</f>
        <v>0</v>
      </c>
      <c r="BE20" s="4">
        <v>0</v>
      </c>
      <c r="BF20" s="4">
        <f>20</f>
        <v>20</v>
      </c>
      <c r="BH20" s="4">
        <f>H20*AO20</f>
        <v>0</v>
      </c>
      <c r="BI20" s="4">
        <f>H20*AP20</f>
        <v>0</v>
      </c>
      <c r="BJ20" s="4">
        <f>H20*I20</f>
        <v>0</v>
      </c>
      <c r="BK20" s="4"/>
      <c r="BL20" s="4">
        <v>17</v>
      </c>
    </row>
    <row r="21" spans="1:64" ht="13.5" customHeight="1">
      <c r="A21" s="13"/>
      <c r="B21" s="18" t="s">
        <v>473</v>
      </c>
      <c r="C21" s="54" t="s">
        <v>617</v>
      </c>
      <c r="D21" s="55"/>
      <c r="E21" s="55"/>
      <c r="F21" s="55"/>
      <c r="G21" s="55"/>
      <c r="H21" s="55"/>
      <c r="I21" s="55"/>
      <c r="J21" s="55"/>
      <c r="K21" s="55"/>
      <c r="L21" s="55"/>
      <c r="M21" s="56"/>
    </row>
    <row r="22" spans="1:64" ht="15" customHeight="1">
      <c r="A22" s="12" t="s">
        <v>630</v>
      </c>
      <c r="B22" s="32" t="s">
        <v>887</v>
      </c>
      <c r="C22" s="61" t="s">
        <v>747</v>
      </c>
      <c r="D22" s="61"/>
      <c r="E22" s="61"/>
      <c r="F22" s="61"/>
      <c r="G22" s="45" t="s">
        <v>839</v>
      </c>
      <c r="H22" s="45" t="s">
        <v>839</v>
      </c>
      <c r="I22" s="45" t="s">
        <v>839</v>
      </c>
      <c r="J22" s="49">
        <f>SUM(J23:J30)</f>
        <v>0</v>
      </c>
      <c r="K22" s="49">
        <f>SUM(K23:K30)</f>
        <v>0</v>
      </c>
      <c r="L22" s="49">
        <f>SUM(L23:L30)</f>
        <v>0</v>
      </c>
      <c r="M22" s="29" t="s">
        <v>630</v>
      </c>
      <c r="AI22" s="30" t="s">
        <v>630</v>
      </c>
      <c r="AS22" s="49">
        <f>SUM(AJ23:AJ30)</f>
        <v>0</v>
      </c>
      <c r="AT22" s="49">
        <f>SUM(AK23:AK30)</f>
        <v>0</v>
      </c>
      <c r="AU22" s="49">
        <f>SUM(AL23:AL30)</f>
        <v>0</v>
      </c>
    </row>
    <row r="23" spans="1:64" ht="15" customHeight="1">
      <c r="A23" s="22" t="s">
        <v>148</v>
      </c>
      <c r="B23" s="9" t="s">
        <v>253</v>
      </c>
      <c r="C23" s="53" t="s">
        <v>570</v>
      </c>
      <c r="D23" s="53"/>
      <c r="E23" s="53"/>
      <c r="F23" s="53"/>
      <c r="G23" s="9" t="s">
        <v>870</v>
      </c>
      <c r="H23" s="4">
        <v>2.8</v>
      </c>
      <c r="I23" s="4">
        <v>0</v>
      </c>
      <c r="J23" s="4">
        <f>H23*AO23</f>
        <v>0</v>
      </c>
      <c r="K23" s="4">
        <f>H23*AP23</f>
        <v>0</v>
      </c>
      <c r="L23" s="4">
        <f>H23*I23</f>
        <v>0</v>
      </c>
      <c r="M23" s="17" t="s">
        <v>619</v>
      </c>
      <c r="Z23" s="4">
        <f>IF(AQ23="5",BJ23,0)</f>
        <v>0</v>
      </c>
      <c r="AB23" s="4">
        <f>IF(AQ23="1",BH23,0)</f>
        <v>0</v>
      </c>
      <c r="AC23" s="4">
        <f>IF(AQ23="1",BI23,0)</f>
        <v>0</v>
      </c>
      <c r="AD23" s="4">
        <f>IF(AQ23="7",BH23,0)</f>
        <v>0</v>
      </c>
      <c r="AE23" s="4">
        <f>IF(AQ23="7",BI23,0)</f>
        <v>0</v>
      </c>
      <c r="AF23" s="4">
        <f>IF(AQ23="2",BH23,0)</f>
        <v>0</v>
      </c>
      <c r="AG23" s="4">
        <f>IF(AQ23="2",BI23,0)</f>
        <v>0</v>
      </c>
      <c r="AH23" s="4">
        <f>IF(AQ23="0",BJ23,0)</f>
        <v>0</v>
      </c>
      <c r="AI23" s="30" t="s">
        <v>630</v>
      </c>
      <c r="AJ23" s="4">
        <f>IF(AN23=0,L23,0)</f>
        <v>0</v>
      </c>
      <c r="AK23" s="4">
        <f>IF(AN23=15,L23,0)</f>
        <v>0</v>
      </c>
      <c r="AL23" s="4">
        <f>IF(AN23=21,L23,0)</f>
        <v>0</v>
      </c>
      <c r="AN23" s="4">
        <v>21</v>
      </c>
      <c r="AO23" s="4">
        <f>I23*0.906171761280932</f>
        <v>0</v>
      </c>
      <c r="AP23" s="4">
        <f>I23*(1-0.906171761280932)</f>
        <v>0</v>
      </c>
      <c r="AQ23" s="14" t="s">
        <v>903</v>
      </c>
      <c r="AV23" s="4">
        <f>AW23+AX23</f>
        <v>0</v>
      </c>
      <c r="AW23" s="4">
        <f>H23*AO23</f>
        <v>0</v>
      </c>
      <c r="AX23" s="4">
        <f>H23*AP23</f>
        <v>0</v>
      </c>
      <c r="AY23" s="14" t="s">
        <v>624</v>
      </c>
      <c r="AZ23" s="14" t="s">
        <v>133</v>
      </c>
      <c r="BA23" s="30" t="s">
        <v>694</v>
      </c>
      <c r="BC23" s="4">
        <f>AW23+AX23</f>
        <v>0</v>
      </c>
      <c r="BD23" s="4">
        <f>I23/(100-BE23)*100</f>
        <v>0</v>
      </c>
      <c r="BE23" s="4">
        <v>0</v>
      </c>
      <c r="BF23" s="4">
        <f>23</f>
        <v>23</v>
      </c>
      <c r="BH23" s="4">
        <f>H23*AO23</f>
        <v>0</v>
      </c>
      <c r="BI23" s="4">
        <f>H23*AP23</f>
        <v>0</v>
      </c>
      <c r="BJ23" s="4">
        <f>H23*I23</f>
        <v>0</v>
      </c>
      <c r="BK23" s="4"/>
      <c r="BL23" s="4">
        <v>27</v>
      </c>
    </row>
    <row r="24" spans="1:64" ht="15" customHeight="1">
      <c r="A24" s="22" t="s">
        <v>907</v>
      </c>
      <c r="B24" s="9" t="s">
        <v>824</v>
      </c>
      <c r="C24" s="53" t="s">
        <v>785</v>
      </c>
      <c r="D24" s="53"/>
      <c r="E24" s="53"/>
      <c r="F24" s="53"/>
      <c r="G24" s="9" t="s">
        <v>891</v>
      </c>
      <c r="H24" s="4">
        <v>2.0299999999999998</v>
      </c>
      <c r="I24" s="4">
        <v>0</v>
      </c>
      <c r="J24" s="4">
        <f>H24*AO24</f>
        <v>0</v>
      </c>
      <c r="K24" s="4">
        <f>H24*AP24</f>
        <v>0</v>
      </c>
      <c r="L24" s="4">
        <f>H24*I24</f>
        <v>0</v>
      </c>
      <c r="M24" s="17" t="s">
        <v>619</v>
      </c>
      <c r="Z24" s="4">
        <f>IF(AQ24="5",BJ24,0)</f>
        <v>0</v>
      </c>
      <c r="AB24" s="4">
        <f>IF(AQ24="1",BH24,0)</f>
        <v>0</v>
      </c>
      <c r="AC24" s="4">
        <f>IF(AQ24="1",BI24,0)</f>
        <v>0</v>
      </c>
      <c r="AD24" s="4">
        <f>IF(AQ24="7",BH24,0)</f>
        <v>0</v>
      </c>
      <c r="AE24" s="4">
        <f>IF(AQ24="7",BI24,0)</f>
        <v>0</v>
      </c>
      <c r="AF24" s="4">
        <f>IF(AQ24="2",BH24,0)</f>
        <v>0</v>
      </c>
      <c r="AG24" s="4">
        <f>IF(AQ24="2",BI24,0)</f>
        <v>0</v>
      </c>
      <c r="AH24" s="4">
        <f>IF(AQ24="0",BJ24,0)</f>
        <v>0</v>
      </c>
      <c r="AI24" s="30" t="s">
        <v>630</v>
      </c>
      <c r="AJ24" s="4">
        <f>IF(AN24=0,L24,0)</f>
        <v>0</v>
      </c>
      <c r="AK24" s="4">
        <f>IF(AN24=15,L24,0)</f>
        <v>0</v>
      </c>
      <c r="AL24" s="4">
        <f>IF(AN24=21,L24,0)</f>
        <v>0</v>
      </c>
      <c r="AN24" s="4">
        <v>21</v>
      </c>
      <c r="AO24" s="4">
        <f>I24*0.256727618655834</f>
        <v>0</v>
      </c>
      <c r="AP24" s="4">
        <f>I24*(1-0.256727618655834)</f>
        <v>0</v>
      </c>
      <c r="AQ24" s="14" t="s">
        <v>903</v>
      </c>
      <c r="AV24" s="4">
        <f>AW24+AX24</f>
        <v>0</v>
      </c>
      <c r="AW24" s="4">
        <f>H24*AO24</f>
        <v>0</v>
      </c>
      <c r="AX24" s="4">
        <f>H24*AP24</f>
        <v>0</v>
      </c>
      <c r="AY24" s="14" t="s">
        <v>624</v>
      </c>
      <c r="AZ24" s="14" t="s">
        <v>133</v>
      </c>
      <c r="BA24" s="30" t="s">
        <v>694</v>
      </c>
      <c r="BC24" s="4">
        <f>AW24+AX24</f>
        <v>0</v>
      </c>
      <c r="BD24" s="4">
        <f>I24/(100-BE24)*100</f>
        <v>0</v>
      </c>
      <c r="BE24" s="4">
        <v>0</v>
      </c>
      <c r="BF24" s="4">
        <f>24</f>
        <v>24</v>
      </c>
      <c r="BH24" s="4">
        <f>H24*AO24</f>
        <v>0</v>
      </c>
      <c r="BI24" s="4">
        <f>H24*AP24</f>
        <v>0</v>
      </c>
      <c r="BJ24" s="4">
        <f>H24*I24</f>
        <v>0</v>
      </c>
      <c r="BK24" s="4"/>
      <c r="BL24" s="4">
        <v>27</v>
      </c>
    </row>
    <row r="25" spans="1:64" ht="15" customHeight="1">
      <c r="A25" s="22" t="s">
        <v>718</v>
      </c>
      <c r="B25" s="9" t="s">
        <v>255</v>
      </c>
      <c r="C25" s="53" t="s">
        <v>655</v>
      </c>
      <c r="D25" s="53"/>
      <c r="E25" s="53"/>
      <c r="F25" s="53"/>
      <c r="G25" s="9" t="s">
        <v>891</v>
      </c>
      <c r="H25" s="4">
        <v>2.0299999999999998</v>
      </c>
      <c r="I25" s="4">
        <v>0</v>
      </c>
      <c r="J25" s="4">
        <f>H25*AO25</f>
        <v>0</v>
      </c>
      <c r="K25" s="4">
        <f>H25*AP25</f>
        <v>0</v>
      </c>
      <c r="L25" s="4">
        <f>H25*I25</f>
        <v>0</v>
      </c>
      <c r="M25" s="17" t="s">
        <v>619</v>
      </c>
      <c r="Z25" s="4">
        <f>IF(AQ25="5",BJ25,0)</f>
        <v>0</v>
      </c>
      <c r="AB25" s="4">
        <f>IF(AQ25="1",BH25,0)</f>
        <v>0</v>
      </c>
      <c r="AC25" s="4">
        <f>IF(AQ25="1",BI25,0)</f>
        <v>0</v>
      </c>
      <c r="AD25" s="4">
        <f>IF(AQ25="7",BH25,0)</f>
        <v>0</v>
      </c>
      <c r="AE25" s="4">
        <f>IF(AQ25="7",BI25,0)</f>
        <v>0</v>
      </c>
      <c r="AF25" s="4">
        <f>IF(AQ25="2",BH25,0)</f>
        <v>0</v>
      </c>
      <c r="AG25" s="4">
        <f>IF(AQ25="2",BI25,0)</f>
        <v>0</v>
      </c>
      <c r="AH25" s="4">
        <f>IF(AQ25="0",BJ25,0)</f>
        <v>0</v>
      </c>
      <c r="AI25" s="30" t="s">
        <v>630</v>
      </c>
      <c r="AJ25" s="4">
        <f>IF(AN25=0,L25,0)</f>
        <v>0</v>
      </c>
      <c r="AK25" s="4">
        <f>IF(AN25=15,L25,0)</f>
        <v>0</v>
      </c>
      <c r="AL25" s="4">
        <f>IF(AN25=21,L25,0)</f>
        <v>0</v>
      </c>
      <c r="AN25" s="4">
        <v>21</v>
      </c>
      <c r="AO25" s="4">
        <f>I25*0</f>
        <v>0</v>
      </c>
      <c r="AP25" s="4">
        <f>I25*(1-0)</f>
        <v>0</v>
      </c>
      <c r="AQ25" s="14" t="s">
        <v>903</v>
      </c>
      <c r="AV25" s="4">
        <f>AW25+AX25</f>
        <v>0</v>
      </c>
      <c r="AW25" s="4">
        <f>H25*AO25</f>
        <v>0</v>
      </c>
      <c r="AX25" s="4">
        <f>H25*AP25</f>
        <v>0</v>
      </c>
      <c r="AY25" s="14" t="s">
        <v>624</v>
      </c>
      <c r="AZ25" s="14" t="s">
        <v>133</v>
      </c>
      <c r="BA25" s="30" t="s">
        <v>694</v>
      </c>
      <c r="BC25" s="4">
        <f>AW25+AX25</f>
        <v>0</v>
      </c>
      <c r="BD25" s="4">
        <f>I25/(100-BE25)*100</f>
        <v>0</v>
      </c>
      <c r="BE25" s="4">
        <v>0</v>
      </c>
      <c r="BF25" s="4">
        <f>25</f>
        <v>25</v>
      </c>
      <c r="BH25" s="4">
        <f>H25*AO25</f>
        <v>0</v>
      </c>
      <c r="BI25" s="4">
        <f>H25*AP25</f>
        <v>0</v>
      </c>
      <c r="BJ25" s="4">
        <f>H25*I25</f>
        <v>0</v>
      </c>
      <c r="BK25" s="4"/>
      <c r="BL25" s="4">
        <v>27</v>
      </c>
    </row>
    <row r="26" spans="1:64" ht="15" customHeight="1">
      <c r="A26" s="22" t="s">
        <v>352</v>
      </c>
      <c r="B26" s="9" t="s">
        <v>737</v>
      </c>
      <c r="C26" s="53" t="s">
        <v>388</v>
      </c>
      <c r="D26" s="53"/>
      <c r="E26" s="53"/>
      <c r="F26" s="53"/>
      <c r="G26" s="9" t="s">
        <v>429</v>
      </c>
      <c r="H26" s="4">
        <v>0.23499999999999999</v>
      </c>
      <c r="I26" s="4">
        <v>0</v>
      </c>
      <c r="J26" s="4">
        <f>H26*AO26</f>
        <v>0</v>
      </c>
      <c r="K26" s="4">
        <f>H26*AP26</f>
        <v>0</v>
      </c>
      <c r="L26" s="4">
        <f>H26*I26</f>
        <v>0</v>
      </c>
      <c r="M26" s="17" t="s">
        <v>619</v>
      </c>
      <c r="Z26" s="4">
        <f>IF(AQ26="5",BJ26,0)</f>
        <v>0</v>
      </c>
      <c r="AB26" s="4">
        <f>IF(AQ26="1",BH26,0)</f>
        <v>0</v>
      </c>
      <c r="AC26" s="4">
        <f>IF(AQ26="1",BI26,0)</f>
        <v>0</v>
      </c>
      <c r="AD26" s="4">
        <f>IF(AQ26="7",BH26,0)</f>
        <v>0</v>
      </c>
      <c r="AE26" s="4">
        <f>IF(AQ26="7",BI26,0)</f>
        <v>0</v>
      </c>
      <c r="AF26" s="4">
        <f>IF(AQ26="2",BH26,0)</f>
        <v>0</v>
      </c>
      <c r="AG26" s="4">
        <f>IF(AQ26="2",BI26,0)</f>
        <v>0</v>
      </c>
      <c r="AH26" s="4">
        <f>IF(AQ26="0",BJ26,0)</f>
        <v>0</v>
      </c>
      <c r="AI26" s="30" t="s">
        <v>630</v>
      </c>
      <c r="AJ26" s="4">
        <f>IF(AN26=0,L26,0)</f>
        <v>0</v>
      </c>
      <c r="AK26" s="4">
        <f>IF(AN26=15,L26,0)</f>
        <v>0</v>
      </c>
      <c r="AL26" s="4">
        <f>IF(AN26=21,L26,0)</f>
        <v>0</v>
      </c>
      <c r="AN26" s="4">
        <v>21</v>
      </c>
      <c r="AO26" s="4">
        <f>I26*0.841384496539748</f>
        <v>0</v>
      </c>
      <c r="AP26" s="4">
        <f>I26*(1-0.841384496539748)</f>
        <v>0</v>
      </c>
      <c r="AQ26" s="14" t="s">
        <v>903</v>
      </c>
      <c r="AV26" s="4">
        <f>AW26+AX26</f>
        <v>0</v>
      </c>
      <c r="AW26" s="4">
        <f>H26*AO26</f>
        <v>0</v>
      </c>
      <c r="AX26" s="4">
        <f>H26*AP26</f>
        <v>0</v>
      </c>
      <c r="AY26" s="14" t="s">
        <v>624</v>
      </c>
      <c r="AZ26" s="14" t="s">
        <v>133</v>
      </c>
      <c r="BA26" s="30" t="s">
        <v>694</v>
      </c>
      <c r="BC26" s="4">
        <f>AW26+AX26</f>
        <v>0</v>
      </c>
      <c r="BD26" s="4">
        <f>I26/(100-BE26)*100</f>
        <v>0</v>
      </c>
      <c r="BE26" s="4">
        <v>0</v>
      </c>
      <c r="BF26" s="4">
        <f>26</f>
        <v>26</v>
      </c>
      <c r="BH26" s="4">
        <f>H26*AO26</f>
        <v>0</v>
      </c>
      <c r="BI26" s="4">
        <f>H26*AP26</f>
        <v>0</v>
      </c>
      <c r="BJ26" s="4">
        <f>H26*I26</f>
        <v>0</v>
      </c>
      <c r="BK26" s="4"/>
      <c r="BL26" s="4">
        <v>27</v>
      </c>
    </row>
    <row r="27" spans="1:64" ht="13.5" customHeight="1">
      <c r="A27" s="13"/>
      <c r="B27" s="18" t="s">
        <v>473</v>
      </c>
      <c r="C27" s="54" t="s">
        <v>552</v>
      </c>
      <c r="D27" s="55"/>
      <c r="E27" s="55"/>
      <c r="F27" s="55"/>
      <c r="G27" s="55"/>
      <c r="H27" s="55"/>
      <c r="I27" s="55"/>
      <c r="J27" s="55"/>
      <c r="K27" s="55"/>
      <c r="L27" s="55"/>
      <c r="M27" s="56"/>
    </row>
    <row r="28" spans="1:64" ht="15" customHeight="1">
      <c r="A28" s="22" t="s">
        <v>536</v>
      </c>
      <c r="B28" s="9" t="s">
        <v>645</v>
      </c>
      <c r="C28" s="53" t="s">
        <v>331</v>
      </c>
      <c r="D28" s="53"/>
      <c r="E28" s="53"/>
      <c r="F28" s="53"/>
      <c r="G28" s="9" t="s">
        <v>870</v>
      </c>
      <c r="H28" s="4">
        <v>0.56999999999999995</v>
      </c>
      <c r="I28" s="4">
        <v>0</v>
      </c>
      <c r="J28" s="4">
        <f>H28*AO28</f>
        <v>0</v>
      </c>
      <c r="K28" s="4">
        <f>H28*AP28</f>
        <v>0</v>
      </c>
      <c r="L28" s="4">
        <f>H28*I28</f>
        <v>0</v>
      </c>
      <c r="M28" s="17" t="s">
        <v>619</v>
      </c>
      <c r="Z28" s="4">
        <f>IF(AQ28="5",BJ28,0)</f>
        <v>0</v>
      </c>
      <c r="AB28" s="4">
        <f>IF(AQ28="1",BH28,0)</f>
        <v>0</v>
      </c>
      <c r="AC28" s="4">
        <f>IF(AQ28="1",BI28,0)</f>
        <v>0</v>
      </c>
      <c r="AD28" s="4">
        <f>IF(AQ28="7",BH28,0)</f>
        <v>0</v>
      </c>
      <c r="AE28" s="4">
        <f>IF(AQ28="7",BI28,0)</f>
        <v>0</v>
      </c>
      <c r="AF28" s="4">
        <f>IF(AQ28="2",BH28,0)</f>
        <v>0</v>
      </c>
      <c r="AG28" s="4">
        <f>IF(AQ28="2",BI28,0)</f>
        <v>0</v>
      </c>
      <c r="AH28" s="4">
        <f>IF(AQ28="0",BJ28,0)</f>
        <v>0</v>
      </c>
      <c r="AI28" s="30" t="s">
        <v>630</v>
      </c>
      <c r="AJ28" s="4">
        <f>IF(AN28=0,L28,0)</f>
        <v>0</v>
      </c>
      <c r="AK28" s="4">
        <f>IF(AN28=15,L28,0)</f>
        <v>0</v>
      </c>
      <c r="AL28" s="4">
        <f>IF(AN28=21,L28,0)</f>
        <v>0</v>
      </c>
      <c r="AN28" s="4">
        <v>21</v>
      </c>
      <c r="AO28" s="4">
        <f>I28*0.891496621621621</f>
        <v>0</v>
      </c>
      <c r="AP28" s="4">
        <f>I28*(1-0.891496621621621)</f>
        <v>0</v>
      </c>
      <c r="AQ28" s="14" t="s">
        <v>903</v>
      </c>
      <c r="AV28" s="4">
        <f>AW28+AX28</f>
        <v>0</v>
      </c>
      <c r="AW28" s="4">
        <f>H28*AO28</f>
        <v>0</v>
      </c>
      <c r="AX28" s="4">
        <f>H28*AP28</f>
        <v>0</v>
      </c>
      <c r="AY28" s="14" t="s">
        <v>624</v>
      </c>
      <c r="AZ28" s="14" t="s">
        <v>133</v>
      </c>
      <c r="BA28" s="30" t="s">
        <v>694</v>
      </c>
      <c r="BC28" s="4">
        <f>AW28+AX28</f>
        <v>0</v>
      </c>
      <c r="BD28" s="4">
        <f>I28/(100-BE28)*100</f>
        <v>0</v>
      </c>
      <c r="BE28" s="4">
        <v>0</v>
      </c>
      <c r="BF28" s="4">
        <f>28</f>
        <v>28</v>
      </c>
      <c r="BH28" s="4">
        <f>H28*AO28</f>
        <v>0</v>
      </c>
      <c r="BI28" s="4">
        <f>H28*AP28</f>
        <v>0</v>
      </c>
      <c r="BJ28" s="4">
        <f>H28*I28</f>
        <v>0</v>
      </c>
      <c r="BK28" s="4"/>
      <c r="BL28" s="4">
        <v>27</v>
      </c>
    </row>
    <row r="29" spans="1:64" ht="15" customHeight="1">
      <c r="A29" s="22" t="s">
        <v>758</v>
      </c>
      <c r="B29" s="9" t="s">
        <v>193</v>
      </c>
      <c r="C29" s="53" t="s">
        <v>531</v>
      </c>
      <c r="D29" s="53"/>
      <c r="E29" s="53"/>
      <c r="F29" s="53"/>
      <c r="G29" s="9" t="s">
        <v>870</v>
      </c>
      <c r="H29" s="4">
        <v>5.13</v>
      </c>
      <c r="I29" s="4">
        <v>0</v>
      </c>
      <c r="J29" s="4">
        <f>H29*AO29</f>
        <v>0</v>
      </c>
      <c r="K29" s="4">
        <f>H29*AP29</f>
        <v>0</v>
      </c>
      <c r="L29" s="4">
        <f>H29*I29</f>
        <v>0</v>
      </c>
      <c r="M29" s="17" t="s">
        <v>619</v>
      </c>
      <c r="Z29" s="4">
        <f>IF(AQ29="5",BJ29,0)</f>
        <v>0</v>
      </c>
      <c r="AB29" s="4">
        <f>IF(AQ29="1",BH29,0)</f>
        <v>0</v>
      </c>
      <c r="AC29" s="4">
        <f>IF(AQ29="1",BI29,0)</f>
        <v>0</v>
      </c>
      <c r="AD29" s="4">
        <f>IF(AQ29="7",BH29,0)</f>
        <v>0</v>
      </c>
      <c r="AE29" s="4">
        <f>IF(AQ29="7",BI29,0)</f>
        <v>0</v>
      </c>
      <c r="AF29" s="4">
        <f>IF(AQ29="2",BH29,0)</f>
        <v>0</v>
      </c>
      <c r="AG29" s="4">
        <f>IF(AQ29="2",BI29,0)</f>
        <v>0</v>
      </c>
      <c r="AH29" s="4">
        <f>IF(AQ29="0",BJ29,0)</f>
        <v>0</v>
      </c>
      <c r="AI29" s="30" t="s">
        <v>630</v>
      </c>
      <c r="AJ29" s="4">
        <f>IF(AN29=0,L29,0)</f>
        <v>0</v>
      </c>
      <c r="AK29" s="4">
        <f>IF(AN29=15,L29,0)</f>
        <v>0</v>
      </c>
      <c r="AL29" s="4">
        <f>IF(AN29=21,L29,0)</f>
        <v>0</v>
      </c>
      <c r="AN29" s="4">
        <v>21</v>
      </c>
      <c r="AO29" s="4">
        <f>I29*0.896032258064516</f>
        <v>0</v>
      </c>
      <c r="AP29" s="4">
        <f>I29*(1-0.896032258064516)</f>
        <v>0</v>
      </c>
      <c r="AQ29" s="14" t="s">
        <v>903</v>
      </c>
      <c r="AV29" s="4">
        <f>AW29+AX29</f>
        <v>0</v>
      </c>
      <c r="AW29" s="4">
        <f>H29*AO29</f>
        <v>0</v>
      </c>
      <c r="AX29" s="4">
        <f>H29*AP29</f>
        <v>0</v>
      </c>
      <c r="AY29" s="14" t="s">
        <v>624</v>
      </c>
      <c r="AZ29" s="14" t="s">
        <v>133</v>
      </c>
      <c r="BA29" s="30" t="s">
        <v>694</v>
      </c>
      <c r="BC29" s="4">
        <f>AW29+AX29</f>
        <v>0</v>
      </c>
      <c r="BD29" s="4">
        <f>I29/(100-BE29)*100</f>
        <v>0</v>
      </c>
      <c r="BE29" s="4">
        <v>0</v>
      </c>
      <c r="BF29" s="4">
        <f>29</f>
        <v>29</v>
      </c>
      <c r="BH29" s="4">
        <f>H29*AO29</f>
        <v>0</v>
      </c>
      <c r="BI29" s="4">
        <f>H29*AP29</f>
        <v>0</v>
      </c>
      <c r="BJ29" s="4">
        <f>H29*I29</f>
        <v>0</v>
      </c>
      <c r="BK29" s="4"/>
      <c r="BL29" s="4">
        <v>27</v>
      </c>
    </row>
    <row r="30" spans="1:64" ht="15" customHeight="1">
      <c r="A30" s="22" t="s">
        <v>669</v>
      </c>
      <c r="B30" s="9" t="s">
        <v>908</v>
      </c>
      <c r="C30" s="53" t="s">
        <v>22</v>
      </c>
      <c r="D30" s="53"/>
      <c r="E30" s="53"/>
      <c r="F30" s="53"/>
      <c r="G30" s="9" t="s">
        <v>429</v>
      </c>
      <c r="H30" s="4">
        <v>3.5000000000000003E-2</v>
      </c>
      <c r="I30" s="4">
        <v>0</v>
      </c>
      <c r="J30" s="4">
        <f>H30*AO30</f>
        <v>0</v>
      </c>
      <c r="K30" s="4">
        <f>H30*AP30</f>
        <v>0</v>
      </c>
      <c r="L30" s="4">
        <f>H30*I30</f>
        <v>0</v>
      </c>
      <c r="M30" s="17" t="s">
        <v>619</v>
      </c>
      <c r="Z30" s="4">
        <f>IF(AQ30="5",BJ30,0)</f>
        <v>0</v>
      </c>
      <c r="AB30" s="4">
        <f>IF(AQ30="1",BH30,0)</f>
        <v>0</v>
      </c>
      <c r="AC30" s="4">
        <f>IF(AQ30="1",BI30,0)</f>
        <v>0</v>
      </c>
      <c r="AD30" s="4">
        <f>IF(AQ30="7",BH30,0)</f>
        <v>0</v>
      </c>
      <c r="AE30" s="4">
        <f>IF(AQ30="7",BI30,0)</f>
        <v>0</v>
      </c>
      <c r="AF30" s="4">
        <f>IF(AQ30="2",BH30,0)</f>
        <v>0</v>
      </c>
      <c r="AG30" s="4">
        <f>IF(AQ30="2",BI30,0)</f>
        <v>0</v>
      </c>
      <c r="AH30" s="4">
        <f>IF(AQ30="0",BJ30,0)</f>
        <v>0</v>
      </c>
      <c r="AI30" s="30" t="s">
        <v>630</v>
      </c>
      <c r="AJ30" s="4">
        <f>IF(AN30=0,L30,0)</f>
        <v>0</v>
      </c>
      <c r="AK30" s="4">
        <f>IF(AN30=15,L30,0)</f>
        <v>0</v>
      </c>
      <c r="AL30" s="4">
        <f>IF(AN30=21,L30,0)</f>
        <v>0</v>
      </c>
      <c r="AN30" s="4">
        <v>21</v>
      </c>
      <c r="AO30" s="4">
        <f>I30*0.844407182103611</f>
        <v>0</v>
      </c>
      <c r="AP30" s="4">
        <f>I30*(1-0.844407182103611)</f>
        <v>0</v>
      </c>
      <c r="AQ30" s="14" t="s">
        <v>903</v>
      </c>
      <c r="AV30" s="4">
        <f>AW30+AX30</f>
        <v>0</v>
      </c>
      <c r="AW30" s="4">
        <f>H30*AO30</f>
        <v>0</v>
      </c>
      <c r="AX30" s="4">
        <f>H30*AP30</f>
        <v>0</v>
      </c>
      <c r="AY30" s="14" t="s">
        <v>624</v>
      </c>
      <c r="AZ30" s="14" t="s">
        <v>133</v>
      </c>
      <c r="BA30" s="30" t="s">
        <v>694</v>
      </c>
      <c r="BC30" s="4">
        <f>AW30+AX30</f>
        <v>0</v>
      </c>
      <c r="BD30" s="4">
        <f>I30/(100-BE30)*100</f>
        <v>0</v>
      </c>
      <c r="BE30" s="4">
        <v>0</v>
      </c>
      <c r="BF30" s="4">
        <f>30</f>
        <v>30</v>
      </c>
      <c r="BH30" s="4">
        <f>H30*AO30</f>
        <v>0</v>
      </c>
      <c r="BI30" s="4">
        <f>H30*AP30</f>
        <v>0</v>
      </c>
      <c r="BJ30" s="4">
        <f>H30*I30</f>
        <v>0</v>
      </c>
      <c r="BK30" s="4"/>
      <c r="BL30" s="4">
        <v>27</v>
      </c>
    </row>
    <row r="31" spans="1:64" ht="13.5" customHeight="1">
      <c r="A31" s="13"/>
      <c r="B31" s="18" t="s">
        <v>473</v>
      </c>
      <c r="C31" s="54" t="s">
        <v>611</v>
      </c>
      <c r="D31" s="55"/>
      <c r="E31" s="55"/>
      <c r="F31" s="55"/>
      <c r="G31" s="55"/>
      <c r="H31" s="55"/>
      <c r="I31" s="55"/>
      <c r="J31" s="55"/>
      <c r="K31" s="55"/>
      <c r="L31" s="55"/>
      <c r="M31" s="56"/>
    </row>
    <row r="32" spans="1:64" ht="15" customHeight="1">
      <c r="A32" s="12" t="s">
        <v>630</v>
      </c>
      <c r="B32" s="32" t="s">
        <v>546</v>
      </c>
      <c r="C32" s="61" t="s">
        <v>865</v>
      </c>
      <c r="D32" s="61"/>
      <c r="E32" s="61"/>
      <c r="F32" s="61"/>
      <c r="G32" s="45" t="s">
        <v>839</v>
      </c>
      <c r="H32" s="45" t="s">
        <v>839</v>
      </c>
      <c r="I32" s="45" t="s">
        <v>839</v>
      </c>
      <c r="J32" s="49">
        <f>SUM(J33:J43)</f>
        <v>0</v>
      </c>
      <c r="K32" s="49">
        <f>SUM(K33:K43)</f>
        <v>0</v>
      </c>
      <c r="L32" s="49">
        <f>SUM(L33:L43)</f>
        <v>0</v>
      </c>
      <c r="M32" s="29" t="s">
        <v>630</v>
      </c>
      <c r="AI32" s="30" t="s">
        <v>630</v>
      </c>
      <c r="AS32" s="49">
        <f>SUM(AJ33:AJ43)</f>
        <v>0</v>
      </c>
      <c r="AT32" s="49">
        <f>SUM(AK33:AK43)</f>
        <v>0</v>
      </c>
      <c r="AU32" s="49">
        <f>SUM(AL33:AL43)</f>
        <v>0</v>
      </c>
    </row>
    <row r="33" spans="1:64" ht="15" customHeight="1">
      <c r="A33" s="22" t="s">
        <v>273</v>
      </c>
      <c r="B33" s="9" t="s">
        <v>102</v>
      </c>
      <c r="C33" s="53" t="s">
        <v>569</v>
      </c>
      <c r="D33" s="53"/>
      <c r="E33" s="53"/>
      <c r="F33" s="53"/>
      <c r="G33" s="9" t="s">
        <v>891</v>
      </c>
      <c r="H33" s="4">
        <v>17.786999999999999</v>
      </c>
      <c r="I33" s="4">
        <v>0</v>
      </c>
      <c r="J33" s="4">
        <f>H33*AO33</f>
        <v>0</v>
      </c>
      <c r="K33" s="4">
        <f>H33*AP33</f>
        <v>0</v>
      </c>
      <c r="L33" s="4">
        <f>H33*I33</f>
        <v>0</v>
      </c>
      <c r="M33" s="17" t="s">
        <v>619</v>
      </c>
      <c r="Z33" s="4">
        <f>IF(AQ33="5",BJ33,0)</f>
        <v>0</v>
      </c>
      <c r="AB33" s="4">
        <f>IF(AQ33="1",BH33,0)</f>
        <v>0</v>
      </c>
      <c r="AC33" s="4">
        <f>IF(AQ33="1",BI33,0)</f>
        <v>0</v>
      </c>
      <c r="AD33" s="4">
        <f>IF(AQ33="7",BH33,0)</f>
        <v>0</v>
      </c>
      <c r="AE33" s="4">
        <f>IF(AQ33="7",BI33,0)</f>
        <v>0</v>
      </c>
      <c r="AF33" s="4">
        <f>IF(AQ33="2",BH33,0)</f>
        <v>0</v>
      </c>
      <c r="AG33" s="4">
        <f>IF(AQ33="2",BI33,0)</f>
        <v>0</v>
      </c>
      <c r="AH33" s="4">
        <f>IF(AQ33="0",BJ33,0)</f>
        <v>0</v>
      </c>
      <c r="AI33" s="30" t="s">
        <v>630</v>
      </c>
      <c r="AJ33" s="4">
        <f>IF(AN33=0,L33,0)</f>
        <v>0</v>
      </c>
      <c r="AK33" s="4">
        <f>IF(AN33=15,L33,0)</f>
        <v>0</v>
      </c>
      <c r="AL33" s="4">
        <f>IF(AN33=21,L33,0)</f>
        <v>0</v>
      </c>
      <c r="AN33" s="4">
        <v>21</v>
      </c>
      <c r="AO33" s="4">
        <f>I33*0.707163045193617</f>
        <v>0</v>
      </c>
      <c r="AP33" s="4">
        <f>I33*(1-0.707163045193617)</f>
        <v>0</v>
      </c>
      <c r="AQ33" s="14" t="s">
        <v>903</v>
      </c>
      <c r="AV33" s="4">
        <f>AW33+AX33</f>
        <v>0</v>
      </c>
      <c r="AW33" s="4">
        <f>H33*AO33</f>
        <v>0</v>
      </c>
      <c r="AX33" s="4">
        <f>H33*AP33</f>
        <v>0</v>
      </c>
      <c r="AY33" s="14" t="s">
        <v>654</v>
      </c>
      <c r="AZ33" s="14" t="s">
        <v>49</v>
      </c>
      <c r="BA33" s="30" t="s">
        <v>694</v>
      </c>
      <c r="BC33" s="4">
        <f>AW33+AX33</f>
        <v>0</v>
      </c>
      <c r="BD33" s="4">
        <f>I33/(100-BE33)*100</f>
        <v>0</v>
      </c>
      <c r="BE33" s="4">
        <v>0</v>
      </c>
      <c r="BF33" s="4">
        <f>33</f>
        <v>33</v>
      </c>
      <c r="BH33" s="4">
        <f>H33*AO33</f>
        <v>0</v>
      </c>
      <c r="BI33" s="4">
        <f>H33*AP33</f>
        <v>0</v>
      </c>
      <c r="BJ33" s="4">
        <f>H33*I33</f>
        <v>0</v>
      </c>
      <c r="BK33" s="4"/>
      <c r="BL33" s="4">
        <v>31</v>
      </c>
    </row>
    <row r="34" spans="1:64" ht="13.5" customHeight="1">
      <c r="A34" s="13"/>
      <c r="B34" s="18" t="s">
        <v>473</v>
      </c>
      <c r="C34" s="54" t="s">
        <v>1007</v>
      </c>
      <c r="D34" s="55"/>
      <c r="E34" s="55"/>
      <c r="F34" s="55"/>
      <c r="G34" s="55"/>
      <c r="H34" s="55"/>
      <c r="I34" s="55"/>
      <c r="J34" s="55"/>
      <c r="K34" s="55"/>
      <c r="L34" s="55"/>
      <c r="M34" s="56"/>
    </row>
    <row r="35" spans="1:64" ht="15" customHeight="1">
      <c r="A35" s="22" t="s">
        <v>544</v>
      </c>
      <c r="B35" s="9" t="s">
        <v>72</v>
      </c>
      <c r="C35" s="53" t="s">
        <v>242</v>
      </c>
      <c r="D35" s="53"/>
      <c r="E35" s="53"/>
      <c r="F35" s="53"/>
      <c r="G35" s="9" t="s">
        <v>429</v>
      </c>
      <c r="H35" s="4">
        <v>0.14499999999999999</v>
      </c>
      <c r="I35" s="4">
        <v>0</v>
      </c>
      <c r="J35" s="4">
        <f>H35*AO35</f>
        <v>0</v>
      </c>
      <c r="K35" s="4">
        <f>H35*AP35</f>
        <v>0</v>
      </c>
      <c r="L35" s="4">
        <f>H35*I35</f>
        <v>0</v>
      </c>
      <c r="M35" s="17" t="s">
        <v>619</v>
      </c>
      <c r="Z35" s="4">
        <f>IF(AQ35="5",BJ35,0)</f>
        <v>0</v>
      </c>
      <c r="AB35" s="4">
        <f>IF(AQ35="1",BH35,0)</f>
        <v>0</v>
      </c>
      <c r="AC35" s="4">
        <f>IF(AQ35="1",BI35,0)</f>
        <v>0</v>
      </c>
      <c r="AD35" s="4">
        <f>IF(AQ35="7",BH35,0)</f>
        <v>0</v>
      </c>
      <c r="AE35" s="4">
        <f>IF(AQ35="7",BI35,0)</f>
        <v>0</v>
      </c>
      <c r="AF35" s="4">
        <f>IF(AQ35="2",BH35,0)</f>
        <v>0</v>
      </c>
      <c r="AG35" s="4">
        <f>IF(AQ35="2",BI35,0)</f>
        <v>0</v>
      </c>
      <c r="AH35" s="4">
        <f>IF(AQ35="0",BJ35,0)</f>
        <v>0</v>
      </c>
      <c r="AI35" s="30" t="s">
        <v>630</v>
      </c>
      <c r="AJ35" s="4">
        <f>IF(AN35=0,L35,0)</f>
        <v>0</v>
      </c>
      <c r="AK35" s="4">
        <f>IF(AN35=15,L35,0)</f>
        <v>0</v>
      </c>
      <c r="AL35" s="4">
        <f>IF(AN35=21,L35,0)</f>
        <v>0</v>
      </c>
      <c r="AN35" s="4">
        <v>21</v>
      </c>
      <c r="AO35" s="4">
        <f>I35*0.766598460215812</f>
        <v>0</v>
      </c>
      <c r="AP35" s="4">
        <f>I35*(1-0.766598460215812)</f>
        <v>0</v>
      </c>
      <c r="AQ35" s="14" t="s">
        <v>903</v>
      </c>
      <c r="AV35" s="4">
        <f>AW35+AX35</f>
        <v>0</v>
      </c>
      <c r="AW35" s="4">
        <f>H35*AO35</f>
        <v>0</v>
      </c>
      <c r="AX35" s="4">
        <f>H35*AP35</f>
        <v>0</v>
      </c>
      <c r="AY35" s="14" t="s">
        <v>654</v>
      </c>
      <c r="AZ35" s="14" t="s">
        <v>49</v>
      </c>
      <c r="BA35" s="30" t="s">
        <v>694</v>
      </c>
      <c r="BC35" s="4">
        <f>AW35+AX35</f>
        <v>0</v>
      </c>
      <c r="BD35" s="4">
        <f>I35/(100-BE35)*100</f>
        <v>0</v>
      </c>
      <c r="BE35" s="4">
        <v>0</v>
      </c>
      <c r="BF35" s="4">
        <f>35</f>
        <v>35</v>
      </c>
      <c r="BH35" s="4">
        <f>H35*AO35</f>
        <v>0</v>
      </c>
      <c r="BI35" s="4">
        <f>H35*AP35</f>
        <v>0</v>
      </c>
      <c r="BJ35" s="4">
        <f>H35*I35</f>
        <v>0</v>
      </c>
      <c r="BK35" s="4"/>
      <c r="BL35" s="4">
        <v>31</v>
      </c>
    </row>
    <row r="36" spans="1:64" ht="15" customHeight="1">
      <c r="A36" s="22" t="s">
        <v>364</v>
      </c>
      <c r="B36" s="9" t="s">
        <v>289</v>
      </c>
      <c r="C36" s="53" t="s">
        <v>554</v>
      </c>
      <c r="D36" s="53"/>
      <c r="E36" s="53"/>
      <c r="F36" s="53"/>
      <c r="G36" s="9" t="s">
        <v>429</v>
      </c>
      <c r="H36" s="4">
        <v>0.182</v>
      </c>
      <c r="I36" s="4">
        <v>0</v>
      </c>
      <c r="J36" s="4">
        <f>H36*AO36</f>
        <v>0</v>
      </c>
      <c r="K36" s="4">
        <f>H36*AP36</f>
        <v>0</v>
      </c>
      <c r="L36" s="4">
        <f>H36*I36</f>
        <v>0</v>
      </c>
      <c r="M36" s="17" t="s">
        <v>619</v>
      </c>
      <c r="Z36" s="4">
        <f>IF(AQ36="5",BJ36,0)</f>
        <v>0</v>
      </c>
      <c r="AB36" s="4">
        <f>IF(AQ36="1",BH36,0)</f>
        <v>0</v>
      </c>
      <c r="AC36" s="4">
        <f>IF(AQ36="1",BI36,0)</f>
        <v>0</v>
      </c>
      <c r="AD36" s="4">
        <f>IF(AQ36="7",BH36,0)</f>
        <v>0</v>
      </c>
      <c r="AE36" s="4">
        <f>IF(AQ36="7",BI36,0)</f>
        <v>0</v>
      </c>
      <c r="AF36" s="4">
        <f>IF(AQ36="2",BH36,0)</f>
        <v>0</v>
      </c>
      <c r="AG36" s="4">
        <f>IF(AQ36="2",BI36,0)</f>
        <v>0</v>
      </c>
      <c r="AH36" s="4">
        <f>IF(AQ36="0",BJ36,0)</f>
        <v>0</v>
      </c>
      <c r="AI36" s="30" t="s">
        <v>630</v>
      </c>
      <c r="AJ36" s="4">
        <f>IF(AN36=0,L36,0)</f>
        <v>0</v>
      </c>
      <c r="AK36" s="4">
        <f>IF(AN36=15,L36,0)</f>
        <v>0</v>
      </c>
      <c r="AL36" s="4">
        <f>IF(AN36=21,L36,0)</f>
        <v>0</v>
      </c>
      <c r="AN36" s="4">
        <v>21</v>
      </c>
      <c r="AO36" s="4">
        <f>I36*0.598782274374026</f>
        <v>0</v>
      </c>
      <c r="AP36" s="4">
        <f>I36*(1-0.598782274374026)</f>
        <v>0</v>
      </c>
      <c r="AQ36" s="14" t="s">
        <v>903</v>
      </c>
      <c r="AV36" s="4">
        <f>AW36+AX36</f>
        <v>0</v>
      </c>
      <c r="AW36" s="4">
        <f>H36*AO36</f>
        <v>0</v>
      </c>
      <c r="AX36" s="4">
        <f>H36*AP36</f>
        <v>0</v>
      </c>
      <c r="AY36" s="14" t="s">
        <v>654</v>
      </c>
      <c r="AZ36" s="14" t="s">
        <v>49</v>
      </c>
      <c r="BA36" s="30" t="s">
        <v>694</v>
      </c>
      <c r="BC36" s="4">
        <f>AW36+AX36</f>
        <v>0</v>
      </c>
      <c r="BD36" s="4">
        <f>I36/(100-BE36)*100</f>
        <v>0</v>
      </c>
      <c r="BE36" s="4">
        <v>0</v>
      </c>
      <c r="BF36" s="4">
        <f>36</f>
        <v>36</v>
      </c>
      <c r="BH36" s="4">
        <f>H36*AO36</f>
        <v>0</v>
      </c>
      <c r="BI36" s="4">
        <f>H36*AP36</f>
        <v>0</v>
      </c>
      <c r="BJ36" s="4">
        <f>H36*I36</f>
        <v>0</v>
      </c>
      <c r="BK36" s="4"/>
      <c r="BL36" s="4">
        <v>31</v>
      </c>
    </row>
    <row r="37" spans="1:64" ht="13.5" customHeight="1">
      <c r="A37" s="13"/>
      <c r="B37" s="18" t="s">
        <v>473</v>
      </c>
      <c r="C37" s="54" t="s">
        <v>92</v>
      </c>
      <c r="D37" s="55"/>
      <c r="E37" s="55"/>
      <c r="F37" s="55"/>
      <c r="G37" s="55"/>
      <c r="H37" s="55"/>
      <c r="I37" s="55"/>
      <c r="J37" s="55"/>
      <c r="K37" s="55"/>
      <c r="L37" s="55"/>
      <c r="M37" s="56"/>
    </row>
    <row r="38" spans="1:64" ht="15" customHeight="1">
      <c r="A38" s="22" t="s">
        <v>79</v>
      </c>
      <c r="B38" s="9" t="s">
        <v>91</v>
      </c>
      <c r="C38" s="53" t="s">
        <v>39</v>
      </c>
      <c r="D38" s="53"/>
      <c r="E38" s="53"/>
      <c r="F38" s="53"/>
      <c r="G38" s="9" t="s">
        <v>870</v>
      </c>
      <c r="H38" s="4">
        <v>0.224</v>
      </c>
      <c r="I38" s="4">
        <v>0</v>
      </c>
      <c r="J38" s="4">
        <f>H38*AO38</f>
        <v>0</v>
      </c>
      <c r="K38" s="4">
        <f>H38*AP38</f>
        <v>0</v>
      </c>
      <c r="L38" s="4">
        <f>H38*I38</f>
        <v>0</v>
      </c>
      <c r="M38" s="17" t="s">
        <v>619</v>
      </c>
      <c r="Z38" s="4">
        <f>IF(AQ38="5",BJ38,0)</f>
        <v>0</v>
      </c>
      <c r="AB38" s="4">
        <f>IF(AQ38="1",BH38,0)</f>
        <v>0</v>
      </c>
      <c r="AC38" s="4">
        <f>IF(AQ38="1",BI38,0)</f>
        <v>0</v>
      </c>
      <c r="AD38" s="4">
        <f>IF(AQ38="7",BH38,0)</f>
        <v>0</v>
      </c>
      <c r="AE38" s="4">
        <f>IF(AQ38="7",BI38,0)</f>
        <v>0</v>
      </c>
      <c r="AF38" s="4">
        <f>IF(AQ38="2",BH38,0)</f>
        <v>0</v>
      </c>
      <c r="AG38" s="4">
        <f>IF(AQ38="2",BI38,0)</f>
        <v>0</v>
      </c>
      <c r="AH38" s="4">
        <f>IF(AQ38="0",BJ38,0)</f>
        <v>0</v>
      </c>
      <c r="AI38" s="30" t="s">
        <v>630</v>
      </c>
      <c r="AJ38" s="4">
        <f>IF(AN38=0,L38,0)</f>
        <v>0</v>
      </c>
      <c r="AK38" s="4">
        <f>IF(AN38=15,L38,0)</f>
        <v>0</v>
      </c>
      <c r="AL38" s="4">
        <f>IF(AN38=21,L38,0)</f>
        <v>0</v>
      </c>
      <c r="AN38" s="4">
        <v>21</v>
      </c>
      <c r="AO38" s="4">
        <f>I38*0.646535</f>
        <v>0</v>
      </c>
      <c r="AP38" s="4">
        <f>I38*(1-0.646535)</f>
        <v>0</v>
      </c>
      <c r="AQ38" s="14" t="s">
        <v>903</v>
      </c>
      <c r="AV38" s="4">
        <f>AW38+AX38</f>
        <v>0</v>
      </c>
      <c r="AW38" s="4">
        <f>H38*AO38</f>
        <v>0</v>
      </c>
      <c r="AX38" s="4">
        <f>H38*AP38</f>
        <v>0</v>
      </c>
      <c r="AY38" s="14" t="s">
        <v>654</v>
      </c>
      <c r="AZ38" s="14" t="s">
        <v>49</v>
      </c>
      <c r="BA38" s="30" t="s">
        <v>694</v>
      </c>
      <c r="BC38" s="4">
        <f>AW38+AX38</f>
        <v>0</v>
      </c>
      <c r="BD38" s="4">
        <f>I38/(100-BE38)*100</f>
        <v>0</v>
      </c>
      <c r="BE38" s="4">
        <v>0</v>
      </c>
      <c r="BF38" s="4">
        <f>38</f>
        <v>38</v>
      </c>
      <c r="BH38" s="4">
        <f>H38*AO38</f>
        <v>0</v>
      </c>
      <c r="BI38" s="4">
        <f>H38*AP38</f>
        <v>0</v>
      </c>
      <c r="BJ38" s="4">
        <f>H38*I38</f>
        <v>0</v>
      </c>
      <c r="BK38" s="4"/>
      <c r="BL38" s="4">
        <v>31</v>
      </c>
    </row>
    <row r="39" spans="1:64" ht="13.5" customHeight="1">
      <c r="A39" s="13"/>
      <c r="B39" s="18" t="s">
        <v>473</v>
      </c>
      <c r="C39" s="54" t="s">
        <v>69</v>
      </c>
      <c r="D39" s="55"/>
      <c r="E39" s="55"/>
      <c r="F39" s="55"/>
      <c r="G39" s="55"/>
      <c r="H39" s="55"/>
      <c r="I39" s="55"/>
      <c r="J39" s="55"/>
      <c r="K39" s="55"/>
      <c r="L39" s="55"/>
      <c r="M39" s="56"/>
    </row>
    <row r="40" spans="1:64" ht="15" customHeight="1">
      <c r="A40" s="22" t="s">
        <v>633</v>
      </c>
      <c r="B40" s="9" t="s">
        <v>980</v>
      </c>
      <c r="C40" s="53" t="s">
        <v>438</v>
      </c>
      <c r="D40" s="53"/>
      <c r="E40" s="53"/>
      <c r="F40" s="53"/>
      <c r="G40" s="9" t="s">
        <v>891</v>
      </c>
      <c r="H40" s="4">
        <v>22.603000000000002</v>
      </c>
      <c r="I40" s="4">
        <v>0</v>
      </c>
      <c r="J40" s="4">
        <f>H40*AO40</f>
        <v>0</v>
      </c>
      <c r="K40" s="4">
        <f>H40*AP40</f>
        <v>0</v>
      </c>
      <c r="L40" s="4">
        <f>H40*I40</f>
        <v>0</v>
      </c>
      <c r="M40" s="17" t="s">
        <v>619</v>
      </c>
      <c r="Z40" s="4">
        <f>IF(AQ40="5",BJ40,0)</f>
        <v>0</v>
      </c>
      <c r="AB40" s="4">
        <f>IF(AQ40="1",BH40,0)</f>
        <v>0</v>
      </c>
      <c r="AC40" s="4">
        <f>IF(AQ40="1",BI40,0)</f>
        <v>0</v>
      </c>
      <c r="AD40" s="4">
        <f>IF(AQ40="7",BH40,0)</f>
        <v>0</v>
      </c>
      <c r="AE40" s="4">
        <f>IF(AQ40="7",BI40,0)</f>
        <v>0</v>
      </c>
      <c r="AF40" s="4">
        <f>IF(AQ40="2",BH40,0)</f>
        <v>0</v>
      </c>
      <c r="AG40" s="4">
        <f>IF(AQ40="2",BI40,0)</f>
        <v>0</v>
      </c>
      <c r="AH40" s="4">
        <f>IF(AQ40="0",BJ40,0)</f>
        <v>0</v>
      </c>
      <c r="AI40" s="30" t="s">
        <v>630</v>
      </c>
      <c r="AJ40" s="4">
        <f>IF(AN40=0,L40,0)</f>
        <v>0</v>
      </c>
      <c r="AK40" s="4">
        <f>IF(AN40=15,L40,0)</f>
        <v>0</v>
      </c>
      <c r="AL40" s="4">
        <f>IF(AN40=21,L40,0)</f>
        <v>0</v>
      </c>
      <c r="AN40" s="4">
        <v>21</v>
      </c>
      <c r="AO40" s="4">
        <f>I40*0.797135221785721</f>
        <v>0</v>
      </c>
      <c r="AP40" s="4">
        <f>I40*(1-0.797135221785721)</f>
        <v>0</v>
      </c>
      <c r="AQ40" s="14" t="s">
        <v>903</v>
      </c>
      <c r="AV40" s="4">
        <f>AW40+AX40</f>
        <v>0</v>
      </c>
      <c r="AW40" s="4">
        <f>H40*AO40</f>
        <v>0</v>
      </c>
      <c r="AX40" s="4">
        <f>H40*AP40</f>
        <v>0</v>
      </c>
      <c r="AY40" s="14" t="s">
        <v>654</v>
      </c>
      <c r="AZ40" s="14" t="s">
        <v>49</v>
      </c>
      <c r="BA40" s="30" t="s">
        <v>694</v>
      </c>
      <c r="BC40" s="4">
        <f>AW40+AX40</f>
        <v>0</v>
      </c>
      <c r="BD40" s="4">
        <f>I40/(100-BE40)*100</f>
        <v>0</v>
      </c>
      <c r="BE40" s="4">
        <v>0</v>
      </c>
      <c r="BF40" s="4">
        <f>40</f>
        <v>40</v>
      </c>
      <c r="BH40" s="4">
        <f>H40*AO40</f>
        <v>0</v>
      </c>
      <c r="BI40" s="4">
        <f>H40*AP40</f>
        <v>0</v>
      </c>
      <c r="BJ40" s="4">
        <f>H40*I40</f>
        <v>0</v>
      </c>
      <c r="BK40" s="4"/>
      <c r="BL40" s="4">
        <v>31</v>
      </c>
    </row>
    <row r="41" spans="1:64" ht="15" customHeight="1">
      <c r="A41" s="22" t="s">
        <v>724</v>
      </c>
      <c r="B41" s="9" t="s">
        <v>658</v>
      </c>
      <c r="C41" s="53" t="s">
        <v>1018</v>
      </c>
      <c r="D41" s="53"/>
      <c r="E41" s="53"/>
      <c r="F41" s="53"/>
      <c r="G41" s="9" t="s">
        <v>232</v>
      </c>
      <c r="H41" s="4">
        <v>1</v>
      </c>
      <c r="I41" s="4">
        <v>0</v>
      </c>
      <c r="J41" s="4">
        <f>H41*AO41</f>
        <v>0</v>
      </c>
      <c r="K41" s="4">
        <f>H41*AP41</f>
        <v>0</v>
      </c>
      <c r="L41" s="4">
        <f>H41*I41</f>
        <v>0</v>
      </c>
      <c r="M41" s="17" t="s">
        <v>619</v>
      </c>
      <c r="Z41" s="4">
        <f>IF(AQ41="5",BJ41,0)</f>
        <v>0</v>
      </c>
      <c r="AB41" s="4">
        <f>IF(AQ41="1",BH41,0)</f>
        <v>0</v>
      </c>
      <c r="AC41" s="4">
        <f>IF(AQ41="1",BI41,0)</f>
        <v>0</v>
      </c>
      <c r="AD41" s="4">
        <f>IF(AQ41="7",BH41,0)</f>
        <v>0</v>
      </c>
      <c r="AE41" s="4">
        <f>IF(AQ41="7",BI41,0)</f>
        <v>0</v>
      </c>
      <c r="AF41" s="4">
        <f>IF(AQ41="2",BH41,0)</f>
        <v>0</v>
      </c>
      <c r="AG41" s="4">
        <f>IF(AQ41="2",BI41,0)</f>
        <v>0</v>
      </c>
      <c r="AH41" s="4">
        <f>IF(AQ41="0",BJ41,0)</f>
        <v>0</v>
      </c>
      <c r="AI41" s="30" t="s">
        <v>630</v>
      </c>
      <c r="AJ41" s="4">
        <f>IF(AN41=0,L41,0)</f>
        <v>0</v>
      </c>
      <c r="AK41" s="4">
        <f>IF(AN41=15,L41,0)</f>
        <v>0</v>
      </c>
      <c r="AL41" s="4">
        <f>IF(AN41=21,L41,0)</f>
        <v>0</v>
      </c>
      <c r="AN41" s="4">
        <v>21</v>
      </c>
      <c r="AO41" s="4">
        <f>I41*0.851755555555556</f>
        <v>0</v>
      </c>
      <c r="AP41" s="4">
        <f>I41*(1-0.851755555555556)</f>
        <v>0</v>
      </c>
      <c r="AQ41" s="14" t="s">
        <v>903</v>
      </c>
      <c r="AV41" s="4">
        <f>AW41+AX41</f>
        <v>0</v>
      </c>
      <c r="AW41" s="4">
        <f>H41*AO41</f>
        <v>0</v>
      </c>
      <c r="AX41" s="4">
        <f>H41*AP41</f>
        <v>0</v>
      </c>
      <c r="AY41" s="14" t="s">
        <v>654</v>
      </c>
      <c r="AZ41" s="14" t="s">
        <v>49</v>
      </c>
      <c r="BA41" s="30" t="s">
        <v>694</v>
      </c>
      <c r="BC41" s="4">
        <f>AW41+AX41</f>
        <v>0</v>
      </c>
      <c r="BD41" s="4">
        <f>I41/(100-BE41)*100</f>
        <v>0</v>
      </c>
      <c r="BE41" s="4">
        <v>0</v>
      </c>
      <c r="BF41" s="4">
        <f>41</f>
        <v>41</v>
      </c>
      <c r="BH41" s="4">
        <f>H41*AO41</f>
        <v>0</v>
      </c>
      <c r="BI41" s="4">
        <f>H41*AP41</f>
        <v>0</v>
      </c>
      <c r="BJ41" s="4">
        <f>H41*I41</f>
        <v>0</v>
      </c>
      <c r="BK41" s="4"/>
      <c r="BL41" s="4">
        <v>31</v>
      </c>
    </row>
    <row r="42" spans="1:64" ht="15" customHeight="1">
      <c r="A42" s="22" t="s">
        <v>581</v>
      </c>
      <c r="B42" s="9" t="s">
        <v>952</v>
      </c>
      <c r="C42" s="53" t="s">
        <v>208</v>
      </c>
      <c r="D42" s="53"/>
      <c r="E42" s="53"/>
      <c r="F42" s="53"/>
      <c r="G42" s="9" t="s">
        <v>232</v>
      </c>
      <c r="H42" s="4">
        <v>1</v>
      </c>
      <c r="I42" s="4">
        <v>0</v>
      </c>
      <c r="J42" s="4">
        <f>H42*AO42</f>
        <v>0</v>
      </c>
      <c r="K42" s="4">
        <f>H42*AP42</f>
        <v>0</v>
      </c>
      <c r="L42" s="4">
        <f>H42*I42</f>
        <v>0</v>
      </c>
      <c r="M42" s="17" t="s">
        <v>619</v>
      </c>
      <c r="Z42" s="4">
        <f>IF(AQ42="5",BJ42,0)</f>
        <v>0</v>
      </c>
      <c r="AB42" s="4">
        <f>IF(AQ42="1",BH42,0)</f>
        <v>0</v>
      </c>
      <c r="AC42" s="4">
        <f>IF(AQ42="1",BI42,0)</f>
        <v>0</v>
      </c>
      <c r="AD42" s="4">
        <f>IF(AQ42="7",BH42,0)</f>
        <v>0</v>
      </c>
      <c r="AE42" s="4">
        <f>IF(AQ42="7",BI42,0)</f>
        <v>0</v>
      </c>
      <c r="AF42" s="4">
        <f>IF(AQ42="2",BH42,0)</f>
        <v>0</v>
      </c>
      <c r="AG42" s="4">
        <f>IF(AQ42="2",BI42,0)</f>
        <v>0</v>
      </c>
      <c r="AH42" s="4">
        <f>IF(AQ42="0",BJ42,0)</f>
        <v>0</v>
      </c>
      <c r="AI42" s="30" t="s">
        <v>630</v>
      </c>
      <c r="AJ42" s="4">
        <f>IF(AN42=0,L42,0)</f>
        <v>0</v>
      </c>
      <c r="AK42" s="4">
        <f>IF(AN42=15,L42,0)</f>
        <v>0</v>
      </c>
      <c r="AL42" s="4">
        <f>IF(AN42=21,L42,0)</f>
        <v>0</v>
      </c>
      <c r="AN42" s="4">
        <v>21</v>
      </c>
      <c r="AO42" s="4">
        <f>I42*0.870549450549451</f>
        <v>0</v>
      </c>
      <c r="AP42" s="4">
        <f>I42*(1-0.870549450549451)</f>
        <v>0</v>
      </c>
      <c r="AQ42" s="14" t="s">
        <v>903</v>
      </c>
      <c r="AV42" s="4">
        <f>AW42+AX42</f>
        <v>0</v>
      </c>
      <c r="AW42" s="4">
        <f>H42*AO42</f>
        <v>0</v>
      </c>
      <c r="AX42" s="4">
        <f>H42*AP42</f>
        <v>0</v>
      </c>
      <c r="AY42" s="14" t="s">
        <v>654</v>
      </c>
      <c r="AZ42" s="14" t="s">
        <v>49</v>
      </c>
      <c r="BA42" s="30" t="s">
        <v>694</v>
      </c>
      <c r="BC42" s="4">
        <f>AW42+AX42</f>
        <v>0</v>
      </c>
      <c r="BD42" s="4">
        <f>I42/(100-BE42)*100</f>
        <v>0</v>
      </c>
      <c r="BE42" s="4">
        <v>0</v>
      </c>
      <c r="BF42" s="4">
        <f>42</f>
        <v>42</v>
      </c>
      <c r="BH42" s="4">
        <f>H42*AO42</f>
        <v>0</v>
      </c>
      <c r="BI42" s="4">
        <f>H42*AP42</f>
        <v>0</v>
      </c>
      <c r="BJ42" s="4">
        <f>H42*I42</f>
        <v>0</v>
      </c>
      <c r="BK42" s="4"/>
      <c r="BL42" s="4">
        <v>31</v>
      </c>
    </row>
    <row r="43" spans="1:64" ht="15" customHeight="1">
      <c r="A43" s="22" t="s">
        <v>38</v>
      </c>
      <c r="B43" s="9" t="s">
        <v>967</v>
      </c>
      <c r="C43" s="53" t="s">
        <v>425</v>
      </c>
      <c r="D43" s="53"/>
      <c r="E43" s="53"/>
      <c r="F43" s="53"/>
      <c r="G43" s="9" t="s">
        <v>232</v>
      </c>
      <c r="H43" s="4">
        <v>1</v>
      </c>
      <c r="I43" s="4">
        <v>0</v>
      </c>
      <c r="J43" s="4">
        <f>H43*AO43</f>
        <v>0</v>
      </c>
      <c r="K43" s="4">
        <f>H43*AP43</f>
        <v>0</v>
      </c>
      <c r="L43" s="4">
        <f>H43*I43</f>
        <v>0</v>
      </c>
      <c r="M43" s="17" t="s">
        <v>619</v>
      </c>
      <c r="Z43" s="4">
        <f>IF(AQ43="5",BJ43,0)</f>
        <v>0</v>
      </c>
      <c r="AB43" s="4">
        <f>IF(AQ43="1",BH43,0)</f>
        <v>0</v>
      </c>
      <c r="AC43" s="4">
        <f>IF(AQ43="1",BI43,0)</f>
        <v>0</v>
      </c>
      <c r="AD43" s="4">
        <f>IF(AQ43="7",BH43,0)</f>
        <v>0</v>
      </c>
      <c r="AE43" s="4">
        <f>IF(AQ43="7",BI43,0)</f>
        <v>0</v>
      </c>
      <c r="AF43" s="4">
        <f>IF(AQ43="2",BH43,0)</f>
        <v>0</v>
      </c>
      <c r="AG43" s="4">
        <f>IF(AQ43="2",BI43,0)</f>
        <v>0</v>
      </c>
      <c r="AH43" s="4">
        <f>IF(AQ43="0",BJ43,0)</f>
        <v>0</v>
      </c>
      <c r="AI43" s="30" t="s">
        <v>630</v>
      </c>
      <c r="AJ43" s="4">
        <f>IF(AN43=0,L43,0)</f>
        <v>0</v>
      </c>
      <c r="AK43" s="4">
        <f>IF(AN43=15,L43,0)</f>
        <v>0</v>
      </c>
      <c r="AL43" s="4">
        <f>IF(AN43=21,L43,0)</f>
        <v>0</v>
      </c>
      <c r="AN43" s="4">
        <v>21</v>
      </c>
      <c r="AO43" s="4">
        <f>I43*0.858272017837235</f>
        <v>0</v>
      </c>
      <c r="AP43" s="4">
        <f>I43*(1-0.858272017837235)</f>
        <v>0</v>
      </c>
      <c r="AQ43" s="14" t="s">
        <v>903</v>
      </c>
      <c r="AV43" s="4">
        <f>AW43+AX43</f>
        <v>0</v>
      </c>
      <c r="AW43" s="4">
        <f>H43*AO43</f>
        <v>0</v>
      </c>
      <c r="AX43" s="4">
        <f>H43*AP43</f>
        <v>0</v>
      </c>
      <c r="AY43" s="14" t="s">
        <v>654</v>
      </c>
      <c r="AZ43" s="14" t="s">
        <v>49</v>
      </c>
      <c r="BA43" s="30" t="s">
        <v>694</v>
      </c>
      <c r="BC43" s="4">
        <f>AW43+AX43</f>
        <v>0</v>
      </c>
      <c r="BD43" s="4">
        <f>I43/(100-BE43)*100</f>
        <v>0</v>
      </c>
      <c r="BE43" s="4">
        <v>0</v>
      </c>
      <c r="BF43" s="4">
        <f>43</f>
        <v>43</v>
      </c>
      <c r="BH43" s="4">
        <f>H43*AO43</f>
        <v>0</v>
      </c>
      <c r="BI43" s="4">
        <f>H43*AP43</f>
        <v>0</v>
      </c>
      <c r="BJ43" s="4">
        <f>H43*I43</f>
        <v>0</v>
      </c>
      <c r="BK43" s="4"/>
      <c r="BL43" s="4">
        <v>31</v>
      </c>
    </row>
    <row r="44" spans="1:64" ht="15" customHeight="1">
      <c r="A44" s="12" t="s">
        <v>630</v>
      </c>
      <c r="B44" s="32" t="s">
        <v>998</v>
      </c>
      <c r="C44" s="61" t="s">
        <v>218</v>
      </c>
      <c r="D44" s="61"/>
      <c r="E44" s="61"/>
      <c r="F44" s="61"/>
      <c r="G44" s="45" t="s">
        <v>839</v>
      </c>
      <c r="H44" s="45" t="s">
        <v>839</v>
      </c>
      <c r="I44" s="45" t="s">
        <v>839</v>
      </c>
      <c r="J44" s="49">
        <f>SUM(J45:J51)</f>
        <v>0</v>
      </c>
      <c r="K44" s="49">
        <f>SUM(K45:K51)</f>
        <v>0</v>
      </c>
      <c r="L44" s="49">
        <f>SUM(L45:L51)</f>
        <v>0</v>
      </c>
      <c r="M44" s="29" t="s">
        <v>630</v>
      </c>
      <c r="AI44" s="30" t="s">
        <v>630</v>
      </c>
      <c r="AS44" s="49">
        <f>SUM(AJ45:AJ51)</f>
        <v>0</v>
      </c>
      <c r="AT44" s="49">
        <f>SUM(AK45:AK51)</f>
        <v>0</v>
      </c>
      <c r="AU44" s="49">
        <f>SUM(AL45:AL51)</f>
        <v>0</v>
      </c>
    </row>
    <row r="45" spans="1:64" ht="15" customHeight="1">
      <c r="A45" s="22" t="s">
        <v>643</v>
      </c>
      <c r="B45" s="9" t="s">
        <v>177</v>
      </c>
      <c r="C45" s="53" t="s">
        <v>1013</v>
      </c>
      <c r="D45" s="53"/>
      <c r="E45" s="53"/>
      <c r="F45" s="53"/>
      <c r="G45" s="9" t="s">
        <v>891</v>
      </c>
      <c r="H45" s="4">
        <v>0.89600000000000002</v>
      </c>
      <c r="I45" s="4">
        <v>0</v>
      </c>
      <c r="J45" s="4">
        <f t="shared" ref="J45:J51" si="0">H45*AO45</f>
        <v>0</v>
      </c>
      <c r="K45" s="4">
        <f t="shared" ref="K45:K51" si="1">H45*AP45</f>
        <v>0</v>
      </c>
      <c r="L45" s="4">
        <f t="shared" ref="L45:L51" si="2">H45*I45</f>
        <v>0</v>
      </c>
      <c r="M45" s="17" t="s">
        <v>619</v>
      </c>
      <c r="Z45" s="4">
        <f t="shared" ref="Z45:Z51" si="3">IF(AQ45="5",BJ45,0)</f>
        <v>0</v>
      </c>
      <c r="AB45" s="4">
        <f t="shared" ref="AB45:AB51" si="4">IF(AQ45="1",BH45,0)</f>
        <v>0</v>
      </c>
      <c r="AC45" s="4">
        <f t="shared" ref="AC45:AC51" si="5">IF(AQ45="1",BI45,0)</f>
        <v>0</v>
      </c>
      <c r="AD45" s="4">
        <f t="shared" ref="AD45:AD51" si="6">IF(AQ45="7",BH45,0)</f>
        <v>0</v>
      </c>
      <c r="AE45" s="4">
        <f t="shared" ref="AE45:AE51" si="7">IF(AQ45="7",BI45,0)</f>
        <v>0</v>
      </c>
      <c r="AF45" s="4">
        <f t="shared" ref="AF45:AF51" si="8">IF(AQ45="2",BH45,0)</f>
        <v>0</v>
      </c>
      <c r="AG45" s="4">
        <f t="shared" ref="AG45:AG51" si="9">IF(AQ45="2",BI45,0)</f>
        <v>0</v>
      </c>
      <c r="AH45" s="4">
        <f t="shared" ref="AH45:AH51" si="10">IF(AQ45="0",BJ45,0)</f>
        <v>0</v>
      </c>
      <c r="AI45" s="30" t="s">
        <v>630</v>
      </c>
      <c r="AJ45" s="4">
        <f t="shared" ref="AJ45:AJ51" si="11">IF(AN45=0,L45,0)</f>
        <v>0</v>
      </c>
      <c r="AK45" s="4">
        <f t="shared" ref="AK45:AK51" si="12">IF(AN45=15,L45,0)</f>
        <v>0</v>
      </c>
      <c r="AL45" s="4">
        <f t="shared" ref="AL45:AL51" si="13">IF(AN45=21,L45,0)</f>
        <v>0</v>
      </c>
      <c r="AN45" s="4">
        <v>21</v>
      </c>
      <c r="AO45" s="4">
        <f>I45*0.374216451756336</f>
        <v>0</v>
      </c>
      <c r="AP45" s="4">
        <f>I45*(1-0.374216451756336)</f>
        <v>0</v>
      </c>
      <c r="AQ45" s="14" t="s">
        <v>903</v>
      </c>
      <c r="AV45" s="4">
        <f t="shared" ref="AV45:AV51" si="14">AW45+AX45</f>
        <v>0</v>
      </c>
      <c r="AW45" s="4">
        <f t="shared" ref="AW45:AW51" si="15">H45*AO45</f>
        <v>0</v>
      </c>
      <c r="AX45" s="4">
        <f t="shared" ref="AX45:AX51" si="16">H45*AP45</f>
        <v>0</v>
      </c>
      <c r="AY45" s="14" t="s">
        <v>647</v>
      </c>
      <c r="AZ45" s="14" t="s">
        <v>49</v>
      </c>
      <c r="BA45" s="30" t="s">
        <v>694</v>
      </c>
      <c r="BC45" s="4">
        <f t="shared" ref="BC45:BC51" si="17">AW45+AX45</f>
        <v>0</v>
      </c>
      <c r="BD45" s="4">
        <f t="shared" ref="BD45:BD51" si="18">I45/(100-BE45)*100</f>
        <v>0</v>
      </c>
      <c r="BE45" s="4">
        <v>0</v>
      </c>
      <c r="BF45" s="4">
        <f>45</f>
        <v>45</v>
      </c>
      <c r="BH45" s="4">
        <f t="shared" ref="BH45:BH51" si="19">H45*AO45</f>
        <v>0</v>
      </c>
      <c r="BI45" s="4">
        <f t="shared" ref="BI45:BI51" si="20">H45*AP45</f>
        <v>0</v>
      </c>
      <c r="BJ45" s="4">
        <f t="shared" ref="BJ45:BJ51" si="21">H45*I45</f>
        <v>0</v>
      </c>
      <c r="BK45" s="4"/>
      <c r="BL45" s="4">
        <v>34</v>
      </c>
    </row>
    <row r="46" spans="1:64" ht="15" customHeight="1">
      <c r="A46" s="22" t="s">
        <v>862</v>
      </c>
      <c r="B46" s="9" t="s">
        <v>146</v>
      </c>
      <c r="C46" s="53" t="s">
        <v>535</v>
      </c>
      <c r="D46" s="53"/>
      <c r="E46" s="53"/>
      <c r="F46" s="53"/>
      <c r="G46" s="9" t="s">
        <v>891</v>
      </c>
      <c r="H46" s="4">
        <v>53.162999999999997</v>
      </c>
      <c r="I46" s="4">
        <v>0</v>
      </c>
      <c r="J46" s="4">
        <f t="shared" si="0"/>
        <v>0</v>
      </c>
      <c r="K46" s="4">
        <f t="shared" si="1"/>
        <v>0</v>
      </c>
      <c r="L46" s="4">
        <f t="shared" si="2"/>
        <v>0</v>
      </c>
      <c r="M46" s="17" t="s">
        <v>619</v>
      </c>
      <c r="Z46" s="4">
        <f t="shared" si="3"/>
        <v>0</v>
      </c>
      <c r="AB46" s="4">
        <f t="shared" si="4"/>
        <v>0</v>
      </c>
      <c r="AC46" s="4">
        <f t="shared" si="5"/>
        <v>0</v>
      </c>
      <c r="AD46" s="4">
        <f t="shared" si="6"/>
        <v>0</v>
      </c>
      <c r="AE46" s="4">
        <f t="shared" si="7"/>
        <v>0</v>
      </c>
      <c r="AF46" s="4">
        <f t="shared" si="8"/>
        <v>0</v>
      </c>
      <c r="AG46" s="4">
        <f t="shared" si="9"/>
        <v>0</v>
      </c>
      <c r="AH46" s="4">
        <f t="shared" si="10"/>
        <v>0</v>
      </c>
      <c r="AI46" s="30" t="s">
        <v>630</v>
      </c>
      <c r="AJ46" s="4">
        <f t="shared" si="11"/>
        <v>0</v>
      </c>
      <c r="AK46" s="4">
        <f t="shared" si="12"/>
        <v>0</v>
      </c>
      <c r="AL46" s="4">
        <f t="shared" si="13"/>
        <v>0</v>
      </c>
      <c r="AN46" s="4">
        <v>21</v>
      </c>
      <c r="AO46" s="4">
        <f>I46*0.657105820376576</f>
        <v>0</v>
      </c>
      <c r="AP46" s="4">
        <f>I46*(1-0.657105820376576)</f>
        <v>0</v>
      </c>
      <c r="AQ46" s="14" t="s">
        <v>903</v>
      </c>
      <c r="AV46" s="4">
        <f t="shared" si="14"/>
        <v>0</v>
      </c>
      <c r="AW46" s="4">
        <f t="shared" si="15"/>
        <v>0</v>
      </c>
      <c r="AX46" s="4">
        <f t="shared" si="16"/>
        <v>0</v>
      </c>
      <c r="AY46" s="14" t="s">
        <v>647</v>
      </c>
      <c r="AZ46" s="14" t="s">
        <v>49</v>
      </c>
      <c r="BA46" s="30" t="s">
        <v>694</v>
      </c>
      <c r="BC46" s="4">
        <f t="shared" si="17"/>
        <v>0</v>
      </c>
      <c r="BD46" s="4">
        <f t="shared" si="18"/>
        <v>0</v>
      </c>
      <c r="BE46" s="4">
        <v>0</v>
      </c>
      <c r="BF46" s="4">
        <f>46</f>
        <v>46</v>
      </c>
      <c r="BH46" s="4">
        <f t="shared" si="19"/>
        <v>0</v>
      </c>
      <c r="BI46" s="4">
        <f t="shared" si="20"/>
        <v>0</v>
      </c>
      <c r="BJ46" s="4">
        <f t="shared" si="21"/>
        <v>0</v>
      </c>
      <c r="BK46" s="4"/>
      <c r="BL46" s="4">
        <v>34</v>
      </c>
    </row>
    <row r="47" spans="1:64" ht="15" customHeight="1">
      <c r="A47" s="22" t="s">
        <v>414</v>
      </c>
      <c r="B47" s="9" t="s">
        <v>837</v>
      </c>
      <c r="C47" s="53" t="s">
        <v>702</v>
      </c>
      <c r="D47" s="53"/>
      <c r="E47" s="53"/>
      <c r="F47" s="53"/>
      <c r="G47" s="9" t="s">
        <v>891</v>
      </c>
      <c r="H47" s="4">
        <v>19.152000000000001</v>
      </c>
      <c r="I47" s="4">
        <v>0</v>
      </c>
      <c r="J47" s="4">
        <f t="shared" si="0"/>
        <v>0</v>
      </c>
      <c r="K47" s="4">
        <f t="shared" si="1"/>
        <v>0</v>
      </c>
      <c r="L47" s="4">
        <f t="shared" si="2"/>
        <v>0</v>
      </c>
      <c r="M47" s="17" t="s">
        <v>619</v>
      </c>
      <c r="Z47" s="4">
        <f t="shared" si="3"/>
        <v>0</v>
      </c>
      <c r="AB47" s="4">
        <f t="shared" si="4"/>
        <v>0</v>
      </c>
      <c r="AC47" s="4">
        <f t="shared" si="5"/>
        <v>0</v>
      </c>
      <c r="AD47" s="4">
        <f t="shared" si="6"/>
        <v>0</v>
      </c>
      <c r="AE47" s="4">
        <f t="shared" si="7"/>
        <v>0</v>
      </c>
      <c r="AF47" s="4">
        <f t="shared" si="8"/>
        <v>0</v>
      </c>
      <c r="AG47" s="4">
        <f t="shared" si="9"/>
        <v>0</v>
      </c>
      <c r="AH47" s="4">
        <f t="shared" si="10"/>
        <v>0</v>
      </c>
      <c r="AI47" s="30" t="s">
        <v>630</v>
      </c>
      <c r="AJ47" s="4">
        <f t="shared" si="11"/>
        <v>0</v>
      </c>
      <c r="AK47" s="4">
        <f t="shared" si="12"/>
        <v>0</v>
      </c>
      <c r="AL47" s="4">
        <f t="shared" si="13"/>
        <v>0</v>
      </c>
      <c r="AN47" s="4">
        <v>21</v>
      </c>
      <c r="AO47" s="4">
        <f>I47*0.715761148712994</f>
        <v>0</v>
      </c>
      <c r="AP47" s="4">
        <f>I47*(1-0.715761148712994)</f>
        <v>0</v>
      </c>
      <c r="AQ47" s="14" t="s">
        <v>903</v>
      </c>
      <c r="AV47" s="4">
        <f t="shared" si="14"/>
        <v>0</v>
      </c>
      <c r="AW47" s="4">
        <f t="shared" si="15"/>
        <v>0</v>
      </c>
      <c r="AX47" s="4">
        <f t="shared" si="16"/>
        <v>0</v>
      </c>
      <c r="AY47" s="14" t="s">
        <v>647</v>
      </c>
      <c r="AZ47" s="14" t="s">
        <v>49</v>
      </c>
      <c r="BA47" s="30" t="s">
        <v>694</v>
      </c>
      <c r="BC47" s="4">
        <f t="shared" si="17"/>
        <v>0</v>
      </c>
      <c r="BD47" s="4">
        <f t="shared" si="18"/>
        <v>0</v>
      </c>
      <c r="BE47" s="4">
        <v>0</v>
      </c>
      <c r="BF47" s="4">
        <f>47</f>
        <v>47</v>
      </c>
      <c r="BH47" s="4">
        <f t="shared" si="19"/>
        <v>0</v>
      </c>
      <c r="BI47" s="4">
        <f t="shared" si="20"/>
        <v>0</v>
      </c>
      <c r="BJ47" s="4">
        <f t="shared" si="21"/>
        <v>0</v>
      </c>
      <c r="BK47" s="4"/>
      <c r="BL47" s="4">
        <v>34</v>
      </c>
    </row>
    <row r="48" spans="1:64" ht="15" customHeight="1">
      <c r="A48" s="22" t="s">
        <v>82</v>
      </c>
      <c r="B48" s="9" t="s">
        <v>284</v>
      </c>
      <c r="C48" s="53" t="s">
        <v>704</v>
      </c>
      <c r="D48" s="53"/>
      <c r="E48" s="53"/>
      <c r="F48" s="53"/>
      <c r="G48" s="9" t="s">
        <v>891</v>
      </c>
      <c r="H48" s="4">
        <v>7</v>
      </c>
      <c r="I48" s="4">
        <v>0</v>
      </c>
      <c r="J48" s="4">
        <f t="shared" si="0"/>
        <v>0</v>
      </c>
      <c r="K48" s="4">
        <f t="shared" si="1"/>
        <v>0</v>
      </c>
      <c r="L48" s="4">
        <f t="shared" si="2"/>
        <v>0</v>
      </c>
      <c r="M48" s="17" t="s">
        <v>619</v>
      </c>
      <c r="Z48" s="4">
        <f t="shared" si="3"/>
        <v>0</v>
      </c>
      <c r="AB48" s="4">
        <f t="shared" si="4"/>
        <v>0</v>
      </c>
      <c r="AC48" s="4">
        <f t="shared" si="5"/>
        <v>0</v>
      </c>
      <c r="AD48" s="4">
        <f t="shared" si="6"/>
        <v>0</v>
      </c>
      <c r="AE48" s="4">
        <f t="shared" si="7"/>
        <v>0</v>
      </c>
      <c r="AF48" s="4">
        <f t="shared" si="8"/>
        <v>0</v>
      </c>
      <c r="AG48" s="4">
        <f t="shared" si="9"/>
        <v>0</v>
      </c>
      <c r="AH48" s="4">
        <f t="shared" si="10"/>
        <v>0</v>
      </c>
      <c r="AI48" s="30" t="s">
        <v>630</v>
      </c>
      <c r="AJ48" s="4">
        <f t="shared" si="11"/>
        <v>0</v>
      </c>
      <c r="AK48" s="4">
        <f t="shared" si="12"/>
        <v>0</v>
      </c>
      <c r="AL48" s="4">
        <f t="shared" si="13"/>
        <v>0</v>
      </c>
      <c r="AN48" s="4">
        <v>21</v>
      </c>
      <c r="AO48" s="4">
        <f>I48*0.705650584795322</f>
        <v>0</v>
      </c>
      <c r="AP48" s="4">
        <f>I48*(1-0.705650584795322)</f>
        <v>0</v>
      </c>
      <c r="AQ48" s="14" t="s">
        <v>903</v>
      </c>
      <c r="AV48" s="4">
        <f t="shared" si="14"/>
        <v>0</v>
      </c>
      <c r="AW48" s="4">
        <f t="shared" si="15"/>
        <v>0</v>
      </c>
      <c r="AX48" s="4">
        <f t="shared" si="16"/>
        <v>0</v>
      </c>
      <c r="AY48" s="14" t="s">
        <v>647</v>
      </c>
      <c r="AZ48" s="14" t="s">
        <v>49</v>
      </c>
      <c r="BA48" s="30" t="s">
        <v>694</v>
      </c>
      <c r="BC48" s="4">
        <f t="shared" si="17"/>
        <v>0</v>
      </c>
      <c r="BD48" s="4">
        <f t="shared" si="18"/>
        <v>0</v>
      </c>
      <c r="BE48" s="4">
        <v>0</v>
      </c>
      <c r="BF48" s="4">
        <f>48</f>
        <v>48</v>
      </c>
      <c r="BH48" s="4">
        <f t="shared" si="19"/>
        <v>0</v>
      </c>
      <c r="BI48" s="4">
        <f t="shared" si="20"/>
        <v>0</v>
      </c>
      <c r="BJ48" s="4">
        <f t="shared" si="21"/>
        <v>0</v>
      </c>
      <c r="BK48" s="4"/>
      <c r="BL48" s="4">
        <v>34</v>
      </c>
    </row>
    <row r="49" spans="1:64" ht="15" customHeight="1">
      <c r="A49" s="22" t="s">
        <v>230</v>
      </c>
      <c r="B49" s="9" t="s">
        <v>623</v>
      </c>
      <c r="C49" s="53" t="s">
        <v>155</v>
      </c>
      <c r="D49" s="53"/>
      <c r="E49" s="53"/>
      <c r="F49" s="53"/>
      <c r="G49" s="9" t="s">
        <v>891</v>
      </c>
      <c r="H49" s="4">
        <v>8.9309999999999992</v>
      </c>
      <c r="I49" s="4">
        <v>0</v>
      </c>
      <c r="J49" s="4">
        <f t="shared" si="0"/>
        <v>0</v>
      </c>
      <c r="K49" s="4">
        <f t="shared" si="1"/>
        <v>0</v>
      </c>
      <c r="L49" s="4">
        <f t="shared" si="2"/>
        <v>0</v>
      </c>
      <c r="M49" s="17" t="s">
        <v>619</v>
      </c>
      <c r="Z49" s="4">
        <f t="shared" si="3"/>
        <v>0</v>
      </c>
      <c r="AB49" s="4">
        <f t="shared" si="4"/>
        <v>0</v>
      </c>
      <c r="AC49" s="4">
        <f t="shared" si="5"/>
        <v>0</v>
      </c>
      <c r="AD49" s="4">
        <f t="shared" si="6"/>
        <v>0</v>
      </c>
      <c r="AE49" s="4">
        <f t="shared" si="7"/>
        <v>0</v>
      </c>
      <c r="AF49" s="4">
        <f t="shared" si="8"/>
        <v>0</v>
      </c>
      <c r="AG49" s="4">
        <f t="shared" si="9"/>
        <v>0</v>
      </c>
      <c r="AH49" s="4">
        <f t="shared" si="10"/>
        <v>0</v>
      </c>
      <c r="AI49" s="30" t="s">
        <v>630</v>
      </c>
      <c r="AJ49" s="4">
        <f t="shared" si="11"/>
        <v>0</v>
      </c>
      <c r="AK49" s="4">
        <f t="shared" si="12"/>
        <v>0</v>
      </c>
      <c r="AL49" s="4">
        <f t="shared" si="13"/>
        <v>0</v>
      </c>
      <c r="AN49" s="4">
        <v>21</v>
      </c>
      <c r="AO49" s="4">
        <f>I49*0.644221183426641</f>
        <v>0</v>
      </c>
      <c r="AP49" s="4">
        <f>I49*(1-0.644221183426641)</f>
        <v>0</v>
      </c>
      <c r="AQ49" s="14" t="s">
        <v>903</v>
      </c>
      <c r="AV49" s="4">
        <f t="shared" si="14"/>
        <v>0</v>
      </c>
      <c r="AW49" s="4">
        <f t="shared" si="15"/>
        <v>0</v>
      </c>
      <c r="AX49" s="4">
        <f t="shared" si="16"/>
        <v>0</v>
      </c>
      <c r="AY49" s="14" t="s">
        <v>647</v>
      </c>
      <c r="AZ49" s="14" t="s">
        <v>49</v>
      </c>
      <c r="BA49" s="30" t="s">
        <v>694</v>
      </c>
      <c r="BC49" s="4">
        <f t="shared" si="17"/>
        <v>0</v>
      </c>
      <c r="BD49" s="4">
        <f t="shared" si="18"/>
        <v>0</v>
      </c>
      <c r="BE49" s="4">
        <v>0</v>
      </c>
      <c r="BF49" s="4">
        <f>49</f>
        <v>49</v>
      </c>
      <c r="BH49" s="4">
        <f t="shared" si="19"/>
        <v>0</v>
      </c>
      <c r="BI49" s="4">
        <f t="shared" si="20"/>
        <v>0</v>
      </c>
      <c r="BJ49" s="4">
        <f t="shared" si="21"/>
        <v>0</v>
      </c>
      <c r="BK49" s="4"/>
      <c r="BL49" s="4">
        <v>34</v>
      </c>
    </row>
    <row r="50" spans="1:64" ht="15" customHeight="1">
      <c r="A50" s="22" t="s">
        <v>112</v>
      </c>
      <c r="B50" s="9" t="s">
        <v>121</v>
      </c>
      <c r="C50" s="53" t="s">
        <v>7</v>
      </c>
      <c r="D50" s="53"/>
      <c r="E50" s="53"/>
      <c r="F50" s="53"/>
      <c r="G50" s="9" t="s">
        <v>750</v>
      </c>
      <c r="H50" s="4">
        <v>33.700000000000003</v>
      </c>
      <c r="I50" s="4">
        <v>0</v>
      </c>
      <c r="J50" s="4">
        <f t="shared" si="0"/>
        <v>0</v>
      </c>
      <c r="K50" s="4">
        <f t="shared" si="1"/>
        <v>0</v>
      </c>
      <c r="L50" s="4">
        <f t="shared" si="2"/>
        <v>0</v>
      </c>
      <c r="M50" s="17" t="s">
        <v>619</v>
      </c>
      <c r="Z50" s="4">
        <f t="shared" si="3"/>
        <v>0</v>
      </c>
      <c r="AB50" s="4">
        <f t="shared" si="4"/>
        <v>0</v>
      </c>
      <c r="AC50" s="4">
        <f t="shared" si="5"/>
        <v>0</v>
      </c>
      <c r="AD50" s="4">
        <f t="shared" si="6"/>
        <v>0</v>
      </c>
      <c r="AE50" s="4">
        <f t="shared" si="7"/>
        <v>0</v>
      </c>
      <c r="AF50" s="4">
        <f t="shared" si="8"/>
        <v>0</v>
      </c>
      <c r="AG50" s="4">
        <f t="shared" si="9"/>
        <v>0</v>
      </c>
      <c r="AH50" s="4">
        <f t="shared" si="10"/>
        <v>0</v>
      </c>
      <c r="AI50" s="30" t="s">
        <v>630</v>
      </c>
      <c r="AJ50" s="4">
        <f t="shared" si="11"/>
        <v>0</v>
      </c>
      <c r="AK50" s="4">
        <f t="shared" si="12"/>
        <v>0</v>
      </c>
      <c r="AL50" s="4">
        <f t="shared" si="13"/>
        <v>0</v>
      </c>
      <c r="AN50" s="4">
        <v>21</v>
      </c>
      <c r="AO50" s="4">
        <f>I50*0.372815533980583</f>
        <v>0</v>
      </c>
      <c r="AP50" s="4">
        <f>I50*(1-0.372815533980583)</f>
        <v>0</v>
      </c>
      <c r="AQ50" s="14" t="s">
        <v>903</v>
      </c>
      <c r="AV50" s="4">
        <f t="shared" si="14"/>
        <v>0</v>
      </c>
      <c r="AW50" s="4">
        <f t="shared" si="15"/>
        <v>0</v>
      </c>
      <c r="AX50" s="4">
        <f t="shared" si="16"/>
        <v>0</v>
      </c>
      <c r="AY50" s="14" t="s">
        <v>647</v>
      </c>
      <c r="AZ50" s="14" t="s">
        <v>49</v>
      </c>
      <c r="BA50" s="30" t="s">
        <v>694</v>
      </c>
      <c r="BC50" s="4">
        <f t="shared" si="17"/>
        <v>0</v>
      </c>
      <c r="BD50" s="4">
        <f t="shared" si="18"/>
        <v>0</v>
      </c>
      <c r="BE50" s="4">
        <v>0</v>
      </c>
      <c r="BF50" s="4">
        <f>50</f>
        <v>50</v>
      </c>
      <c r="BH50" s="4">
        <f t="shared" si="19"/>
        <v>0</v>
      </c>
      <c r="BI50" s="4">
        <f t="shared" si="20"/>
        <v>0</v>
      </c>
      <c r="BJ50" s="4">
        <f t="shared" si="21"/>
        <v>0</v>
      </c>
      <c r="BK50" s="4"/>
      <c r="BL50" s="4">
        <v>34</v>
      </c>
    </row>
    <row r="51" spans="1:64" ht="15" customHeight="1">
      <c r="A51" s="22" t="s">
        <v>887</v>
      </c>
      <c r="B51" s="9" t="s">
        <v>226</v>
      </c>
      <c r="C51" s="53" t="s">
        <v>543</v>
      </c>
      <c r="D51" s="53"/>
      <c r="E51" s="53"/>
      <c r="F51" s="53"/>
      <c r="G51" s="9" t="s">
        <v>750</v>
      </c>
      <c r="H51" s="4">
        <v>24.17</v>
      </c>
      <c r="I51" s="4">
        <v>0</v>
      </c>
      <c r="J51" s="4">
        <f t="shared" si="0"/>
        <v>0</v>
      </c>
      <c r="K51" s="4">
        <f t="shared" si="1"/>
        <v>0</v>
      </c>
      <c r="L51" s="4">
        <f t="shared" si="2"/>
        <v>0</v>
      </c>
      <c r="M51" s="17" t="s">
        <v>619</v>
      </c>
      <c r="Z51" s="4">
        <f t="shared" si="3"/>
        <v>0</v>
      </c>
      <c r="AB51" s="4">
        <f t="shared" si="4"/>
        <v>0</v>
      </c>
      <c r="AC51" s="4">
        <f t="shared" si="5"/>
        <v>0</v>
      </c>
      <c r="AD51" s="4">
        <f t="shared" si="6"/>
        <v>0</v>
      </c>
      <c r="AE51" s="4">
        <f t="shared" si="7"/>
        <v>0</v>
      </c>
      <c r="AF51" s="4">
        <f t="shared" si="8"/>
        <v>0</v>
      </c>
      <c r="AG51" s="4">
        <f t="shared" si="9"/>
        <v>0</v>
      </c>
      <c r="AH51" s="4">
        <f t="shared" si="10"/>
        <v>0</v>
      </c>
      <c r="AI51" s="30" t="s">
        <v>630</v>
      </c>
      <c r="AJ51" s="4">
        <f t="shared" si="11"/>
        <v>0</v>
      </c>
      <c r="AK51" s="4">
        <f t="shared" si="12"/>
        <v>0</v>
      </c>
      <c r="AL51" s="4">
        <f t="shared" si="13"/>
        <v>0</v>
      </c>
      <c r="AN51" s="4">
        <v>21</v>
      </c>
      <c r="AO51" s="4">
        <f>I51*0.478189806357326</f>
        <v>0</v>
      </c>
      <c r="AP51" s="4">
        <f>I51*(1-0.478189806357326)</f>
        <v>0</v>
      </c>
      <c r="AQ51" s="14" t="s">
        <v>903</v>
      </c>
      <c r="AV51" s="4">
        <f t="shared" si="14"/>
        <v>0</v>
      </c>
      <c r="AW51" s="4">
        <f t="shared" si="15"/>
        <v>0</v>
      </c>
      <c r="AX51" s="4">
        <f t="shared" si="16"/>
        <v>0</v>
      </c>
      <c r="AY51" s="14" t="s">
        <v>647</v>
      </c>
      <c r="AZ51" s="14" t="s">
        <v>49</v>
      </c>
      <c r="BA51" s="30" t="s">
        <v>694</v>
      </c>
      <c r="BC51" s="4">
        <f t="shared" si="17"/>
        <v>0</v>
      </c>
      <c r="BD51" s="4">
        <f t="shared" si="18"/>
        <v>0</v>
      </c>
      <c r="BE51" s="4">
        <v>0</v>
      </c>
      <c r="BF51" s="4">
        <f>51</f>
        <v>51</v>
      </c>
      <c r="BH51" s="4">
        <f t="shared" si="19"/>
        <v>0</v>
      </c>
      <c r="BI51" s="4">
        <f t="shared" si="20"/>
        <v>0</v>
      </c>
      <c r="BJ51" s="4">
        <f t="shared" si="21"/>
        <v>0</v>
      </c>
      <c r="BK51" s="4"/>
      <c r="BL51" s="4">
        <v>34</v>
      </c>
    </row>
    <row r="52" spans="1:64" ht="15" customHeight="1">
      <c r="A52" s="12" t="s">
        <v>630</v>
      </c>
      <c r="B52" s="32" t="s">
        <v>893</v>
      </c>
      <c r="C52" s="61" t="s">
        <v>676</v>
      </c>
      <c r="D52" s="61"/>
      <c r="E52" s="61"/>
      <c r="F52" s="61"/>
      <c r="G52" s="45" t="s">
        <v>839</v>
      </c>
      <c r="H52" s="45" t="s">
        <v>839</v>
      </c>
      <c r="I52" s="45" t="s">
        <v>839</v>
      </c>
      <c r="J52" s="49">
        <f>SUM(J53:J53)</f>
        <v>0</v>
      </c>
      <c r="K52" s="49">
        <f>SUM(K53:K53)</f>
        <v>0</v>
      </c>
      <c r="L52" s="49">
        <f>SUM(L53:L53)</f>
        <v>0</v>
      </c>
      <c r="M52" s="29" t="s">
        <v>630</v>
      </c>
      <c r="AI52" s="30" t="s">
        <v>630</v>
      </c>
      <c r="AS52" s="49">
        <f>SUM(AJ53:AJ53)</f>
        <v>0</v>
      </c>
      <c r="AT52" s="49">
        <f>SUM(AK53:AK53)</f>
        <v>0</v>
      </c>
      <c r="AU52" s="49">
        <f>SUM(AL53:AL53)</f>
        <v>0</v>
      </c>
    </row>
    <row r="53" spans="1:64" ht="15" customHeight="1">
      <c r="A53" s="22" t="s">
        <v>974</v>
      </c>
      <c r="B53" s="9" t="s">
        <v>23</v>
      </c>
      <c r="C53" s="53" t="s">
        <v>953</v>
      </c>
      <c r="D53" s="53"/>
      <c r="E53" s="53"/>
      <c r="F53" s="53"/>
      <c r="G53" s="9" t="s">
        <v>750</v>
      </c>
      <c r="H53" s="4">
        <v>4.8</v>
      </c>
      <c r="I53" s="4">
        <v>0</v>
      </c>
      <c r="J53" s="4">
        <f>H53*AO53</f>
        <v>0</v>
      </c>
      <c r="K53" s="4">
        <f>H53*AP53</f>
        <v>0</v>
      </c>
      <c r="L53" s="4">
        <f>H53*I53</f>
        <v>0</v>
      </c>
      <c r="M53" s="17" t="s">
        <v>619</v>
      </c>
      <c r="Z53" s="4">
        <f>IF(AQ53="5",BJ53,0)</f>
        <v>0</v>
      </c>
      <c r="AB53" s="4">
        <f>IF(AQ53="1",BH53,0)</f>
        <v>0</v>
      </c>
      <c r="AC53" s="4">
        <f>IF(AQ53="1",BI53,0)</f>
        <v>0</v>
      </c>
      <c r="AD53" s="4">
        <f>IF(AQ53="7",BH53,0)</f>
        <v>0</v>
      </c>
      <c r="AE53" s="4">
        <f>IF(AQ53="7",BI53,0)</f>
        <v>0</v>
      </c>
      <c r="AF53" s="4">
        <f>IF(AQ53="2",BH53,0)</f>
        <v>0</v>
      </c>
      <c r="AG53" s="4">
        <f>IF(AQ53="2",BI53,0)</f>
        <v>0</v>
      </c>
      <c r="AH53" s="4">
        <f>IF(AQ53="0",BJ53,0)</f>
        <v>0</v>
      </c>
      <c r="AI53" s="30" t="s">
        <v>630</v>
      </c>
      <c r="AJ53" s="4">
        <f>IF(AN53=0,L53,0)</f>
        <v>0</v>
      </c>
      <c r="AK53" s="4">
        <f>IF(AN53=15,L53,0)</f>
        <v>0</v>
      </c>
      <c r="AL53" s="4">
        <f>IF(AN53=21,L53,0)</f>
        <v>0</v>
      </c>
      <c r="AN53" s="4">
        <v>21</v>
      </c>
      <c r="AO53" s="4">
        <f>I53*0.492320768662232</f>
        <v>0</v>
      </c>
      <c r="AP53" s="4">
        <f>I53*(1-0.492320768662232)</f>
        <v>0</v>
      </c>
      <c r="AQ53" s="14" t="s">
        <v>903</v>
      </c>
      <c r="AV53" s="4">
        <f>AW53+AX53</f>
        <v>0</v>
      </c>
      <c r="AW53" s="4">
        <f>H53*AO53</f>
        <v>0</v>
      </c>
      <c r="AX53" s="4">
        <f>H53*AP53</f>
        <v>0</v>
      </c>
      <c r="AY53" s="14" t="s">
        <v>656</v>
      </c>
      <c r="AZ53" s="14" t="s">
        <v>749</v>
      </c>
      <c r="BA53" s="30" t="s">
        <v>694</v>
      </c>
      <c r="BC53" s="4">
        <f>AW53+AX53</f>
        <v>0</v>
      </c>
      <c r="BD53" s="4">
        <f>I53/(100-BE53)*100</f>
        <v>0</v>
      </c>
      <c r="BE53" s="4">
        <v>0</v>
      </c>
      <c r="BF53" s="4">
        <f>53</f>
        <v>53</v>
      </c>
      <c r="BH53" s="4">
        <f>H53*AO53</f>
        <v>0</v>
      </c>
      <c r="BI53" s="4">
        <f>H53*AP53</f>
        <v>0</v>
      </c>
      <c r="BJ53" s="4">
        <f>H53*I53</f>
        <v>0</v>
      </c>
      <c r="BK53" s="4"/>
      <c r="BL53" s="4">
        <v>41</v>
      </c>
    </row>
    <row r="54" spans="1:64" ht="13.5" customHeight="1">
      <c r="A54" s="13"/>
      <c r="B54" s="18" t="s">
        <v>473</v>
      </c>
      <c r="C54" s="54" t="s">
        <v>188</v>
      </c>
      <c r="D54" s="55"/>
      <c r="E54" s="55"/>
      <c r="F54" s="55"/>
      <c r="G54" s="55"/>
      <c r="H54" s="55"/>
      <c r="I54" s="55"/>
      <c r="J54" s="55"/>
      <c r="K54" s="55"/>
      <c r="L54" s="55"/>
      <c r="M54" s="56"/>
    </row>
    <row r="55" spans="1:64" ht="15" customHeight="1">
      <c r="A55" s="12" t="s">
        <v>630</v>
      </c>
      <c r="B55" s="32" t="s">
        <v>578</v>
      </c>
      <c r="C55" s="61" t="s">
        <v>607</v>
      </c>
      <c r="D55" s="61"/>
      <c r="E55" s="61"/>
      <c r="F55" s="61"/>
      <c r="G55" s="45" t="s">
        <v>839</v>
      </c>
      <c r="H55" s="45" t="s">
        <v>839</v>
      </c>
      <c r="I55" s="45" t="s">
        <v>839</v>
      </c>
      <c r="J55" s="49">
        <f>SUM(J56:J57)</f>
        <v>0</v>
      </c>
      <c r="K55" s="49">
        <f>SUM(K56:K57)</f>
        <v>0</v>
      </c>
      <c r="L55" s="49">
        <f>SUM(L56:L57)</f>
        <v>0</v>
      </c>
      <c r="M55" s="29" t="s">
        <v>630</v>
      </c>
      <c r="AI55" s="30" t="s">
        <v>630</v>
      </c>
      <c r="AS55" s="49">
        <f>SUM(AJ56:AJ57)</f>
        <v>0</v>
      </c>
      <c r="AT55" s="49">
        <f>SUM(AK56:AK57)</f>
        <v>0</v>
      </c>
      <c r="AU55" s="49">
        <f>SUM(AL56:AL57)</f>
        <v>0</v>
      </c>
    </row>
    <row r="56" spans="1:64" ht="15" customHeight="1">
      <c r="A56" s="22" t="s">
        <v>66</v>
      </c>
      <c r="B56" s="9" t="s">
        <v>64</v>
      </c>
      <c r="C56" s="53" t="s">
        <v>36</v>
      </c>
      <c r="D56" s="53"/>
      <c r="E56" s="53"/>
      <c r="F56" s="53"/>
      <c r="G56" s="9" t="s">
        <v>891</v>
      </c>
      <c r="H56" s="4">
        <v>21.15</v>
      </c>
      <c r="I56" s="4">
        <v>0</v>
      </c>
      <c r="J56" s="4">
        <f>H56*AO56</f>
        <v>0</v>
      </c>
      <c r="K56" s="4">
        <f>H56*AP56</f>
        <v>0</v>
      </c>
      <c r="L56" s="4">
        <f>H56*I56</f>
        <v>0</v>
      </c>
      <c r="M56" s="17" t="s">
        <v>619</v>
      </c>
      <c r="Z56" s="4">
        <f>IF(AQ56="5",BJ56,0)</f>
        <v>0</v>
      </c>
      <c r="AB56" s="4">
        <f>IF(AQ56="1",BH56,0)</f>
        <v>0</v>
      </c>
      <c r="AC56" s="4">
        <f>IF(AQ56="1",BI56,0)</f>
        <v>0</v>
      </c>
      <c r="AD56" s="4">
        <f>IF(AQ56="7",BH56,0)</f>
        <v>0</v>
      </c>
      <c r="AE56" s="4">
        <f>IF(AQ56="7",BI56,0)</f>
        <v>0</v>
      </c>
      <c r="AF56" s="4">
        <f>IF(AQ56="2",BH56,0)</f>
        <v>0</v>
      </c>
      <c r="AG56" s="4">
        <f>IF(AQ56="2",BI56,0)</f>
        <v>0</v>
      </c>
      <c r="AH56" s="4">
        <f>IF(AQ56="0",BJ56,0)</f>
        <v>0</v>
      </c>
      <c r="AI56" s="30" t="s">
        <v>630</v>
      </c>
      <c r="AJ56" s="4">
        <f>IF(AN56=0,L56,0)</f>
        <v>0</v>
      </c>
      <c r="AK56" s="4">
        <f>IF(AN56=15,L56,0)</f>
        <v>0</v>
      </c>
      <c r="AL56" s="4">
        <f>IF(AN56=21,L56,0)</f>
        <v>0</v>
      </c>
      <c r="AN56" s="4">
        <v>21</v>
      </c>
      <c r="AO56" s="4">
        <f>I56*0.89984271572723</f>
        <v>0</v>
      </c>
      <c r="AP56" s="4">
        <f>I56*(1-0.89984271572723)</f>
        <v>0</v>
      </c>
      <c r="AQ56" s="14" t="s">
        <v>903</v>
      </c>
      <c r="AV56" s="4">
        <f>AW56+AX56</f>
        <v>0</v>
      </c>
      <c r="AW56" s="4">
        <f>H56*AO56</f>
        <v>0</v>
      </c>
      <c r="AX56" s="4">
        <f>H56*AP56</f>
        <v>0</v>
      </c>
      <c r="AY56" s="14" t="s">
        <v>946</v>
      </c>
      <c r="AZ56" s="14" t="s">
        <v>557</v>
      </c>
      <c r="BA56" s="30" t="s">
        <v>694</v>
      </c>
      <c r="BC56" s="4">
        <f>AW56+AX56</f>
        <v>0</v>
      </c>
      <c r="BD56" s="4">
        <f>I56/(100-BE56)*100</f>
        <v>0</v>
      </c>
      <c r="BE56" s="4">
        <v>0</v>
      </c>
      <c r="BF56" s="4">
        <f>56</f>
        <v>56</v>
      </c>
      <c r="BH56" s="4">
        <f>H56*AO56</f>
        <v>0</v>
      </c>
      <c r="BI56" s="4">
        <f>H56*AP56</f>
        <v>0</v>
      </c>
      <c r="BJ56" s="4">
        <f>H56*I56</f>
        <v>0</v>
      </c>
      <c r="BK56" s="4"/>
      <c r="BL56" s="4">
        <v>56</v>
      </c>
    </row>
    <row r="57" spans="1:64" ht="15" customHeight="1">
      <c r="A57" s="22" t="s">
        <v>588</v>
      </c>
      <c r="B57" s="9" t="s">
        <v>105</v>
      </c>
      <c r="C57" s="53" t="s">
        <v>462</v>
      </c>
      <c r="D57" s="53"/>
      <c r="E57" s="53"/>
      <c r="F57" s="53"/>
      <c r="G57" s="9" t="s">
        <v>891</v>
      </c>
      <c r="H57" s="4">
        <v>21.15</v>
      </c>
      <c r="I57" s="4">
        <v>0</v>
      </c>
      <c r="J57" s="4">
        <f>H57*AO57</f>
        <v>0</v>
      </c>
      <c r="K57" s="4">
        <f>H57*AP57</f>
        <v>0</v>
      </c>
      <c r="L57" s="4">
        <f>H57*I57</f>
        <v>0</v>
      </c>
      <c r="M57" s="17" t="s">
        <v>619</v>
      </c>
      <c r="Z57" s="4">
        <f>IF(AQ57="5",BJ57,0)</f>
        <v>0</v>
      </c>
      <c r="AB57" s="4">
        <f>IF(AQ57="1",BH57,0)</f>
        <v>0</v>
      </c>
      <c r="AC57" s="4">
        <f>IF(AQ57="1",BI57,0)</f>
        <v>0</v>
      </c>
      <c r="AD57" s="4">
        <f>IF(AQ57="7",BH57,0)</f>
        <v>0</v>
      </c>
      <c r="AE57" s="4">
        <f>IF(AQ57="7",BI57,0)</f>
        <v>0</v>
      </c>
      <c r="AF57" s="4">
        <f>IF(AQ57="2",BH57,0)</f>
        <v>0</v>
      </c>
      <c r="AG57" s="4">
        <f>IF(AQ57="2",BI57,0)</f>
        <v>0</v>
      </c>
      <c r="AH57" s="4">
        <f>IF(AQ57="0",BJ57,0)</f>
        <v>0</v>
      </c>
      <c r="AI57" s="30" t="s">
        <v>630</v>
      </c>
      <c r="AJ57" s="4">
        <f>IF(AN57=0,L57,0)</f>
        <v>0</v>
      </c>
      <c r="AK57" s="4">
        <f>IF(AN57=15,L57,0)</f>
        <v>0</v>
      </c>
      <c r="AL57" s="4">
        <f>IF(AN57=21,L57,0)</f>
        <v>0</v>
      </c>
      <c r="AN57" s="4">
        <v>21</v>
      </c>
      <c r="AO57" s="4">
        <f>I57*0.857604067148901</f>
        <v>0</v>
      </c>
      <c r="AP57" s="4">
        <f>I57*(1-0.857604067148901)</f>
        <v>0</v>
      </c>
      <c r="AQ57" s="14" t="s">
        <v>903</v>
      </c>
      <c r="AV57" s="4">
        <f>AW57+AX57</f>
        <v>0</v>
      </c>
      <c r="AW57" s="4">
        <f>H57*AO57</f>
        <v>0</v>
      </c>
      <c r="AX57" s="4">
        <f>H57*AP57</f>
        <v>0</v>
      </c>
      <c r="AY57" s="14" t="s">
        <v>946</v>
      </c>
      <c r="AZ57" s="14" t="s">
        <v>557</v>
      </c>
      <c r="BA57" s="30" t="s">
        <v>694</v>
      </c>
      <c r="BC57" s="4">
        <f>AW57+AX57</f>
        <v>0</v>
      </c>
      <c r="BD57" s="4">
        <f>I57/(100-BE57)*100</f>
        <v>0</v>
      </c>
      <c r="BE57" s="4">
        <v>0</v>
      </c>
      <c r="BF57" s="4">
        <f>57</f>
        <v>57</v>
      </c>
      <c r="BH57" s="4">
        <f>H57*AO57</f>
        <v>0</v>
      </c>
      <c r="BI57" s="4">
        <f>H57*AP57</f>
        <v>0</v>
      </c>
      <c r="BJ57" s="4">
        <f>H57*I57</f>
        <v>0</v>
      </c>
      <c r="BK57" s="4"/>
      <c r="BL57" s="4">
        <v>56</v>
      </c>
    </row>
    <row r="58" spans="1:64" ht="15" customHeight="1">
      <c r="A58" s="12" t="s">
        <v>630</v>
      </c>
      <c r="B58" s="32" t="s">
        <v>426</v>
      </c>
      <c r="C58" s="61" t="s">
        <v>852</v>
      </c>
      <c r="D58" s="61"/>
      <c r="E58" s="61"/>
      <c r="F58" s="61"/>
      <c r="G58" s="45" t="s">
        <v>839</v>
      </c>
      <c r="H58" s="45" t="s">
        <v>839</v>
      </c>
      <c r="I58" s="45" t="s">
        <v>839</v>
      </c>
      <c r="J58" s="49">
        <f>SUM(J59:J60)</f>
        <v>0</v>
      </c>
      <c r="K58" s="49">
        <f>SUM(K59:K60)</f>
        <v>0</v>
      </c>
      <c r="L58" s="49">
        <f>SUM(L59:L60)</f>
        <v>0</v>
      </c>
      <c r="M58" s="29" t="s">
        <v>630</v>
      </c>
      <c r="AI58" s="30" t="s">
        <v>630</v>
      </c>
      <c r="AS58" s="49">
        <f>SUM(AJ59:AJ60)</f>
        <v>0</v>
      </c>
      <c r="AT58" s="49">
        <f>SUM(AK59:AK60)</f>
        <v>0</v>
      </c>
      <c r="AU58" s="49">
        <f>SUM(AL59:AL60)</f>
        <v>0</v>
      </c>
    </row>
    <row r="59" spans="1:64" ht="15" customHeight="1">
      <c r="A59" s="22" t="s">
        <v>546</v>
      </c>
      <c r="B59" s="9" t="s">
        <v>370</v>
      </c>
      <c r="C59" s="53" t="s">
        <v>323</v>
      </c>
      <c r="D59" s="53"/>
      <c r="E59" s="53"/>
      <c r="F59" s="53"/>
      <c r="G59" s="9" t="s">
        <v>891</v>
      </c>
      <c r="H59" s="4">
        <v>21.15</v>
      </c>
      <c r="I59" s="4">
        <v>0</v>
      </c>
      <c r="J59" s="4">
        <f>H59*AO59</f>
        <v>0</v>
      </c>
      <c r="K59" s="4">
        <f>H59*AP59</f>
        <v>0</v>
      </c>
      <c r="L59" s="4">
        <f>H59*I59</f>
        <v>0</v>
      </c>
      <c r="M59" s="17" t="s">
        <v>619</v>
      </c>
      <c r="Z59" s="4">
        <f>IF(AQ59="5",BJ59,0)</f>
        <v>0</v>
      </c>
      <c r="AB59" s="4">
        <f>IF(AQ59="1",BH59,0)</f>
        <v>0</v>
      </c>
      <c r="AC59" s="4">
        <f>IF(AQ59="1",BI59,0)</f>
        <v>0</v>
      </c>
      <c r="AD59" s="4">
        <f>IF(AQ59="7",BH59,0)</f>
        <v>0</v>
      </c>
      <c r="AE59" s="4">
        <f>IF(AQ59="7",BI59,0)</f>
        <v>0</v>
      </c>
      <c r="AF59" s="4">
        <f>IF(AQ59="2",BH59,0)</f>
        <v>0</v>
      </c>
      <c r="AG59" s="4">
        <f>IF(AQ59="2",BI59,0)</f>
        <v>0</v>
      </c>
      <c r="AH59" s="4">
        <f>IF(AQ59="0",BJ59,0)</f>
        <v>0</v>
      </c>
      <c r="AI59" s="30" t="s">
        <v>630</v>
      </c>
      <c r="AJ59" s="4">
        <f>IF(AN59=0,L59,0)</f>
        <v>0</v>
      </c>
      <c r="AK59" s="4">
        <f>IF(AN59=15,L59,0)</f>
        <v>0</v>
      </c>
      <c r="AL59" s="4">
        <f>IF(AN59=21,L59,0)</f>
        <v>0</v>
      </c>
      <c r="AN59" s="4">
        <v>21</v>
      </c>
      <c r="AO59" s="4">
        <f>I59*0.142144364190781</f>
        <v>0</v>
      </c>
      <c r="AP59" s="4">
        <f>I59*(1-0.142144364190781)</f>
        <v>0</v>
      </c>
      <c r="AQ59" s="14" t="s">
        <v>903</v>
      </c>
      <c r="AV59" s="4">
        <f>AW59+AX59</f>
        <v>0</v>
      </c>
      <c r="AW59" s="4">
        <f>H59*AO59</f>
        <v>0</v>
      </c>
      <c r="AX59" s="4">
        <f>H59*AP59</f>
        <v>0</v>
      </c>
      <c r="AY59" s="14" t="s">
        <v>894</v>
      </c>
      <c r="AZ59" s="14" t="s">
        <v>557</v>
      </c>
      <c r="BA59" s="30" t="s">
        <v>694</v>
      </c>
      <c r="BC59" s="4">
        <f>AW59+AX59</f>
        <v>0</v>
      </c>
      <c r="BD59" s="4">
        <f>I59/(100-BE59)*100</f>
        <v>0</v>
      </c>
      <c r="BE59" s="4">
        <v>0</v>
      </c>
      <c r="BF59" s="4">
        <f>59</f>
        <v>59</v>
      </c>
      <c r="BH59" s="4">
        <f>H59*AO59</f>
        <v>0</v>
      </c>
      <c r="BI59" s="4">
        <f>H59*AP59</f>
        <v>0</v>
      </c>
      <c r="BJ59" s="4">
        <f>H59*I59</f>
        <v>0</v>
      </c>
      <c r="BK59" s="4"/>
      <c r="BL59" s="4">
        <v>59</v>
      </c>
    </row>
    <row r="60" spans="1:64" ht="15" customHeight="1">
      <c r="A60" s="22" t="s">
        <v>763</v>
      </c>
      <c r="B60" s="9" t="s">
        <v>869</v>
      </c>
      <c r="C60" s="53" t="s">
        <v>1017</v>
      </c>
      <c r="D60" s="53"/>
      <c r="E60" s="53"/>
      <c r="F60" s="53"/>
      <c r="G60" s="9" t="s">
        <v>891</v>
      </c>
      <c r="H60" s="4">
        <v>22.841999999999999</v>
      </c>
      <c r="I60" s="4">
        <v>0</v>
      </c>
      <c r="J60" s="4">
        <f>H60*AO60</f>
        <v>0</v>
      </c>
      <c r="K60" s="4">
        <f>H60*AP60</f>
        <v>0</v>
      </c>
      <c r="L60" s="4">
        <f>H60*I60</f>
        <v>0</v>
      </c>
      <c r="M60" s="17" t="s">
        <v>619</v>
      </c>
      <c r="Z60" s="4">
        <f>IF(AQ60="5",BJ60,0)</f>
        <v>0</v>
      </c>
      <c r="AB60" s="4">
        <f>IF(AQ60="1",BH60,0)</f>
        <v>0</v>
      </c>
      <c r="AC60" s="4">
        <f>IF(AQ60="1",BI60,0)</f>
        <v>0</v>
      </c>
      <c r="AD60" s="4">
        <f>IF(AQ60="7",BH60,0)</f>
        <v>0</v>
      </c>
      <c r="AE60" s="4">
        <f>IF(AQ60="7",BI60,0)</f>
        <v>0</v>
      </c>
      <c r="AF60" s="4">
        <f>IF(AQ60="2",BH60,0)</f>
        <v>0</v>
      </c>
      <c r="AG60" s="4">
        <f>IF(AQ60="2",BI60,0)</f>
        <v>0</v>
      </c>
      <c r="AH60" s="4">
        <f>IF(AQ60="0",BJ60,0)</f>
        <v>0</v>
      </c>
      <c r="AI60" s="30" t="s">
        <v>630</v>
      </c>
      <c r="AJ60" s="4">
        <f>IF(AN60=0,L60,0)</f>
        <v>0</v>
      </c>
      <c r="AK60" s="4">
        <f>IF(AN60=15,L60,0)</f>
        <v>0</v>
      </c>
      <c r="AL60" s="4">
        <f>IF(AN60=21,L60,0)</f>
        <v>0</v>
      </c>
      <c r="AN60" s="4">
        <v>21</v>
      </c>
      <c r="AO60" s="4">
        <f>I60*1</f>
        <v>0</v>
      </c>
      <c r="AP60" s="4">
        <f>I60*(1-1)</f>
        <v>0</v>
      </c>
      <c r="AQ60" s="14" t="s">
        <v>903</v>
      </c>
      <c r="AV60" s="4">
        <f>AW60+AX60</f>
        <v>0</v>
      </c>
      <c r="AW60" s="4">
        <f>H60*AO60</f>
        <v>0</v>
      </c>
      <c r="AX60" s="4">
        <f>H60*AP60</f>
        <v>0</v>
      </c>
      <c r="AY60" s="14" t="s">
        <v>894</v>
      </c>
      <c r="AZ60" s="14" t="s">
        <v>557</v>
      </c>
      <c r="BA60" s="30" t="s">
        <v>694</v>
      </c>
      <c r="BC60" s="4">
        <f>AW60+AX60</f>
        <v>0</v>
      </c>
      <c r="BD60" s="4">
        <f>I60/(100-BE60)*100</f>
        <v>0</v>
      </c>
      <c r="BE60" s="4">
        <v>0</v>
      </c>
      <c r="BF60" s="4">
        <f>60</f>
        <v>60</v>
      </c>
      <c r="BH60" s="4">
        <f>H60*AO60</f>
        <v>0</v>
      </c>
      <c r="BI60" s="4">
        <f>H60*AP60</f>
        <v>0</v>
      </c>
      <c r="BJ60" s="4">
        <f>H60*I60</f>
        <v>0</v>
      </c>
      <c r="BK60" s="4"/>
      <c r="BL60" s="4">
        <v>59</v>
      </c>
    </row>
    <row r="61" spans="1:64" ht="15" customHeight="1">
      <c r="A61" s="12" t="s">
        <v>630</v>
      </c>
      <c r="B61" s="32" t="s">
        <v>657</v>
      </c>
      <c r="C61" s="61" t="s">
        <v>651</v>
      </c>
      <c r="D61" s="61"/>
      <c r="E61" s="61"/>
      <c r="F61" s="61"/>
      <c r="G61" s="45" t="s">
        <v>839</v>
      </c>
      <c r="H61" s="45" t="s">
        <v>839</v>
      </c>
      <c r="I61" s="45" t="s">
        <v>839</v>
      </c>
      <c r="J61" s="49">
        <f>SUM(J62:J73)</f>
        <v>0</v>
      </c>
      <c r="K61" s="49">
        <f>SUM(K62:K73)</f>
        <v>0</v>
      </c>
      <c r="L61" s="49">
        <f>SUM(L62:L73)</f>
        <v>0</v>
      </c>
      <c r="M61" s="29" t="s">
        <v>630</v>
      </c>
      <c r="AI61" s="30" t="s">
        <v>630</v>
      </c>
      <c r="AS61" s="49">
        <f>SUM(AJ62:AJ73)</f>
        <v>0</v>
      </c>
      <c r="AT61" s="49">
        <f>SUM(AK62:AK73)</f>
        <v>0</v>
      </c>
      <c r="AU61" s="49">
        <f>SUM(AL62:AL73)</f>
        <v>0</v>
      </c>
    </row>
    <row r="62" spans="1:64" ht="15" customHeight="1">
      <c r="A62" s="22" t="s">
        <v>199</v>
      </c>
      <c r="B62" s="9" t="s">
        <v>270</v>
      </c>
      <c r="C62" s="53" t="s">
        <v>1009</v>
      </c>
      <c r="D62" s="53"/>
      <c r="E62" s="53"/>
      <c r="F62" s="53"/>
      <c r="G62" s="9" t="s">
        <v>891</v>
      </c>
      <c r="H62" s="4">
        <v>255.78</v>
      </c>
      <c r="I62" s="4">
        <v>0</v>
      </c>
      <c r="J62" s="4">
        <f>H62*AO62</f>
        <v>0</v>
      </c>
      <c r="K62" s="4">
        <f>H62*AP62</f>
        <v>0</v>
      </c>
      <c r="L62" s="4">
        <f>H62*I62</f>
        <v>0</v>
      </c>
      <c r="M62" s="17" t="s">
        <v>619</v>
      </c>
      <c r="Z62" s="4">
        <f>IF(AQ62="5",BJ62,0)</f>
        <v>0</v>
      </c>
      <c r="AB62" s="4">
        <f>IF(AQ62="1",BH62,0)</f>
        <v>0</v>
      </c>
      <c r="AC62" s="4">
        <f>IF(AQ62="1",BI62,0)</f>
        <v>0</v>
      </c>
      <c r="AD62" s="4">
        <f>IF(AQ62="7",BH62,0)</f>
        <v>0</v>
      </c>
      <c r="AE62" s="4">
        <f>IF(AQ62="7",BI62,0)</f>
        <v>0</v>
      </c>
      <c r="AF62" s="4">
        <f>IF(AQ62="2",BH62,0)</f>
        <v>0</v>
      </c>
      <c r="AG62" s="4">
        <f>IF(AQ62="2",BI62,0)</f>
        <v>0</v>
      </c>
      <c r="AH62" s="4">
        <f>IF(AQ62="0",BJ62,0)</f>
        <v>0</v>
      </c>
      <c r="AI62" s="30" t="s">
        <v>630</v>
      </c>
      <c r="AJ62" s="4">
        <f>IF(AN62=0,L62,0)</f>
        <v>0</v>
      </c>
      <c r="AK62" s="4">
        <f>IF(AN62=15,L62,0)</f>
        <v>0</v>
      </c>
      <c r="AL62" s="4">
        <f>IF(AN62=21,L62,0)</f>
        <v>0</v>
      </c>
      <c r="AN62" s="4">
        <v>21</v>
      </c>
      <c r="AO62" s="4">
        <f>I62*0.152670503917237</f>
        <v>0</v>
      </c>
      <c r="AP62" s="4">
        <f>I62*(1-0.152670503917237)</f>
        <v>0</v>
      </c>
      <c r="AQ62" s="14" t="s">
        <v>903</v>
      </c>
      <c r="AV62" s="4">
        <f>AW62+AX62</f>
        <v>0</v>
      </c>
      <c r="AW62" s="4">
        <f>H62*AO62</f>
        <v>0</v>
      </c>
      <c r="AX62" s="4">
        <f>H62*AP62</f>
        <v>0</v>
      </c>
      <c r="AY62" s="14" t="s">
        <v>575</v>
      </c>
      <c r="AZ62" s="14" t="s">
        <v>113</v>
      </c>
      <c r="BA62" s="30" t="s">
        <v>694</v>
      </c>
      <c r="BC62" s="4">
        <f>AW62+AX62</f>
        <v>0</v>
      </c>
      <c r="BD62" s="4">
        <f>I62/(100-BE62)*100</f>
        <v>0</v>
      </c>
      <c r="BE62" s="4">
        <v>0</v>
      </c>
      <c r="BF62" s="4">
        <f>62</f>
        <v>62</v>
      </c>
      <c r="BH62" s="4">
        <f>H62*AO62</f>
        <v>0</v>
      </c>
      <c r="BI62" s="4">
        <f>H62*AP62</f>
        <v>0</v>
      </c>
      <c r="BJ62" s="4">
        <f>H62*I62</f>
        <v>0</v>
      </c>
      <c r="BK62" s="4"/>
      <c r="BL62" s="4">
        <v>61</v>
      </c>
    </row>
    <row r="63" spans="1:64" ht="13.5" customHeight="1">
      <c r="A63" s="13"/>
      <c r="B63" s="18" t="s">
        <v>473</v>
      </c>
      <c r="C63" s="54" t="s">
        <v>898</v>
      </c>
      <c r="D63" s="55"/>
      <c r="E63" s="55"/>
      <c r="F63" s="55"/>
      <c r="G63" s="55"/>
      <c r="H63" s="55"/>
      <c r="I63" s="55"/>
      <c r="J63" s="55"/>
      <c r="K63" s="55"/>
      <c r="L63" s="55"/>
      <c r="M63" s="56"/>
    </row>
    <row r="64" spans="1:64" ht="15" customHeight="1">
      <c r="A64" s="22" t="s">
        <v>998</v>
      </c>
      <c r="B64" s="9" t="s">
        <v>866</v>
      </c>
      <c r="C64" s="53" t="s">
        <v>75</v>
      </c>
      <c r="D64" s="53"/>
      <c r="E64" s="53"/>
      <c r="F64" s="53"/>
      <c r="G64" s="9" t="s">
        <v>891</v>
      </c>
      <c r="H64" s="4">
        <v>140.63999999999999</v>
      </c>
      <c r="I64" s="4">
        <v>0</v>
      </c>
      <c r="J64" s="4">
        <f>H64*AO64</f>
        <v>0</v>
      </c>
      <c r="K64" s="4">
        <f>H64*AP64</f>
        <v>0</v>
      </c>
      <c r="L64" s="4">
        <f>H64*I64</f>
        <v>0</v>
      </c>
      <c r="M64" s="17" t="s">
        <v>619</v>
      </c>
      <c r="Z64" s="4">
        <f>IF(AQ64="5",BJ64,0)</f>
        <v>0</v>
      </c>
      <c r="AB64" s="4">
        <f>IF(AQ64="1",BH64,0)</f>
        <v>0</v>
      </c>
      <c r="AC64" s="4">
        <f>IF(AQ64="1",BI64,0)</f>
        <v>0</v>
      </c>
      <c r="AD64" s="4">
        <f>IF(AQ64="7",BH64,0)</f>
        <v>0</v>
      </c>
      <c r="AE64" s="4">
        <f>IF(AQ64="7",BI64,0)</f>
        <v>0</v>
      </c>
      <c r="AF64" s="4">
        <f>IF(AQ64="2",BH64,0)</f>
        <v>0</v>
      </c>
      <c r="AG64" s="4">
        <f>IF(AQ64="2",BI64,0)</f>
        <v>0</v>
      </c>
      <c r="AH64" s="4">
        <f>IF(AQ64="0",BJ64,0)</f>
        <v>0</v>
      </c>
      <c r="AI64" s="30" t="s">
        <v>630</v>
      </c>
      <c r="AJ64" s="4">
        <f>IF(AN64=0,L64,0)</f>
        <v>0</v>
      </c>
      <c r="AK64" s="4">
        <f>IF(AN64=15,L64,0)</f>
        <v>0</v>
      </c>
      <c r="AL64" s="4">
        <f>IF(AN64=21,L64,0)</f>
        <v>0</v>
      </c>
      <c r="AN64" s="4">
        <v>21</v>
      </c>
      <c r="AO64" s="4">
        <f>I64*0.134005520467836</f>
        <v>0</v>
      </c>
      <c r="AP64" s="4">
        <f>I64*(1-0.134005520467836)</f>
        <v>0</v>
      </c>
      <c r="AQ64" s="14" t="s">
        <v>903</v>
      </c>
      <c r="AV64" s="4">
        <f>AW64+AX64</f>
        <v>0</v>
      </c>
      <c r="AW64" s="4">
        <f>H64*AO64</f>
        <v>0</v>
      </c>
      <c r="AX64" s="4">
        <f>H64*AP64</f>
        <v>0</v>
      </c>
      <c r="AY64" s="14" t="s">
        <v>575</v>
      </c>
      <c r="AZ64" s="14" t="s">
        <v>113</v>
      </c>
      <c r="BA64" s="30" t="s">
        <v>694</v>
      </c>
      <c r="BC64" s="4">
        <f>AW64+AX64</f>
        <v>0</v>
      </c>
      <c r="BD64" s="4">
        <f>I64/(100-BE64)*100</f>
        <v>0</v>
      </c>
      <c r="BE64" s="4">
        <v>0</v>
      </c>
      <c r="BF64" s="4">
        <f>64</f>
        <v>64</v>
      </c>
      <c r="BH64" s="4">
        <f>H64*AO64</f>
        <v>0</v>
      </c>
      <c r="BI64" s="4">
        <f>H64*AP64</f>
        <v>0</v>
      </c>
      <c r="BJ64" s="4">
        <f>H64*I64</f>
        <v>0</v>
      </c>
      <c r="BK64" s="4"/>
      <c r="BL64" s="4">
        <v>61</v>
      </c>
    </row>
    <row r="65" spans="1:64" ht="13.5" customHeight="1">
      <c r="A65" s="13"/>
      <c r="B65" s="18" t="s">
        <v>473</v>
      </c>
      <c r="C65" s="54" t="s">
        <v>748</v>
      </c>
      <c r="D65" s="55"/>
      <c r="E65" s="55"/>
      <c r="F65" s="55"/>
      <c r="G65" s="55"/>
      <c r="H65" s="55"/>
      <c r="I65" s="55"/>
      <c r="J65" s="55"/>
      <c r="K65" s="55"/>
      <c r="L65" s="55"/>
      <c r="M65" s="56"/>
    </row>
    <row r="66" spans="1:64" ht="15" customHeight="1">
      <c r="A66" s="22" t="s">
        <v>800</v>
      </c>
      <c r="B66" s="9" t="s">
        <v>256</v>
      </c>
      <c r="C66" s="53" t="s">
        <v>1002</v>
      </c>
      <c r="D66" s="53"/>
      <c r="E66" s="53"/>
      <c r="F66" s="53"/>
      <c r="G66" s="9" t="s">
        <v>891</v>
      </c>
      <c r="H66" s="4">
        <v>203.82</v>
      </c>
      <c r="I66" s="4">
        <v>0</v>
      </c>
      <c r="J66" s="4">
        <f>H66*AO66</f>
        <v>0</v>
      </c>
      <c r="K66" s="4">
        <f>H66*AP66</f>
        <v>0</v>
      </c>
      <c r="L66" s="4">
        <f>H66*I66</f>
        <v>0</v>
      </c>
      <c r="M66" s="17" t="s">
        <v>619</v>
      </c>
      <c r="Z66" s="4">
        <f>IF(AQ66="5",BJ66,0)</f>
        <v>0</v>
      </c>
      <c r="AB66" s="4">
        <f>IF(AQ66="1",BH66,0)</f>
        <v>0</v>
      </c>
      <c r="AC66" s="4">
        <f>IF(AQ66="1",BI66,0)</f>
        <v>0</v>
      </c>
      <c r="AD66" s="4">
        <f>IF(AQ66="7",BH66,0)</f>
        <v>0</v>
      </c>
      <c r="AE66" s="4">
        <f>IF(AQ66="7",BI66,0)</f>
        <v>0</v>
      </c>
      <c r="AF66" s="4">
        <f>IF(AQ66="2",BH66,0)</f>
        <v>0</v>
      </c>
      <c r="AG66" s="4">
        <f>IF(AQ66="2",BI66,0)</f>
        <v>0</v>
      </c>
      <c r="AH66" s="4">
        <f>IF(AQ66="0",BJ66,0)</f>
        <v>0</v>
      </c>
      <c r="AI66" s="30" t="s">
        <v>630</v>
      </c>
      <c r="AJ66" s="4">
        <f>IF(AN66=0,L66,0)</f>
        <v>0</v>
      </c>
      <c r="AK66" s="4">
        <f>IF(AN66=15,L66,0)</f>
        <v>0</v>
      </c>
      <c r="AL66" s="4">
        <f>IF(AN66=21,L66,0)</f>
        <v>0</v>
      </c>
      <c r="AN66" s="4">
        <v>21</v>
      </c>
      <c r="AO66" s="4">
        <f>I66*0.284066958377131</f>
        <v>0</v>
      </c>
      <c r="AP66" s="4">
        <f>I66*(1-0.284066958377131)</f>
        <v>0</v>
      </c>
      <c r="AQ66" s="14" t="s">
        <v>903</v>
      </c>
      <c r="AV66" s="4">
        <f>AW66+AX66</f>
        <v>0</v>
      </c>
      <c r="AW66" s="4">
        <f>H66*AO66</f>
        <v>0</v>
      </c>
      <c r="AX66" s="4">
        <f>H66*AP66</f>
        <v>0</v>
      </c>
      <c r="AY66" s="14" t="s">
        <v>575</v>
      </c>
      <c r="AZ66" s="14" t="s">
        <v>113</v>
      </c>
      <c r="BA66" s="30" t="s">
        <v>694</v>
      </c>
      <c r="BC66" s="4">
        <f>AW66+AX66</f>
        <v>0</v>
      </c>
      <c r="BD66" s="4">
        <f>I66/(100-BE66)*100</f>
        <v>0</v>
      </c>
      <c r="BE66" s="4">
        <v>0</v>
      </c>
      <c r="BF66" s="4">
        <f>66</f>
        <v>66</v>
      </c>
      <c r="BH66" s="4">
        <f>H66*AO66</f>
        <v>0</v>
      </c>
      <c r="BI66" s="4">
        <f>H66*AP66</f>
        <v>0</v>
      </c>
      <c r="BJ66" s="4">
        <f>H66*I66</f>
        <v>0</v>
      </c>
      <c r="BK66" s="4"/>
      <c r="BL66" s="4">
        <v>61</v>
      </c>
    </row>
    <row r="67" spans="1:64" ht="13.5" customHeight="1">
      <c r="A67" s="13"/>
      <c r="B67" s="18" t="s">
        <v>473</v>
      </c>
      <c r="C67" s="54" t="s">
        <v>527</v>
      </c>
      <c r="D67" s="55"/>
      <c r="E67" s="55"/>
      <c r="F67" s="55"/>
      <c r="G67" s="55"/>
      <c r="H67" s="55"/>
      <c r="I67" s="55"/>
      <c r="J67" s="55"/>
      <c r="K67" s="55"/>
      <c r="L67" s="55"/>
      <c r="M67" s="56"/>
    </row>
    <row r="68" spans="1:64" ht="15" customHeight="1">
      <c r="A68" s="22" t="s">
        <v>541</v>
      </c>
      <c r="B68" s="9" t="s">
        <v>20</v>
      </c>
      <c r="C68" s="53" t="s">
        <v>135</v>
      </c>
      <c r="D68" s="53"/>
      <c r="E68" s="53"/>
      <c r="F68" s="53"/>
      <c r="G68" s="9" t="s">
        <v>891</v>
      </c>
      <c r="H68" s="4">
        <v>203.82</v>
      </c>
      <c r="I68" s="4">
        <v>0</v>
      </c>
      <c r="J68" s="4">
        <f>H68*AO68</f>
        <v>0</v>
      </c>
      <c r="K68" s="4">
        <f>H68*AP68</f>
        <v>0</v>
      </c>
      <c r="L68" s="4">
        <f>H68*I68</f>
        <v>0</v>
      </c>
      <c r="M68" s="17" t="s">
        <v>619</v>
      </c>
      <c r="Z68" s="4">
        <f>IF(AQ68="5",BJ68,0)</f>
        <v>0</v>
      </c>
      <c r="AB68" s="4">
        <f>IF(AQ68="1",BH68,0)</f>
        <v>0</v>
      </c>
      <c r="AC68" s="4">
        <f>IF(AQ68="1",BI68,0)</f>
        <v>0</v>
      </c>
      <c r="AD68" s="4">
        <f>IF(AQ68="7",BH68,0)</f>
        <v>0</v>
      </c>
      <c r="AE68" s="4">
        <f>IF(AQ68="7",BI68,0)</f>
        <v>0</v>
      </c>
      <c r="AF68" s="4">
        <f>IF(AQ68="2",BH68,0)</f>
        <v>0</v>
      </c>
      <c r="AG68" s="4">
        <f>IF(AQ68="2",BI68,0)</f>
        <v>0</v>
      </c>
      <c r="AH68" s="4">
        <f>IF(AQ68="0",BJ68,0)</f>
        <v>0</v>
      </c>
      <c r="AI68" s="30" t="s">
        <v>630</v>
      </c>
      <c r="AJ68" s="4">
        <f>IF(AN68=0,L68,0)</f>
        <v>0</v>
      </c>
      <c r="AK68" s="4">
        <f>IF(AN68=15,L68,0)</f>
        <v>0</v>
      </c>
      <c r="AL68" s="4">
        <f>IF(AN68=21,L68,0)</f>
        <v>0</v>
      </c>
      <c r="AN68" s="4">
        <v>21</v>
      </c>
      <c r="AO68" s="4">
        <f>I68*0.214870247830939</f>
        <v>0</v>
      </c>
      <c r="AP68" s="4">
        <f>I68*(1-0.214870247830939)</f>
        <v>0</v>
      </c>
      <c r="AQ68" s="14" t="s">
        <v>903</v>
      </c>
      <c r="AV68" s="4">
        <f>AW68+AX68</f>
        <v>0</v>
      </c>
      <c r="AW68" s="4">
        <f>H68*AO68</f>
        <v>0</v>
      </c>
      <c r="AX68" s="4">
        <f>H68*AP68</f>
        <v>0</v>
      </c>
      <c r="AY68" s="14" t="s">
        <v>575</v>
      </c>
      <c r="AZ68" s="14" t="s">
        <v>113</v>
      </c>
      <c r="BA68" s="30" t="s">
        <v>694</v>
      </c>
      <c r="BC68" s="4">
        <f>AW68+AX68</f>
        <v>0</v>
      </c>
      <c r="BD68" s="4">
        <f>I68/(100-BE68)*100</f>
        <v>0</v>
      </c>
      <c r="BE68" s="4">
        <v>0</v>
      </c>
      <c r="BF68" s="4">
        <f>68</f>
        <v>68</v>
      </c>
      <c r="BH68" s="4">
        <f>H68*AO68</f>
        <v>0</v>
      </c>
      <c r="BI68" s="4">
        <f>H68*AP68</f>
        <v>0</v>
      </c>
      <c r="BJ68" s="4">
        <f>H68*I68</f>
        <v>0</v>
      </c>
      <c r="BK68" s="4"/>
      <c r="BL68" s="4">
        <v>61</v>
      </c>
    </row>
    <row r="69" spans="1:64" ht="13.5" customHeight="1">
      <c r="A69" s="13"/>
      <c r="B69" s="18" t="s">
        <v>473</v>
      </c>
      <c r="C69" s="54" t="s">
        <v>668</v>
      </c>
      <c r="D69" s="55"/>
      <c r="E69" s="55"/>
      <c r="F69" s="55"/>
      <c r="G69" s="55"/>
      <c r="H69" s="55"/>
      <c r="I69" s="55"/>
      <c r="J69" s="55"/>
      <c r="K69" s="55"/>
      <c r="L69" s="55"/>
      <c r="M69" s="56"/>
    </row>
    <row r="70" spans="1:64" ht="15" customHeight="1">
      <c r="A70" s="22" t="s">
        <v>889</v>
      </c>
      <c r="B70" s="9" t="s">
        <v>176</v>
      </c>
      <c r="C70" s="53" t="s">
        <v>330</v>
      </c>
      <c r="D70" s="53"/>
      <c r="E70" s="53"/>
      <c r="F70" s="53"/>
      <c r="G70" s="9" t="s">
        <v>891</v>
      </c>
      <c r="H70" s="4">
        <v>203.82</v>
      </c>
      <c r="I70" s="4">
        <v>0</v>
      </c>
      <c r="J70" s="4">
        <f>H70*AO70</f>
        <v>0</v>
      </c>
      <c r="K70" s="4">
        <f>H70*AP70</f>
        <v>0</v>
      </c>
      <c r="L70" s="4">
        <f>H70*I70</f>
        <v>0</v>
      </c>
      <c r="M70" s="17" t="s">
        <v>619</v>
      </c>
      <c r="Z70" s="4">
        <f>IF(AQ70="5",BJ70,0)</f>
        <v>0</v>
      </c>
      <c r="AB70" s="4">
        <f>IF(AQ70="1",BH70,0)</f>
        <v>0</v>
      </c>
      <c r="AC70" s="4">
        <f>IF(AQ70="1",BI70,0)</f>
        <v>0</v>
      </c>
      <c r="AD70" s="4">
        <f>IF(AQ70="7",BH70,0)</f>
        <v>0</v>
      </c>
      <c r="AE70" s="4">
        <f>IF(AQ70="7",BI70,0)</f>
        <v>0</v>
      </c>
      <c r="AF70" s="4">
        <f>IF(AQ70="2",BH70,0)</f>
        <v>0</v>
      </c>
      <c r="AG70" s="4">
        <f>IF(AQ70="2",BI70,0)</f>
        <v>0</v>
      </c>
      <c r="AH70" s="4">
        <f>IF(AQ70="0",BJ70,0)</f>
        <v>0</v>
      </c>
      <c r="AI70" s="30" t="s">
        <v>630</v>
      </c>
      <c r="AJ70" s="4">
        <f>IF(AN70=0,L70,0)</f>
        <v>0</v>
      </c>
      <c r="AK70" s="4">
        <f>IF(AN70=15,L70,0)</f>
        <v>0</v>
      </c>
      <c r="AL70" s="4">
        <f>IF(AN70=21,L70,0)</f>
        <v>0</v>
      </c>
      <c r="AN70" s="4">
        <v>21</v>
      </c>
      <c r="AO70" s="4">
        <f>I70*0.525896506005303</f>
        <v>0</v>
      </c>
      <c r="AP70" s="4">
        <f>I70*(1-0.525896506005303)</f>
        <v>0</v>
      </c>
      <c r="AQ70" s="14" t="s">
        <v>903</v>
      </c>
      <c r="AV70" s="4">
        <f>AW70+AX70</f>
        <v>0</v>
      </c>
      <c r="AW70" s="4">
        <f>H70*AO70</f>
        <v>0</v>
      </c>
      <c r="AX70" s="4">
        <f>H70*AP70</f>
        <v>0</v>
      </c>
      <c r="AY70" s="14" t="s">
        <v>575</v>
      </c>
      <c r="AZ70" s="14" t="s">
        <v>113</v>
      </c>
      <c r="BA70" s="30" t="s">
        <v>694</v>
      </c>
      <c r="BC70" s="4">
        <f>AW70+AX70</f>
        <v>0</v>
      </c>
      <c r="BD70" s="4">
        <f>I70/(100-BE70)*100</f>
        <v>0</v>
      </c>
      <c r="BE70" s="4">
        <v>0</v>
      </c>
      <c r="BF70" s="4">
        <f>70</f>
        <v>70</v>
      </c>
      <c r="BH70" s="4">
        <f>H70*AO70</f>
        <v>0</v>
      </c>
      <c r="BI70" s="4">
        <f>H70*AP70</f>
        <v>0</v>
      </c>
      <c r="BJ70" s="4">
        <f>H70*I70</f>
        <v>0</v>
      </c>
      <c r="BK70" s="4"/>
      <c r="BL70" s="4">
        <v>61</v>
      </c>
    </row>
    <row r="71" spans="1:64" ht="15" customHeight="1">
      <c r="A71" s="22" t="s">
        <v>558</v>
      </c>
      <c r="B71" s="9" t="s">
        <v>346</v>
      </c>
      <c r="C71" s="53" t="s">
        <v>604</v>
      </c>
      <c r="D71" s="53"/>
      <c r="E71" s="53"/>
      <c r="F71" s="53"/>
      <c r="G71" s="9" t="s">
        <v>891</v>
      </c>
      <c r="H71" s="4">
        <v>63.72</v>
      </c>
      <c r="I71" s="4">
        <v>0</v>
      </c>
      <c r="J71" s="4">
        <f>H71*AO71</f>
        <v>0</v>
      </c>
      <c r="K71" s="4">
        <f>H71*AP71</f>
        <v>0</v>
      </c>
      <c r="L71" s="4">
        <f>H71*I71</f>
        <v>0</v>
      </c>
      <c r="M71" s="17" t="s">
        <v>619</v>
      </c>
      <c r="Z71" s="4">
        <f>IF(AQ71="5",BJ71,0)</f>
        <v>0</v>
      </c>
      <c r="AB71" s="4">
        <f>IF(AQ71="1",BH71,0)</f>
        <v>0</v>
      </c>
      <c r="AC71" s="4">
        <f>IF(AQ71="1",BI71,0)</f>
        <v>0</v>
      </c>
      <c r="AD71" s="4">
        <f>IF(AQ71="7",BH71,0)</f>
        <v>0</v>
      </c>
      <c r="AE71" s="4">
        <f>IF(AQ71="7",BI71,0)</f>
        <v>0</v>
      </c>
      <c r="AF71" s="4">
        <f>IF(AQ71="2",BH71,0)</f>
        <v>0</v>
      </c>
      <c r="AG71" s="4">
        <f>IF(AQ71="2",BI71,0)</f>
        <v>0</v>
      </c>
      <c r="AH71" s="4">
        <f>IF(AQ71="0",BJ71,0)</f>
        <v>0</v>
      </c>
      <c r="AI71" s="30" t="s">
        <v>630</v>
      </c>
      <c r="AJ71" s="4">
        <f>IF(AN71=0,L71,0)</f>
        <v>0</v>
      </c>
      <c r="AK71" s="4">
        <f>IF(AN71=15,L71,0)</f>
        <v>0</v>
      </c>
      <c r="AL71" s="4">
        <f>IF(AN71=21,L71,0)</f>
        <v>0</v>
      </c>
      <c r="AN71" s="4">
        <v>21</v>
      </c>
      <c r="AO71" s="4">
        <f>I71*0.142038321862138</f>
        <v>0</v>
      </c>
      <c r="AP71" s="4">
        <f>I71*(1-0.142038321862138)</f>
        <v>0</v>
      </c>
      <c r="AQ71" s="14" t="s">
        <v>903</v>
      </c>
      <c r="AV71" s="4">
        <f>AW71+AX71</f>
        <v>0</v>
      </c>
      <c r="AW71" s="4">
        <f>H71*AO71</f>
        <v>0</v>
      </c>
      <c r="AX71" s="4">
        <f>H71*AP71</f>
        <v>0</v>
      </c>
      <c r="AY71" s="14" t="s">
        <v>575</v>
      </c>
      <c r="AZ71" s="14" t="s">
        <v>113</v>
      </c>
      <c r="BA71" s="30" t="s">
        <v>694</v>
      </c>
      <c r="BC71" s="4">
        <f>AW71+AX71</f>
        <v>0</v>
      </c>
      <c r="BD71" s="4">
        <f>I71/(100-BE71)*100</f>
        <v>0</v>
      </c>
      <c r="BE71" s="4">
        <v>0</v>
      </c>
      <c r="BF71" s="4">
        <f>71</f>
        <v>71</v>
      </c>
      <c r="BH71" s="4">
        <f>H71*AO71</f>
        <v>0</v>
      </c>
      <c r="BI71" s="4">
        <f>H71*AP71</f>
        <v>0</v>
      </c>
      <c r="BJ71" s="4">
        <f>H71*I71</f>
        <v>0</v>
      </c>
      <c r="BK71" s="4"/>
      <c r="BL71" s="4">
        <v>61</v>
      </c>
    </row>
    <row r="72" spans="1:64" ht="15" customHeight="1">
      <c r="A72" s="22" t="s">
        <v>587</v>
      </c>
      <c r="B72" s="9" t="s">
        <v>924</v>
      </c>
      <c r="C72" s="53" t="s">
        <v>646</v>
      </c>
      <c r="D72" s="53"/>
      <c r="E72" s="53"/>
      <c r="F72" s="53"/>
      <c r="G72" s="9" t="s">
        <v>891</v>
      </c>
      <c r="H72" s="4">
        <v>111.062</v>
      </c>
      <c r="I72" s="4">
        <v>0</v>
      </c>
      <c r="J72" s="4">
        <f>H72*AO72</f>
        <v>0</v>
      </c>
      <c r="K72" s="4">
        <f>H72*AP72</f>
        <v>0</v>
      </c>
      <c r="L72" s="4">
        <f>H72*I72</f>
        <v>0</v>
      </c>
      <c r="M72" s="17" t="s">
        <v>619</v>
      </c>
      <c r="Z72" s="4">
        <f>IF(AQ72="5",BJ72,0)</f>
        <v>0</v>
      </c>
      <c r="AB72" s="4">
        <f>IF(AQ72="1",BH72,0)</f>
        <v>0</v>
      </c>
      <c r="AC72" s="4">
        <f>IF(AQ72="1",BI72,0)</f>
        <v>0</v>
      </c>
      <c r="AD72" s="4">
        <f>IF(AQ72="7",BH72,0)</f>
        <v>0</v>
      </c>
      <c r="AE72" s="4">
        <f>IF(AQ72="7",BI72,0)</f>
        <v>0</v>
      </c>
      <c r="AF72" s="4">
        <f>IF(AQ72="2",BH72,0)</f>
        <v>0</v>
      </c>
      <c r="AG72" s="4">
        <f>IF(AQ72="2",BI72,0)</f>
        <v>0</v>
      </c>
      <c r="AH72" s="4">
        <f>IF(AQ72="0",BJ72,0)</f>
        <v>0</v>
      </c>
      <c r="AI72" s="30" t="s">
        <v>630</v>
      </c>
      <c r="AJ72" s="4">
        <f>IF(AN72=0,L72,0)</f>
        <v>0</v>
      </c>
      <c r="AK72" s="4">
        <f>IF(AN72=15,L72,0)</f>
        <v>0</v>
      </c>
      <c r="AL72" s="4">
        <f>IF(AN72=21,L72,0)</f>
        <v>0</v>
      </c>
      <c r="AN72" s="4">
        <v>21</v>
      </c>
      <c r="AO72" s="4">
        <f>I72*0.121224846995691</f>
        <v>0</v>
      </c>
      <c r="AP72" s="4">
        <f>I72*(1-0.121224846995691)</f>
        <v>0</v>
      </c>
      <c r="AQ72" s="14" t="s">
        <v>903</v>
      </c>
      <c r="AV72" s="4">
        <f>AW72+AX72</f>
        <v>0</v>
      </c>
      <c r="AW72" s="4">
        <f>H72*AO72</f>
        <v>0</v>
      </c>
      <c r="AX72" s="4">
        <f>H72*AP72</f>
        <v>0</v>
      </c>
      <c r="AY72" s="14" t="s">
        <v>575</v>
      </c>
      <c r="AZ72" s="14" t="s">
        <v>113</v>
      </c>
      <c r="BA72" s="30" t="s">
        <v>694</v>
      </c>
      <c r="BC72" s="4">
        <f>AW72+AX72</f>
        <v>0</v>
      </c>
      <c r="BD72" s="4">
        <f>I72/(100-BE72)*100</f>
        <v>0</v>
      </c>
      <c r="BE72" s="4">
        <v>0</v>
      </c>
      <c r="BF72" s="4">
        <f>72</f>
        <v>72</v>
      </c>
      <c r="BH72" s="4">
        <f>H72*AO72</f>
        <v>0</v>
      </c>
      <c r="BI72" s="4">
        <f>H72*AP72</f>
        <v>0</v>
      </c>
      <c r="BJ72" s="4">
        <f>H72*I72</f>
        <v>0</v>
      </c>
      <c r="BK72" s="4"/>
      <c r="BL72" s="4">
        <v>61</v>
      </c>
    </row>
    <row r="73" spans="1:64" ht="15" customHeight="1">
      <c r="A73" s="22" t="s">
        <v>329</v>
      </c>
      <c r="B73" s="9" t="s">
        <v>551</v>
      </c>
      <c r="C73" s="53" t="s">
        <v>938</v>
      </c>
      <c r="D73" s="53"/>
      <c r="E73" s="53"/>
      <c r="F73" s="53"/>
      <c r="G73" s="9" t="s">
        <v>891</v>
      </c>
      <c r="H73" s="4">
        <v>9.75</v>
      </c>
      <c r="I73" s="4">
        <v>0</v>
      </c>
      <c r="J73" s="4">
        <f>H73*AO73</f>
        <v>0</v>
      </c>
      <c r="K73" s="4">
        <f>H73*AP73</f>
        <v>0</v>
      </c>
      <c r="L73" s="4">
        <f>H73*I73</f>
        <v>0</v>
      </c>
      <c r="M73" s="17" t="s">
        <v>619</v>
      </c>
      <c r="Z73" s="4">
        <f>IF(AQ73="5",BJ73,0)</f>
        <v>0</v>
      </c>
      <c r="AB73" s="4">
        <f>IF(AQ73="1",BH73,0)</f>
        <v>0</v>
      </c>
      <c r="AC73" s="4">
        <f>IF(AQ73="1",BI73,0)</f>
        <v>0</v>
      </c>
      <c r="AD73" s="4">
        <f>IF(AQ73="7",BH73,0)</f>
        <v>0</v>
      </c>
      <c r="AE73" s="4">
        <f>IF(AQ73="7",BI73,0)</f>
        <v>0</v>
      </c>
      <c r="AF73" s="4">
        <f>IF(AQ73="2",BH73,0)</f>
        <v>0</v>
      </c>
      <c r="AG73" s="4">
        <f>IF(AQ73="2",BI73,0)</f>
        <v>0</v>
      </c>
      <c r="AH73" s="4">
        <f>IF(AQ73="0",BJ73,0)</f>
        <v>0</v>
      </c>
      <c r="AI73" s="30" t="s">
        <v>630</v>
      </c>
      <c r="AJ73" s="4">
        <f>IF(AN73=0,L73,0)</f>
        <v>0</v>
      </c>
      <c r="AK73" s="4">
        <f>IF(AN73=15,L73,0)</f>
        <v>0</v>
      </c>
      <c r="AL73" s="4">
        <f>IF(AN73=21,L73,0)</f>
        <v>0</v>
      </c>
      <c r="AN73" s="4">
        <v>21</v>
      </c>
      <c r="AO73" s="4">
        <f>I73*0.160678851174935</f>
        <v>0</v>
      </c>
      <c r="AP73" s="4">
        <f>I73*(1-0.160678851174935)</f>
        <v>0</v>
      </c>
      <c r="AQ73" s="14" t="s">
        <v>903</v>
      </c>
      <c r="AV73" s="4">
        <f>AW73+AX73</f>
        <v>0</v>
      </c>
      <c r="AW73" s="4">
        <f>H73*AO73</f>
        <v>0</v>
      </c>
      <c r="AX73" s="4">
        <f>H73*AP73</f>
        <v>0</v>
      </c>
      <c r="AY73" s="14" t="s">
        <v>575</v>
      </c>
      <c r="AZ73" s="14" t="s">
        <v>113</v>
      </c>
      <c r="BA73" s="30" t="s">
        <v>694</v>
      </c>
      <c r="BC73" s="4">
        <f>AW73+AX73</f>
        <v>0</v>
      </c>
      <c r="BD73" s="4">
        <f>I73/(100-BE73)*100</f>
        <v>0</v>
      </c>
      <c r="BE73" s="4">
        <v>0</v>
      </c>
      <c r="BF73" s="4">
        <f>73</f>
        <v>73</v>
      </c>
      <c r="BH73" s="4">
        <f>H73*AO73</f>
        <v>0</v>
      </c>
      <c r="BI73" s="4">
        <f>H73*AP73</f>
        <v>0</v>
      </c>
      <c r="BJ73" s="4">
        <f>H73*I73</f>
        <v>0</v>
      </c>
      <c r="BK73" s="4"/>
      <c r="BL73" s="4">
        <v>61</v>
      </c>
    </row>
    <row r="74" spans="1:64" ht="15" customHeight="1">
      <c r="A74" s="12" t="s">
        <v>630</v>
      </c>
      <c r="B74" s="32" t="s">
        <v>212</v>
      </c>
      <c r="C74" s="61" t="s">
        <v>919</v>
      </c>
      <c r="D74" s="61"/>
      <c r="E74" s="61"/>
      <c r="F74" s="61"/>
      <c r="G74" s="45" t="s">
        <v>839</v>
      </c>
      <c r="H74" s="45" t="s">
        <v>839</v>
      </c>
      <c r="I74" s="45" t="s">
        <v>839</v>
      </c>
      <c r="J74" s="49">
        <f>SUM(J75:J78)</f>
        <v>0</v>
      </c>
      <c r="K74" s="49">
        <f>SUM(K75:K78)</f>
        <v>0</v>
      </c>
      <c r="L74" s="49">
        <f>SUM(L75:L78)</f>
        <v>0</v>
      </c>
      <c r="M74" s="29" t="s">
        <v>630</v>
      </c>
      <c r="AI74" s="30" t="s">
        <v>630</v>
      </c>
      <c r="AS74" s="49">
        <f>SUM(AJ75:AJ78)</f>
        <v>0</v>
      </c>
      <c r="AT74" s="49">
        <f>SUM(AK75:AK78)</f>
        <v>0</v>
      </c>
      <c r="AU74" s="49">
        <f>SUM(AL75:AL78)</f>
        <v>0</v>
      </c>
    </row>
    <row r="75" spans="1:64" ht="15" customHeight="1">
      <c r="A75" s="22" t="s">
        <v>893</v>
      </c>
      <c r="B75" s="9" t="s">
        <v>263</v>
      </c>
      <c r="C75" s="53" t="s">
        <v>571</v>
      </c>
      <c r="D75" s="53"/>
      <c r="E75" s="53"/>
      <c r="F75" s="53"/>
      <c r="G75" s="9" t="s">
        <v>891</v>
      </c>
      <c r="H75" s="4">
        <v>21.15</v>
      </c>
      <c r="I75" s="4">
        <v>0</v>
      </c>
      <c r="J75" s="4">
        <f>H75*AO75</f>
        <v>0</v>
      </c>
      <c r="K75" s="4">
        <f>H75*AP75</f>
        <v>0</v>
      </c>
      <c r="L75" s="4">
        <f>H75*I75</f>
        <v>0</v>
      </c>
      <c r="M75" s="17" t="s">
        <v>619</v>
      </c>
      <c r="Z75" s="4">
        <f>IF(AQ75="5",BJ75,0)</f>
        <v>0</v>
      </c>
      <c r="AB75" s="4">
        <f>IF(AQ75="1",BH75,0)</f>
        <v>0</v>
      </c>
      <c r="AC75" s="4">
        <f>IF(AQ75="1",BI75,0)</f>
        <v>0</v>
      </c>
      <c r="AD75" s="4">
        <f>IF(AQ75="7",BH75,0)</f>
        <v>0</v>
      </c>
      <c r="AE75" s="4">
        <f>IF(AQ75="7",BI75,0)</f>
        <v>0</v>
      </c>
      <c r="AF75" s="4">
        <f>IF(AQ75="2",BH75,0)</f>
        <v>0</v>
      </c>
      <c r="AG75" s="4">
        <f>IF(AQ75="2",BI75,0)</f>
        <v>0</v>
      </c>
      <c r="AH75" s="4">
        <f>IF(AQ75="0",BJ75,0)</f>
        <v>0</v>
      </c>
      <c r="AI75" s="30" t="s">
        <v>630</v>
      </c>
      <c r="AJ75" s="4">
        <f>IF(AN75=0,L75,0)</f>
        <v>0</v>
      </c>
      <c r="AK75" s="4">
        <f>IF(AN75=15,L75,0)</f>
        <v>0</v>
      </c>
      <c r="AL75" s="4">
        <f>IF(AN75=21,L75,0)</f>
        <v>0</v>
      </c>
      <c r="AN75" s="4">
        <v>21</v>
      </c>
      <c r="AO75" s="4">
        <f>I75*0.893841224018476</f>
        <v>0</v>
      </c>
      <c r="AP75" s="4">
        <f>I75*(1-0.893841224018476)</f>
        <v>0</v>
      </c>
      <c r="AQ75" s="14" t="s">
        <v>903</v>
      </c>
      <c r="AV75" s="4">
        <f>AW75+AX75</f>
        <v>0</v>
      </c>
      <c r="AW75" s="4">
        <f>H75*AO75</f>
        <v>0</v>
      </c>
      <c r="AX75" s="4">
        <f>H75*AP75</f>
        <v>0</v>
      </c>
      <c r="AY75" s="14" t="s">
        <v>831</v>
      </c>
      <c r="AZ75" s="14" t="s">
        <v>113</v>
      </c>
      <c r="BA75" s="30" t="s">
        <v>694</v>
      </c>
      <c r="BC75" s="4">
        <f>AW75+AX75</f>
        <v>0</v>
      </c>
      <c r="BD75" s="4">
        <f>I75/(100-BE75)*100</f>
        <v>0</v>
      </c>
      <c r="BE75" s="4">
        <v>0</v>
      </c>
      <c r="BF75" s="4">
        <f>75</f>
        <v>75</v>
      </c>
      <c r="BH75" s="4">
        <f>H75*AO75</f>
        <v>0</v>
      </c>
      <c r="BI75" s="4">
        <f>H75*AP75</f>
        <v>0</v>
      </c>
      <c r="BJ75" s="4">
        <f>H75*I75</f>
        <v>0</v>
      </c>
      <c r="BK75" s="4"/>
      <c r="BL75" s="4">
        <v>63</v>
      </c>
    </row>
    <row r="76" spans="1:64" ht="15" customHeight="1">
      <c r="A76" s="22" t="s">
        <v>165</v>
      </c>
      <c r="B76" s="9" t="s">
        <v>150</v>
      </c>
      <c r="C76" s="53" t="s">
        <v>512</v>
      </c>
      <c r="D76" s="53"/>
      <c r="E76" s="53"/>
      <c r="F76" s="53"/>
      <c r="G76" s="9" t="s">
        <v>891</v>
      </c>
      <c r="H76" s="4">
        <v>21.15</v>
      </c>
      <c r="I76" s="4">
        <v>0</v>
      </c>
      <c r="J76" s="4">
        <f>H76*AO76</f>
        <v>0</v>
      </c>
      <c r="K76" s="4">
        <f>H76*AP76</f>
        <v>0</v>
      </c>
      <c r="L76" s="4">
        <f>H76*I76</f>
        <v>0</v>
      </c>
      <c r="M76" s="17" t="s">
        <v>619</v>
      </c>
      <c r="Z76" s="4">
        <f>IF(AQ76="5",BJ76,0)</f>
        <v>0</v>
      </c>
      <c r="AB76" s="4">
        <f>IF(AQ76="1",BH76,0)</f>
        <v>0</v>
      </c>
      <c r="AC76" s="4">
        <f>IF(AQ76="1",BI76,0)</f>
        <v>0</v>
      </c>
      <c r="AD76" s="4">
        <f>IF(AQ76="7",BH76,0)</f>
        <v>0</v>
      </c>
      <c r="AE76" s="4">
        <f>IF(AQ76="7",BI76,0)</f>
        <v>0</v>
      </c>
      <c r="AF76" s="4">
        <f>IF(AQ76="2",BH76,0)</f>
        <v>0</v>
      </c>
      <c r="AG76" s="4">
        <f>IF(AQ76="2",BI76,0)</f>
        <v>0</v>
      </c>
      <c r="AH76" s="4">
        <f>IF(AQ76="0",BJ76,0)</f>
        <v>0</v>
      </c>
      <c r="AI76" s="30" t="s">
        <v>630</v>
      </c>
      <c r="AJ76" s="4">
        <f>IF(AN76=0,L76,0)</f>
        <v>0</v>
      </c>
      <c r="AK76" s="4">
        <f>IF(AN76=15,L76,0)</f>
        <v>0</v>
      </c>
      <c r="AL76" s="4">
        <f>IF(AN76=21,L76,0)</f>
        <v>0</v>
      </c>
      <c r="AN76" s="4">
        <v>21</v>
      </c>
      <c r="AO76" s="4">
        <f>I76*0.905627631373772</f>
        <v>0</v>
      </c>
      <c r="AP76" s="4">
        <f>I76*(1-0.905627631373772)</f>
        <v>0</v>
      </c>
      <c r="AQ76" s="14" t="s">
        <v>903</v>
      </c>
      <c r="AV76" s="4">
        <f>AW76+AX76</f>
        <v>0</v>
      </c>
      <c r="AW76" s="4">
        <f>H76*AO76</f>
        <v>0</v>
      </c>
      <c r="AX76" s="4">
        <f>H76*AP76</f>
        <v>0</v>
      </c>
      <c r="AY76" s="14" t="s">
        <v>831</v>
      </c>
      <c r="AZ76" s="14" t="s">
        <v>113</v>
      </c>
      <c r="BA76" s="30" t="s">
        <v>694</v>
      </c>
      <c r="BC76" s="4">
        <f>AW76+AX76</f>
        <v>0</v>
      </c>
      <c r="BD76" s="4">
        <f>I76/(100-BE76)*100</f>
        <v>0</v>
      </c>
      <c r="BE76" s="4">
        <v>0</v>
      </c>
      <c r="BF76" s="4">
        <f>76</f>
        <v>76</v>
      </c>
      <c r="BH76" s="4">
        <f>H76*AO76</f>
        <v>0</v>
      </c>
      <c r="BI76" s="4">
        <f>H76*AP76</f>
        <v>0</v>
      </c>
      <c r="BJ76" s="4">
        <f>H76*I76</f>
        <v>0</v>
      </c>
      <c r="BK76" s="4"/>
      <c r="BL76" s="4">
        <v>63</v>
      </c>
    </row>
    <row r="77" spans="1:64" ht="15" customHeight="1">
      <c r="A77" s="22" t="s">
        <v>308</v>
      </c>
      <c r="B77" s="9" t="s">
        <v>532</v>
      </c>
      <c r="C77" s="53" t="s">
        <v>142</v>
      </c>
      <c r="D77" s="53"/>
      <c r="E77" s="53"/>
      <c r="F77" s="53"/>
      <c r="G77" s="9" t="s">
        <v>891</v>
      </c>
      <c r="H77" s="4">
        <v>141.96</v>
      </c>
      <c r="I77" s="4">
        <v>0</v>
      </c>
      <c r="J77" s="4">
        <f>H77*AO77</f>
        <v>0</v>
      </c>
      <c r="K77" s="4">
        <f>H77*AP77</f>
        <v>0</v>
      </c>
      <c r="L77" s="4">
        <f>H77*I77</f>
        <v>0</v>
      </c>
      <c r="M77" s="17" t="s">
        <v>619</v>
      </c>
      <c r="Z77" s="4">
        <f>IF(AQ77="5",BJ77,0)</f>
        <v>0</v>
      </c>
      <c r="AB77" s="4">
        <f>IF(AQ77="1",BH77,0)</f>
        <v>0</v>
      </c>
      <c r="AC77" s="4">
        <f>IF(AQ77="1",BI77,0)</f>
        <v>0</v>
      </c>
      <c r="AD77" s="4">
        <f>IF(AQ77="7",BH77,0)</f>
        <v>0</v>
      </c>
      <c r="AE77" s="4">
        <f>IF(AQ77="7",BI77,0)</f>
        <v>0</v>
      </c>
      <c r="AF77" s="4">
        <f>IF(AQ77="2",BH77,0)</f>
        <v>0</v>
      </c>
      <c r="AG77" s="4">
        <f>IF(AQ77="2",BI77,0)</f>
        <v>0</v>
      </c>
      <c r="AH77" s="4">
        <f>IF(AQ77="0",BJ77,0)</f>
        <v>0</v>
      </c>
      <c r="AI77" s="30" t="s">
        <v>630</v>
      </c>
      <c r="AJ77" s="4">
        <f>IF(AN77=0,L77,0)</f>
        <v>0</v>
      </c>
      <c r="AK77" s="4">
        <f>IF(AN77=15,L77,0)</f>
        <v>0</v>
      </c>
      <c r="AL77" s="4">
        <f>IF(AN77=21,L77,0)</f>
        <v>0</v>
      </c>
      <c r="AN77" s="4">
        <v>21</v>
      </c>
      <c r="AO77" s="4">
        <f>I77*0.607050245333976</f>
        <v>0</v>
      </c>
      <c r="AP77" s="4">
        <f>I77*(1-0.607050245333976)</f>
        <v>0</v>
      </c>
      <c r="AQ77" s="14" t="s">
        <v>903</v>
      </c>
      <c r="AV77" s="4">
        <f>AW77+AX77</f>
        <v>0</v>
      </c>
      <c r="AW77" s="4">
        <f>H77*AO77</f>
        <v>0</v>
      </c>
      <c r="AX77" s="4">
        <f>H77*AP77</f>
        <v>0</v>
      </c>
      <c r="AY77" s="14" t="s">
        <v>831</v>
      </c>
      <c r="AZ77" s="14" t="s">
        <v>113</v>
      </c>
      <c r="BA77" s="30" t="s">
        <v>694</v>
      </c>
      <c r="BC77" s="4">
        <f>AW77+AX77</f>
        <v>0</v>
      </c>
      <c r="BD77" s="4">
        <f>I77/(100-BE77)*100</f>
        <v>0</v>
      </c>
      <c r="BE77" s="4">
        <v>0</v>
      </c>
      <c r="BF77" s="4">
        <f>77</f>
        <v>77</v>
      </c>
      <c r="BH77" s="4">
        <f>H77*AO77</f>
        <v>0</v>
      </c>
      <c r="BI77" s="4">
        <f>H77*AP77</f>
        <v>0</v>
      </c>
      <c r="BJ77" s="4">
        <f>H77*I77</f>
        <v>0</v>
      </c>
      <c r="BK77" s="4"/>
      <c r="BL77" s="4">
        <v>63</v>
      </c>
    </row>
    <row r="78" spans="1:64" ht="15" customHeight="1">
      <c r="A78" s="22" t="s">
        <v>405</v>
      </c>
      <c r="B78" s="9" t="s">
        <v>985</v>
      </c>
      <c r="C78" s="53" t="s">
        <v>296</v>
      </c>
      <c r="D78" s="53"/>
      <c r="E78" s="53"/>
      <c r="F78" s="53"/>
      <c r="G78" s="9" t="s">
        <v>891</v>
      </c>
      <c r="H78" s="4">
        <v>141.96</v>
      </c>
      <c r="I78" s="4">
        <v>0</v>
      </c>
      <c r="J78" s="4">
        <f>H78*AO78</f>
        <v>0</v>
      </c>
      <c r="K78" s="4">
        <f>H78*AP78</f>
        <v>0</v>
      </c>
      <c r="L78" s="4">
        <f>H78*I78</f>
        <v>0</v>
      </c>
      <c r="M78" s="17" t="s">
        <v>619</v>
      </c>
      <c r="Z78" s="4">
        <f>IF(AQ78="5",BJ78,0)</f>
        <v>0</v>
      </c>
      <c r="AB78" s="4">
        <f>IF(AQ78="1",BH78,0)</f>
        <v>0</v>
      </c>
      <c r="AC78" s="4">
        <f>IF(AQ78="1",BI78,0)</f>
        <v>0</v>
      </c>
      <c r="AD78" s="4">
        <f>IF(AQ78="7",BH78,0)</f>
        <v>0</v>
      </c>
      <c r="AE78" s="4">
        <f>IF(AQ78="7",BI78,0)</f>
        <v>0</v>
      </c>
      <c r="AF78" s="4">
        <f>IF(AQ78="2",BH78,0)</f>
        <v>0</v>
      </c>
      <c r="AG78" s="4">
        <f>IF(AQ78="2",BI78,0)</f>
        <v>0</v>
      </c>
      <c r="AH78" s="4">
        <f>IF(AQ78="0",BJ78,0)</f>
        <v>0</v>
      </c>
      <c r="AI78" s="30" t="s">
        <v>630</v>
      </c>
      <c r="AJ78" s="4">
        <f>IF(AN78=0,L78,0)</f>
        <v>0</v>
      </c>
      <c r="AK78" s="4">
        <f>IF(AN78=15,L78,0)</f>
        <v>0</v>
      </c>
      <c r="AL78" s="4">
        <f>IF(AN78=21,L78,0)</f>
        <v>0</v>
      </c>
      <c r="AN78" s="4">
        <v>21</v>
      </c>
      <c r="AO78" s="4">
        <f>I78*0.712375457096692</f>
        <v>0</v>
      </c>
      <c r="AP78" s="4">
        <f>I78*(1-0.712375457096692)</f>
        <v>0</v>
      </c>
      <c r="AQ78" s="14" t="s">
        <v>903</v>
      </c>
      <c r="AV78" s="4">
        <f>AW78+AX78</f>
        <v>0</v>
      </c>
      <c r="AW78" s="4">
        <f>H78*AO78</f>
        <v>0</v>
      </c>
      <c r="AX78" s="4">
        <f>H78*AP78</f>
        <v>0</v>
      </c>
      <c r="AY78" s="14" t="s">
        <v>831</v>
      </c>
      <c r="AZ78" s="14" t="s">
        <v>113</v>
      </c>
      <c r="BA78" s="30" t="s">
        <v>694</v>
      </c>
      <c r="BC78" s="4">
        <f>AW78+AX78</f>
        <v>0</v>
      </c>
      <c r="BD78" s="4">
        <f>I78/(100-BE78)*100</f>
        <v>0</v>
      </c>
      <c r="BE78" s="4">
        <v>0</v>
      </c>
      <c r="BF78" s="4">
        <f>78</f>
        <v>78</v>
      </c>
      <c r="BH78" s="4">
        <f>H78*AO78</f>
        <v>0</v>
      </c>
      <c r="BI78" s="4">
        <f>H78*AP78</f>
        <v>0</v>
      </c>
      <c r="BJ78" s="4">
        <f>H78*I78</f>
        <v>0</v>
      </c>
      <c r="BK78" s="4"/>
      <c r="BL78" s="4">
        <v>63</v>
      </c>
    </row>
    <row r="79" spans="1:64" ht="15" customHeight="1">
      <c r="A79" s="12" t="s">
        <v>630</v>
      </c>
      <c r="B79" s="32" t="s">
        <v>455</v>
      </c>
      <c r="C79" s="61" t="s">
        <v>928</v>
      </c>
      <c r="D79" s="61"/>
      <c r="E79" s="61"/>
      <c r="F79" s="61"/>
      <c r="G79" s="45" t="s">
        <v>839</v>
      </c>
      <c r="H79" s="45" t="s">
        <v>839</v>
      </c>
      <c r="I79" s="45" t="s">
        <v>839</v>
      </c>
      <c r="J79" s="49">
        <f>SUM(J80:J87)</f>
        <v>0</v>
      </c>
      <c r="K79" s="49">
        <f>SUM(K80:K87)</f>
        <v>0</v>
      </c>
      <c r="L79" s="49">
        <f>SUM(L80:L87)</f>
        <v>0</v>
      </c>
      <c r="M79" s="29" t="s">
        <v>630</v>
      </c>
      <c r="AI79" s="30" t="s">
        <v>630</v>
      </c>
      <c r="AS79" s="49">
        <f>SUM(AJ80:AJ87)</f>
        <v>0</v>
      </c>
      <c r="AT79" s="49">
        <f>SUM(AK80:AK87)</f>
        <v>0</v>
      </c>
      <c r="AU79" s="49">
        <f>SUM(AL80:AL87)</f>
        <v>0</v>
      </c>
    </row>
    <row r="80" spans="1:64" ht="15" customHeight="1">
      <c r="A80" s="22" t="s">
        <v>327</v>
      </c>
      <c r="B80" s="9" t="s">
        <v>272</v>
      </c>
      <c r="C80" s="53" t="s">
        <v>822</v>
      </c>
      <c r="D80" s="53"/>
      <c r="E80" s="53"/>
      <c r="F80" s="53"/>
      <c r="G80" s="9" t="s">
        <v>232</v>
      </c>
      <c r="H80" s="4">
        <v>1</v>
      </c>
      <c r="I80" s="4">
        <v>0</v>
      </c>
      <c r="J80" s="4">
        <f>H80*AO80</f>
        <v>0</v>
      </c>
      <c r="K80" s="4">
        <f>H80*AP80</f>
        <v>0</v>
      </c>
      <c r="L80" s="4">
        <f>H80*I80</f>
        <v>0</v>
      </c>
      <c r="M80" s="17" t="s">
        <v>619</v>
      </c>
      <c r="Z80" s="4">
        <f>IF(AQ80="5",BJ80,0)</f>
        <v>0</v>
      </c>
      <c r="AB80" s="4">
        <f>IF(AQ80="1",BH80,0)</f>
        <v>0</v>
      </c>
      <c r="AC80" s="4">
        <f>IF(AQ80="1",BI80,0)</f>
        <v>0</v>
      </c>
      <c r="AD80" s="4">
        <f>IF(AQ80="7",BH80,0)</f>
        <v>0</v>
      </c>
      <c r="AE80" s="4">
        <f>IF(AQ80="7",BI80,0)</f>
        <v>0</v>
      </c>
      <c r="AF80" s="4">
        <f>IF(AQ80="2",BH80,0)</f>
        <v>0</v>
      </c>
      <c r="AG80" s="4">
        <f>IF(AQ80="2",BI80,0)</f>
        <v>0</v>
      </c>
      <c r="AH80" s="4">
        <f>IF(AQ80="0",BJ80,0)</f>
        <v>0</v>
      </c>
      <c r="AI80" s="30" t="s">
        <v>630</v>
      </c>
      <c r="AJ80" s="4">
        <f>IF(AN80=0,L80,0)</f>
        <v>0</v>
      </c>
      <c r="AK80" s="4">
        <f>IF(AN80=15,L80,0)</f>
        <v>0</v>
      </c>
      <c r="AL80" s="4">
        <f>IF(AN80=21,L80,0)</f>
        <v>0</v>
      </c>
      <c r="AN80" s="4">
        <v>21</v>
      </c>
      <c r="AO80" s="4">
        <f>I80*0</f>
        <v>0</v>
      </c>
      <c r="AP80" s="4">
        <f>I80*(1-0)</f>
        <v>0</v>
      </c>
      <c r="AQ80" s="14" t="s">
        <v>903</v>
      </c>
      <c r="AV80" s="4">
        <f>AW80+AX80</f>
        <v>0</v>
      </c>
      <c r="AW80" s="4">
        <f>H80*AO80</f>
        <v>0</v>
      </c>
      <c r="AX80" s="4">
        <f>H80*AP80</f>
        <v>0</v>
      </c>
      <c r="AY80" s="14" t="s">
        <v>612</v>
      </c>
      <c r="AZ80" s="14" t="s">
        <v>113</v>
      </c>
      <c r="BA80" s="30" t="s">
        <v>694</v>
      </c>
      <c r="BC80" s="4">
        <f>AW80+AX80</f>
        <v>0</v>
      </c>
      <c r="BD80" s="4">
        <f>I80/(100-BE80)*100</f>
        <v>0</v>
      </c>
      <c r="BE80" s="4">
        <v>0</v>
      </c>
      <c r="BF80" s="4">
        <f>80</f>
        <v>80</v>
      </c>
      <c r="BH80" s="4">
        <f>H80*AO80</f>
        <v>0</v>
      </c>
      <c r="BI80" s="4">
        <f>H80*AP80</f>
        <v>0</v>
      </c>
      <c r="BJ80" s="4">
        <f>H80*I80</f>
        <v>0</v>
      </c>
      <c r="BK80" s="4"/>
      <c r="BL80" s="4">
        <v>64</v>
      </c>
    </row>
    <row r="81" spans="1:64" ht="13.5" customHeight="1">
      <c r="A81" s="13"/>
      <c r="B81" s="18" t="s">
        <v>473</v>
      </c>
      <c r="C81" s="54" t="s">
        <v>775</v>
      </c>
      <c r="D81" s="55"/>
      <c r="E81" s="55"/>
      <c r="F81" s="55"/>
      <c r="G81" s="55"/>
      <c r="H81" s="55"/>
      <c r="I81" s="55"/>
      <c r="J81" s="55"/>
      <c r="K81" s="55"/>
      <c r="L81" s="55"/>
      <c r="M81" s="56"/>
    </row>
    <row r="82" spans="1:64" ht="15" customHeight="1">
      <c r="A82" s="22" t="s">
        <v>731</v>
      </c>
      <c r="B82" s="9" t="s">
        <v>530</v>
      </c>
      <c r="C82" s="53" t="s">
        <v>801</v>
      </c>
      <c r="D82" s="53"/>
      <c r="E82" s="53"/>
      <c r="F82" s="53"/>
      <c r="G82" s="9" t="s">
        <v>232</v>
      </c>
      <c r="H82" s="4">
        <v>1</v>
      </c>
      <c r="I82" s="4">
        <v>0</v>
      </c>
      <c r="J82" s="4">
        <f>H82*AO82</f>
        <v>0</v>
      </c>
      <c r="K82" s="4">
        <f>H82*AP82</f>
        <v>0</v>
      </c>
      <c r="L82" s="4">
        <f>H82*I82</f>
        <v>0</v>
      </c>
      <c r="M82" s="17" t="s">
        <v>619</v>
      </c>
      <c r="Z82" s="4">
        <f>IF(AQ82="5",BJ82,0)</f>
        <v>0</v>
      </c>
      <c r="AB82" s="4">
        <f>IF(AQ82="1",BH82,0)</f>
        <v>0</v>
      </c>
      <c r="AC82" s="4">
        <f>IF(AQ82="1",BI82,0)</f>
        <v>0</v>
      </c>
      <c r="AD82" s="4">
        <f>IF(AQ82="7",BH82,0)</f>
        <v>0</v>
      </c>
      <c r="AE82" s="4">
        <f>IF(AQ82="7",BI82,0)</f>
        <v>0</v>
      </c>
      <c r="AF82" s="4">
        <f>IF(AQ82="2",BH82,0)</f>
        <v>0</v>
      </c>
      <c r="AG82" s="4">
        <f>IF(AQ82="2",BI82,0)</f>
        <v>0</v>
      </c>
      <c r="AH82" s="4">
        <f>IF(AQ82="0",BJ82,0)</f>
        <v>0</v>
      </c>
      <c r="AI82" s="30" t="s">
        <v>630</v>
      </c>
      <c r="AJ82" s="4">
        <f>IF(AN82=0,L82,0)</f>
        <v>0</v>
      </c>
      <c r="AK82" s="4">
        <f>IF(AN82=15,L82,0)</f>
        <v>0</v>
      </c>
      <c r="AL82" s="4">
        <f>IF(AN82=21,L82,0)</f>
        <v>0</v>
      </c>
      <c r="AN82" s="4">
        <v>21</v>
      </c>
      <c r="AO82" s="4">
        <f>I82*1</f>
        <v>0</v>
      </c>
      <c r="AP82" s="4">
        <f>I82*(1-1)</f>
        <v>0</v>
      </c>
      <c r="AQ82" s="14" t="s">
        <v>903</v>
      </c>
      <c r="AV82" s="4">
        <f>AW82+AX82</f>
        <v>0</v>
      </c>
      <c r="AW82" s="4">
        <f>H82*AO82</f>
        <v>0</v>
      </c>
      <c r="AX82" s="4">
        <f>H82*AP82</f>
        <v>0</v>
      </c>
      <c r="AY82" s="14" t="s">
        <v>612</v>
      </c>
      <c r="AZ82" s="14" t="s">
        <v>113</v>
      </c>
      <c r="BA82" s="30" t="s">
        <v>694</v>
      </c>
      <c r="BC82" s="4">
        <f>AW82+AX82</f>
        <v>0</v>
      </c>
      <c r="BD82" s="4">
        <f>I82/(100-BE82)*100</f>
        <v>0</v>
      </c>
      <c r="BE82" s="4">
        <v>0</v>
      </c>
      <c r="BF82" s="4">
        <f>82</f>
        <v>82</v>
      </c>
      <c r="BH82" s="4">
        <f>H82*AO82</f>
        <v>0</v>
      </c>
      <c r="BI82" s="4">
        <f>H82*AP82</f>
        <v>0</v>
      </c>
      <c r="BJ82" s="4">
        <f>H82*I82</f>
        <v>0</v>
      </c>
      <c r="BK82" s="4"/>
      <c r="BL82" s="4">
        <v>64</v>
      </c>
    </row>
    <row r="83" spans="1:64" ht="15" customHeight="1">
      <c r="A83" s="22" t="s">
        <v>935</v>
      </c>
      <c r="B83" s="9" t="s">
        <v>48</v>
      </c>
      <c r="C83" s="53" t="s">
        <v>822</v>
      </c>
      <c r="D83" s="53"/>
      <c r="E83" s="53"/>
      <c r="F83" s="53"/>
      <c r="G83" s="9" t="s">
        <v>232</v>
      </c>
      <c r="H83" s="4">
        <v>1</v>
      </c>
      <c r="I83" s="4">
        <v>0</v>
      </c>
      <c r="J83" s="4">
        <f>H83*AO83</f>
        <v>0</v>
      </c>
      <c r="K83" s="4">
        <f>H83*AP83</f>
        <v>0</v>
      </c>
      <c r="L83" s="4">
        <f>H83*I83</f>
        <v>0</v>
      </c>
      <c r="M83" s="17" t="s">
        <v>619</v>
      </c>
      <c r="Z83" s="4">
        <f>IF(AQ83="5",BJ83,0)</f>
        <v>0</v>
      </c>
      <c r="AB83" s="4">
        <f>IF(AQ83="1",BH83,0)</f>
        <v>0</v>
      </c>
      <c r="AC83" s="4">
        <f>IF(AQ83="1",BI83,0)</f>
        <v>0</v>
      </c>
      <c r="AD83" s="4">
        <f>IF(AQ83="7",BH83,0)</f>
        <v>0</v>
      </c>
      <c r="AE83" s="4">
        <f>IF(AQ83="7",BI83,0)</f>
        <v>0</v>
      </c>
      <c r="AF83" s="4">
        <f>IF(AQ83="2",BH83,0)</f>
        <v>0</v>
      </c>
      <c r="AG83" s="4">
        <f>IF(AQ83="2",BI83,0)</f>
        <v>0</v>
      </c>
      <c r="AH83" s="4">
        <f>IF(AQ83="0",BJ83,0)</f>
        <v>0</v>
      </c>
      <c r="AI83" s="30" t="s">
        <v>630</v>
      </c>
      <c r="AJ83" s="4">
        <f>IF(AN83=0,L83,0)</f>
        <v>0</v>
      </c>
      <c r="AK83" s="4">
        <f>IF(AN83=15,L83,0)</f>
        <v>0</v>
      </c>
      <c r="AL83" s="4">
        <f>IF(AN83=21,L83,0)</f>
        <v>0</v>
      </c>
      <c r="AN83" s="4">
        <v>21</v>
      </c>
      <c r="AO83" s="4">
        <f>I83*0.656402116402116</f>
        <v>0</v>
      </c>
      <c r="AP83" s="4">
        <f>I83*(1-0.656402116402116)</f>
        <v>0</v>
      </c>
      <c r="AQ83" s="14" t="s">
        <v>903</v>
      </c>
      <c r="AV83" s="4">
        <f>AW83+AX83</f>
        <v>0</v>
      </c>
      <c r="AW83" s="4">
        <f>H83*AO83</f>
        <v>0</v>
      </c>
      <c r="AX83" s="4">
        <f>H83*AP83</f>
        <v>0</v>
      </c>
      <c r="AY83" s="14" t="s">
        <v>612</v>
      </c>
      <c r="AZ83" s="14" t="s">
        <v>113</v>
      </c>
      <c r="BA83" s="30" t="s">
        <v>694</v>
      </c>
      <c r="BC83" s="4">
        <f>AW83+AX83</f>
        <v>0</v>
      </c>
      <c r="BD83" s="4">
        <f>I83/(100-BE83)*100</f>
        <v>0</v>
      </c>
      <c r="BE83" s="4">
        <v>0</v>
      </c>
      <c r="BF83" s="4">
        <f>83</f>
        <v>83</v>
      </c>
      <c r="BH83" s="4">
        <f>H83*AO83</f>
        <v>0</v>
      </c>
      <c r="BI83" s="4">
        <f>H83*AP83</f>
        <v>0</v>
      </c>
      <c r="BJ83" s="4">
        <f>H83*I83</f>
        <v>0</v>
      </c>
      <c r="BK83" s="4"/>
      <c r="BL83" s="4">
        <v>64</v>
      </c>
    </row>
    <row r="84" spans="1:64" ht="13.5" customHeight="1">
      <c r="A84" s="13"/>
      <c r="B84" s="18" t="s">
        <v>473</v>
      </c>
      <c r="C84" s="54" t="s">
        <v>958</v>
      </c>
      <c r="D84" s="55"/>
      <c r="E84" s="55"/>
      <c r="F84" s="55"/>
      <c r="G84" s="55"/>
      <c r="H84" s="55"/>
      <c r="I84" s="55"/>
      <c r="J84" s="55"/>
      <c r="K84" s="55"/>
      <c r="L84" s="55"/>
      <c r="M84" s="56"/>
    </row>
    <row r="85" spans="1:64" ht="15" customHeight="1">
      <c r="A85" s="22" t="s">
        <v>65</v>
      </c>
      <c r="B85" s="9" t="s">
        <v>408</v>
      </c>
      <c r="C85" s="53" t="s">
        <v>822</v>
      </c>
      <c r="D85" s="53"/>
      <c r="E85" s="53"/>
      <c r="F85" s="53"/>
      <c r="G85" s="9" t="s">
        <v>232</v>
      </c>
      <c r="H85" s="4">
        <v>2</v>
      </c>
      <c r="I85" s="4">
        <v>0</v>
      </c>
      <c r="J85" s="4">
        <f>H85*AO85</f>
        <v>0</v>
      </c>
      <c r="K85" s="4">
        <f>H85*AP85</f>
        <v>0</v>
      </c>
      <c r="L85" s="4">
        <f>H85*I85</f>
        <v>0</v>
      </c>
      <c r="M85" s="17" t="s">
        <v>619</v>
      </c>
      <c r="Z85" s="4">
        <f>IF(AQ85="5",BJ85,0)</f>
        <v>0</v>
      </c>
      <c r="AB85" s="4">
        <f>IF(AQ85="1",BH85,0)</f>
        <v>0</v>
      </c>
      <c r="AC85" s="4">
        <f>IF(AQ85="1",BI85,0)</f>
        <v>0</v>
      </c>
      <c r="AD85" s="4">
        <f>IF(AQ85="7",BH85,0)</f>
        <v>0</v>
      </c>
      <c r="AE85" s="4">
        <f>IF(AQ85="7",BI85,0)</f>
        <v>0</v>
      </c>
      <c r="AF85" s="4">
        <f>IF(AQ85="2",BH85,0)</f>
        <v>0</v>
      </c>
      <c r="AG85" s="4">
        <f>IF(AQ85="2",BI85,0)</f>
        <v>0</v>
      </c>
      <c r="AH85" s="4">
        <f>IF(AQ85="0",BJ85,0)</f>
        <v>0</v>
      </c>
      <c r="AI85" s="30" t="s">
        <v>630</v>
      </c>
      <c r="AJ85" s="4">
        <f>IF(AN85=0,L85,0)</f>
        <v>0</v>
      </c>
      <c r="AK85" s="4">
        <f>IF(AN85=15,L85,0)</f>
        <v>0</v>
      </c>
      <c r="AL85" s="4">
        <f>IF(AN85=21,L85,0)</f>
        <v>0</v>
      </c>
      <c r="AN85" s="4">
        <v>21</v>
      </c>
      <c r="AO85" s="4">
        <f>I85*0.698887171561051</f>
        <v>0</v>
      </c>
      <c r="AP85" s="4">
        <f>I85*(1-0.698887171561051)</f>
        <v>0</v>
      </c>
      <c r="AQ85" s="14" t="s">
        <v>903</v>
      </c>
      <c r="AV85" s="4">
        <f>AW85+AX85</f>
        <v>0</v>
      </c>
      <c r="AW85" s="4">
        <f>H85*AO85</f>
        <v>0</v>
      </c>
      <c r="AX85" s="4">
        <f>H85*AP85</f>
        <v>0</v>
      </c>
      <c r="AY85" s="14" t="s">
        <v>612</v>
      </c>
      <c r="AZ85" s="14" t="s">
        <v>113</v>
      </c>
      <c r="BA85" s="30" t="s">
        <v>694</v>
      </c>
      <c r="BC85" s="4">
        <f>AW85+AX85</f>
        <v>0</v>
      </c>
      <c r="BD85" s="4">
        <f>I85/(100-BE85)*100</f>
        <v>0</v>
      </c>
      <c r="BE85" s="4">
        <v>0</v>
      </c>
      <c r="BF85" s="4">
        <f>85</f>
        <v>85</v>
      </c>
      <c r="BH85" s="4">
        <f>H85*AO85</f>
        <v>0</v>
      </c>
      <c r="BI85" s="4">
        <f>H85*AP85</f>
        <v>0</v>
      </c>
      <c r="BJ85" s="4">
        <f>H85*I85</f>
        <v>0</v>
      </c>
      <c r="BK85" s="4"/>
      <c r="BL85" s="4">
        <v>64</v>
      </c>
    </row>
    <row r="86" spans="1:64" ht="13.5" customHeight="1">
      <c r="A86" s="13"/>
      <c r="B86" s="18" t="s">
        <v>473</v>
      </c>
      <c r="C86" s="54" t="s">
        <v>333</v>
      </c>
      <c r="D86" s="55"/>
      <c r="E86" s="55"/>
      <c r="F86" s="55"/>
      <c r="G86" s="55"/>
      <c r="H86" s="55"/>
      <c r="I86" s="55"/>
      <c r="J86" s="55"/>
      <c r="K86" s="55"/>
      <c r="L86" s="55"/>
      <c r="M86" s="56"/>
    </row>
    <row r="87" spans="1:64" ht="15" customHeight="1">
      <c r="A87" s="22" t="s">
        <v>703</v>
      </c>
      <c r="B87" s="9" t="s">
        <v>277</v>
      </c>
      <c r="C87" s="53" t="s">
        <v>321</v>
      </c>
      <c r="D87" s="53"/>
      <c r="E87" s="53"/>
      <c r="F87" s="53"/>
      <c r="G87" s="9" t="s">
        <v>232</v>
      </c>
      <c r="H87" s="4">
        <v>1</v>
      </c>
      <c r="I87" s="4">
        <v>0</v>
      </c>
      <c r="J87" s="4">
        <f>H87*AO87</f>
        <v>0</v>
      </c>
      <c r="K87" s="4">
        <f>H87*AP87</f>
        <v>0</v>
      </c>
      <c r="L87" s="4">
        <f>H87*I87</f>
        <v>0</v>
      </c>
      <c r="M87" s="17" t="s">
        <v>619</v>
      </c>
      <c r="Z87" s="4">
        <f>IF(AQ87="5",BJ87,0)</f>
        <v>0</v>
      </c>
      <c r="AB87" s="4">
        <f>IF(AQ87="1",BH87,0)</f>
        <v>0</v>
      </c>
      <c r="AC87" s="4">
        <f>IF(AQ87="1",BI87,0)</f>
        <v>0</v>
      </c>
      <c r="AD87" s="4">
        <f>IF(AQ87="7",BH87,0)</f>
        <v>0</v>
      </c>
      <c r="AE87" s="4">
        <f>IF(AQ87="7",BI87,0)</f>
        <v>0</v>
      </c>
      <c r="AF87" s="4">
        <f>IF(AQ87="2",BH87,0)</f>
        <v>0</v>
      </c>
      <c r="AG87" s="4">
        <f>IF(AQ87="2",BI87,0)</f>
        <v>0</v>
      </c>
      <c r="AH87" s="4">
        <f>IF(AQ87="0",BJ87,0)</f>
        <v>0</v>
      </c>
      <c r="AI87" s="30" t="s">
        <v>630</v>
      </c>
      <c r="AJ87" s="4">
        <f>IF(AN87=0,L87,0)</f>
        <v>0</v>
      </c>
      <c r="AK87" s="4">
        <f>IF(AN87=15,L87,0)</f>
        <v>0</v>
      </c>
      <c r="AL87" s="4">
        <f>IF(AN87=21,L87,0)</f>
        <v>0</v>
      </c>
      <c r="AN87" s="4">
        <v>21</v>
      </c>
      <c r="AO87" s="4">
        <f>I87*0.386498250485455</f>
        <v>0</v>
      </c>
      <c r="AP87" s="4">
        <f>I87*(1-0.386498250485455)</f>
        <v>0</v>
      </c>
      <c r="AQ87" s="14" t="s">
        <v>903</v>
      </c>
      <c r="AV87" s="4">
        <f>AW87+AX87</f>
        <v>0</v>
      </c>
      <c r="AW87" s="4">
        <f>H87*AO87</f>
        <v>0</v>
      </c>
      <c r="AX87" s="4">
        <f>H87*AP87</f>
        <v>0</v>
      </c>
      <c r="AY87" s="14" t="s">
        <v>612</v>
      </c>
      <c r="AZ87" s="14" t="s">
        <v>113</v>
      </c>
      <c r="BA87" s="30" t="s">
        <v>694</v>
      </c>
      <c r="BC87" s="4">
        <f>AW87+AX87</f>
        <v>0</v>
      </c>
      <c r="BD87" s="4">
        <f>I87/(100-BE87)*100</f>
        <v>0</v>
      </c>
      <c r="BE87" s="4">
        <v>0</v>
      </c>
      <c r="BF87" s="4">
        <f>87</f>
        <v>87</v>
      </c>
      <c r="BH87" s="4">
        <f>H87*AO87</f>
        <v>0</v>
      </c>
      <c r="BI87" s="4">
        <f>H87*AP87</f>
        <v>0</v>
      </c>
      <c r="BJ87" s="4">
        <f>H87*I87</f>
        <v>0</v>
      </c>
      <c r="BK87" s="4"/>
      <c r="BL87" s="4">
        <v>64</v>
      </c>
    </row>
    <row r="88" spans="1:64" ht="13.5" customHeight="1">
      <c r="A88" s="13"/>
      <c r="B88" s="18" t="s">
        <v>473</v>
      </c>
      <c r="C88" s="54" t="s">
        <v>120</v>
      </c>
      <c r="D88" s="55"/>
      <c r="E88" s="55"/>
      <c r="F88" s="55"/>
      <c r="G88" s="55"/>
      <c r="H88" s="55"/>
      <c r="I88" s="55"/>
      <c r="J88" s="55"/>
      <c r="K88" s="55"/>
      <c r="L88" s="55"/>
      <c r="M88" s="56"/>
    </row>
    <row r="89" spans="1:64" ht="15" customHeight="1">
      <c r="A89" s="12" t="s">
        <v>630</v>
      </c>
      <c r="B89" s="32" t="s">
        <v>962</v>
      </c>
      <c r="C89" s="61" t="s">
        <v>590</v>
      </c>
      <c r="D89" s="61"/>
      <c r="E89" s="61"/>
      <c r="F89" s="61"/>
      <c r="G89" s="45" t="s">
        <v>839</v>
      </c>
      <c r="H89" s="45" t="s">
        <v>839</v>
      </c>
      <c r="I89" s="45" t="s">
        <v>839</v>
      </c>
      <c r="J89" s="49">
        <f>SUM(J90:J96)</f>
        <v>0</v>
      </c>
      <c r="K89" s="49">
        <f>SUM(K90:K96)</f>
        <v>0</v>
      </c>
      <c r="L89" s="49">
        <f>SUM(L90:L96)</f>
        <v>0</v>
      </c>
      <c r="M89" s="29" t="s">
        <v>630</v>
      </c>
      <c r="AI89" s="30" t="s">
        <v>630</v>
      </c>
      <c r="AS89" s="49">
        <f>SUM(AJ90:AJ96)</f>
        <v>0</v>
      </c>
      <c r="AT89" s="49">
        <f>SUM(AK90:AK96)</f>
        <v>0</v>
      </c>
      <c r="AU89" s="49">
        <f>SUM(AL90:AL96)</f>
        <v>0</v>
      </c>
    </row>
    <row r="90" spans="1:64" ht="15" customHeight="1">
      <c r="A90" s="22" t="s">
        <v>746</v>
      </c>
      <c r="B90" s="9" t="s">
        <v>395</v>
      </c>
      <c r="C90" s="53" t="s">
        <v>31</v>
      </c>
      <c r="D90" s="53"/>
      <c r="E90" s="53"/>
      <c r="F90" s="53"/>
      <c r="G90" s="9" t="s">
        <v>232</v>
      </c>
      <c r="H90" s="4">
        <v>1</v>
      </c>
      <c r="I90" s="4">
        <v>0</v>
      </c>
      <c r="J90" s="4">
        <f>H90*AO90</f>
        <v>0</v>
      </c>
      <c r="K90" s="4">
        <f>H90*AP90</f>
        <v>0</v>
      </c>
      <c r="L90" s="4">
        <f>H90*I90</f>
        <v>0</v>
      </c>
      <c r="M90" s="17" t="s">
        <v>619</v>
      </c>
      <c r="Z90" s="4">
        <f>IF(AQ90="5",BJ90,0)</f>
        <v>0</v>
      </c>
      <c r="AB90" s="4">
        <f>IF(AQ90="1",BH90,0)</f>
        <v>0</v>
      </c>
      <c r="AC90" s="4">
        <f>IF(AQ90="1",BI90,0)</f>
        <v>0</v>
      </c>
      <c r="AD90" s="4">
        <f>IF(AQ90="7",BH90,0)</f>
        <v>0</v>
      </c>
      <c r="AE90" s="4">
        <f>IF(AQ90="7",BI90,0)</f>
        <v>0</v>
      </c>
      <c r="AF90" s="4">
        <f>IF(AQ90="2",BH90,0)</f>
        <v>0</v>
      </c>
      <c r="AG90" s="4">
        <f>IF(AQ90="2",BI90,0)</f>
        <v>0</v>
      </c>
      <c r="AH90" s="4">
        <f>IF(AQ90="0",BJ90,0)</f>
        <v>0</v>
      </c>
      <c r="AI90" s="30" t="s">
        <v>630</v>
      </c>
      <c r="AJ90" s="4">
        <f>IF(AN90=0,L90,0)</f>
        <v>0</v>
      </c>
      <c r="AK90" s="4">
        <f>IF(AN90=15,L90,0)</f>
        <v>0</v>
      </c>
      <c r="AL90" s="4">
        <f>IF(AN90=21,L90,0)</f>
        <v>0</v>
      </c>
      <c r="AN90" s="4">
        <v>21</v>
      </c>
      <c r="AO90" s="4">
        <f>I90*0.615785567010309</f>
        <v>0</v>
      </c>
      <c r="AP90" s="4">
        <f>I90*(1-0.615785567010309)</f>
        <v>0</v>
      </c>
      <c r="AQ90" s="14" t="s">
        <v>903</v>
      </c>
      <c r="AV90" s="4">
        <f>AW90+AX90</f>
        <v>0</v>
      </c>
      <c r="AW90" s="4">
        <f>H90*AO90</f>
        <v>0</v>
      </c>
      <c r="AX90" s="4">
        <f>H90*AP90</f>
        <v>0</v>
      </c>
      <c r="AY90" s="14" t="s">
        <v>68</v>
      </c>
      <c r="AZ90" s="14" t="s">
        <v>774</v>
      </c>
      <c r="BA90" s="30" t="s">
        <v>694</v>
      </c>
      <c r="BC90" s="4">
        <f>AW90+AX90</f>
        <v>0</v>
      </c>
      <c r="BD90" s="4">
        <f>I90/(100-BE90)*100</f>
        <v>0</v>
      </c>
      <c r="BE90" s="4">
        <v>0</v>
      </c>
      <c r="BF90" s="4">
        <f>90</f>
        <v>90</v>
      </c>
      <c r="BH90" s="4">
        <f>H90*AO90</f>
        <v>0</v>
      </c>
      <c r="BI90" s="4">
        <f>H90*AP90</f>
        <v>0</v>
      </c>
      <c r="BJ90" s="4">
        <f>H90*I90</f>
        <v>0</v>
      </c>
      <c r="BK90" s="4"/>
      <c r="BL90" s="4">
        <v>89</v>
      </c>
    </row>
    <row r="91" spans="1:64" ht="13.5" customHeight="1">
      <c r="A91" s="13"/>
      <c r="B91" s="18" t="s">
        <v>473</v>
      </c>
      <c r="C91" s="54" t="s">
        <v>576</v>
      </c>
      <c r="D91" s="55"/>
      <c r="E91" s="55"/>
      <c r="F91" s="55"/>
      <c r="G91" s="55"/>
      <c r="H91" s="55"/>
      <c r="I91" s="55"/>
      <c r="J91" s="55"/>
      <c r="K91" s="55"/>
      <c r="L91" s="55"/>
      <c r="M91" s="56"/>
    </row>
    <row r="92" spans="1:64" ht="15" customHeight="1">
      <c r="A92" s="22" t="s">
        <v>393</v>
      </c>
      <c r="B92" s="9" t="s">
        <v>197</v>
      </c>
      <c r="C92" s="53" t="s">
        <v>365</v>
      </c>
      <c r="D92" s="53"/>
      <c r="E92" s="53"/>
      <c r="F92" s="53"/>
      <c r="G92" s="9" t="s">
        <v>232</v>
      </c>
      <c r="H92" s="4">
        <v>1</v>
      </c>
      <c r="I92" s="4">
        <v>0</v>
      </c>
      <c r="J92" s="4">
        <f>H92*AO92</f>
        <v>0</v>
      </c>
      <c r="K92" s="4">
        <f>H92*AP92</f>
        <v>0</v>
      </c>
      <c r="L92" s="4">
        <f>H92*I92</f>
        <v>0</v>
      </c>
      <c r="M92" s="17" t="s">
        <v>619</v>
      </c>
      <c r="Z92" s="4">
        <f>IF(AQ92="5",BJ92,0)</f>
        <v>0</v>
      </c>
      <c r="AB92" s="4">
        <f>IF(AQ92="1",BH92,0)</f>
        <v>0</v>
      </c>
      <c r="AC92" s="4">
        <f>IF(AQ92="1",BI92,0)</f>
        <v>0</v>
      </c>
      <c r="AD92" s="4">
        <f>IF(AQ92="7",BH92,0)</f>
        <v>0</v>
      </c>
      <c r="AE92" s="4">
        <f>IF(AQ92="7",BI92,0)</f>
        <v>0</v>
      </c>
      <c r="AF92" s="4">
        <f>IF(AQ92="2",BH92,0)</f>
        <v>0</v>
      </c>
      <c r="AG92" s="4">
        <f>IF(AQ92="2",BI92,0)</f>
        <v>0</v>
      </c>
      <c r="AH92" s="4">
        <f>IF(AQ92="0",BJ92,0)</f>
        <v>0</v>
      </c>
      <c r="AI92" s="30" t="s">
        <v>630</v>
      </c>
      <c r="AJ92" s="4">
        <f>IF(AN92=0,L92,0)</f>
        <v>0</v>
      </c>
      <c r="AK92" s="4">
        <f>IF(AN92=15,L92,0)</f>
        <v>0</v>
      </c>
      <c r="AL92" s="4">
        <f>IF(AN92=21,L92,0)</f>
        <v>0</v>
      </c>
      <c r="AN92" s="4">
        <v>21</v>
      </c>
      <c r="AO92" s="4">
        <f>I92*0.682006825938567</f>
        <v>0</v>
      </c>
      <c r="AP92" s="4">
        <f>I92*(1-0.682006825938567)</f>
        <v>0</v>
      </c>
      <c r="AQ92" s="14" t="s">
        <v>903</v>
      </c>
      <c r="AV92" s="4">
        <f>AW92+AX92</f>
        <v>0</v>
      </c>
      <c r="AW92" s="4">
        <f>H92*AO92</f>
        <v>0</v>
      </c>
      <c r="AX92" s="4">
        <f>H92*AP92</f>
        <v>0</v>
      </c>
      <c r="AY92" s="14" t="s">
        <v>68</v>
      </c>
      <c r="AZ92" s="14" t="s">
        <v>774</v>
      </c>
      <c r="BA92" s="30" t="s">
        <v>694</v>
      </c>
      <c r="BC92" s="4">
        <f>AW92+AX92</f>
        <v>0</v>
      </c>
      <c r="BD92" s="4">
        <f>I92/(100-BE92)*100</f>
        <v>0</v>
      </c>
      <c r="BE92" s="4">
        <v>0</v>
      </c>
      <c r="BF92" s="4">
        <f>92</f>
        <v>92</v>
      </c>
      <c r="BH92" s="4">
        <f>H92*AO92</f>
        <v>0</v>
      </c>
      <c r="BI92" s="4">
        <f>H92*AP92</f>
        <v>0</v>
      </c>
      <c r="BJ92" s="4">
        <f>H92*I92</f>
        <v>0</v>
      </c>
      <c r="BK92" s="4"/>
      <c r="BL92" s="4">
        <v>89</v>
      </c>
    </row>
    <row r="93" spans="1:64" ht="13.5" customHeight="1">
      <c r="A93" s="13"/>
      <c r="B93" s="18" t="s">
        <v>473</v>
      </c>
      <c r="C93" s="54" t="s">
        <v>665</v>
      </c>
      <c r="D93" s="55"/>
      <c r="E93" s="55"/>
      <c r="F93" s="55"/>
      <c r="G93" s="55"/>
      <c r="H93" s="55"/>
      <c r="I93" s="55"/>
      <c r="J93" s="55"/>
      <c r="K93" s="55"/>
      <c r="L93" s="55"/>
      <c r="M93" s="56"/>
    </row>
    <row r="94" spans="1:64" ht="15" customHeight="1">
      <c r="A94" s="22" t="s">
        <v>390</v>
      </c>
      <c r="B94" s="9" t="s">
        <v>164</v>
      </c>
      <c r="C94" s="53" t="s">
        <v>951</v>
      </c>
      <c r="D94" s="53"/>
      <c r="E94" s="53"/>
      <c r="F94" s="53"/>
      <c r="G94" s="9" t="s">
        <v>232</v>
      </c>
      <c r="H94" s="4">
        <v>1</v>
      </c>
      <c r="I94" s="4">
        <v>0</v>
      </c>
      <c r="J94" s="4">
        <f>H94*AO94</f>
        <v>0</v>
      </c>
      <c r="K94" s="4">
        <f>H94*AP94</f>
        <v>0</v>
      </c>
      <c r="L94" s="4">
        <f>H94*I94</f>
        <v>0</v>
      </c>
      <c r="M94" s="17" t="s">
        <v>619</v>
      </c>
      <c r="Z94" s="4">
        <f>IF(AQ94="5",BJ94,0)</f>
        <v>0</v>
      </c>
      <c r="AB94" s="4">
        <f>IF(AQ94="1",BH94,0)</f>
        <v>0</v>
      </c>
      <c r="AC94" s="4">
        <f>IF(AQ94="1",BI94,0)</f>
        <v>0</v>
      </c>
      <c r="AD94" s="4">
        <f>IF(AQ94="7",BH94,0)</f>
        <v>0</v>
      </c>
      <c r="AE94" s="4">
        <f>IF(AQ94="7",BI94,0)</f>
        <v>0</v>
      </c>
      <c r="AF94" s="4">
        <f>IF(AQ94="2",BH94,0)</f>
        <v>0</v>
      </c>
      <c r="AG94" s="4">
        <f>IF(AQ94="2",BI94,0)</f>
        <v>0</v>
      </c>
      <c r="AH94" s="4">
        <f>IF(AQ94="0",BJ94,0)</f>
        <v>0</v>
      </c>
      <c r="AI94" s="30" t="s">
        <v>630</v>
      </c>
      <c r="AJ94" s="4">
        <f>IF(AN94=0,L94,0)</f>
        <v>0</v>
      </c>
      <c r="AK94" s="4">
        <f>IF(AN94=15,L94,0)</f>
        <v>0</v>
      </c>
      <c r="AL94" s="4">
        <f>IF(AN94=21,L94,0)</f>
        <v>0</v>
      </c>
      <c r="AN94" s="4">
        <v>21</v>
      </c>
      <c r="AO94" s="4">
        <f>I94*0.111356898517674</f>
        <v>0</v>
      </c>
      <c r="AP94" s="4">
        <f>I94*(1-0.111356898517674)</f>
        <v>0</v>
      </c>
      <c r="AQ94" s="14" t="s">
        <v>903</v>
      </c>
      <c r="AV94" s="4">
        <f>AW94+AX94</f>
        <v>0</v>
      </c>
      <c r="AW94" s="4">
        <f>H94*AO94</f>
        <v>0</v>
      </c>
      <c r="AX94" s="4">
        <f>H94*AP94</f>
        <v>0</v>
      </c>
      <c r="AY94" s="14" t="s">
        <v>68</v>
      </c>
      <c r="AZ94" s="14" t="s">
        <v>774</v>
      </c>
      <c r="BA94" s="30" t="s">
        <v>694</v>
      </c>
      <c r="BC94" s="4">
        <f>AW94+AX94</f>
        <v>0</v>
      </c>
      <c r="BD94" s="4">
        <f>I94/(100-BE94)*100</f>
        <v>0</v>
      </c>
      <c r="BE94" s="4">
        <v>0</v>
      </c>
      <c r="BF94" s="4">
        <f>94</f>
        <v>94</v>
      </c>
      <c r="BH94" s="4">
        <f>H94*AO94</f>
        <v>0</v>
      </c>
      <c r="BI94" s="4">
        <f>H94*AP94</f>
        <v>0</v>
      </c>
      <c r="BJ94" s="4">
        <f>H94*I94</f>
        <v>0</v>
      </c>
      <c r="BK94" s="4"/>
      <c r="BL94" s="4">
        <v>89</v>
      </c>
    </row>
    <row r="95" spans="1:64" ht="15" customHeight="1">
      <c r="A95" s="22" t="s">
        <v>436</v>
      </c>
      <c r="B95" s="9" t="s">
        <v>901</v>
      </c>
      <c r="C95" s="53" t="s">
        <v>884</v>
      </c>
      <c r="D95" s="53"/>
      <c r="E95" s="53"/>
      <c r="F95" s="53"/>
      <c r="G95" s="9" t="s">
        <v>232</v>
      </c>
      <c r="H95" s="4">
        <v>1</v>
      </c>
      <c r="I95" s="4">
        <v>0</v>
      </c>
      <c r="J95" s="4">
        <f>H95*AO95</f>
        <v>0</v>
      </c>
      <c r="K95" s="4">
        <f>H95*AP95</f>
        <v>0</v>
      </c>
      <c r="L95" s="4">
        <f>H95*I95</f>
        <v>0</v>
      </c>
      <c r="M95" s="17" t="s">
        <v>619</v>
      </c>
      <c r="Z95" s="4">
        <f>IF(AQ95="5",BJ95,0)</f>
        <v>0</v>
      </c>
      <c r="AB95" s="4">
        <f>IF(AQ95="1",BH95,0)</f>
        <v>0</v>
      </c>
      <c r="AC95" s="4">
        <f>IF(AQ95="1",BI95,0)</f>
        <v>0</v>
      </c>
      <c r="AD95" s="4">
        <f>IF(AQ95="7",BH95,0)</f>
        <v>0</v>
      </c>
      <c r="AE95" s="4">
        <f>IF(AQ95="7",BI95,0)</f>
        <v>0</v>
      </c>
      <c r="AF95" s="4">
        <f>IF(AQ95="2",BH95,0)</f>
        <v>0</v>
      </c>
      <c r="AG95" s="4">
        <f>IF(AQ95="2",BI95,0)</f>
        <v>0</v>
      </c>
      <c r="AH95" s="4">
        <f>IF(AQ95="0",BJ95,0)</f>
        <v>0</v>
      </c>
      <c r="AI95" s="30" t="s">
        <v>630</v>
      </c>
      <c r="AJ95" s="4">
        <f>IF(AN95=0,L95,0)</f>
        <v>0</v>
      </c>
      <c r="AK95" s="4">
        <f>IF(AN95=15,L95,0)</f>
        <v>0</v>
      </c>
      <c r="AL95" s="4">
        <f>IF(AN95=21,L95,0)</f>
        <v>0</v>
      </c>
      <c r="AN95" s="4">
        <v>21</v>
      </c>
      <c r="AO95" s="4">
        <f>I95*1</f>
        <v>0</v>
      </c>
      <c r="AP95" s="4">
        <f>I95*(1-1)</f>
        <v>0</v>
      </c>
      <c r="AQ95" s="14" t="s">
        <v>903</v>
      </c>
      <c r="AV95" s="4">
        <f>AW95+AX95</f>
        <v>0</v>
      </c>
      <c r="AW95" s="4">
        <f>H95*AO95</f>
        <v>0</v>
      </c>
      <c r="AX95" s="4">
        <f>H95*AP95</f>
        <v>0</v>
      </c>
      <c r="AY95" s="14" t="s">
        <v>68</v>
      </c>
      <c r="AZ95" s="14" t="s">
        <v>774</v>
      </c>
      <c r="BA95" s="30" t="s">
        <v>694</v>
      </c>
      <c r="BC95" s="4">
        <f>AW95+AX95</f>
        <v>0</v>
      </c>
      <c r="BD95" s="4">
        <f>I95/(100-BE95)*100</f>
        <v>0</v>
      </c>
      <c r="BE95" s="4">
        <v>0</v>
      </c>
      <c r="BF95" s="4">
        <f>95</f>
        <v>95</v>
      </c>
      <c r="BH95" s="4">
        <f>H95*AO95</f>
        <v>0</v>
      </c>
      <c r="BI95" s="4">
        <f>H95*AP95</f>
        <v>0</v>
      </c>
      <c r="BJ95" s="4">
        <f>H95*I95</f>
        <v>0</v>
      </c>
      <c r="BK95" s="4"/>
      <c r="BL95" s="4">
        <v>89</v>
      </c>
    </row>
    <row r="96" spans="1:64" ht="15" customHeight="1">
      <c r="A96" s="22" t="s">
        <v>836</v>
      </c>
      <c r="B96" s="9" t="s">
        <v>18</v>
      </c>
      <c r="C96" s="53" t="s">
        <v>892</v>
      </c>
      <c r="D96" s="53"/>
      <c r="E96" s="53"/>
      <c r="F96" s="53"/>
      <c r="G96" s="9" t="s">
        <v>232</v>
      </c>
      <c r="H96" s="4">
        <v>1</v>
      </c>
      <c r="I96" s="4">
        <v>0</v>
      </c>
      <c r="J96" s="4">
        <f>H96*AO96</f>
        <v>0</v>
      </c>
      <c r="K96" s="4">
        <f>H96*AP96</f>
        <v>0</v>
      </c>
      <c r="L96" s="4">
        <f>H96*I96</f>
        <v>0</v>
      </c>
      <c r="M96" s="17" t="s">
        <v>619</v>
      </c>
      <c r="Z96" s="4">
        <f>IF(AQ96="5",BJ96,0)</f>
        <v>0</v>
      </c>
      <c r="AB96" s="4">
        <f>IF(AQ96="1",BH96,0)</f>
        <v>0</v>
      </c>
      <c r="AC96" s="4">
        <f>IF(AQ96="1",BI96,0)</f>
        <v>0</v>
      </c>
      <c r="AD96" s="4">
        <f>IF(AQ96="7",BH96,0)</f>
        <v>0</v>
      </c>
      <c r="AE96" s="4">
        <f>IF(AQ96="7",BI96,0)</f>
        <v>0</v>
      </c>
      <c r="AF96" s="4">
        <f>IF(AQ96="2",BH96,0)</f>
        <v>0</v>
      </c>
      <c r="AG96" s="4">
        <f>IF(AQ96="2",BI96,0)</f>
        <v>0</v>
      </c>
      <c r="AH96" s="4">
        <f>IF(AQ96="0",BJ96,0)</f>
        <v>0</v>
      </c>
      <c r="AI96" s="30" t="s">
        <v>630</v>
      </c>
      <c r="AJ96" s="4">
        <f>IF(AN96=0,L96,0)</f>
        <v>0</v>
      </c>
      <c r="AK96" s="4">
        <f>IF(AN96=15,L96,0)</f>
        <v>0</v>
      </c>
      <c r="AL96" s="4">
        <f>IF(AN96=21,L96,0)</f>
        <v>0</v>
      </c>
      <c r="AN96" s="4">
        <v>21</v>
      </c>
      <c r="AO96" s="4">
        <f>I96*0.826916666666667</f>
        <v>0</v>
      </c>
      <c r="AP96" s="4">
        <f>I96*(1-0.826916666666667)</f>
        <v>0</v>
      </c>
      <c r="AQ96" s="14" t="s">
        <v>903</v>
      </c>
      <c r="AV96" s="4">
        <f>AW96+AX96</f>
        <v>0</v>
      </c>
      <c r="AW96" s="4">
        <f>H96*AO96</f>
        <v>0</v>
      </c>
      <c r="AX96" s="4">
        <f>H96*AP96</f>
        <v>0</v>
      </c>
      <c r="AY96" s="14" t="s">
        <v>68</v>
      </c>
      <c r="AZ96" s="14" t="s">
        <v>774</v>
      </c>
      <c r="BA96" s="30" t="s">
        <v>694</v>
      </c>
      <c r="BC96" s="4">
        <f>AW96+AX96</f>
        <v>0</v>
      </c>
      <c r="BD96" s="4">
        <f>I96/(100-BE96)*100</f>
        <v>0</v>
      </c>
      <c r="BE96" s="4">
        <v>0</v>
      </c>
      <c r="BF96" s="4">
        <f>96</f>
        <v>96</v>
      </c>
      <c r="BH96" s="4">
        <f>H96*AO96</f>
        <v>0</v>
      </c>
      <c r="BI96" s="4">
        <f>H96*AP96</f>
        <v>0</v>
      </c>
      <c r="BJ96" s="4">
        <f>H96*I96</f>
        <v>0</v>
      </c>
      <c r="BK96" s="4"/>
      <c r="BL96" s="4">
        <v>89</v>
      </c>
    </row>
    <row r="97" spans="1:64" ht="13.5" customHeight="1">
      <c r="A97" s="13"/>
      <c r="B97" s="18" t="s">
        <v>473</v>
      </c>
      <c r="C97" s="54" t="s">
        <v>195</v>
      </c>
      <c r="D97" s="55"/>
      <c r="E97" s="55"/>
      <c r="F97" s="55"/>
      <c r="G97" s="55"/>
      <c r="H97" s="55"/>
      <c r="I97" s="55"/>
      <c r="J97" s="55"/>
      <c r="K97" s="55"/>
      <c r="L97" s="55"/>
      <c r="M97" s="56"/>
    </row>
    <row r="98" spans="1:64" ht="15" customHeight="1">
      <c r="A98" s="12" t="s">
        <v>630</v>
      </c>
      <c r="B98" s="32" t="s">
        <v>32</v>
      </c>
      <c r="C98" s="61" t="s">
        <v>338</v>
      </c>
      <c r="D98" s="61"/>
      <c r="E98" s="61"/>
      <c r="F98" s="61"/>
      <c r="G98" s="45" t="s">
        <v>839</v>
      </c>
      <c r="H98" s="45" t="s">
        <v>839</v>
      </c>
      <c r="I98" s="45" t="s">
        <v>839</v>
      </c>
      <c r="J98" s="49">
        <f>SUM(J99:J99)</f>
        <v>0</v>
      </c>
      <c r="K98" s="49">
        <f>SUM(K99:K99)</f>
        <v>0</v>
      </c>
      <c r="L98" s="49">
        <f>SUM(L99:L99)</f>
        <v>0</v>
      </c>
      <c r="M98" s="29" t="s">
        <v>630</v>
      </c>
      <c r="AI98" s="30" t="s">
        <v>630</v>
      </c>
      <c r="AS98" s="49">
        <f>SUM(AJ99:AJ99)</f>
        <v>0</v>
      </c>
      <c r="AT98" s="49">
        <f>SUM(AK99:AK99)</f>
        <v>0</v>
      </c>
      <c r="AU98" s="49">
        <f>SUM(AL99:AL99)</f>
        <v>0</v>
      </c>
    </row>
    <row r="99" spans="1:64" ht="15" customHeight="1">
      <c r="A99" s="22" t="s">
        <v>599</v>
      </c>
      <c r="B99" s="9" t="s">
        <v>950</v>
      </c>
      <c r="C99" s="53" t="s">
        <v>71</v>
      </c>
      <c r="D99" s="53"/>
      <c r="E99" s="53"/>
      <c r="F99" s="53"/>
      <c r="G99" s="9" t="s">
        <v>750</v>
      </c>
      <c r="H99" s="4">
        <v>4.5</v>
      </c>
      <c r="I99" s="4">
        <v>0</v>
      </c>
      <c r="J99" s="4">
        <f>H99*AO99</f>
        <v>0</v>
      </c>
      <c r="K99" s="4">
        <f>H99*AP99</f>
        <v>0</v>
      </c>
      <c r="L99" s="4">
        <f>H99*I99</f>
        <v>0</v>
      </c>
      <c r="M99" s="17" t="s">
        <v>619</v>
      </c>
      <c r="Z99" s="4">
        <f>IF(AQ99="5",BJ99,0)</f>
        <v>0</v>
      </c>
      <c r="AB99" s="4">
        <f>IF(AQ99="1",BH99,0)</f>
        <v>0</v>
      </c>
      <c r="AC99" s="4">
        <f>IF(AQ99="1",BI99,0)</f>
        <v>0</v>
      </c>
      <c r="AD99" s="4">
        <f>IF(AQ99="7",BH99,0)</f>
        <v>0</v>
      </c>
      <c r="AE99" s="4">
        <f>IF(AQ99="7",BI99,0)</f>
        <v>0</v>
      </c>
      <c r="AF99" s="4">
        <f>IF(AQ99="2",BH99,0)</f>
        <v>0</v>
      </c>
      <c r="AG99" s="4">
        <f>IF(AQ99="2",BI99,0)</f>
        <v>0</v>
      </c>
      <c r="AH99" s="4">
        <f>IF(AQ99="0",BJ99,0)</f>
        <v>0</v>
      </c>
      <c r="AI99" s="30" t="s">
        <v>630</v>
      </c>
      <c r="AJ99" s="4">
        <f>IF(AN99=0,L99,0)</f>
        <v>0</v>
      </c>
      <c r="AK99" s="4">
        <f>IF(AN99=15,L99,0)</f>
        <v>0</v>
      </c>
      <c r="AL99" s="4">
        <f>IF(AN99=21,L99,0)</f>
        <v>0</v>
      </c>
      <c r="AN99" s="4">
        <v>21</v>
      </c>
      <c r="AO99" s="4">
        <f>I99*0.753368237347295</f>
        <v>0</v>
      </c>
      <c r="AP99" s="4">
        <f>I99*(1-0.753368237347295)</f>
        <v>0</v>
      </c>
      <c r="AQ99" s="14" t="s">
        <v>903</v>
      </c>
      <c r="AV99" s="4">
        <f>AW99+AX99</f>
        <v>0</v>
      </c>
      <c r="AW99" s="4">
        <f>H99*AO99</f>
        <v>0</v>
      </c>
      <c r="AX99" s="4">
        <f>H99*AP99</f>
        <v>0</v>
      </c>
      <c r="AY99" s="14" t="s">
        <v>883</v>
      </c>
      <c r="AZ99" s="14" t="s">
        <v>334</v>
      </c>
      <c r="BA99" s="30" t="s">
        <v>694</v>
      </c>
      <c r="BC99" s="4">
        <f>AW99+AX99</f>
        <v>0</v>
      </c>
      <c r="BD99" s="4">
        <f>I99/(100-BE99)*100</f>
        <v>0</v>
      </c>
      <c r="BE99" s="4">
        <v>0</v>
      </c>
      <c r="BF99" s="4">
        <f>99</f>
        <v>99</v>
      </c>
      <c r="BH99" s="4">
        <f>H99*AO99</f>
        <v>0</v>
      </c>
      <c r="BI99" s="4">
        <f>H99*AP99</f>
        <v>0</v>
      </c>
      <c r="BJ99" s="4">
        <f>H99*I99</f>
        <v>0</v>
      </c>
      <c r="BK99" s="4"/>
      <c r="BL99" s="4">
        <v>91</v>
      </c>
    </row>
    <row r="100" spans="1:64" ht="13.5" customHeight="1">
      <c r="A100" s="13"/>
      <c r="B100" s="18" t="s">
        <v>473</v>
      </c>
      <c r="C100" s="54" t="s">
        <v>728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6"/>
    </row>
    <row r="101" spans="1:64" ht="15" customHeight="1">
      <c r="A101" s="12" t="s">
        <v>630</v>
      </c>
      <c r="B101" s="32" t="s">
        <v>820</v>
      </c>
      <c r="C101" s="61" t="s">
        <v>360</v>
      </c>
      <c r="D101" s="61"/>
      <c r="E101" s="61"/>
      <c r="F101" s="61"/>
      <c r="G101" s="45" t="s">
        <v>839</v>
      </c>
      <c r="H101" s="45" t="s">
        <v>839</v>
      </c>
      <c r="I101" s="45" t="s">
        <v>839</v>
      </c>
      <c r="J101" s="49">
        <f>SUM(J102:J102)</f>
        <v>0</v>
      </c>
      <c r="K101" s="49">
        <f>SUM(K102:K102)</f>
        <v>0</v>
      </c>
      <c r="L101" s="49">
        <f>SUM(L102:L102)</f>
        <v>0</v>
      </c>
      <c r="M101" s="29" t="s">
        <v>630</v>
      </c>
      <c r="AI101" s="30" t="s">
        <v>630</v>
      </c>
      <c r="AS101" s="49">
        <f>SUM(AJ102:AJ102)</f>
        <v>0</v>
      </c>
      <c r="AT101" s="49">
        <f>SUM(AK102:AK102)</f>
        <v>0</v>
      </c>
      <c r="AU101" s="49">
        <f>SUM(AL102:AL102)</f>
        <v>0</v>
      </c>
    </row>
    <row r="102" spans="1:64" ht="15" customHeight="1">
      <c r="A102" s="22" t="s">
        <v>578</v>
      </c>
      <c r="B102" s="9" t="s">
        <v>187</v>
      </c>
      <c r="C102" s="53" t="s">
        <v>825</v>
      </c>
      <c r="D102" s="53"/>
      <c r="E102" s="53"/>
      <c r="F102" s="53"/>
      <c r="G102" s="9" t="s">
        <v>891</v>
      </c>
      <c r="H102" s="4">
        <v>7.62</v>
      </c>
      <c r="I102" s="4">
        <v>0</v>
      </c>
      <c r="J102" s="4">
        <f>H102*AO102</f>
        <v>0</v>
      </c>
      <c r="K102" s="4">
        <f>H102*AP102</f>
        <v>0</v>
      </c>
      <c r="L102" s="4">
        <f>H102*I102</f>
        <v>0</v>
      </c>
      <c r="M102" s="17" t="s">
        <v>619</v>
      </c>
      <c r="Z102" s="4">
        <f>IF(AQ102="5",BJ102,0)</f>
        <v>0</v>
      </c>
      <c r="AB102" s="4">
        <f>IF(AQ102="1",BH102,0)</f>
        <v>0</v>
      </c>
      <c r="AC102" s="4">
        <f>IF(AQ102="1",BI102,0)</f>
        <v>0</v>
      </c>
      <c r="AD102" s="4">
        <f>IF(AQ102="7",BH102,0)</f>
        <v>0</v>
      </c>
      <c r="AE102" s="4">
        <f>IF(AQ102="7",BI102,0)</f>
        <v>0</v>
      </c>
      <c r="AF102" s="4">
        <f>IF(AQ102="2",BH102,0)</f>
        <v>0</v>
      </c>
      <c r="AG102" s="4">
        <f>IF(AQ102="2",BI102,0)</f>
        <v>0</v>
      </c>
      <c r="AH102" s="4">
        <f>IF(AQ102="0",BJ102,0)</f>
        <v>0</v>
      </c>
      <c r="AI102" s="30" t="s">
        <v>630</v>
      </c>
      <c r="AJ102" s="4">
        <f>IF(AN102=0,L102,0)</f>
        <v>0</v>
      </c>
      <c r="AK102" s="4">
        <f>IF(AN102=15,L102,0)</f>
        <v>0</v>
      </c>
      <c r="AL102" s="4">
        <f>IF(AN102=21,L102,0)</f>
        <v>0</v>
      </c>
      <c r="AN102" s="4">
        <v>21</v>
      </c>
      <c r="AO102" s="4">
        <f>I102*0.560889713210054</f>
        <v>0</v>
      </c>
      <c r="AP102" s="4">
        <f>I102*(1-0.560889713210054)</f>
        <v>0</v>
      </c>
      <c r="AQ102" s="14" t="s">
        <v>903</v>
      </c>
      <c r="AV102" s="4">
        <f>AW102+AX102</f>
        <v>0</v>
      </c>
      <c r="AW102" s="4">
        <f>H102*AO102</f>
        <v>0</v>
      </c>
      <c r="AX102" s="4">
        <f>H102*AP102</f>
        <v>0</v>
      </c>
      <c r="AY102" s="14" t="s">
        <v>930</v>
      </c>
      <c r="AZ102" s="14" t="s">
        <v>334</v>
      </c>
      <c r="BA102" s="30" t="s">
        <v>694</v>
      </c>
      <c r="BC102" s="4">
        <f>AW102+AX102</f>
        <v>0</v>
      </c>
      <c r="BD102" s="4">
        <f>I102/(100-BE102)*100</f>
        <v>0</v>
      </c>
      <c r="BE102" s="4">
        <v>0</v>
      </c>
      <c r="BF102" s="4">
        <f>102</f>
        <v>102</v>
      </c>
      <c r="BH102" s="4">
        <f>H102*AO102</f>
        <v>0</v>
      </c>
      <c r="BI102" s="4">
        <f>H102*AP102</f>
        <v>0</v>
      </c>
      <c r="BJ102" s="4">
        <f>H102*I102</f>
        <v>0</v>
      </c>
      <c r="BK102" s="4"/>
      <c r="BL102" s="4">
        <v>93</v>
      </c>
    </row>
    <row r="103" spans="1:64" ht="15" customHeight="1">
      <c r="A103" s="12" t="s">
        <v>630</v>
      </c>
      <c r="B103" s="32" t="s">
        <v>101</v>
      </c>
      <c r="C103" s="61" t="s">
        <v>640</v>
      </c>
      <c r="D103" s="61"/>
      <c r="E103" s="61"/>
      <c r="F103" s="61"/>
      <c r="G103" s="45" t="s">
        <v>839</v>
      </c>
      <c r="H103" s="45" t="s">
        <v>839</v>
      </c>
      <c r="I103" s="45" t="s">
        <v>839</v>
      </c>
      <c r="J103" s="49">
        <f>SUM(J104:J104)</f>
        <v>0</v>
      </c>
      <c r="K103" s="49">
        <f>SUM(K104:K104)</f>
        <v>0</v>
      </c>
      <c r="L103" s="49">
        <f>SUM(L104:L104)</f>
        <v>0</v>
      </c>
      <c r="M103" s="29" t="s">
        <v>630</v>
      </c>
      <c r="AI103" s="30" t="s">
        <v>630</v>
      </c>
      <c r="AS103" s="49">
        <f>SUM(AJ104:AJ104)</f>
        <v>0</v>
      </c>
      <c r="AT103" s="49">
        <f>SUM(AK104:AK104)</f>
        <v>0</v>
      </c>
      <c r="AU103" s="49">
        <f>SUM(AL104:AL104)</f>
        <v>0</v>
      </c>
    </row>
    <row r="104" spans="1:64" ht="15" customHeight="1">
      <c r="A104" s="22" t="s">
        <v>857</v>
      </c>
      <c r="B104" s="9" t="s">
        <v>245</v>
      </c>
      <c r="C104" s="53" t="s">
        <v>322</v>
      </c>
      <c r="D104" s="53"/>
      <c r="E104" s="53"/>
      <c r="F104" s="53"/>
      <c r="G104" s="9" t="s">
        <v>891</v>
      </c>
      <c r="H104" s="4">
        <v>357.28</v>
      </c>
      <c r="I104" s="4">
        <v>0</v>
      </c>
      <c r="J104" s="4">
        <f>H104*AO104</f>
        <v>0</v>
      </c>
      <c r="K104" s="4">
        <f>H104*AP104</f>
        <v>0</v>
      </c>
      <c r="L104" s="4">
        <f>H104*I104</f>
        <v>0</v>
      </c>
      <c r="M104" s="17" t="s">
        <v>619</v>
      </c>
      <c r="Z104" s="4">
        <f>IF(AQ104="5",BJ104,0)</f>
        <v>0</v>
      </c>
      <c r="AB104" s="4">
        <f>IF(AQ104="1",BH104,0)</f>
        <v>0</v>
      </c>
      <c r="AC104" s="4">
        <f>IF(AQ104="1",BI104,0)</f>
        <v>0</v>
      </c>
      <c r="AD104" s="4">
        <f>IF(AQ104="7",BH104,0)</f>
        <v>0</v>
      </c>
      <c r="AE104" s="4">
        <f>IF(AQ104="7",BI104,0)</f>
        <v>0</v>
      </c>
      <c r="AF104" s="4">
        <f>IF(AQ104="2",BH104,0)</f>
        <v>0</v>
      </c>
      <c r="AG104" s="4">
        <f>IF(AQ104="2",BI104,0)</f>
        <v>0</v>
      </c>
      <c r="AH104" s="4">
        <f>IF(AQ104="0",BJ104,0)</f>
        <v>0</v>
      </c>
      <c r="AI104" s="30" t="s">
        <v>630</v>
      </c>
      <c r="AJ104" s="4">
        <f>IF(AN104=0,L104,0)</f>
        <v>0</v>
      </c>
      <c r="AK104" s="4">
        <f>IF(AN104=15,L104,0)</f>
        <v>0</v>
      </c>
      <c r="AL104" s="4">
        <f>IF(AN104=21,L104,0)</f>
        <v>0</v>
      </c>
      <c r="AN104" s="4">
        <v>21</v>
      </c>
      <c r="AO104" s="4">
        <f>I104*0.378970432248544</f>
        <v>0</v>
      </c>
      <c r="AP104" s="4">
        <f>I104*(1-0.378970432248544)</f>
        <v>0</v>
      </c>
      <c r="AQ104" s="14" t="s">
        <v>903</v>
      </c>
      <c r="AV104" s="4">
        <f>AW104+AX104</f>
        <v>0</v>
      </c>
      <c r="AW104" s="4">
        <f>H104*AO104</f>
        <v>0</v>
      </c>
      <c r="AX104" s="4">
        <f>H104*AP104</f>
        <v>0</v>
      </c>
      <c r="AY104" s="14" t="s">
        <v>989</v>
      </c>
      <c r="AZ104" s="14" t="s">
        <v>334</v>
      </c>
      <c r="BA104" s="30" t="s">
        <v>694</v>
      </c>
      <c r="BC104" s="4">
        <f>AW104+AX104</f>
        <v>0</v>
      </c>
      <c r="BD104" s="4">
        <f>I104/(100-BE104)*100</f>
        <v>0</v>
      </c>
      <c r="BE104" s="4">
        <v>0</v>
      </c>
      <c r="BF104" s="4">
        <f>104</f>
        <v>104</v>
      </c>
      <c r="BH104" s="4">
        <f>H104*AO104</f>
        <v>0</v>
      </c>
      <c r="BI104" s="4">
        <f>H104*AP104</f>
        <v>0</v>
      </c>
      <c r="BJ104" s="4">
        <f>H104*I104</f>
        <v>0</v>
      </c>
      <c r="BK104" s="4"/>
      <c r="BL104" s="4">
        <v>94</v>
      </c>
    </row>
    <row r="105" spans="1:64" ht="15" customHeight="1">
      <c r="A105" s="12" t="s">
        <v>630</v>
      </c>
      <c r="B105" s="32" t="s">
        <v>367</v>
      </c>
      <c r="C105" s="61" t="s">
        <v>674</v>
      </c>
      <c r="D105" s="61"/>
      <c r="E105" s="61"/>
      <c r="F105" s="61"/>
      <c r="G105" s="45" t="s">
        <v>839</v>
      </c>
      <c r="H105" s="45" t="s">
        <v>839</v>
      </c>
      <c r="I105" s="45" t="s">
        <v>839</v>
      </c>
      <c r="J105" s="49">
        <f>SUM(J106:J107)</f>
        <v>0</v>
      </c>
      <c r="K105" s="49">
        <f>SUM(K106:K107)</f>
        <v>0</v>
      </c>
      <c r="L105" s="49">
        <f>SUM(L106:L107)</f>
        <v>0</v>
      </c>
      <c r="M105" s="29" t="s">
        <v>630</v>
      </c>
      <c r="AI105" s="30" t="s">
        <v>630</v>
      </c>
      <c r="AS105" s="49">
        <f>SUM(AJ106:AJ107)</f>
        <v>0</v>
      </c>
      <c r="AT105" s="49">
        <f>SUM(AK106:AK107)</f>
        <v>0</v>
      </c>
      <c r="AU105" s="49">
        <f>SUM(AL106:AL107)</f>
        <v>0</v>
      </c>
    </row>
    <row r="106" spans="1:64" ht="15" customHeight="1">
      <c r="A106" s="22" t="s">
        <v>540</v>
      </c>
      <c r="B106" s="9" t="s">
        <v>796</v>
      </c>
      <c r="C106" s="53" t="s">
        <v>294</v>
      </c>
      <c r="D106" s="53"/>
      <c r="E106" s="53"/>
      <c r="F106" s="53"/>
      <c r="G106" s="9" t="s">
        <v>891</v>
      </c>
      <c r="H106" s="4">
        <v>357.28</v>
      </c>
      <c r="I106" s="4">
        <v>0</v>
      </c>
      <c r="J106" s="4">
        <f>H106*AO106</f>
        <v>0</v>
      </c>
      <c r="K106" s="4">
        <f>H106*AP106</f>
        <v>0</v>
      </c>
      <c r="L106" s="4">
        <f>H106*I106</f>
        <v>0</v>
      </c>
      <c r="M106" s="17" t="s">
        <v>619</v>
      </c>
      <c r="Z106" s="4">
        <f>IF(AQ106="5",BJ106,0)</f>
        <v>0</v>
      </c>
      <c r="AB106" s="4">
        <f>IF(AQ106="1",BH106,0)</f>
        <v>0</v>
      </c>
      <c r="AC106" s="4">
        <f>IF(AQ106="1",BI106,0)</f>
        <v>0</v>
      </c>
      <c r="AD106" s="4">
        <f>IF(AQ106="7",BH106,0)</f>
        <v>0</v>
      </c>
      <c r="AE106" s="4">
        <f>IF(AQ106="7",BI106,0)</f>
        <v>0</v>
      </c>
      <c r="AF106" s="4">
        <f>IF(AQ106="2",BH106,0)</f>
        <v>0</v>
      </c>
      <c r="AG106" s="4">
        <f>IF(AQ106="2",BI106,0)</f>
        <v>0</v>
      </c>
      <c r="AH106" s="4">
        <f>IF(AQ106="0",BJ106,0)</f>
        <v>0</v>
      </c>
      <c r="AI106" s="30" t="s">
        <v>630</v>
      </c>
      <c r="AJ106" s="4">
        <f>IF(AN106=0,L106,0)</f>
        <v>0</v>
      </c>
      <c r="AK106" s="4">
        <f>IF(AN106=15,L106,0)</f>
        <v>0</v>
      </c>
      <c r="AL106" s="4">
        <f>IF(AN106=21,L106,0)</f>
        <v>0</v>
      </c>
      <c r="AN106" s="4">
        <v>21</v>
      </c>
      <c r="AO106" s="4">
        <f>I106*0.0135315872493976</f>
        <v>0</v>
      </c>
      <c r="AP106" s="4">
        <f>I106*(1-0.0135315872493976)</f>
        <v>0</v>
      </c>
      <c r="AQ106" s="14" t="s">
        <v>903</v>
      </c>
      <c r="AV106" s="4">
        <f>AW106+AX106</f>
        <v>0</v>
      </c>
      <c r="AW106" s="4">
        <f>H106*AO106</f>
        <v>0</v>
      </c>
      <c r="AX106" s="4">
        <f>H106*AP106</f>
        <v>0</v>
      </c>
      <c r="AY106" s="14" t="s">
        <v>563</v>
      </c>
      <c r="AZ106" s="14" t="s">
        <v>334</v>
      </c>
      <c r="BA106" s="30" t="s">
        <v>694</v>
      </c>
      <c r="BC106" s="4">
        <f>AW106+AX106</f>
        <v>0</v>
      </c>
      <c r="BD106" s="4">
        <f>I106/(100-BE106)*100</f>
        <v>0</v>
      </c>
      <c r="BE106" s="4">
        <v>0</v>
      </c>
      <c r="BF106" s="4">
        <f>106</f>
        <v>106</v>
      </c>
      <c r="BH106" s="4">
        <f>H106*AO106</f>
        <v>0</v>
      </c>
      <c r="BI106" s="4">
        <f>H106*AP106</f>
        <v>0</v>
      </c>
      <c r="BJ106" s="4">
        <f>H106*I106</f>
        <v>0</v>
      </c>
      <c r="BK106" s="4"/>
      <c r="BL106" s="4">
        <v>95</v>
      </c>
    </row>
    <row r="107" spans="1:64" ht="15" customHeight="1">
      <c r="A107" s="22" t="s">
        <v>426</v>
      </c>
      <c r="B107" s="9" t="s">
        <v>932</v>
      </c>
      <c r="C107" s="53" t="s">
        <v>661</v>
      </c>
      <c r="D107" s="53"/>
      <c r="E107" s="53"/>
      <c r="F107" s="53"/>
      <c r="G107" s="9" t="s">
        <v>695</v>
      </c>
      <c r="H107" s="4">
        <v>1</v>
      </c>
      <c r="I107" s="4">
        <v>0</v>
      </c>
      <c r="J107" s="4">
        <f>H107*AO107</f>
        <v>0</v>
      </c>
      <c r="K107" s="4">
        <f>H107*AP107</f>
        <v>0</v>
      </c>
      <c r="L107" s="4">
        <f>H107*I107</f>
        <v>0</v>
      </c>
      <c r="M107" s="17" t="s">
        <v>630</v>
      </c>
      <c r="Z107" s="4">
        <f>IF(AQ107="5",BJ107,0)</f>
        <v>0</v>
      </c>
      <c r="AB107" s="4">
        <f>IF(AQ107="1",BH107,0)</f>
        <v>0</v>
      </c>
      <c r="AC107" s="4">
        <f>IF(AQ107="1",BI107,0)</f>
        <v>0</v>
      </c>
      <c r="AD107" s="4">
        <f>IF(AQ107="7",BH107,0)</f>
        <v>0</v>
      </c>
      <c r="AE107" s="4">
        <f>IF(AQ107="7",BI107,0)</f>
        <v>0</v>
      </c>
      <c r="AF107" s="4">
        <f>IF(AQ107="2",BH107,0)</f>
        <v>0</v>
      </c>
      <c r="AG107" s="4">
        <f>IF(AQ107="2",BI107,0)</f>
        <v>0</v>
      </c>
      <c r="AH107" s="4">
        <f>IF(AQ107="0",BJ107,0)</f>
        <v>0</v>
      </c>
      <c r="AI107" s="30" t="s">
        <v>630</v>
      </c>
      <c r="AJ107" s="4">
        <f>IF(AN107=0,L107,0)</f>
        <v>0</v>
      </c>
      <c r="AK107" s="4">
        <f>IF(AN107=15,L107,0)</f>
        <v>0</v>
      </c>
      <c r="AL107" s="4">
        <f>IF(AN107=21,L107,0)</f>
        <v>0</v>
      </c>
      <c r="AN107" s="4">
        <v>21</v>
      </c>
      <c r="AO107" s="4">
        <f>I107*0.8</f>
        <v>0</v>
      </c>
      <c r="AP107" s="4">
        <f>I107*(1-0.8)</f>
        <v>0</v>
      </c>
      <c r="AQ107" s="14" t="s">
        <v>903</v>
      </c>
      <c r="AV107" s="4">
        <f>AW107+AX107</f>
        <v>0</v>
      </c>
      <c r="AW107" s="4">
        <f>H107*AO107</f>
        <v>0</v>
      </c>
      <c r="AX107" s="4">
        <f>H107*AP107</f>
        <v>0</v>
      </c>
      <c r="AY107" s="14" t="s">
        <v>563</v>
      </c>
      <c r="AZ107" s="14" t="s">
        <v>334</v>
      </c>
      <c r="BA107" s="30" t="s">
        <v>694</v>
      </c>
      <c r="BC107" s="4">
        <f>AW107+AX107</f>
        <v>0</v>
      </c>
      <c r="BD107" s="4">
        <f>I107/(100-BE107)*100</f>
        <v>0</v>
      </c>
      <c r="BE107" s="4">
        <v>0</v>
      </c>
      <c r="BF107" s="4">
        <f>107</f>
        <v>107</v>
      </c>
      <c r="BH107" s="4">
        <f>H107*AO107</f>
        <v>0</v>
      </c>
      <c r="BI107" s="4">
        <f>H107*AP107</f>
        <v>0</v>
      </c>
      <c r="BJ107" s="4">
        <f>H107*I107</f>
        <v>0</v>
      </c>
      <c r="BK107" s="4"/>
      <c r="BL107" s="4">
        <v>95</v>
      </c>
    </row>
    <row r="108" spans="1:64" ht="13.5" customHeight="1">
      <c r="A108" s="13"/>
      <c r="B108" s="18" t="s">
        <v>473</v>
      </c>
      <c r="C108" s="54" t="s">
        <v>499</v>
      </c>
      <c r="D108" s="55"/>
      <c r="E108" s="55"/>
      <c r="F108" s="55"/>
      <c r="G108" s="55"/>
      <c r="H108" s="55"/>
      <c r="I108" s="55"/>
      <c r="J108" s="55"/>
      <c r="K108" s="55"/>
      <c r="L108" s="55"/>
      <c r="M108" s="56"/>
    </row>
    <row r="109" spans="1:64" ht="15" customHeight="1">
      <c r="A109" s="12" t="s">
        <v>630</v>
      </c>
      <c r="B109" s="32" t="s">
        <v>955</v>
      </c>
      <c r="C109" s="61" t="s">
        <v>553</v>
      </c>
      <c r="D109" s="61"/>
      <c r="E109" s="61"/>
      <c r="F109" s="61"/>
      <c r="G109" s="45" t="s">
        <v>839</v>
      </c>
      <c r="H109" s="45" t="s">
        <v>839</v>
      </c>
      <c r="I109" s="45" t="s">
        <v>839</v>
      </c>
      <c r="J109" s="49">
        <f>SUM(J110:J110)</f>
        <v>0</v>
      </c>
      <c r="K109" s="49">
        <f>SUM(K110:K110)</f>
        <v>0</v>
      </c>
      <c r="L109" s="49">
        <f>SUM(L110:L110)</f>
        <v>0</v>
      </c>
      <c r="M109" s="29" t="s">
        <v>630</v>
      </c>
      <c r="AI109" s="30" t="s">
        <v>630</v>
      </c>
      <c r="AS109" s="49">
        <f>SUM(AJ110:AJ110)</f>
        <v>0</v>
      </c>
      <c r="AT109" s="49">
        <f>SUM(AK110:AK110)</f>
        <v>0</v>
      </c>
      <c r="AU109" s="49">
        <f>SUM(AL110:AL110)</f>
        <v>0</v>
      </c>
    </row>
    <row r="110" spans="1:64" ht="15" customHeight="1">
      <c r="A110" s="22" t="s">
        <v>106</v>
      </c>
      <c r="B110" s="9" t="s">
        <v>186</v>
      </c>
      <c r="C110" s="53" t="s">
        <v>157</v>
      </c>
      <c r="D110" s="53"/>
      <c r="E110" s="53"/>
      <c r="F110" s="53"/>
      <c r="G110" s="9" t="s">
        <v>429</v>
      </c>
      <c r="H110" s="4">
        <v>116.11799999999999</v>
      </c>
      <c r="I110" s="4">
        <v>0</v>
      </c>
      <c r="J110" s="4">
        <f>H110*AO110</f>
        <v>0</v>
      </c>
      <c r="K110" s="4">
        <f>H110*AP110</f>
        <v>0</v>
      </c>
      <c r="L110" s="4">
        <f>H110*I110</f>
        <v>0</v>
      </c>
      <c r="M110" s="17" t="s">
        <v>619</v>
      </c>
      <c r="Z110" s="4">
        <f>IF(AQ110="5",BJ110,0)</f>
        <v>0</v>
      </c>
      <c r="AB110" s="4">
        <f>IF(AQ110="1",BH110,0)</f>
        <v>0</v>
      </c>
      <c r="AC110" s="4">
        <f>IF(AQ110="1",BI110,0)</f>
        <v>0</v>
      </c>
      <c r="AD110" s="4">
        <f>IF(AQ110="7",BH110,0)</f>
        <v>0</v>
      </c>
      <c r="AE110" s="4">
        <f>IF(AQ110="7",BI110,0)</f>
        <v>0</v>
      </c>
      <c r="AF110" s="4">
        <f>IF(AQ110="2",BH110,0)</f>
        <v>0</v>
      </c>
      <c r="AG110" s="4">
        <f>IF(AQ110="2",BI110,0)</f>
        <v>0</v>
      </c>
      <c r="AH110" s="4">
        <f>IF(AQ110="0",BJ110,0)</f>
        <v>0</v>
      </c>
      <c r="AI110" s="30" t="s">
        <v>630</v>
      </c>
      <c r="AJ110" s="4">
        <f>IF(AN110=0,L110,0)</f>
        <v>0</v>
      </c>
      <c r="AK110" s="4">
        <f>IF(AN110=15,L110,0)</f>
        <v>0</v>
      </c>
      <c r="AL110" s="4">
        <f>IF(AN110=21,L110,0)</f>
        <v>0</v>
      </c>
      <c r="AN110" s="4">
        <v>21</v>
      </c>
      <c r="AO110" s="4">
        <f>I110*0</f>
        <v>0</v>
      </c>
      <c r="AP110" s="4">
        <f>I110*(1-0)</f>
        <v>0</v>
      </c>
      <c r="AQ110" s="14" t="s">
        <v>488</v>
      </c>
      <c r="AV110" s="4">
        <f>AW110+AX110</f>
        <v>0</v>
      </c>
      <c r="AW110" s="4">
        <f>H110*AO110</f>
        <v>0</v>
      </c>
      <c r="AX110" s="4">
        <f>H110*AP110</f>
        <v>0</v>
      </c>
      <c r="AY110" s="14" t="s">
        <v>475</v>
      </c>
      <c r="AZ110" s="14" t="s">
        <v>334</v>
      </c>
      <c r="BA110" s="30" t="s">
        <v>694</v>
      </c>
      <c r="BC110" s="4">
        <f>AW110+AX110</f>
        <v>0</v>
      </c>
      <c r="BD110" s="4">
        <f>I110/(100-BE110)*100</f>
        <v>0</v>
      </c>
      <c r="BE110" s="4">
        <v>0</v>
      </c>
      <c r="BF110" s="4">
        <f>110</f>
        <v>110</v>
      </c>
      <c r="BH110" s="4">
        <f>H110*AO110</f>
        <v>0</v>
      </c>
      <c r="BI110" s="4">
        <f>H110*AP110</f>
        <v>0</v>
      </c>
      <c r="BJ110" s="4">
        <f>H110*I110</f>
        <v>0</v>
      </c>
      <c r="BK110" s="4"/>
      <c r="BL110" s="4"/>
    </row>
    <row r="111" spans="1:64" ht="15" customHeight="1">
      <c r="A111" s="12" t="s">
        <v>630</v>
      </c>
      <c r="B111" s="32" t="s">
        <v>517</v>
      </c>
      <c r="C111" s="61" t="s">
        <v>677</v>
      </c>
      <c r="D111" s="61"/>
      <c r="E111" s="61"/>
      <c r="F111" s="61"/>
      <c r="G111" s="45" t="s">
        <v>839</v>
      </c>
      <c r="H111" s="45" t="s">
        <v>839</v>
      </c>
      <c r="I111" s="45" t="s">
        <v>839</v>
      </c>
      <c r="J111" s="49">
        <f>SUM(J112:J134)</f>
        <v>0</v>
      </c>
      <c r="K111" s="49">
        <f>SUM(K112:K134)</f>
        <v>0</v>
      </c>
      <c r="L111" s="49">
        <f>SUM(L112:L134)</f>
        <v>0</v>
      </c>
      <c r="M111" s="29" t="s">
        <v>630</v>
      </c>
      <c r="AI111" s="30" t="s">
        <v>630</v>
      </c>
      <c r="AS111" s="49">
        <f>SUM(AJ112:AJ134)</f>
        <v>0</v>
      </c>
      <c r="AT111" s="49">
        <f>SUM(AK112:AK134)</f>
        <v>0</v>
      </c>
      <c r="AU111" s="49">
        <f>SUM(AL112:AL134)</f>
        <v>0</v>
      </c>
    </row>
    <row r="112" spans="1:64" ht="15" customHeight="1">
      <c r="A112" s="22" t="s">
        <v>657</v>
      </c>
      <c r="B112" s="9" t="s">
        <v>196</v>
      </c>
      <c r="C112" s="53" t="s">
        <v>353</v>
      </c>
      <c r="D112" s="53"/>
      <c r="E112" s="53"/>
      <c r="F112" s="53"/>
      <c r="G112" s="9" t="s">
        <v>891</v>
      </c>
      <c r="H112" s="4">
        <v>149.56</v>
      </c>
      <c r="I112" s="4">
        <v>0</v>
      </c>
      <c r="J112" s="4">
        <f>H112*AO112</f>
        <v>0</v>
      </c>
      <c r="K112" s="4">
        <f>H112*AP112</f>
        <v>0</v>
      </c>
      <c r="L112" s="4">
        <f>H112*I112</f>
        <v>0</v>
      </c>
      <c r="M112" s="17" t="s">
        <v>619</v>
      </c>
      <c r="Z112" s="4">
        <f>IF(AQ112="5",BJ112,0)</f>
        <v>0</v>
      </c>
      <c r="AB112" s="4">
        <f>IF(AQ112="1",BH112,0)</f>
        <v>0</v>
      </c>
      <c r="AC112" s="4">
        <f>IF(AQ112="1",BI112,0)</f>
        <v>0</v>
      </c>
      <c r="AD112" s="4">
        <f>IF(AQ112="7",BH112,0)</f>
        <v>0</v>
      </c>
      <c r="AE112" s="4">
        <f>IF(AQ112="7",BI112,0)</f>
        <v>0</v>
      </c>
      <c r="AF112" s="4">
        <f>IF(AQ112="2",BH112,0)</f>
        <v>0</v>
      </c>
      <c r="AG112" s="4">
        <f>IF(AQ112="2",BI112,0)</f>
        <v>0</v>
      </c>
      <c r="AH112" s="4">
        <f>IF(AQ112="0",BJ112,0)</f>
        <v>0</v>
      </c>
      <c r="AI112" s="30" t="s">
        <v>630</v>
      </c>
      <c r="AJ112" s="4">
        <f>IF(AN112=0,L112,0)</f>
        <v>0</v>
      </c>
      <c r="AK112" s="4">
        <f>IF(AN112=15,L112,0)</f>
        <v>0</v>
      </c>
      <c r="AL112" s="4">
        <f>IF(AN112=21,L112,0)</f>
        <v>0</v>
      </c>
      <c r="AN112" s="4">
        <v>21</v>
      </c>
      <c r="AO112" s="4">
        <f>I112*0</f>
        <v>0</v>
      </c>
      <c r="AP112" s="4">
        <f>I112*(1-0)</f>
        <v>0</v>
      </c>
      <c r="AQ112" s="14" t="s">
        <v>903</v>
      </c>
      <c r="AV112" s="4">
        <f>AW112+AX112</f>
        <v>0</v>
      </c>
      <c r="AW112" s="4">
        <f>H112*AO112</f>
        <v>0</v>
      </c>
      <c r="AX112" s="4">
        <f>H112*AP112</f>
        <v>0</v>
      </c>
      <c r="AY112" s="14" t="s">
        <v>795</v>
      </c>
      <c r="AZ112" s="14" t="s">
        <v>334</v>
      </c>
      <c r="BA112" s="30" t="s">
        <v>694</v>
      </c>
      <c r="BC112" s="4">
        <f>AW112+AX112</f>
        <v>0</v>
      </c>
      <c r="BD112" s="4">
        <f>I112/(100-BE112)*100</f>
        <v>0</v>
      </c>
      <c r="BE112" s="4">
        <v>0</v>
      </c>
      <c r="BF112" s="4">
        <f>112</f>
        <v>112</v>
      </c>
      <c r="BH112" s="4">
        <f>H112*AO112</f>
        <v>0</v>
      </c>
      <c r="BI112" s="4">
        <f>H112*AP112</f>
        <v>0</v>
      </c>
      <c r="BJ112" s="4">
        <f>H112*I112</f>
        <v>0</v>
      </c>
      <c r="BK112" s="4"/>
      <c r="BL112" s="4">
        <v>96</v>
      </c>
    </row>
    <row r="113" spans="1:64" ht="13.5" customHeight="1">
      <c r="A113" s="13"/>
      <c r="B113" s="18" t="s">
        <v>473</v>
      </c>
      <c r="C113" s="54" t="s">
        <v>872</v>
      </c>
      <c r="D113" s="55"/>
      <c r="E113" s="55"/>
      <c r="F113" s="55"/>
      <c r="G113" s="55"/>
      <c r="H113" s="55"/>
      <c r="I113" s="55"/>
      <c r="J113" s="55"/>
      <c r="K113" s="55"/>
      <c r="L113" s="55"/>
      <c r="M113" s="56"/>
    </row>
    <row r="114" spans="1:64" ht="15" customHeight="1">
      <c r="A114" s="22" t="s">
        <v>999</v>
      </c>
      <c r="B114" s="9" t="s">
        <v>692</v>
      </c>
      <c r="C114" s="53" t="s">
        <v>976</v>
      </c>
      <c r="D114" s="53"/>
      <c r="E114" s="53"/>
      <c r="F114" s="53"/>
      <c r="G114" s="9" t="s">
        <v>891</v>
      </c>
      <c r="H114" s="4">
        <v>12.5</v>
      </c>
      <c r="I114" s="4">
        <v>0</v>
      </c>
      <c r="J114" s="4">
        <f t="shared" ref="J114:J119" si="22">H114*AO114</f>
        <v>0</v>
      </c>
      <c r="K114" s="4">
        <f t="shared" ref="K114:K119" si="23">H114*AP114</f>
        <v>0</v>
      </c>
      <c r="L114" s="4">
        <f t="shared" ref="L114:L119" si="24">H114*I114</f>
        <v>0</v>
      </c>
      <c r="M114" s="17" t="s">
        <v>619</v>
      </c>
      <c r="Z114" s="4">
        <f t="shared" ref="Z114:Z119" si="25">IF(AQ114="5",BJ114,0)</f>
        <v>0</v>
      </c>
      <c r="AB114" s="4">
        <f t="shared" ref="AB114:AB119" si="26">IF(AQ114="1",BH114,0)</f>
        <v>0</v>
      </c>
      <c r="AC114" s="4">
        <f t="shared" ref="AC114:AC119" si="27">IF(AQ114="1",BI114,0)</f>
        <v>0</v>
      </c>
      <c r="AD114" s="4">
        <f t="shared" ref="AD114:AD119" si="28">IF(AQ114="7",BH114,0)</f>
        <v>0</v>
      </c>
      <c r="AE114" s="4">
        <f t="shared" ref="AE114:AE119" si="29">IF(AQ114="7",BI114,0)</f>
        <v>0</v>
      </c>
      <c r="AF114" s="4">
        <f t="shared" ref="AF114:AF119" si="30">IF(AQ114="2",BH114,0)</f>
        <v>0</v>
      </c>
      <c r="AG114" s="4">
        <f t="shared" ref="AG114:AG119" si="31">IF(AQ114="2",BI114,0)</f>
        <v>0</v>
      </c>
      <c r="AH114" s="4">
        <f t="shared" ref="AH114:AH119" si="32">IF(AQ114="0",BJ114,0)</f>
        <v>0</v>
      </c>
      <c r="AI114" s="30" t="s">
        <v>630</v>
      </c>
      <c r="AJ114" s="4">
        <f t="shared" ref="AJ114:AJ119" si="33">IF(AN114=0,L114,0)</f>
        <v>0</v>
      </c>
      <c r="AK114" s="4">
        <f t="shared" ref="AK114:AK119" si="34">IF(AN114=15,L114,0)</f>
        <v>0</v>
      </c>
      <c r="AL114" s="4">
        <f t="shared" ref="AL114:AL119" si="35">IF(AN114=21,L114,0)</f>
        <v>0</v>
      </c>
      <c r="AN114" s="4">
        <v>21</v>
      </c>
      <c r="AO114" s="4">
        <f>I114*0</f>
        <v>0</v>
      </c>
      <c r="AP114" s="4">
        <f>I114*(1-0)</f>
        <v>0</v>
      </c>
      <c r="AQ114" s="14" t="s">
        <v>903</v>
      </c>
      <c r="AV114" s="4">
        <f t="shared" ref="AV114:AV119" si="36">AW114+AX114</f>
        <v>0</v>
      </c>
      <c r="AW114" s="4">
        <f t="shared" ref="AW114:AW119" si="37">H114*AO114</f>
        <v>0</v>
      </c>
      <c r="AX114" s="4">
        <f t="shared" ref="AX114:AX119" si="38">H114*AP114</f>
        <v>0</v>
      </c>
      <c r="AY114" s="14" t="s">
        <v>795</v>
      </c>
      <c r="AZ114" s="14" t="s">
        <v>334</v>
      </c>
      <c r="BA114" s="30" t="s">
        <v>694</v>
      </c>
      <c r="BC114" s="4">
        <f t="shared" ref="BC114:BC119" si="39">AW114+AX114</f>
        <v>0</v>
      </c>
      <c r="BD114" s="4">
        <f t="shared" ref="BD114:BD119" si="40">I114/(100-BE114)*100</f>
        <v>0</v>
      </c>
      <c r="BE114" s="4">
        <v>0</v>
      </c>
      <c r="BF114" s="4">
        <f>114</f>
        <v>114</v>
      </c>
      <c r="BH114" s="4">
        <f t="shared" ref="BH114:BH119" si="41">H114*AO114</f>
        <v>0</v>
      </c>
      <c r="BI114" s="4">
        <f t="shared" ref="BI114:BI119" si="42">H114*AP114</f>
        <v>0</v>
      </c>
      <c r="BJ114" s="4">
        <f t="shared" ref="BJ114:BJ119" si="43">H114*I114</f>
        <v>0</v>
      </c>
      <c r="BK114" s="4"/>
      <c r="BL114" s="4">
        <v>96</v>
      </c>
    </row>
    <row r="115" spans="1:64" ht="15" customHeight="1">
      <c r="A115" s="22" t="s">
        <v>212</v>
      </c>
      <c r="B115" s="9" t="s">
        <v>325</v>
      </c>
      <c r="C115" s="53" t="s">
        <v>879</v>
      </c>
      <c r="D115" s="53"/>
      <c r="E115" s="53"/>
      <c r="F115" s="53"/>
      <c r="G115" s="9" t="s">
        <v>750</v>
      </c>
      <c r="H115" s="4">
        <v>16.3</v>
      </c>
      <c r="I115" s="4">
        <v>0</v>
      </c>
      <c r="J115" s="4">
        <f t="shared" si="22"/>
        <v>0</v>
      </c>
      <c r="K115" s="4">
        <f t="shared" si="23"/>
        <v>0</v>
      </c>
      <c r="L115" s="4">
        <f t="shared" si="24"/>
        <v>0</v>
      </c>
      <c r="M115" s="17" t="s">
        <v>619</v>
      </c>
      <c r="Z115" s="4">
        <f t="shared" si="25"/>
        <v>0</v>
      </c>
      <c r="AB115" s="4">
        <f t="shared" si="26"/>
        <v>0</v>
      </c>
      <c r="AC115" s="4">
        <f t="shared" si="27"/>
        <v>0</v>
      </c>
      <c r="AD115" s="4">
        <f t="shared" si="28"/>
        <v>0</v>
      </c>
      <c r="AE115" s="4">
        <f t="shared" si="29"/>
        <v>0</v>
      </c>
      <c r="AF115" s="4">
        <f t="shared" si="30"/>
        <v>0</v>
      </c>
      <c r="AG115" s="4">
        <f t="shared" si="31"/>
        <v>0</v>
      </c>
      <c r="AH115" s="4">
        <f t="shared" si="32"/>
        <v>0</v>
      </c>
      <c r="AI115" s="30" t="s">
        <v>630</v>
      </c>
      <c r="AJ115" s="4">
        <f t="shared" si="33"/>
        <v>0</v>
      </c>
      <c r="AK115" s="4">
        <f t="shared" si="34"/>
        <v>0</v>
      </c>
      <c r="AL115" s="4">
        <f t="shared" si="35"/>
        <v>0</v>
      </c>
      <c r="AN115" s="4">
        <v>21</v>
      </c>
      <c r="AO115" s="4">
        <f>I115*0</f>
        <v>0</v>
      </c>
      <c r="AP115" s="4">
        <f>I115*(1-0)</f>
        <v>0</v>
      </c>
      <c r="AQ115" s="14" t="s">
        <v>903</v>
      </c>
      <c r="AV115" s="4">
        <f t="shared" si="36"/>
        <v>0</v>
      </c>
      <c r="AW115" s="4">
        <f t="shared" si="37"/>
        <v>0</v>
      </c>
      <c r="AX115" s="4">
        <f t="shared" si="38"/>
        <v>0</v>
      </c>
      <c r="AY115" s="14" t="s">
        <v>795</v>
      </c>
      <c r="AZ115" s="14" t="s">
        <v>334</v>
      </c>
      <c r="BA115" s="30" t="s">
        <v>694</v>
      </c>
      <c r="BC115" s="4">
        <f t="shared" si="39"/>
        <v>0</v>
      </c>
      <c r="BD115" s="4">
        <f t="shared" si="40"/>
        <v>0</v>
      </c>
      <c r="BE115" s="4">
        <v>0</v>
      </c>
      <c r="BF115" s="4">
        <f>115</f>
        <v>115</v>
      </c>
      <c r="BH115" s="4">
        <f t="shared" si="41"/>
        <v>0</v>
      </c>
      <c r="BI115" s="4">
        <f t="shared" si="42"/>
        <v>0</v>
      </c>
      <c r="BJ115" s="4">
        <f t="shared" si="43"/>
        <v>0</v>
      </c>
      <c r="BK115" s="4"/>
      <c r="BL115" s="4">
        <v>96</v>
      </c>
    </row>
    <row r="116" spans="1:64" ht="15" customHeight="1">
      <c r="A116" s="22" t="s">
        <v>455</v>
      </c>
      <c r="B116" s="9" t="s">
        <v>491</v>
      </c>
      <c r="C116" s="53" t="s">
        <v>931</v>
      </c>
      <c r="D116" s="53"/>
      <c r="E116" s="53"/>
      <c r="F116" s="53"/>
      <c r="G116" s="9" t="s">
        <v>891</v>
      </c>
      <c r="H116" s="4">
        <v>13.83</v>
      </c>
      <c r="I116" s="4">
        <v>0</v>
      </c>
      <c r="J116" s="4">
        <f t="shared" si="22"/>
        <v>0</v>
      </c>
      <c r="K116" s="4">
        <f t="shared" si="23"/>
        <v>0</v>
      </c>
      <c r="L116" s="4">
        <f t="shared" si="24"/>
        <v>0</v>
      </c>
      <c r="M116" s="17" t="s">
        <v>619</v>
      </c>
      <c r="Z116" s="4">
        <f t="shared" si="25"/>
        <v>0</v>
      </c>
      <c r="AB116" s="4">
        <f t="shared" si="26"/>
        <v>0</v>
      </c>
      <c r="AC116" s="4">
        <f t="shared" si="27"/>
        <v>0</v>
      </c>
      <c r="AD116" s="4">
        <f t="shared" si="28"/>
        <v>0</v>
      </c>
      <c r="AE116" s="4">
        <f t="shared" si="29"/>
        <v>0</v>
      </c>
      <c r="AF116" s="4">
        <f t="shared" si="30"/>
        <v>0</v>
      </c>
      <c r="AG116" s="4">
        <f t="shared" si="31"/>
        <v>0</v>
      </c>
      <c r="AH116" s="4">
        <f t="shared" si="32"/>
        <v>0</v>
      </c>
      <c r="AI116" s="30" t="s">
        <v>630</v>
      </c>
      <c r="AJ116" s="4">
        <f t="shared" si="33"/>
        <v>0</v>
      </c>
      <c r="AK116" s="4">
        <f t="shared" si="34"/>
        <v>0</v>
      </c>
      <c r="AL116" s="4">
        <f t="shared" si="35"/>
        <v>0</v>
      </c>
      <c r="AN116" s="4">
        <v>21</v>
      </c>
      <c r="AO116" s="4">
        <f>I116*0.0598154466084621</f>
        <v>0</v>
      </c>
      <c r="AP116" s="4">
        <f>I116*(1-0.0598154466084621)</f>
        <v>0</v>
      </c>
      <c r="AQ116" s="14" t="s">
        <v>903</v>
      </c>
      <c r="AV116" s="4">
        <f t="shared" si="36"/>
        <v>0</v>
      </c>
      <c r="AW116" s="4">
        <f t="shared" si="37"/>
        <v>0</v>
      </c>
      <c r="AX116" s="4">
        <f t="shared" si="38"/>
        <v>0</v>
      </c>
      <c r="AY116" s="14" t="s">
        <v>795</v>
      </c>
      <c r="AZ116" s="14" t="s">
        <v>334</v>
      </c>
      <c r="BA116" s="30" t="s">
        <v>694</v>
      </c>
      <c r="BC116" s="4">
        <f t="shared" si="39"/>
        <v>0</v>
      </c>
      <c r="BD116" s="4">
        <f t="shared" si="40"/>
        <v>0</v>
      </c>
      <c r="BE116" s="4">
        <v>0</v>
      </c>
      <c r="BF116" s="4">
        <f>116</f>
        <v>116</v>
      </c>
      <c r="BH116" s="4">
        <f t="shared" si="41"/>
        <v>0</v>
      </c>
      <c r="BI116" s="4">
        <f t="shared" si="42"/>
        <v>0</v>
      </c>
      <c r="BJ116" s="4">
        <f t="shared" si="43"/>
        <v>0</v>
      </c>
      <c r="BK116" s="4"/>
      <c r="BL116" s="4">
        <v>96</v>
      </c>
    </row>
    <row r="117" spans="1:64" ht="15" customHeight="1">
      <c r="A117" s="22" t="s">
        <v>992</v>
      </c>
      <c r="B117" s="9" t="s">
        <v>241</v>
      </c>
      <c r="C117" s="53" t="s">
        <v>368</v>
      </c>
      <c r="D117" s="53"/>
      <c r="E117" s="53"/>
      <c r="F117" s="53"/>
      <c r="G117" s="9" t="s">
        <v>891</v>
      </c>
      <c r="H117" s="4">
        <v>25.023</v>
      </c>
      <c r="I117" s="4">
        <v>0</v>
      </c>
      <c r="J117" s="4">
        <f t="shared" si="22"/>
        <v>0</v>
      </c>
      <c r="K117" s="4">
        <f t="shared" si="23"/>
        <v>0</v>
      </c>
      <c r="L117" s="4">
        <f t="shared" si="24"/>
        <v>0</v>
      </c>
      <c r="M117" s="17" t="s">
        <v>619</v>
      </c>
      <c r="Z117" s="4">
        <f t="shared" si="25"/>
        <v>0</v>
      </c>
      <c r="AB117" s="4">
        <f t="shared" si="26"/>
        <v>0</v>
      </c>
      <c r="AC117" s="4">
        <f t="shared" si="27"/>
        <v>0</v>
      </c>
      <c r="AD117" s="4">
        <f t="shared" si="28"/>
        <v>0</v>
      </c>
      <c r="AE117" s="4">
        <f t="shared" si="29"/>
        <v>0</v>
      </c>
      <c r="AF117" s="4">
        <f t="shared" si="30"/>
        <v>0</v>
      </c>
      <c r="AG117" s="4">
        <f t="shared" si="31"/>
        <v>0</v>
      </c>
      <c r="AH117" s="4">
        <f t="shared" si="32"/>
        <v>0</v>
      </c>
      <c r="AI117" s="30" t="s">
        <v>630</v>
      </c>
      <c r="AJ117" s="4">
        <f t="shared" si="33"/>
        <v>0</v>
      </c>
      <c r="AK117" s="4">
        <f t="shared" si="34"/>
        <v>0</v>
      </c>
      <c r="AL117" s="4">
        <f t="shared" si="35"/>
        <v>0</v>
      </c>
      <c r="AN117" s="4">
        <v>21</v>
      </c>
      <c r="AO117" s="4">
        <f>I117*0.136970520361354</f>
        <v>0</v>
      </c>
      <c r="AP117" s="4">
        <f>I117*(1-0.136970520361354)</f>
        <v>0</v>
      </c>
      <c r="AQ117" s="14" t="s">
        <v>903</v>
      </c>
      <c r="AV117" s="4">
        <f t="shared" si="36"/>
        <v>0</v>
      </c>
      <c r="AW117" s="4">
        <f t="shared" si="37"/>
        <v>0</v>
      </c>
      <c r="AX117" s="4">
        <f t="shared" si="38"/>
        <v>0</v>
      </c>
      <c r="AY117" s="14" t="s">
        <v>795</v>
      </c>
      <c r="AZ117" s="14" t="s">
        <v>334</v>
      </c>
      <c r="BA117" s="30" t="s">
        <v>694</v>
      </c>
      <c r="BC117" s="4">
        <f t="shared" si="39"/>
        <v>0</v>
      </c>
      <c r="BD117" s="4">
        <f t="shared" si="40"/>
        <v>0</v>
      </c>
      <c r="BE117" s="4">
        <v>0</v>
      </c>
      <c r="BF117" s="4">
        <f>117</f>
        <v>117</v>
      </c>
      <c r="BH117" s="4">
        <f t="shared" si="41"/>
        <v>0</v>
      </c>
      <c r="BI117" s="4">
        <f t="shared" si="42"/>
        <v>0</v>
      </c>
      <c r="BJ117" s="4">
        <f t="shared" si="43"/>
        <v>0</v>
      </c>
      <c r="BK117" s="4"/>
      <c r="BL117" s="4">
        <v>96</v>
      </c>
    </row>
    <row r="118" spans="1:64" ht="15" customHeight="1">
      <c r="A118" s="22" t="s">
        <v>944</v>
      </c>
      <c r="B118" s="9" t="s">
        <v>902</v>
      </c>
      <c r="C118" s="53" t="s">
        <v>961</v>
      </c>
      <c r="D118" s="53"/>
      <c r="E118" s="53"/>
      <c r="F118" s="53"/>
      <c r="G118" s="9" t="s">
        <v>891</v>
      </c>
      <c r="H118" s="4">
        <v>62.988</v>
      </c>
      <c r="I118" s="4">
        <v>0</v>
      </c>
      <c r="J118" s="4">
        <f t="shared" si="22"/>
        <v>0</v>
      </c>
      <c r="K118" s="4">
        <f t="shared" si="23"/>
        <v>0</v>
      </c>
      <c r="L118" s="4">
        <f t="shared" si="24"/>
        <v>0</v>
      </c>
      <c r="M118" s="17" t="s">
        <v>619</v>
      </c>
      <c r="Z118" s="4">
        <f t="shared" si="25"/>
        <v>0</v>
      </c>
      <c r="AB118" s="4">
        <f t="shared" si="26"/>
        <v>0</v>
      </c>
      <c r="AC118" s="4">
        <f t="shared" si="27"/>
        <v>0</v>
      </c>
      <c r="AD118" s="4">
        <f t="shared" si="28"/>
        <v>0</v>
      </c>
      <c r="AE118" s="4">
        <f t="shared" si="29"/>
        <v>0</v>
      </c>
      <c r="AF118" s="4">
        <f t="shared" si="30"/>
        <v>0</v>
      </c>
      <c r="AG118" s="4">
        <f t="shared" si="31"/>
        <v>0</v>
      </c>
      <c r="AH118" s="4">
        <f t="shared" si="32"/>
        <v>0</v>
      </c>
      <c r="AI118" s="30" t="s">
        <v>630</v>
      </c>
      <c r="AJ118" s="4">
        <f t="shared" si="33"/>
        <v>0</v>
      </c>
      <c r="AK118" s="4">
        <f t="shared" si="34"/>
        <v>0</v>
      </c>
      <c r="AL118" s="4">
        <f t="shared" si="35"/>
        <v>0</v>
      </c>
      <c r="AN118" s="4">
        <v>21</v>
      </c>
      <c r="AO118" s="4">
        <f>I118*0.102632727089948</f>
        <v>0</v>
      </c>
      <c r="AP118" s="4">
        <f>I118*(1-0.102632727089948)</f>
        <v>0</v>
      </c>
      <c r="AQ118" s="14" t="s">
        <v>903</v>
      </c>
      <c r="AV118" s="4">
        <f t="shared" si="36"/>
        <v>0</v>
      </c>
      <c r="AW118" s="4">
        <f t="shared" si="37"/>
        <v>0</v>
      </c>
      <c r="AX118" s="4">
        <f t="shared" si="38"/>
        <v>0</v>
      </c>
      <c r="AY118" s="14" t="s">
        <v>795</v>
      </c>
      <c r="AZ118" s="14" t="s">
        <v>334</v>
      </c>
      <c r="BA118" s="30" t="s">
        <v>694</v>
      </c>
      <c r="BC118" s="4">
        <f t="shared" si="39"/>
        <v>0</v>
      </c>
      <c r="BD118" s="4">
        <f t="shared" si="40"/>
        <v>0</v>
      </c>
      <c r="BE118" s="4">
        <v>0</v>
      </c>
      <c r="BF118" s="4">
        <f>118</f>
        <v>118</v>
      </c>
      <c r="BH118" s="4">
        <f t="shared" si="41"/>
        <v>0</v>
      </c>
      <c r="BI118" s="4">
        <f t="shared" si="42"/>
        <v>0</v>
      </c>
      <c r="BJ118" s="4">
        <f t="shared" si="43"/>
        <v>0</v>
      </c>
      <c r="BK118" s="4"/>
      <c r="BL118" s="4">
        <v>96</v>
      </c>
    </row>
    <row r="119" spans="1:64" ht="15" customHeight="1">
      <c r="A119" s="22" t="s">
        <v>12</v>
      </c>
      <c r="B119" s="9" t="s">
        <v>979</v>
      </c>
      <c r="C119" s="53" t="s">
        <v>534</v>
      </c>
      <c r="D119" s="53"/>
      <c r="E119" s="53"/>
      <c r="F119" s="53"/>
      <c r="G119" s="9" t="s">
        <v>870</v>
      </c>
      <c r="H119" s="4">
        <v>0.55300000000000005</v>
      </c>
      <c r="I119" s="4">
        <v>0</v>
      </c>
      <c r="J119" s="4">
        <f t="shared" si="22"/>
        <v>0</v>
      </c>
      <c r="K119" s="4">
        <f t="shared" si="23"/>
        <v>0</v>
      </c>
      <c r="L119" s="4">
        <f t="shared" si="24"/>
        <v>0</v>
      </c>
      <c r="M119" s="17" t="s">
        <v>619</v>
      </c>
      <c r="Z119" s="4">
        <f t="shared" si="25"/>
        <v>0</v>
      </c>
      <c r="AB119" s="4">
        <f t="shared" si="26"/>
        <v>0</v>
      </c>
      <c r="AC119" s="4">
        <f t="shared" si="27"/>
        <v>0</v>
      </c>
      <c r="AD119" s="4">
        <f t="shared" si="28"/>
        <v>0</v>
      </c>
      <c r="AE119" s="4">
        <f t="shared" si="29"/>
        <v>0</v>
      </c>
      <c r="AF119" s="4">
        <f t="shared" si="30"/>
        <v>0</v>
      </c>
      <c r="AG119" s="4">
        <f t="shared" si="31"/>
        <v>0</v>
      </c>
      <c r="AH119" s="4">
        <f t="shared" si="32"/>
        <v>0</v>
      </c>
      <c r="AI119" s="30" t="s">
        <v>630</v>
      </c>
      <c r="AJ119" s="4">
        <f t="shared" si="33"/>
        <v>0</v>
      </c>
      <c r="AK119" s="4">
        <f t="shared" si="34"/>
        <v>0</v>
      </c>
      <c r="AL119" s="4">
        <f t="shared" si="35"/>
        <v>0</v>
      </c>
      <c r="AN119" s="4">
        <v>21</v>
      </c>
      <c r="AO119" s="4">
        <f>I119*0.0400067635658915</f>
        <v>0</v>
      </c>
      <c r="AP119" s="4">
        <f>I119*(1-0.0400067635658915)</f>
        <v>0</v>
      </c>
      <c r="AQ119" s="14" t="s">
        <v>903</v>
      </c>
      <c r="AV119" s="4">
        <f t="shared" si="36"/>
        <v>0</v>
      </c>
      <c r="AW119" s="4">
        <f t="shared" si="37"/>
        <v>0</v>
      </c>
      <c r="AX119" s="4">
        <f t="shared" si="38"/>
        <v>0</v>
      </c>
      <c r="AY119" s="14" t="s">
        <v>795</v>
      </c>
      <c r="AZ119" s="14" t="s">
        <v>334</v>
      </c>
      <c r="BA119" s="30" t="s">
        <v>694</v>
      </c>
      <c r="BC119" s="4">
        <f t="shared" si="39"/>
        <v>0</v>
      </c>
      <c r="BD119" s="4">
        <f t="shared" si="40"/>
        <v>0</v>
      </c>
      <c r="BE119" s="4">
        <v>0</v>
      </c>
      <c r="BF119" s="4">
        <f>119</f>
        <v>119</v>
      </c>
      <c r="BH119" s="4">
        <f t="shared" si="41"/>
        <v>0</v>
      </c>
      <c r="BI119" s="4">
        <f t="shared" si="42"/>
        <v>0</v>
      </c>
      <c r="BJ119" s="4">
        <f t="shared" si="43"/>
        <v>0</v>
      </c>
      <c r="BK119" s="4"/>
      <c r="BL119" s="4">
        <v>96</v>
      </c>
    </row>
    <row r="120" spans="1:64" ht="13.5" customHeight="1">
      <c r="A120" s="13"/>
      <c r="B120" s="18" t="s">
        <v>473</v>
      </c>
      <c r="C120" s="54" t="s">
        <v>828</v>
      </c>
      <c r="D120" s="55"/>
      <c r="E120" s="55"/>
      <c r="F120" s="55"/>
      <c r="G120" s="55"/>
      <c r="H120" s="55"/>
      <c r="I120" s="55"/>
      <c r="J120" s="55"/>
      <c r="K120" s="55"/>
      <c r="L120" s="55"/>
      <c r="M120" s="56"/>
    </row>
    <row r="121" spans="1:64" ht="15" customHeight="1">
      <c r="A121" s="22" t="s">
        <v>152</v>
      </c>
      <c r="B121" s="9" t="s">
        <v>545</v>
      </c>
      <c r="C121" s="53" t="s">
        <v>125</v>
      </c>
      <c r="D121" s="53"/>
      <c r="E121" s="53"/>
      <c r="F121" s="53"/>
      <c r="G121" s="9" t="s">
        <v>891</v>
      </c>
      <c r="H121" s="4">
        <v>2.4750000000000001</v>
      </c>
      <c r="I121" s="4">
        <v>0</v>
      </c>
      <c r="J121" s="4">
        <f t="shared" ref="J121:J129" si="44">H121*AO121</f>
        <v>0</v>
      </c>
      <c r="K121" s="4">
        <f t="shared" ref="K121:K129" si="45">H121*AP121</f>
        <v>0</v>
      </c>
      <c r="L121" s="4">
        <f t="shared" ref="L121:L129" si="46">H121*I121</f>
        <v>0</v>
      </c>
      <c r="M121" s="17" t="s">
        <v>619</v>
      </c>
      <c r="Z121" s="4">
        <f t="shared" ref="Z121:Z129" si="47">IF(AQ121="5",BJ121,0)</f>
        <v>0</v>
      </c>
      <c r="AB121" s="4">
        <f t="shared" ref="AB121:AB129" si="48">IF(AQ121="1",BH121,0)</f>
        <v>0</v>
      </c>
      <c r="AC121" s="4">
        <f t="shared" ref="AC121:AC129" si="49">IF(AQ121="1",BI121,0)</f>
        <v>0</v>
      </c>
      <c r="AD121" s="4">
        <f t="shared" ref="AD121:AD129" si="50">IF(AQ121="7",BH121,0)</f>
        <v>0</v>
      </c>
      <c r="AE121" s="4">
        <f t="shared" ref="AE121:AE129" si="51">IF(AQ121="7",BI121,0)</f>
        <v>0</v>
      </c>
      <c r="AF121" s="4">
        <f t="shared" ref="AF121:AF129" si="52">IF(AQ121="2",BH121,0)</f>
        <v>0</v>
      </c>
      <c r="AG121" s="4">
        <f t="shared" ref="AG121:AG129" si="53">IF(AQ121="2",BI121,0)</f>
        <v>0</v>
      </c>
      <c r="AH121" s="4">
        <f t="shared" ref="AH121:AH129" si="54">IF(AQ121="0",BJ121,0)</f>
        <v>0</v>
      </c>
      <c r="AI121" s="30" t="s">
        <v>630</v>
      </c>
      <c r="AJ121" s="4">
        <f t="shared" ref="AJ121:AJ129" si="55">IF(AN121=0,L121,0)</f>
        <v>0</v>
      </c>
      <c r="AK121" s="4">
        <f t="shared" ref="AK121:AK129" si="56">IF(AN121=15,L121,0)</f>
        <v>0</v>
      </c>
      <c r="AL121" s="4">
        <f t="shared" ref="AL121:AL129" si="57">IF(AN121=21,L121,0)</f>
        <v>0</v>
      </c>
      <c r="AN121" s="4">
        <v>21</v>
      </c>
      <c r="AO121" s="4">
        <f>I121*0.140436273475417</f>
        <v>0</v>
      </c>
      <c r="AP121" s="4">
        <f>I121*(1-0.140436273475417)</f>
        <v>0</v>
      </c>
      <c r="AQ121" s="14" t="s">
        <v>903</v>
      </c>
      <c r="AV121" s="4">
        <f t="shared" ref="AV121:AV129" si="58">AW121+AX121</f>
        <v>0</v>
      </c>
      <c r="AW121" s="4">
        <f t="shared" ref="AW121:AW129" si="59">H121*AO121</f>
        <v>0</v>
      </c>
      <c r="AX121" s="4">
        <f t="shared" ref="AX121:AX129" si="60">H121*AP121</f>
        <v>0</v>
      </c>
      <c r="AY121" s="14" t="s">
        <v>795</v>
      </c>
      <c r="AZ121" s="14" t="s">
        <v>334</v>
      </c>
      <c r="BA121" s="30" t="s">
        <v>694</v>
      </c>
      <c r="BC121" s="4">
        <f t="shared" ref="BC121:BC129" si="61">AW121+AX121</f>
        <v>0</v>
      </c>
      <c r="BD121" s="4">
        <f t="shared" ref="BD121:BD129" si="62">I121/(100-BE121)*100</f>
        <v>0</v>
      </c>
      <c r="BE121" s="4">
        <v>0</v>
      </c>
      <c r="BF121" s="4">
        <f>121</f>
        <v>121</v>
      </c>
      <c r="BH121" s="4">
        <f t="shared" ref="BH121:BH129" si="63">H121*AO121</f>
        <v>0</v>
      </c>
      <c r="BI121" s="4">
        <f t="shared" ref="BI121:BI129" si="64">H121*AP121</f>
        <v>0</v>
      </c>
      <c r="BJ121" s="4">
        <f t="shared" ref="BJ121:BJ129" si="65">H121*I121</f>
        <v>0</v>
      </c>
      <c r="BK121" s="4"/>
      <c r="BL121" s="4">
        <v>96</v>
      </c>
    </row>
    <row r="122" spans="1:64" ht="15" customHeight="1">
      <c r="A122" s="22" t="s">
        <v>189</v>
      </c>
      <c r="B122" s="9" t="s">
        <v>440</v>
      </c>
      <c r="C122" s="53" t="s">
        <v>319</v>
      </c>
      <c r="D122" s="53"/>
      <c r="E122" s="53"/>
      <c r="F122" s="53"/>
      <c r="G122" s="9" t="s">
        <v>750</v>
      </c>
      <c r="H122" s="4">
        <v>1.5</v>
      </c>
      <c r="I122" s="4">
        <v>0</v>
      </c>
      <c r="J122" s="4">
        <f t="shared" si="44"/>
        <v>0</v>
      </c>
      <c r="K122" s="4">
        <f t="shared" si="45"/>
        <v>0</v>
      </c>
      <c r="L122" s="4">
        <f t="shared" si="46"/>
        <v>0</v>
      </c>
      <c r="M122" s="17" t="s">
        <v>619</v>
      </c>
      <c r="Z122" s="4">
        <f t="shared" si="47"/>
        <v>0</v>
      </c>
      <c r="AB122" s="4">
        <f t="shared" si="48"/>
        <v>0</v>
      </c>
      <c r="AC122" s="4">
        <f t="shared" si="49"/>
        <v>0</v>
      </c>
      <c r="AD122" s="4">
        <f t="shared" si="50"/>
        <v>0</v>
      </c>
      <c r="AE122" s="4">
        <f t="shared" si="51"/>
        <v>0</v>
      </c>
      <c r="AF122" s="4">
        <f t="shared" si="52"/>
        <v>0</v>
      </c>
      <c r="AG122" s="4">
        <f t="shared" si="53"/>
        <v>0</v>
      </c>
      <c r="AH122" s="4">
        <f t="shared" si="54"/>
        <v>0</v>
      </c>
      <c r="AI122" s="30" t="s">
        <v>630</v>
      </c>
      <c r="AJ122" s="4">
        <f t="shared" si="55"/>
        <v>0</v>
      </c>
      <c r="AK122" s="4">
        <f t="shared" si="56"/>
        <v>0</v>
      </c>
      <c r="AL122" s="4">
        <f t="shared" si="57"/>
        <v>0</v>
      </c>
      <c r="AN122" s="4">
        <v>21</v>
      </c>
      <c r="AO122" s="4">
        <f>I122*0</f>
        <v>0</v>
      </c>
      <c r="AP122" s="4">
        <f>I122*(1-0)</f>
        <v>0</v>
      </c>
      <c r="AQ122" s="14" t="s">
        <v>903</v>
      </c>
      <c r="AV122" s="4">
        <f t="shared" si="58"/>
        <v>0</v>
      </c>
      <c r="AW122" s="4">
        <f t="shared" si="59"/>
        <v>0</v>
      </c>
      <c r="AX122" s="4">
        <f t="shared" si="60"/>
        <v>0</v>
      </c>
      <c r="AY122" s="14" t="s">
        <v>795</v>
      </c>
      <c r="AZ122" s="14" t="s">
        <v>334</v>
      </c>
      <c r="BA122" s="30" t="s">
        <v>694</v>
      </c>
      <c r="BC122" s="4">
        <f t="shared" si="61"/>
        <v>0</v>
      </c>
      <c r="BD122" s="4">
        <f t="shared" si="62"/>
        <v>0</v>
      </c>
      <c r="BE122" s="4">
        <v>0</v>
      </c>
      <c r="BF122" s="4">
        <f>122</f>
        <v>122</v>
      </c>
      <c r="BH122" s="4">
        <f t="shared" si="63"/>
        <v>0</v>
      </c>
      <c r="BI122" s="4">
        <f t="shared" si="64"/>
        <v>0</v>
      </c>
      <c r="BJ122" s="4">
        <f t="shared" si="65"/>
        <v>0</v>
      </c>
      <c r="BK122" s="4"/>
      <c r="BL122" s="4">
        <v>96</v>
      </c>
    </row>
    <row r="123" spans="1:64" ht="15" customHeight="1">
      <c r="A123" s="22" t="s">
        <v>714</v>
      </c>
      <c r="B123" s="9" t="s">
        <v>979</v>
      </c>
      <c r="C123" s="53" t="s">
        <v>534</v>
      </c>
      <c r="D123" s="53"/>
      <c r="E123" s="53"/>
      <c r="F123" s="53"/>
      <c r="G123" s="9" t="s">
        <v>870</v>
      </c>
      <c r="H123" s="4">
        <v>1.008</v>
      </c>
      <c r="I123" s="4">
        <v>0</v>
      </c>
      <c r="J123" s="4">
        <f t="shared" si="44"/>
        <v>0</v>
      </c>
      <c r="K123" s="4">
        <f t="shared" si="45"/>
        <v>0</v>
      </c>
      <c r="L123" s="4">
        <f t="shared" si="46"/>
        <v>0</v>
      </c>
      <c r="M123" s="17" t="s">
        <v>619</v>
      </c>
      <c r="Z123" s="4">
        <f t="shared" si="47"/>
        <v>0</v>
      </c>
      <c r="AB123" s="4">
        <f t="shared" si="48"/>
        <v>0</v>
      </c>
      <c r="AC123" s="4">
        <f t="shared" si="49"/>
        <v>0</v>
      </c>
      <c r="AD123" s="4">
        <f t="shared" si="50"/>
        <v>0</v>
      </c>
      <c r="AE123" s="4">
        <f t="shared" si="51"/>
        <v>0</v>
      </c>
      <c r="AF123" s="4">
        <f t="shared" si="52"/>
        <v>0</v>
      </c>
      <c r="AG123" s="4">
        <f t="shared" si="53"/>
        <v>0</v>
      </c>
      <c r="AH123" s="4">
        <f t="shared" si="54"/>
        <v>0</v>
      </c>
      <c r="AI123" s="30" t="s">
        <v>630</v>
      </c>
      <c r="AJ123" s="4">
        <f t="shared" si="55"/>
        <v>0</v>
      </c>
      <c r="AK123" s="4">
        <f t="shared" si="56"/>
        <v>0</v>
      </c>
      <c r="AL123" s="4">
        <f t="shared" si="57"/>
        <v>0</v>
      </c>
      <c r="AN123" s="4">
        <v>21</v>
      </c>
      <c r="AO123" s="4">
        <f>I123*0.0400091866028708</f>
        <v>0</v>
      </c>
      <c r="AP123" s="4">
        <f>I123*(1-0.0400091866028708)</f>
        <v>0</v>
      </c>
      <c r="AQ123" s="14" t="s">
        <v>903</v>
      </c>
      <c r="AV123" s="4">
        <f t="shared" si="58"/>
        <v>0</v>
      </c>
      <c r="AW123" s="4">
        <f t="shared" si="59"/>
        <v>0</v>
      </c>
      <c r="AX123" s="4">
        <f t="shared" si="60"/>
        <v>0</v>
      </c>
      <c r="AY123" s="14" t="s">
        <v>795</v>
      </c>
      <c r="AZ123" s="14" t="s">
        <v>334</v>
      </c>
      <c r="BA123" s="30" t="s">
        <v>694</v>
      </c>
      <c r="BC123" s="4">
        <f t="shared" si="61"/>
        <v>0</v>
      </c>
      <c r="BD123" s="4">
        <f t="shared" si="62"/>
        <v>0</v>
      </c>
      <c r="BE123" s="4">
        <v>0</v>
      </c>
      <c r="BF123" s="4">
        <f>123</f>
        <v>123</v>
      </c>
      <c r="BH123" s="4">
        <f t="shared" si="63"/>
        <v>0</v>
      </c>
      <c r="BI123" s="4">
        <f t="shared" si="64"/>
        <v>0</v>
      </c>
      <c r="BJ123" s="4">
        <f t="shared" si="65"/>
        <v>0</v>
      </c>
      <c r="BK123" s="4"/>
      <c r="BL123" s="4">
        <v>96</v>
      </c>
    </row>
    <row r="124" spans="1:64" ht="15" customHeight="1">
      <c r="A124" s="22" t="s">
        <v>78</v>
      </c>
      <c r="B124" s="9" t="s">
        <v>921</v>
      </c>
      <c r="C124" s="53" t="s">
        <v>301</v>
      </c>
      <c r="D124" s="53"/>
      <c r="E124" s="53"/>
      <c r="F124" s="53"/>
      <c r="G124" s="9" t="s">
        <v>891</v>
      </c>
      <c r="H124" s="4">
        <v>2</v>
      </c>
      <c r="I124" s="4">
        <v>0</v>
      </c>
      <c r="J124" s="4">
        <f t="shared" si="44"/>
        <v>0</v>
      </c>
      <c r="K124" s="4">
        <f t="shared" si="45"/>
        <v>0</v>
      </c>
      <c r="L124" s="4">
        <f t="shared" si="46"/>
        <v>0</v>
      </c>
      <c r="M124" s="17" t="s">
        <v>619</v>
      </c>
      <c r="Z124" s="4">
        <f t="shared" si="47"/>
        <v>0</v>
      </c>
      <c r="AB124" s="4">
        <f t="shared" si="48"/>
        <v>0</v>
      </c>
      <c r="AC124" s="4">
        <f t="shared" si="49"/>
        <v>0</v>
      </c>
      <c r="AD124" s="4">
        <f t="shared" si="50"/>
        <v>0</v>
      </c>
      <c r="AE124" s="4">
        <f t="shared" si="51"/>
        <v>0</v>
      </c>
      <c r="AF124" s="4">
        <f t="shared" si="52"/>
        <v>0</v>
      </c>
      <c r="AG124" s="4">
        <f t="shared" si="53"/>
        <v>0</v>
      </c>
      <c r="AH124" s="4">
        <f t="shared" si="54"/>
        <v>0</v>
      </c>
      <c r="AI124" s="30" t="s">
        <v>630</v>
      </c>
      <c r="AJ124" s="4">
        <f t="shared" si="55"/>
        <v>0</v>
      </c>
      <c r="AK124" s="4">
        <f t="shared" si="56"/>
        <v>0</v>
      </c>
      <c r="AL124" s="4">
        <f t="shared" si="57"/>
        <v>0</v>
      </c>
      <c r="AN124" s="4">
        <v>21</v>
      </c>
      <c r="AO124" s="4">
        <f>I124*0.0693404634581105</f>
        <v>0</v>
      </c>
      <c r="AP124" s="4">
        <f>I124*(1-0.0693404634581105)</f>
        <v>0</v>
      </c>
      <c r="AQ124" s="14" t="s">
        <v>903</v>
      </c>
      <c r="AV124" s="4">
        <f t="shared" si="58"/>
        <v>0</v>
      </c>
      <c r="AW124" s="4">
        <f t="shared" si="59"/>
        <v>0</v>
      </c>
      <c r="AX124" s="4">
        <f t="shared" si="60"/>
        <v>0</v>
      </c>
      <c r="AY124" s="14" t="s">
        <v>795</v>
      </c>
      <c r="AZ124" s="14" t="s">
        <v>334</v>
      </c>
      <c r="BA124" s="30" t="s">
        <v>694</v>
      </c>
      <c r="BC124" s="4">
        <f t="shared" si="61"/>
        <v>0</v>
      </c>
      <c r="BD124" s="4">
        <f t="shared" si="62"/>
        <v>0</v>
      </c>
      <c r="BE124" s="4">
        <v>0</v>
      </c>
      <c r="BF124" s="4">
        <f>124</f>
        <v>124</v>
      </c>
      <c r="BH124" s="4">
        <f t="shared" si="63"/>
        <v>0</v>
      </c>
      <c r="BI124" s="4">
        <f t="shared" si="64"/>
        <v>0</v>
      </c>
      <c r="BJ124" s="4">
        <f t="shared" si="65"/>
        <v>0</v>
      </c>
      <c r="BK124" s="4"/>
      <c r="BL124" s="4">
        <v>96</v>
      </c>
    </row>
    <row r="125" spans="1:64" ht="15" customHeight="1">
      <c r="A125" s="22" t="s">
        <v>705</v>
      </c>
      <c r="B125" s="9" t="s">
        <v>707</v>
      </c>
      <c r="C125" s="53" t="s">
        <v>605</v>
      </c>
      <c r="D125" s="53"/>
      <c r="E125" s="53"/>
      <c r="F125" s="53"/>
      <c r="G125" s="9" t="s">
        <v>232</v>
      </c>
      <c r="H125" s="4">
        <v>7</v>
      </c>
      <c r="I125" s="4">
        <v>0</v>
      </c>
      <c r="J125" s="4">
        <f t="shared" si="44"/>
        <v>0</v>
      </c>
      <c r="K125" s="4">
        <f t="shared" si="45"/>
        <v>0</v>
      </c>
      <c r="L125" s="4">
        <f t="shared" si="46"/>
        <v>0</v>
      </c>
      <c r="M125" s="17" t="s">
        <v>619</v>
      </c>
      <c r="Z125" s="4">
        <f t="shared" si="47"/>
        <v>0</v>
      </c>
      <c r="AB125" s="4">
        <f t="shared" si="48"/>
        <v>0</v>
      </c>
      <c r="AC125" s="4">
        <f t="shared" si="49"/>
        <v>0</v>
      </c>
      <c r="AD125" s="4">
        <f t="shared" si="50"/>
        <v>0</v>
      </c>
      <c r="AE125" s="4">
        <f t="shared" si="51"/>
        <v>0</v>
      </c>
      <c r="AF125" s="4">
        <f t="shared" si="52"/>
        <v>0</v>
      </c>
      <c r="AG125" s="4">
        <f t="shared" si="53"/>
        <v>0</v>
      </c>
      <c r="AH125" s="4">
        <f t="shared" si="54"/>
        <v>0</v>
      </c>
      <c r="AI125" s="30" t="s">
        <v>630</v>
      </c>
      <c r="AJ125" s="4">
        <f t="shared" si="55"/>
        <v>0</v>
      </c>
      <c r="AK125" s="4">
        <f t="shared" si="56"/>
        <v>0</v>
      </c>
      <c r="AL125" s="4">
        <f t="shared" si="57"/>
        <v>0</v>
      </c>
      <c r="AN125" s="4">
        <v>21</v>
      </c>
      <c r="AO125" s="4">
        <f>I125*0</f>
        <v>0</v>
      </c>
      <c r="AP125" s="4">
        <f>I125*(1-0)</f>
        <v>0</v>
      </c>
      <c r="AQ125" s="14" t="s">
        <v>903</v>
      </c>
      <c r="AV125" s="4">
        <f t="shared" si="58"/>
        <v>0</v>
      </c>
      <c r="AW125" s="4">
        <f t="shared" si="59"/>
        <v>0</v>
      </c>
      <c r="AX125" s="4">
        <f t="shared" si="60"/>
        <v>0</v>
      </c>
      <c r="AY125" s="14" t="s">
        <v>795</v>
      </c>
      <c r="AZ125" s="14" t="s">
        <v>334</v>
      </c>
      <c r="BA125" s="30" t="s">
        <v>694</v>
      </c>
      <c r="BC125" s="4">
        <f t="shared" si="61"/>
        <v>0</v>
      </c>
      <c r="BD125" s="4">
        <f t="shared" si="62"/>
        <v>0</v>
      </c>
      <c r="BE125" s="4">
        <v>0</v>
      </c>
      <c r="BF125" s="4">
        <f>125</f>
        <v>125</v>
      </c>
      <c r="BH125" s="4">
        <f t="shared" si="63"/>
        <v>0</v>
      </c>
      <c r="BI125" s="4">
        <f t="shared" si="64"/>
        <v>0</v>
      </c>
      <c r="BJ125" s="4">
        <f t="shared" si="65"/>
        <v>0</v>
      </c>
      <c r="BK125" s="4"/>
      <c r="BL125" s="4">
        <v>96</v>
      </c>
    </row>
    <row r="126" spans="1:64" ht="15" customHeight="1">
      <c r="A126" s="22" t="s">
        <v>566</v>
      </c>
      <c r="B126" s="9" t="s">
        <v>174</v>
      </c>
      <c r="C126" s="53" t="s">
        <v>518</v>
      </c>
      <c r="D126" s="53"/>
      <c r="E126" s="53"/>
      <c r="F126" s="53"/>
      <c r="G126" s="9" t="s">
        <v>891</v>
      </c>
      <c r="H126" s="4">
        <v>9</v>
      </c>
      <c r="I126" s="4">
        <v>0</v>
      </c>
      <c r="J126" s="4">
        <f t="shared" si="44"/>
        <v>0</v>
      </c>
      <c r="K126" s="4">
        <f t="shared" si="45"/>
        <v>0</v>
      </c>
      <c r="L126" s="4">
        <f t="shared" si="46"/>
        <v>0</v>
      </c>
      <c r="M126" s="17" t="s">
        <v>619</v>
      </c>
      <c r="Z126" s="4">
        <f t="shared" si="47"/>
        <v>0</v>
      </c>
      <c r="AB126" s="4">
        <f t="shared" si="48"/>
        <v>0</v>
      </c>
      <c r="AC126" s="4">
        <f t="shared" si="49"/>
        <v>0</v>
      </c>
      <c r="AD126" s="4">
        <f t="shared" si="50"/>
        <v>0</v>
      </c>
      <c r="AE126" s="4">
        <f t="shared" si="51"/>
        <v>0</v>
      </c>
      <c r="AF126" s="4">
        <f t="shared" si="52"/>
        <v>0</v>
      </c>
      <c r="AG126" s="4">
        <f t="shared" si="53"/>
        <v>0</v>
      </c>
      <c r="AH126" s="4">
        <f t="shared" si="54"/>
        <v>0</v>
      </c>
      <c r="AI126" s="30" t="s">
        <v>630</v>
      </c>
      <c r="AJ126" s="4">
        <f t="shared" si="55"/>
        <v>0</v>
      </c>
      <c r="AK126" s="4">
        <f t="shared" si="56"/>
        <v>0</v>
      </c>
      <c r="AL126" s="4">
        <f t="shared" si="57"/>
        <v>0</v>
      </c>
      <c r="AN126" s="4">
        <v>21</v>
      </c>
      <c r="AO126" s="4">
        <f>I126*0.0772009029345373</f>
        <v>0</v>
      </c>
      <c r="AP126" s="4">
        <f>I126*(1-0.0772009029345373)</f>
        <v>0</v>
      </c>
      <c r="AQ126" s="14" t="s">
        <v>903</v>
      </c>
      <c r="AV126" s="4">
        <f t="shared" si="58"/>
        <v>0</v>
      </c>
      <c r="AW126" s="4">
        <f t="shared" si="59"/>
        <v>0</v>
      </c>
      <c r="AX126" s="4">
        <f t="shared" si="60"/>
        <v>0</v>
      </c>
      <c r="AY126" s="14" t="s">
        <v>795</v>
      </c>
      <c r="AZ126" s="14" t="s">
        <v>334</v>
      </c>
      <c r="BA126" s="30" t="s">
        <v>694</v>
      </c>
      <c r="BC126" s="4">
        <f t="shared" si="61"/>
        <v>0</v>
      </c>
      <c r="BD126" s="4">
        <f t="shared" si="62"/>
        <v>0</v>
      </c>
      <c r="BE126" s="4">
        <v>0</v>
      </c>
      <c r="BF126" s="4">
        <f>126</f>
        <v>126</v>
      </c>
      <c r="BH126" s="4">
        <f t="shared" si="63"/>
        <v>0</v>
      </c>
      <c r="BI126" s="4">
        <f t="shared" si="64"/>
        <v>0</v>
      </c>
      <c r="BJ126" s="4">
        <f t="shared" si="65"/>
        <v>0</v>
      </c>
      <c r="BK126" s="4"/>
      <c r="BL126" s="4">
        <v>96</v>
      </c>
    </row>
    <row r="127" spans="1:64" ht="15" customHeight="1">
      <c r="A127" s="22" t="s">
        <v>915</v>
      </c>
      <c r="B127" s="9" t="s">
        <v>525</v>
      </c>
      <c r="C127" s="53" t="s">
        <v>781</v>
      </c>
      <c r="D127" s="53"/>
      <c r="E127" s="53"/>
      <c r="F127" s="53"/>
      <c r="G127" s="9" t="s">
        <v>891</v>
      </c>
      <c r="H127" s="4">
        <v>3.2</v>
      </c>
      <c r="I127" s="4">
        <v>0</v>
      </c>
      <c r="J127" s="4">
        <f t="shared" si="44"/>
        <v>0</v>
      </c>
      <c r="K127" s="4">
        <f t="shared" si="45"/>
        <v>0</v>
      </c>
      <c r="L127" s="4">
        <f t="shared" si="46"/>
        <v>0</v>
      </c>
      <c r="M127" s="17" t="s">
        <v>619</v>
      </c>
      <c r="Z127" s="4">
        <f t="shared" si="47"/>
        <v>0</v>
      </c>
      <c r="AB127" s="4">
        <f t="shared" si="48"/>
        <v>0</v>
      </c>
      <c r="AC127" s="4">
        <f t="shared" si="49"/>
        <v>0</v>
      </c>
      <c r="AD127" s="4">
        <f t="shared" si="50"/>
        <v>0</v>
      </c>
      <c r="AE127" s="4">
        <f t="shared" si="51"/>
        <v>0</v>
      </c>
      <c r="AF127" s="4">
        <f t="shared" si="52"/>
        <v>0</v>
      </c>
      <c r="AG127" s="4">
        <f t="shared" si="53"/>
        <v>0</v>
      </c>
      <c r="AH127" s="4">
        <f t="shared" si="54"/>
        <v>0</v>
      </c>
      <c r="AI127" s="30" t="s">
        <v>630</v>
      </c>
      <c r="AJ127" s="4">
        <f t="shared" si="55"/>
        <v>0</v>
      </c>
      <c r="AK127" s="4">
        <f t="shared" si="56"/>
        <v>0</v>
      </c>
      <c r="AL127" s="4">
        <f t="shared" si="57"/>
        <v>0</v>
      </c>
      <c r="AN127" s="4">
        <v>21</v>
      </c>
      <c r="AO127" s="4">
        <f>I127*0.0853430656934307</f>
        <v>0</v>
      </c>
      <c r="AP127" s="4">
        <f>I127*(1-0.0853430656934307)</f>
        <v>0</v>
      </c>
      <c r="AQ127" s="14" t="s">
        <v>903</v>
      </c>
      <c r="AV127" s="4">
        <f t="shared" si="58"/>
        <v>0</v>
      </c>
      <c r="AW127" s="4">
        <f t="shared" si="59"/>
        <v>0</v>
      </c>
      <c r="AX127" s="4">
        <f t="shared" si="60"/>
        <v>0</v>
      </c>
      <c r="AY127" s="14" t="s">
        <v>795</v>
      </c>
      <c r="AZ127" s="14" t="s">
        <v>334</v>
      </c>
      <c r="BA127" s="30" t="s">
        <v>694</v>
      </c>
      <c r="BC127" s="4">
        <f t="shared" si="61"/>
        <v>0</v>
      </c>
      <c r="BD127" s="4">
        <f t="shared" si="62"/>
        <v>0</v>
      </c>
      <c r="BE127" s="4">
        <v>0</v>
      </c>
      <c r="BF127" s="4">
        <f>127</f>
        <v>127</v>
      </c>
      <c r="BH127" s="4">
        <f t="shared" si="63"/>
        <v>0</v>
      </c>
      <c r="BI127" s="4">
        <f t="shared" si="64"/>
        <v>0</v>
      </c>
      <c r="BJ127" s="4">
        <f t="shared" si="65"/>
        <v>0</v>
      </c>
      <c r="BK127" s="4"/>
      <c r="BL127" s="4">
        <v>96</v>
      </c>
    </row>
    <row r="128" spans="1:64" ht="15" customHeight="1">
      <c r="A128" s="22" t="s">
        <v>834</v>
      </c>
      <c r="B128" s="9" t="s">
        <v>632</v>
      </c>
      <c r="C128" s="53" t="s">
        <v>411</v>
      </c>
      <c r="D128" s="53"/>
      <c r="E128" s="53"/>
      <c r="F128" s="53"/>
      <c r="G128" s="9" t="s">
        <v>232</v>
      </c>
      <c r="H128" s="4">
        <v>1</v>
      </c>
      <c r="I128" s="4">
        <v>0</v>
      </c>
      <c r="J128" s="4">
        <f t="shared" si="44"/>
        <v>0</v>
      </c>
      <c r="K128" s="4">
        <f t="shared" si="45"/>
        <v>0</v>
      </c>
      <c r="L128" s="4">
        <f t="shared" si="46"/>
        <v>0</v>
      </c>
      <c r="M128" s="17" t="s">
        <v>619</v>
      </c>
      <c r="Z128" s="4">
        <f t="shared" si="47"/>
        <v>0</v>
      </c>
      <c r="AB128" s="4">
        <f t="shared" si="48"/>
        <v>0</v>
      </c>
      <c r="AC128" s="4">
        <f t="shared" si="49"/>
        <v>0</v>
      </c>
      <c r="AD128" s="4">
        <f t="shared" si="50"/>
        <v>0</v>
      </c>
      <c r="AE128" s="4">
        <f t="shared" si="51"/>
        <v>0</v>
      </c>
      <c r="AF128" s="4">
        <f t="shared" si="52"/>
        <v>0</v>
      </c>
      <c r="AG128" s="4">
        <f t="shared" si="53"/>
        <v>0</v>
      </c>
      <c r="AH128" s="4">
        <f t="shared" si="54"/>
        <v>0</v>
      </c>
      <c r="AI128" s="30" t="s">
        <v>630</v>
      </c>
      <c r="AJ128" s="4">
        <f t="shared" si="55"/>
        <v>0</v>
      </c>
      <c r="AK128" s="4">
        <f t="shared" si="56"/>
        <v>0</v>
      </c>
      <c r="AL128" s="4">
        <f t="shared" si="57"/>
        <v>0</v>
      </c>
      <c r="AN128" s="4">
        <v>21</v>
      </c>
      <c r="AO128" s="4">
        <f>I128*0</f>
        <v>0</v>
      </c>
      <c r="AP128" s="4">
        <f>I128*(1-0)</f>
        <v>0</v>
      </c>
      <c r="AQ128" s="14" t="s">
        <v>903</v>
      </c>
      <c r="AV128" s="4">
        <f t="shared" si="58"/>
        <v>0</v>
      </c>
      <c r="AW128" s="4">
        <f t="shared" si="59"/>
        <v>0</v>
      </c>
      <c r="AX128" s="4">
        <f t="shared" si="60"/>
        <v>0</v>
      </c>
      <c r="AY128" s="14" t="s">
        <v>795</v>
      </c>
      <c r="AZ128" s="14" t="s">
        <v>334</v>
      </c>
      <c r="BA128" s="30" t="s">
        <v>694</v>
      </c>
      <c r="BC128" s="4">
        <f t="shared" si="61"/>
        <v>0</v>
      </c>
      <c r="BD128" s="4">
        <f t="shared" si="62"/>
        <v>0</v>
      </c>
      <c r="BE128" s="4">
        <v>0</v>
      </c>
      <c r="BF128" s="4">
        <f>128</f>
        <v>128</v>
      </c>
      <c r="BH128" s="4">
        <f t="shared" si="63"/>
        <v>0</v>
      </c>
      <c r="BI128" s="4">
        <f t="shared" si="64"/>
        <v>0</v>
      </c>
      <c r="BJ128" s="4">
        <f t="shared" si="65"/>
        <v>0</v>
      </c>
      <c r="BK128" s="4"/>
      <c r="BL128" s="4">
        <v>96</v>
      </c>
    </row>
    <row r="129" spans="1:64" ht="15" customHeight="1">
      <c r="A129" s="22" t="s">
        <v>606</v>
      </c>
      <c r="B129" s="9" t="s">
        <v>939</v>
      </c>
      <c r="C129" s="53" t="s">
        <v>973</v>
      </c>
      <c r="D129" s="53"/>
      <c r="E129" s="53"/>
      <c r="F129" s="53"/>
      <c r="G129" s="9" t="s">
        <v>870</v>
      </c>
      <c r="H129" s="4">
        <v>0.63</v>
      </c>
      <c r="I129" s="4">
        <v>0</v>
      </c>
      <c r="J129" s="4">
        <f t="shared" si="44"/>
        <v>0</v>
      </c>
      <c r="K129" s="4">
        <f t="shared" si="45"/>
        <v>0</v>
      </c>
      <c r="L129" s="4">
        <f t="shared" si="46"/>
        <v>0</v>
      </c>
      <c r="M129" s="17" t="s">
        <v>619</v>
      </c>
      <c r="Z129" s="4">
        <f t="shared" si="47"/>
        <v>0</v>
      </c>
      <c r="AB129" s="4">
        <f t="shared" si="48"/>
        <v>0</v>
      </c>
      <c r="AC129" s="4">
        <f t="shared" si="49"/>
        <v>0</v>
      </c>
      <c r="AD129" s="4">
        <f t="shared" si="50"/>
        <v>0</v>
      </c>
      <c r="AE129" s="4">
        <f t="shared" si="51"/>
        <v>0</v>
      </c>
      <c r="AF129" s="4">
        <f t="shared" si="52"/>
        <v>0</v>
      </c>
      <c r="AG129" s="4">
        <f t="shared" si="53"/>
        <v>0</v>
      </c>
      <c r="AH129" s="4">
        <f t="shared" si="54"/>
        <v>0</v>
      </c>
      <c r="AI129" s="30" t="s">
        <v>630</v>
      </c>
      <c r="AJ129" s="4">
        <f t="shared" si="55"/>
        <v>0</v>
      </c>
      <c r="AK129" s="4">
        <f t="shared" si="56"/>
        <v>0</v>
      </c>
      <c r="AL129" s="4">
        <f t="shared" si="57"/>
        <v>0</v>
      </c>
      <c r="AN129" s="4">
        <v>21</v>
      </c>
      <c r="AO129" s="4">
        <f>I129*0.0358231530845392</f>
        <v>0</v>
      </c>
      <c r="AP129" s="4">
        <f>I129*(1-0.0358231530845392)</f>
        <v>0</v>
      </c>
      <c r="AQ129" s="14" t="s">
        <v>903</v>
      </c>
      <c r="AV129" s="4">
        <f t="shared" si="58"/>
        <v>0</v>
      </c>
      <c r="AW129" s="4">
        <f t="shared" si="59"/>
        <v>0</v>
      </c>
      <c r="AX129" s="4">
        <f t="shared" si="60"/>
        <v>0</v>
      </c>
      <c r="AY129" s="14" t="s">
        <v>795</v>
      </c>
      <c r="AZ129" s="14" t="s">
        <v>334</v>
      </c>
      <c r="BA129" s="30" t="s">
        <v>694</v>
      </c>
      <c r="BC129" s="4">
        <f t="shared" si="61"/>
        <v>0</v>
      </c>
      <c r="BD129" s="4">
        <f t="shared" si="62"/>
        <v>0</v>
      </c>
      <c r="BE129" s="4">
        <v>0</v>
      </c>
      <c r="BF129" s="4">
        <f>129</f>
        <v>129</v>
      </c>
      <c r="BH129" s="4">
        <f t="shared" si="63"/>
        <v>0</v>
      </c>
      <c r="BI129" s="4">
        <f t="shared" si="64"/>
        <v>0</v>
      </c>
      <c r="BJ129" s="4">
        <f t="shared" si="65"/>
        <v>0</v>
      </c>
      <c r="BK129" s="4"/>
      <c r="BL129" s="4">
        <v>96</v>
      </c>
    </row>
    <row r="130" spans="1:64" ht="13.5" customHeight="1">
      <c r="A130" s="13"/>
      <c r="B130" s="18" t="s">
        <v>473</v>
      </c>
      <c r="C130" s="54" t="s">
        <v>478</v>
      </c>
      <c r="D130" s="55"/>
      <c r="E130" s="55"/>
      <c r="F130" s="55"/>
      <c r="G130" s="55"/>
      <c r="H130" s="55"/>
      <c r="I130" s="55"/>
      <c r="J130" s="55"/>
      <c r="K130" s="55"/>
      <c r="L130" s="55"/>
      <c r="M130" s="56"/>
    </row>
    <row r="131" spans="1:64" ht="15" customHeight="1">
      <c r="A131" s="22" t="s">
        <v>471</v>
      </c>
      <c r="B131" s="9" t="s">
        <v>772</v>
      </c>
      <c r="C131" s="53" t="s">
        <v>450</v>
      </c>
      <c r="D131" s="53"/>
      <c r="E131" s="53"/>
      <c r="F131" s="53"/>
      <c r="G131" s="9" t="s">
        <v>891</v>
      </c>
      <c r="H131" s="4">
        <v>1.05</v>
      </c>
      <c r="I131" s="4">
        <v>0</v>
      </c>
      <c r="J131" s="4">
        <f>H131*AO131</f>
        <v>0</v>
      </c>
      <c r="K131" s="4">
        <f>H131*AP131</f>
        <v>0</v>
      </c>
      <c r="L131" s="4">
        <f>H131*I131</f>
        <v>0</v>
      </c>
      <c r="M131" s="17" t="s">
        <v>619</v>
      </c>
      <c r="Z131" s="4">
        <f>IF(AQ131="5",BJ131,0)</f>
        <v>0</v>
      </c>
      <c r="AB131" s="4">
        <f>IF(AQ131="1",BH131,0)</f>
        <v>0</v>
      </c>
      <c r="AC131" s="4">
        <f>IF(AQ131="1",BI131,0)</f>
        <v>0</v>
      </c>
      <c r="AD131" s="4">
        <f>IF(AQ131="7",BH131,0)</f>
        <v>0</v>
      </c>
      <c r="AE131" s="4">
        <f>IF(AQ131="7",BI131,0)</f>
        <v>0</v>
      </c>
      <c r="AF131" s="4">
        <f>IF(AQ131="2",BH131,0)</f>
        <v>0</v>
      </c>
      <c r="AG131" s="4">
        <f>IF(AQ131="2",BI131,0)</f>
        <v>0</v>
      </c>
      <c r="AH131" s="4">
        <f>IF(AQ131="0",BJ131,0)</f>
        <v>0</v>
      </c>
      <c r="AI131" s="30" t="s">
        <v>630</v>
      </c>
      <c r="AJ131" s="4">
        <f>IF(AN131=0,L131,0)</f>
        <v>0</v>
      </c>
      <c r="AK131" s="4">
        <f>IF(AN131=15,L131,0)</f>
        <v>0</v>
      </c>
      <c r="AL131" s="4">
        <f>IF(AN131=21,L131,0)</f>
        <v>0</v>
      </c>
      <c r="AN131" s="4">
        <v>21</v>
      </c>
      <c r="AO131" s="4">
        <f>I131*0.113504068047337</f>
        <v>0</v>
      </c>
      <c r="AP131" s="4">
        <f>I131*(1-0.113504068047337)</f>
        <v>0</v>
      </c>
      <c r="AQ131" s="14" t="s">
        <v>903</v>
      </c>
      <c r="AV131" s="4">
        <f>AW131+AX131</f>
        <v>0</v>
      </c>
      <c r="AW131" s="4">
        <f>H131*AO131</f>
        <v>0</v>
      </c>
      <c r="AX131" s="4">
        <f>H131*AP131</f>
        <v>0</v>
      </c>
      <c r="AY131" s="14" t="s">
        <v>795</v>
      </c>
      <c r="AZ131" s="14" t="s">
        <v>334</v>
      </c>
      <c r="BA131" s="30" t="s">
        <v>694</v>
      </c>
      <c r="BC131" s="4">
        <f>AW131+AX131</f>
        <v>0</v>
      </c>
      <c r="BD131" s="4">
        <f>I131/(100-BE131)*100</f>
        <v>0</v>
      </c>
      <c r="BE131" s="4">
        <v>0</v>
      </c>
      <c r="BF131" s="4">
        <f>131</f>
        <v>131</v>
      </c>
      <c r="BH131" s="4">
        <f>H131*AO131</f>
        <v>0</v>
      </c>
      <c r="BI131" s="4">
        <f>H131*AP131</f>
        <v>0</v>
      </c>
      <c r="BJ131" s="4">
        <f>H131*I131</f>
        <v>0</v>
      </c>
      <c r="BK131" s="4"/>
      <c r="BL131" s="4">
        <v>96</v>
      </c>
    </row>
    <row r="132" spans="1:64" ht="15" customHeight="1">
      <c r="A132" s="22" t="s">
        <v>203</v>
      </c>
      <c r="B132" s="9" t="s">
        <v>158</v>
      </c>
      <c r="C132" s="53" t="s">
        <v>464</v>
      </c>
      <c r="D132" s="53"/>
      <c r="E132" s="53"/>
      <c r="F132" s="53"/>
      <c r="G132" s="9" t="s">
        <v>750</v>
      </c>
      <c r="H132" s="4">
        <v>1.5</v>
      </c>
      <c r="I132" s="4">
        <v>0</v>
      </c>
      <c r="J132" s="4">
        <f>H132*AO132</f>
        <v>0</v>
      </c>
      <c r="K132" s="4">
        <f>H132*AP132</f>
        <v>0</v>
      </c>
      <c r="L132" s="4">
        <f>H132*I132</f>
        <v>0</v>
      </c>
      <c r="M132" s="17" t="s">
        <v>619</v>
      </c>
      <c r="Z132" s="4">
        <f>IF(AQ132="5",BJ132,0)</f>
        <v>0</v>
      </c>
      <c r="AB132" s="4">
        <f>IF(AQ132="1",BH132,0)</f>
        <v>0</v>
      </c>
      <c r="AC132" s="4">
        <f>IF(AQ132="1",BI132,0)</f>
        <v>0</v>
      </c>
      <c r="AD132" s="4">
        <f>IF(AQ132="7",BH132,0)</f>
        <v>0</v>
      </c>
      <c r="AE132" s="4">
        <f>IF(AQ132="7",BI132,0)</f>
        <v>0</v>
      </c>
      <c r="AF132" s="4">
        <f>IF(AQ132="2",BH132,0)</f>
        <v>0</v>
      </c>
      <c r="AG132" s="4">
        <f>IF(AQ132="2",BI132,0)</f>
        <v>0</v>
      </c>
      <c r="AH132" s="4">
        <f>IF(AQ132="0",BJ132,0)</f>
        <v>0</v>
      </c>
      <c r="AI132" s="30" t="s">
        <v>630</v>
      </c>
      <c r="AJ132" s="4">
        <f>IF(AN132=0,L132,0)</f>
        <v>0</v>
      </c>
      <c r="AK132" s="4">
        <f>IF(AN132=15,L132,0)</f>
        <v>0</v>
      </c>
      <c r="AL132" s="4">
        <f>IF(AN132=21,L132,0)</f>
        <v>0</v>
      </c>
      <c r="AN132" s="4">
        <v>21</v>
      </c>
      <c r="AO132" s="4">
        <f>I132*0</f>
        <v>0</v>
      </c>
      <c r="AP132" s="4">
        <f>I132*(1-0)</f>
        <v>0</v>
      </c>
      <c r="AQ132" s="14" t="s">
        <v>903</v>
      </c>
      <c r="AV132" s="4">
        <f>AW132+AX132</f>
        <v>0</v>
      </c>
      <c r="AW132" s="4">
        <f>H132*AO132</f>
        <v>0</v>
      </c>
      <c r="AX132" s="4">
        <f>H132*AP132</f>
        <v>0</v>
      </c>
      <c r="AY132" s="14" t="s">
        <v>795</v>
      </c>
      <c r="AZ132" s="14" t="s">
        <v>334</v>
      </c>
      <c r="BA132" s="30" t="s">
        <v>694</v>
      </c>
      <c r="BC132" s="4">
        <f>AW132+AX132</f>
        <v>0</v>
      </c>
      <c r="BD132" s="4">
        <f>I132/(100-BE132)*100</f>
        <v>0</v>
      </c>
      <c r="BE132" s="4">
        <v>0</v>
      </c>
      <c r="BF132" s="4">
        <f>132</f>
        <v>132</v>
      </c>
      <c r="BH132" s="4">
        <f>H132*AO132</f>
        <v>0</v>
      </c>
      <c r="BI132" s="4">
        <f>H132*AP132</f>
        <v>0</v>
      </c>
      <c r="BJ132" s="4">
        <f>H132*I132</f>
        <v>0</v>
      </c>
      <c r="BK132" s="4"/>
      <c r="BL132" s="4">
        <v>96</v>
      </c>
    </row>
    <row r="133" spans="1:64" ht="13.5" customHeight="1">
      <c r="A133" s="13"/>
      <c r="B133" s="18" t="s">
        <v>473</v>
      </c>
      <c r="C133" s="54" t="s">
        <v>303</v>
      </c>
      <c r="D133" s="55"/>
      <c r="E133" s="55"/>
      <c r="F133" s="55"/>
      <c r="G133" s="55"/>
      <c r="H133" s="55"/>
      <c r="I133" s="55"/>
      <c r="J133" s="55"/>
      <c r="K133" s="55"/>
      <c r="L133" s="55"/>
      <c r="M133" s="56"/>
    </row>
    <row r="134" spans="1:64" ht="15" customHeight="1">
      <c r="A134" s="22" t="s">
        <v>77</v>
      </c>
      <c r="B134" s="9" t="s">
        <v>138</v>
      </c>
      <c r="C134" s="53" t="s">
        <v>778</v>
      </c>
      <c r="D134" s="53"/>
      <c r="E134" s="53"/>
      <c r="F134" s="53"/>
      <c r="G134" s="9" t="s">
        <v>891</v>
      </c>
      <c r="H134" s="4">
        <v>16.3</v>
      </c>
      <c r="I134" s="4">
        <v>0</v>
      </c>
      <c r="J134" s="4">
        <f>H134*AO134</f>
        <v>0</v>
      </c>
      <c r="K134" s="4">
        <f>H134*AP134</f>
        <v>0</v>
      </c>
      <c r="L134" s="4">
        <f>H134*I134</f>
        <v>0</v>
      </c>
      <c r="M134" s="17" t="s">
        <v>619</v>
      </c>
      <c r="Z134" s="4">
        <f>IF(AQ134="5",BJ134,0)</f>
        <v>0</v>
      </c>
      <c r="AB134" s="4">
        <f>IF(AQ134="1",BH134,0)</f>
        <v>0</v>
      </c>
      <c r="AC134" s="4">
        <f>IF(AQ134="1",BI134,0)</f>
        <v>0</v>
      </c>
      <c r="AD134" s="4">
        <f>IF(AQ134="7",BH134,0)</f>
        <v>0</v>
      </c>
      <c r="AE134" s="4">
        <f>IF(AQ134="7",BI134,0)</f>
        <v>0</v>
      </c>
      <c r="AF134" s="4">
        <f>IF(AQ134="2",BH134,0)</f>
        <v>0</v>
      </c>
      <c r="AG134" s="4">
        <f>IF(AQ134="2",BI134,0)</f>
        <v>0</v>
      </c>
      <c r="AH134" s="4">
        <f>IF(AQ134="0",BJ134,0)</f>
        <v>0</v>
      </c>
      <c r="AI134" s="30" t="s">
        <v>630</v>
      </c>
      <c r="AJ134" s="4">
        <f>IF(AN134=0,L134,0)</f>
        <v>0</v>
      </c>
      <c r="AK134" s="4">
        <f>IF(AN134=15,L134,0)</f>
        <v>0</v>
      </c>
      <c r="AL134" s="4">
        <f>IF(AN134=21,L134,0)</f>
        <v>0</v>
      </c>
      <c r="AN134" s="4">
        <v>21</v>
      </c>
      <c r="AO134" s="4">
        <f>I134*0</f>
        <v>0</v>
      </c>
      <c r="AP134" s="4">
        <f>I134*(1-0)</f>
        <v>0</v>
      </c>
      <c r="AQ134" s="14" t="s">
        <v>903</v>
      </c>
      <c r="AV134" s="4">
        <f>AW134+AX134</f>
        <v>0</v>
      </c>
      <c r="AW134" s="4">
        <f>H134*AO134</f>
        <v>0</v>
      </c>
      <c r="AX134" s="4">
        <f>H134*AP134</f>
        <v>0</v>
      </c>
      <c r="AY134" s="14" t="s">
        <v>795</v>
      </c>
      <c r="AZ134" s="14" t="s">
        <v>334</v>
      </c>
      <c r="BA134" s="30" t="s">
        <v>694</v>
      </c>
      <c r="BC134" s="4">
        <f>AW134+AX134</f>
        <v>0</v>
      </c>
      <c r="BD134" s="4">
        <f>I134/(100-BE134)*100</f>
        <v>0</v>
      </c>
      <c r="BE134" s="4">
        <v>0</v>
      </c>
      <c r="BF134" s="4">
        <f>134</f>
        <v>134</v>
      </c>
      <c r="BH134" s="4">
        <f>H134*AO134</f>
        <v>0</v>
      </c>
      <c r="BI134" s="4">
        <f>H134*AP134</f>
        <v>0</v>
      </c>
      <c r="BJ134" s="4">
        <f>H134*I134</f>
        <v>0</v>
      </c>
      <c r="BK134" s="4"/>
      <c r="BL134" s="4">
        <v>96</v>
      </c>
    </row>
    <row r="135" spans="1:64" ht="13.5" customHeight="1">
      <c r="A135" s="13"/>
      <c r="B135" s="18" t="s">
        <v>473</v>
      </c>
      <c r="C135" s="54" t="s">
        <v>1004</v>
      </c>
      <c r="D135" s="55"/>
      <c r="E135" s="55"/>
      <c r="F135" s="55"/>
      <c r="G135" s="55"/>
      <c r="H135" s="55"/>
      <c r="I135" s="55"/>
      <c r="J135" s="55"/>
      <c r="K135" s="55"/>
      <c r="L135" s="55"/>
      <c r="M135" s="56"/>
    </row>
    <row r="136" spans="1:64" ht="15" customHeight="1">
      <c r="A136" s="12" t="s">
        <v>630</v>
      </c>
      <c r="B136" s="32" t="s">
        <v>99</v>
      </c>
      <c r="C136" s="61" t="s">
        <v>993</v>
      </c>
      <c r="D136" s="61"/>
      <c r="E136" s="61"/>
      <c r="F136" s="61"/>
      <c r="G136" s="45" t="s">
        <v>839</v>
      </c>
      <c r="H136" s="45" t="s">
        <v>839</v>
      </c>
      <c r="I136" s="45" t="s">
        <v>839</v>
      </c>
      <c r="J136" s="49">
        <f>SUM(J137:J150)</f>
        <v>0</v>
      </c>
      <c r="K136" s="49">
        <f>SUM(K137:K150)</f>
        <v>0</v>
      </c>
      <c r="L136" s="49">
        <f>SUM(L137:L150)</f>
        <v>0</v>
      </c>
      <c r="M136" s="29" t="s">
        <v>630</v>
      </c>
      <c r="AI136" s="30" t="s">
        <v>630</v>
      </c>
      <c r="AS136" s="49">
        <f>SUM(AJ137:AJ150)</f>
        <v>0</v>
      </c>
      <c r="AT136" s="49">
        <f>SUM(AK137:AK150)</f>
        <v>0</v>
      </c>
      <c r="AU136" s="49">
        <f>SUM(AL137:AL150)</f>
        <v>0</v>
      </c>
    </row>
    <row r="137" spans="1:64" ht="15" customHeight="1">
      <c r="A137" s="22" t="s">
        <v>890</v>
      </c>
      <c r="B137" s="9" t="s">
        <v>991</v>
      </c>
      <c r="C137" s="53" t="s">
        <v>609</v>
      </c>
      <c r="D137" s="53"/>
      <c r="E137" s="53"/>
      <c r="F137" s="53"/>
      <c r="G137" s="9" t="s">
        <v>232</v>
      </c>
      <c r="H137" s="4">
        <v>3</v>
      </c>
      <c r="I137" s="4">
        <v>0</v>
      </c>
      <c r="J137" s="4">
        <f t="shared" ref="J137:J150" si="66">H137*AO137</f>
        <v>0</v>
      </c>
      <c r="K137" s="4">
        <f t="shared" ref="K137:K150" si="67">H137*AP137</f>
        <v>0</v>
      </c>
      <c r="L137" s="4">
        <f t="shared" ref="L137:L150" si="68">H137*I137</f>
        <v>0</v>
      </c>
      <c r="M137" s="17" t="s">
        <v>619</v>
      </c>
      <c r="Z137" s="4">
        <f t="shared" ref="Z137:Z150" si="69">IF(AQ137="5",BJ137,0)</f>
        <v>0</v>
      </c>
      <c r="AB137" s="4">
        <f t="shared" ref="AB137:AB150" si="70">IF(AQ137="1",BH137,0)</f>
        <v>0</v>
      </c>
      <c r="AC137" s="4">
        <f t="shared" ref="AC137:AC150" si="71">IF(AQ137="1",BI137,0)</f>
        <v>0</v>
      </c>
      <c r="AD137" s="4">
        <f t="shared" ref="AD137:AD150" si="72">IF(AQ137="7",BH137,0)</f>
        <v>0</v>
      </c>
      <c r="AE137" s="4">
        <f t="shared" ref="AE137:AE150" si="73">IF(AQ137="7",BI137,0)</f>
        <v>0</v>
      </c>
      <c r="AF137" s="4">
        <f t="shared" ref="AF137:AF150" si="74">IF(AQ137="2",BH137,0)</f>
        <v>0</v>
      </c>
      <c r="AG137" s="4">
        <f t="shared" ref="AG137:AG150" si="75">IF(AQ137="2",BI137,0)</f>
        <v>0</v>
      </c>
      <c r="AH137" s="4">
        <f t="shared" ref="AH137:AH150" si="76">IF(AQ137="0",BJ137,0)</f>
        <v>0</v>
      </c>
      <c r="AI137" s="30" t="s">
        <v>630</v>
      </c>
      <c r="AJ137" s="4">
        <f t="shared" ref="AJ137:AJ150" si="77">IF(AN137=0,L137,0)</f>
        <v>0</v>
      </c>
      <c r="AK137" s="4">
        <f t="shared" ref="AK137:AK150" si="78">IF(AN137=15,L137,0)</f>
        <v>0</v>
      </c>
      <c r="AL137" s="4">
        <f t="shared" ref="AL137:AL150" si="79">IF(AN137=21,L137,0)</f>
        <v>0</v>
      </c>
      <c r="AN137" s="4">
        <v>21</v>
      </c>
      <c r="AO137" s="4">
        <f>I137*0.0549435028248587</f>
        <v>0</v>
      </c>
      <c r="AP137" s="4">
        <f>I137*(1-0.0549435028248587)</f>
        <v>0</v>
      </c>
      <c r="AQ137" s="14" t="s">
        <v>903</v>
      </c>
      <c r="AV137" s="4">
        <f t="shared" ref="AV137:AV150" si="80">AW137+AX137</f>
        <v>0</v>
      </c>
      <c r="AW137" s="4">
        <f t="shared" ref="AW137:AW150" si="81">H137*AO137</f>
        <v>0</v>
      </c>
      <c r="AX137" s="4">
        <f t="shared" ref="AX137:AX150" si="82">H137*AP137</f>
        <v>0</v>
      </c>
      <c r="AY137" s="14" t="s">
        <v>288</v>
      </c>
      <c r="AZ137" s="14" t="s">
        <v>334</v>
      </c>
      <c r="BA137" s="30" t="s">
        <v>694</v>
      </c>
      <c r="BC137" s="4">
        <f t="shared" ref="BC137:BC150" si="83">AW137+AX137</f>
        <v>0</v>
      </c>
      <c r="BD137" s="4">
        <f t="shared" ref="BD137:BD150" si="84">I137/(100-BE137)*100</f>
        <v>0</v>
      </c>
      <c r="BE137" s="4">
        <v>0</v>
      </c>
      <c r="BF137" s="4">
        <f>137</f>
        <v>137</v>
      </c>
      <c r="BH137" s="4">
        <f t="shared" ref="BH137:BH150" si="85">H137*AO137</f>
        <v>0</v>
      </c>
      <c r="BI137" s="4">
        <f t="shared" ref="BI137:BI150" si="86">H137*AP137</f>
        <v>0</v>
      </c>
      <c r="BJ137" s="4">
        <f t="shared" ref="BJ137:BJ150" si="87">H137*I137</f>
        <v>0</v>
      </c>
      <c r="BK137" s="4"/>
      <c r="BL137" s="4">
        <v>97</v>
      </c>
    </row>
    <row r="138" spans="1:64" ht="15" customHeight="1">
      <c r="A138" s="22" t="s">
        <v>153</v>
      </c>
      <c r="B138" s="9" t="s">
        <v>965</v>
      </c>
      <c r="C138" s="53" t="s">
        <v>752</v>
      </c>
      <c r="D138" s="53"/>
      <c r="E138" s="53"/>
      <c r="F138" s="53"/>
      <c r="G138" s="9" t="s">
        <v>232</v>
      </c>
      <c r="H138" s="4">
        <v>6</v>
      </c>
      <c r="I138" s="4">
        <v>0</v>
      </c>
      <c r="J138" s="4">
        <f t="shared" si="66"/>
        <v>0</v>
      </c>
      <c r="K138" s="4">
        <f t="shared" si="67"/>
        <v>0</v>
      </c>
      <c r="L138" s="4">
        <f t="shared" si="68"/>
        <v>0</v>
      </c>
      <c r="M138" s="17" t="s">
        <v>619</v>
      </c>
      <c r="Z138" s="4">
        <f t="shared" si="69"/>
        <v>0</v>
      </c>
      <c r="AB138" s="4">
        <f t="shared" si="70"/>
        <v>0</v>
      </c>
      <c r="AC138" s="4">
        <f t="shared" si="71"/>
        <v>0</v>
      </c>
      <c r="AD138" s="4">
        <f t="shared" si="72"/>
        <v>0</v>
      </c>
      <c r="AE138" s="4">
        <f t="shared" si="73"/>
        <v>0</v>
      </c>
      <c r="AF138" s="4">
        <f t="shared" si="74"/>
        <v>0</v>
      </c>
      <c r="AG138" s="4">
        <f t="shared" si="75"/>
        <v>0</v>
      </c>
      <c r="AH138" s="4">
        <f t="shared" si="76"/>
        <v>0</v>
      </c>
      <c r="AI138" s="30" t="s">
        <v>630</v>
      </c>
      <c r="AJ138" s="4">
        <f t="shared" si="77"/>
        <v>0</v>
      </c>
      <c r="AK138" s="4">
        <f t="shared" si="78"/>
        <v>0</v>
      </c>
      <c r="AL138" s="4">
        <f t="shared" si="79"/>
        <v>0</v>
      </c>
      <c r="AN138" s="4">
        <v>21</v>
      </c>
      <c r="AO138" s="4">
        <f>I138*0.0779384748989612</f>
        <v>0</v>
      </c>
      <c r="AP138" s="4">
        <f>I138*(1-0.0779384748989612)</f>
        <v>0</v>
      </c>
      <c r="AQ138" s="14" t="s">
        <v>903</v>
      </c>
      <c r="AV138" s="4">
        <f t="shared" si="80"/>
        <v>0</v>
      </c>
      <c r="AW138" s="4">
        <f t="shared" si="81"/>
        <v>0</v>
      </c>
      <c r="AX138" s="4">
        <f t="shared" si="82"/>
        <v>0</v>
      </c>
      <c r="AY138" s="14" t="s">
        <v>288</v>
      </c>
      <c r="AZ138" s="14" t="s">
        <v>334</v>
      </c>
      <c r="BA138" s="30" t="s">
        <v>694</v>
      </c>
      <c r="BC138" s="4">
        <f t="shared" si="83"/>
        <v>0</v>
      </c>
      <c r="BD138" s="4">
        <f t="shared" si="84"/>
        <v>0</v>
      </c>
      <c r="BE138" s="4">
        <v>0</v>
      </c>
      <c r="BF138" s="4">
        <f>138</f>
        <v>138</v>
      </c>
      <c r="BH138" s="4">
        <f t="shared" si="85"/>
        <v>0</v>
      </c>
      <c r="BI138" s="4">
        <f t="shared" si="86"/>
        <v>0</v>
      </c>
      <c r="BJ138" s="4">
        <f t="shared" si="87"/>
        <v>0</v>
      </c>
      <c r="BK138" s="4"/>
      <c r="BL138" s="4">
        <v>97</v>
      </c>
    </row>
    <row r="139" spans="1:64" ht="15" customHeight="1">
      <c r="A139" s="22" t="s">
        <v>167</v>
      </c>
      <c r="B139" s="9" t="s">
        <v>690</v>
      </c>
      <c r="C139" s="53" t="s">
        <v>847</v>
      </c>
      <c r="D139" s="53"/>
      <c r="E139" s="53"/>
      <c r="F139" s="53"/>
      <c r="G139" s="9" t="s">
        <v>232</v>
      </c>
      <c r="H139" s="4">
        <v>3</v>
      </c>
      <c r="I139" s="4">
        <v>0</v>
      </c>
      <c r="J139" s="4">
        <f t="shared" si="66"/>
        <v>0</v>
      </c>
      <c r="K139" s="4">
        <f t="shared" si="67"/>
        <v>0</v>
      </c>
      <c r="L139" s="4">
        <f t="shared" si="68"/>
        <v>0</v>
      </c>
      <c r="M139" s="17" t="s">
        <v>619</v>
      </c>
      <c r="Z139" s="4">
        <f t="shared" si="69"/>
        <v>0</v>
      </c>
      <c r="AB139" s="4">
        <f t="shared" si="70"/>
        <v>0</v>
      </c>
      <c r="AC139" s="4">
        <f t="shared" si="71"/>
        <v>0</v>
      </c>
      <c r="AD139" s="4">
        <f t="shared" si="72"/>
        <v>0</v>
      </c>
      <c r="AE139" s="4">
        <f t="shared" si="73"/>
        <v>0</v>
      </c>
      <c r="AF139" s="4">
        <f t="shared" si="74"/>
        <v>0</v>
      </c>
      <c r="AG139" s="4">
        <f t="shared" si="75"/>
        <v>0</v>
      </c>
      <c r="AH139" s="4">
        <f t="shared" si="76"/>
        <v>0</v>
      </c>
      <c r="AI139" s="30" t="s">
        <v>630</v>
      </c>
      <c r="AJ139" s="4">
        <f t="shared" si="77"/>
        <v>0</v>
      </c>
      <c r="AK139" s="4">
        <f t="shared" si="78"/>
        <v>0</v>
      </c>
      <c r="AL139" s="4">
        <f t="shared" si="79"/>
        <v>0</v>
      </c>
      <c r="AN139" s="4">
        <v>21</v>
      </c>
      <c r="AO139" s="4">
        <f>I139*0</f>
        <v>0</v>
      </c>
      <c r="AP139" s="4">
        <f>I139*(1-0)</f>
        <v>0</v>
      </c>
      <c r="AQ139" s="14" t="s">
        <v>903</v>
      </c>
      <c r="AV139" s="4">
        <f t="shared" si="80"/>
        <v>0</v>
      </c>
      <c r="AW139" s="4">
        <f t="shared" si="81"/>
        <v>0</v>
      </c>
      <c r="AX139" s="4">
        <f t="shared" si="82"/>
        <v>0</v>
      </c>
      <c r="AY139" s="14" t="s">
        <v>288</v>
      </c>
      <c r="AZ139" s="14" t="s">
        <v>334</v>
      </c>
      <c r="BA139" s="30" t="s">
        <v>694</v>
      </c>
      <c r="BC139" s="4">
        <f t="shared" si="83"/>
        <v>0</v>
      </c>
      <c r="BD139" s="4">
        <f t="shared" si="84"/>
        <v>0</v>
      </c>
      <c r="BE139" s="4">
        <v>0</v>
      </c>
      <c r="BF139" s="4">
        <f>139</f>
        <v>139</v>
      </c>
      <c r="BH139" s="4">
        <f t="shared" si="85"/>
        <v>0</v>
      </c>
      <c r="BI139" s="4">
        <f t="shared" si="86"/>
        <v>0</v>
      </c>
      <c r="BJ139" s="4">
        <f t="shared" si="87"/>
        <v>0</v>
      </c>
      <c r="BK139" s="4"/>
      <c r="BL139" s="4">
        <v>97</v>
      </c>
    </row>
    <row r="140" spans="1:64" ht="15" customHeight="1">
      <c r="A140" s="22" t="s">
        <v>926</v>
      </c>
      <c r="B140" s="9" t="s">
        <v>222</v>
      </c>
      <c r="C140" s="53" t="s">
        <v>127</v>
      </c>
      <c r="D140" s="53"/>
      <c r="E140" s="53"/>
      <c r="F140" s="53"/>
      <c r="G140" s="9" t="s">
        <v>232</v>
      </c>
      <c r="H140" s="4">
        <v>4</v>
      </c>
      <c r="I140" s="4">
        <v>0</v>
      </c>
      <c r="J140" s="4">
        <f t="shared" si="66"/>
        <v>0</v>
      </c>
      <c r="K140" s="4">
        <f t="shared" si="67"/>
        <v>0</v>
      </c>
      <c r="L140" s="4">
        <f t="shared" si="68"/>
        <v>0</v>
      </c>
      <c r="M140" s="17" t="s">
        <v>619</v>
      </c>
      <c r="Z140" s="4">
        <f t="shared" si="69"/>
        <v>0</v>
      </c>
      <c r="AB140" s="4">
        <f t="shared" si="70"/>
        <v>0</v>
      </c>
      <c r="AC140" s="4">
        <f t="shared" si="71"/>
        <v>0</v>
      </c>
      <c r="AD140" s="4">
        <f t="shared" si="72"/>
        <v>0</v>
      </c>
      <c r="AE140" s="4">
        <f t="shared" si="73"/>
        <v>0</v>
      </c>
      <c r="AF140" s="4">
        <f t="shared" si="74"/>
        <v>0</v>
      </c>
      <c r="AG140" s="4">
        <f t="shared" si="75"/>
        <v>0</v>
      </c>
      <c r="AH140" s="4">
        <f t="shared" si="76"/>
        <v>0</v>
      </c>
      <c r="AI140" s="30" t="s">
        <v>630</v>
      </c>
      <c r="AJ140" s="4">
        <f t="shared" si="77"/>
        <v>0</v>
      </c>
      <c r="AK140" s="4">
        <f t="shared" si="78"/>
        <v>0</v>
      </c>
      <c r="AL140" s="4">
        <f t="shared" si="79"/>
        <v>0</v>
      </c>
      <c r="AN140" s="4">
        <v>21</v>
      </c>
      <c r="AO140" s="4">
        <f>I140*0.102192066805846</f>
        <v>0</v>
      </c>
      <c r="AP140" s="4">
        <f>I140*(1-0.102192066805846)</f>
        <v>0</v>
      </c>
      <c r="AQ140" s="14" t="s">
        <v>903</v>
      </c>
      <c r="AV140" s="4">
        <f t="shared" si="80"/>
        <v>0</v>
      </c>
      <c r="AW140" s="4">
        <f t="shared" si="81"/>
        <v>0</v>
      </c>
      <c r="AX140" s="4">
        <f t="shared" si="82"/>
        <v>0</v>
      </c>
      <c r="AY140" s="14" t="s">
        <v>288</v>
      </c>
      <c r="AZ140" s="14" t="s">
        <v>334</v>
      </c>
      <c r="BA140" s="30" t="s">
        <v>694</v>
      </c>
      <c r="BC140" s="4">
        <f t="shared" si="83"/>
        <v>0</v>
      </c>
      <c r="BD140" s="4">
        <f t="shared" si="84"/>
        <v>0</v>
      </c>
      <c r="BE140" s="4">
        <v>0</v>
      </c>
      <c r="BF140" s="4">
        <f>140</f>
        <v>140</v>
      </c>
      <c r="BH140" s="4">
        <f t="shared" si="85"/>
        <v>0</v>
      </c>
      <c r="BI140" s="4">
        <f t="shared" si="86"/>
        <v>0</v>
      </c>
      <c r="BJ140" s="4">
        <f t="shared" si="87"/>
        <v>0</v>
      </c>
      <c r="BK140" s="4"/>
      <c r="BL140" s="4">
        <v>97</v>
      </c>
    </row>
    <row r="141" spans="1:64" ht="15" customHeight="1">
      <c r="A141" s="22" t="s">
        <v>548</v>
      </c>
      <c r="B141" s="9" t="s">
        <v>416</v>
      </c>
      <c r="C141" s="53" t="s">
        <v>786</v>
      </c>
      <c r="D141" s="53"/>
      <c r="E141" s="53"/>
      <c r="F141" s="53"/>
      <c r="G141" s="9" t="s">
        <v>232</v>
      </c>
      <c r="H141" s="4">
        <v>11</v>
      </c>
      <c r="I141" s="4">
        <v>0</v>
      </c>
      <c r="J141" s="4">
        <f t="shared" si="66"/>
        <v>0</v>
      </c>
      <c r="K141" s="4">
        <f t="shared" si="67"/>
        <v>0</v>
      </c>
      <c r="L141" s="4">
        <f t="shared" si="68"/>
        <v>0</v>
      </c>
      <c r="M141" s="17" t="s">
        <v>619</v>
      </c>
      <c r="Z141" s="4">
        <f t="shared" si="69"/>
        <v>0</v>
      </c>
      <c r="AB141" s="4">
        <f t="shared" si="70"/>
        <v>0</v>
      </c>
      <c r="AC141" s="4">
        <f t="shared" si="71"/>
        <v>0</v>
      </c>
      <c r="AD141" s="4">
        <f t="shared" si="72"/>
        <v>0</v>
      </c>
      <c r="AE141" s="4">
        <f t="shared" si="73"/>
        <v>0</v>
      </c>
      <c r="AF141" s="4">
        <f t="shared" si="74"/>
        <v>0</v>
      </c>
      <c r="AG141" s="4">
        <f t="shared" si="75"/>
        <v>0</v>
      </c>
      <c r="AH141" s="4">
        <f t="shared" si="76"/>
        <v>0</v>
      </c>
      <c r="AI141" s="30" t="s">
        <v>630</v>
      </c>
      <c r="AJ141" s="4">
        <f t="shared" si="77"/>
        <v>0</v>
      </c>
      <c r="AK141" s="4">
        <f t="shared" si="78"/>
        <v>0</v>
      </c>
      <c r="AL141" s="4">
        <f t="shared" si="79"/>
        <v>0</v>
      </c>
      <c r="AN141" s="4">
        <v>21</v>
      </c>
      <c r="AO141" s="4">
        <f>I141*0</f>
        <v>0</v>
      </c>
      <c r="AP141" s="4">
        <f>I141*(1-0)</f>
        <v>0</v>
      </c>
      <c r="AQ141" s="14" t="s">
        <v>903</v>
      </c>
      <c r="AV141" s="4">
        <f t="shared" si="80"/>
        <v>0</v>
      </c>
      <c r="AW141" s="4">
        <f t="shared" si="81"/>
        <v>0</v>
      </c>
      <c r="AX141" s="4">
        <f t="shared" si="82"/>
        <v>0</v>
      </c>
      <c r="AY141" s="14" t="s">
        <v>288</v>
      </c>
      <c r="AZ141" s="14" t="s">
        <v>334</v>
      </c>
      <c r="BA141" s="30" t="s">
        <v>694</v>
      </c>
      <c r="BC141" s="4">
        <f t="shared" si="83"/>
        <v>0</v>
      </c>
      <c r="BD141" s="4">
        <f t="shared" si="84"/>
        <v>0</v>
      </c>
      <c r="BE141" s="4">
        <v>0</v>
      </c>
      <c r="BF141" s="4">
        <f>141</f>
        <v>141</v>
      </c>
      <c r="BH141" s="4">
        <f t="shared" si="85"/>
        <v>0</v>
      </c>
      <c r="BI141" s="4">
        <f t="shared" si="86"/>
        <v>0</v>
      </c>
      <c r="BJ141" s="4">
        <f t="shared" si="87"/>
        <v>0</v>
      </c>
      <c r="BK141" s="4"/>
      <c r="BL141" s="4">
        <v>97</v>
      </c>
    </row>
    <row r="142" spans="1:64" ht="15" customHeight="1">
      <c r="A142" s="22" t="s">
        <v>454</v>
      </c>
      <c r="B142" s="9" t="s">
        <v>1</v>
      </c>
      <c r="C142" s="53" t="s">
        <v>515</v>
      </c>
      <c r="D142" s="53"/>
      <c r="E142" s="53"/>
      <c r="F142" s="53"/>
      <c r="G142" s="9" t="s">
        <v>232</v>
      </c>
      <c r="H142" s="4">
        <v>1</v>
      </c>
      <c r="I142" s="4">
        <v>0</v>
      </c>
      <c r="J142" s="4">
        <f t="shared" si="66"/>
        <v>0</v>
      </c>
      <c r="K142" s="4">
        <f t="shared" si="67"/>
        <v>0</v>
      </c>
      <c r="L142" s="4">
        <f t="shared" si="68"/>
        <v>0</v>
      </c>
      <c r="M142" s="17" t="s">
        <v>619</v>
      </c>
      <c r="Z142" s="4">
        <f t="shared" si="69"/>
        <v>0</v>
      </c>
      <c r="AB142" s="4">
        <f t="shared" si="70"/>
        <v>0</v>
      </c>
      <c r="AC142" s="4">
        <f t="shared" si="71"/>
        <v>0</v>
      </c>
      <c r="AD142" s="4">
        <f t="shared" si="72"/>
        <v>0</v>
      </c>
      <c r="AE142" s="4">
        <f t="shared" si="73"/>
        <v>0</v>
      </c>
      <c r="AF142" s="4">
        <f t="shared" si="74"/>
        <v>0</v>
      </c>
      <c r="AG142" s="4">
        <f t="shared" si="75"/>
        <v>0</v>
      </c>
      <c r="AH142" s="4">
        <f t="shared" si="76"/>
        <v>0</v>
      </c>
      <c r="AI142" s="30" t="s">
        <v>630</v>
      </c>
      <c r="AJ142" s="4">
        <f t="shared" si="77"/>
        <v>0</v>
      </c>
      <c r="AK142" s="4">
        <f t="shared" si="78"/>
        <v>0</v>
      </c>
      <c r="AL142" s="4">
        <f t="shared" si="79"/>
        <v>0</v>
      </c>
      <c r="AN142" s="4">
        <v>21</v>
      </c>
      <c r="AO142" s="4">
        <f>I142*0</f>
        <v>0</v>
      </c>
      <c r="AP142" s="4">
        <f>I142*(1-0)</f>
        <v>0</v>
      </c>
      <c r="AQ142" s="14" t="s">
        <v>903</v>
      </c>
      <c r="AV142" s="4">
        <f t="shared" si="80"/>
        <v>0</v>
      </c>
      <c r="AW142" s="4">
        <f t="shared" si="81"/>
        <v>0</v>
      </c>
      <c r="AX142" s="4">
        <f t="shared" si="82"/>
        <v>0</v>
      </c>
      <c r="AY142" s="14" t="s">
        <v>288</v>
      </c>
      <c r="AZ142" s="14" t="s">
        <v>334</v>
      </c>
      <c r="BA142" s="30" t="s">
        <v>694</v>
      </c>
      <c r="BC142" s="4">
        <f t="shared" si="83"/>
        <v>0</v>
      </c>
      <c r="BD142" s="4">
        <f t="shared" si="84"/>
        <v>0</v>
      </c>
      <c r="BE142" s="4">
        <v>0</v>
      </c>
      <c r="BF142" s="4">
        <f>142</f>
        <v>142</v>
      </c>
      <c r="BH142" s="4">
        <f t="shared" si="85"/>
        <v>0</v>
      </c>
      <c r="BI142" s="4">
        <f t="shared" si="86"/>
        <v>0</v>
      </c>
      <c r="BJ142" s="4">
        <f t="shared" si="87"/>
        <v>0</v>
      </c>
      <c r="BK142" s="4"/>
      <c r="BL142" s="4">
        <v>97</v>
      </c>
    </row>
    <row r="143" spans="1:64" ht="15" customHeight="1">
      <c r="A143" s="22" t="s">
        <v>596</v>
      </c>
      <c r="B143" s="9" t="s">
        <v>741</v>
      </c>
      <c r="C143" s="53" t="s">
        <v>736</v>
      </c>
      <c r="D143" s="53"/>
      <c r="E143" s="53"/>
      <c r="F143" s="53"/>
      <c r="G143" s="9" t="s">
        <v>870</v>
      </c>
      <c r="H143" s="4">
        <v>0.158</v>
      </c>
      <c r="I143" s="4">
        <v>0</v>
      </c>
      <c r="J143" s="4">
        <f t="shared" si="66"/>
        <v>0</v>
      </c>
      <c r="K143" s="4">
        <f t="shared" si="67"/>
        <v>0</v>
      </c>
      <c r="L143" s="4">
        <f t="shared" si="68"/>
        <v>0</v>
      </c>
      <c r="M143" s="17" t="s">
        <v>619</v>
      </c>
      <c r="Z143" s="4">
        <f t="shared" si="69"/>
        <v>0</v>
      </c>
      <c r="AB143" s="4">
        <f t="shared" si="70"/>
        <v>0</v>
      </c>
      <c r="AC143" s="4">
        <f t="shared" si="71"/>
        <v>0</v>
      </c>
      <c r="AD143" s="4">
        <f t="shared" si="72"/>
        <v>0</v>
      </c>
      <c r="AE143" s="4">
        <f t="shared" si="73"/>
        <v>0</v>
      </c>
      <c r="AF143" s="4">
        <f t="shared" si="74"/>
        <v>0</v>
      </c>
      <c r="AG143" s="4">
        <f t="shared" si="75"/>
        <v>0</v>
      </c>
      <c r="AH143" s="4">
        <f t="shared" si="76"/>
        <v>0</v>
      </c>
      <c r="AI143" s="30" t="s">
        <v>630</v>
      </c>
      <c r="AJ143" s="4">
        <f t="shared" si="77"/>
        <v>0</v>
      </c>
      <c r="AK143" s="4">
        <f t="shared" si="78"/>
        <v>0</v>
      </c>
      <c r="AL143" s="4">
        <f t="shared" si="79"/>
        <v>0</v>
      </c>
      <c r="AN143" s="4">
        <v>21</v>
      </c>
      <c r="AO143" s="4">
        <f>I143*0</f>
        <v>0</v>
      </c>
      <c r="AP143" s="4">
        <f>I143*(1-0)</f>
        <v>0</v>
      </c>
      <c r="AQ143" s="14" t="s">
        <v>903</v>
      </c>
      <c r="AV143" s="4">
        <f t="shared" si="80"/>
        <v>0</v>
      </c>
      <c r="AW143" s="4">
        <f t="shared" si="81"/>
        <v>0</v>
      </c>
      <c r="AX143" s="4">
        <f t="shared" si="82"/>
        <v>0</v>
      </c>
      <c r="AY143" s="14" t="s">
        <v>288</v>
      </c>
      <c r="AZ143" s="14" t="s">
        <v>334</v>
      </c>
      <c r="BA143" s="30" t="s">
        <v>694</v>
      </c>
      <c r="BC143" s="4">
        <f t="shared" si="83"/>
        <v>0</v>
      </c>
      <c r="BD143" s="4">
        <f t="shared" si="84"/>
        <v>0</v>
      </c>
      <c r="BE143" s="4">
        <v>0</v>
      </c>
      <c r="BF143" s="4">
        <f>143</f>
        <v>143</v>
      </c>
      <c r="BH143" s="4">
        <f t="shared" si="85"/>
        <v>0</v>
      </c>
      <c r="BI143" s="4">
        <f t="shared" si="86"/>
        <v>0</v>
      </c>
      <c r="BJ143" s="4">
        <f t="shared" si="87"/>
        <v>0</v>
      </c>
      <c r="BK143" s="4"/>
      <c r="BL143" s="4">
        <v>97</v>
      </c>
    </row>
    <row r="144" spans="1:64" ht="15" customHeight="1">
      <c r="A144" s="22" t="s">
        <v>34</v>
      </c>
      <c r="B144" s="9" t="s">
        <v>712</v>
      </c>
      <c r="C144" s="53" t="s">
        <v>62</v>
      </c>
      <c r="D144" s="53"/>
      <c r="E144" s="53"/>
      <c r="F144" s="53"/>
      <c r="G144" s="9" t="s">
        <v>891</v>
      </c>
      <c r="H144" s="4">
        <v>93.201999999999998</v>
      </c>
      <c r="I144" s="4">
        <v>0</v>
      </c>
      <c r="J144" s="4">
        <f t="shared" si="66"/>
        <v>0</v>
      </c>
      <c r="K144" s="4">
        <f t="shared" si="67"/>
        <v>0</v>
      </c>
      <c r="L144" s="4">
        <f t="shared" si="68"/>
        <v>0</v>
      </c>
      <c r="M144" s="17" t="s">
        <v>619</v>
      </c>
      <c r="Z144" s="4">
        <f t="shared" si="69"/>
        <v>0</v>
      </c>
      <c r="AB144" s="4">
        <f t="shared" si="70"/>
        <v>0</v>
      </c>
      <c r="AC144" s="4">
        <f t="shared" si="71"/>
        <v>0</v>
      </c>
      <c r="AD144" s="4">
        <f t="shared" si="72"/>
        <v>0</v>
      </c>
      <c r="AE144" s="4">
        <f t="shared" si="73"/>
        <v>0</v>
      </c>
      <c r="AF144" s="4">
        <f t="shared" si="74"/>
        <v>0</v>
      </c>
      <c r="AG144" s="4">
        <f t="shared" si="75"/>
        <v>0</v>
      </c>
      <c r="AH144" s="4">
        <f t="shared" si="76"/>
        <v>0</v>
      </c>
      <c r="AI144" s="30" t="s">
        <v>630</v>
      </c>
      <c r="AJ144" s="4">
        <f t="shared" si="77"/>
        <v>0</v>
      </c>
      <c r="AK144" s="4">
        <f t="shared" si="78"/>
        <v>0</v>
      </c>
      <c r="AL144" s="4">
        <f t="shared" si="79"/>
        <v>0</v>
      </c>
      <c r="AN144" s="4">
        <v>21</v>
      </c>
      <c r="AO144" s="4">
        <f>I144*0</f>
        <v>0</v>
      </c>
      <c r="AP144" s="4">
        <f>I144*(1-0)</f>
        <v>0</v>
      </c>
      <c r="AQ144" s="14" t="s">
        <v>903</v>
      </c>
      <c r="AV144" s="4">
        <f t="shared" si="80"/>
        <v>0</v>
      </c>
      <c r="AW144" s="4">
        <f t="shared" si="81"/>
        <v>0</v>
      </c>
      <c r="AX144" s="4">
        <f t="shared" si="82"/>
        <v>0</v>
      </c>
      <c r="AY144" s="14" t="s">
        <v>288</v>
      </c>
      <c r="AZ144" s="14" t="s">
        <v>334</v>
      </c>
      <c r="BA144" s="30" t="s">
        <v>694</v>
      </c>
      <c r="BC144" s="4">
        <f t="shared" si="83"/>
        <v>0</v>
      </c>
      <c r="BD144" s="4">
        <f t="shared" si="84"/>
        <v>0</v>
      </c>
      <c r="BE144" s="4">
        <v>0</v>
      </c>
      <c r="BF144" s="4">
        <f>144</f>
        <v>144</v>
      </c>
      <c r="BH144" s="4">
        <f t="shared" si="85"/>
        <v>0</v>
      </c>
      <c r="BI144" s="4">
        <f t="shared" si="86"/>
        <v>0</v>
      </c>
      <c r="BJ144" s="4">
        <f t="shared" si="87"/>
        <v>0</v>
      </c>
      <c r="BK144" s="4"/>
      <c r="BL144" s="4">
        <v>97</v>
      </c>
    </row>
    <row r="145" spans="1:64" ht="15" customHeight="1">
      <c r="A145" s="22" t="s">
        <v>969</v>
      </c>
      <c r="B145" s="9" t="s">
        <v>978</v>
      </c>
      <c r="C145" s="53" t="s">
        <v>533</v>
      </c>
      <c r="D145" s="53"/>
      <c r="E145" s="53"/>
      <c r="F145" s="53"/>
      <c r="G145" s="9" t="s">
        <v>891</v>
      </c>
      <c r="H145" s="4">
        <v>2.4239999999999999</v>
      </c>
      <c r="I145" s="4">
        <v>0</v>
      </c>
      <c r="J145" s="4">
        <f t="shared" si="66"/>
        <v>0</v>
      </c>
      <c r="K145" s="4">
        <f t="shared" si="67"/>
        <v>0</v>
      </c>
      <c r="L145" s="4">
        <f t="shared" si="68"/>
        <v>0</v>
      </c>
      <c r="M145" s="17" t="s">
        <v>619</v>
      </c>
      <c r="Z145" s="4">
        <f t="shared" si="69"/>
        <v>0</v>
      </c>
      <c r="AB145" s="4">
        <f t="shared" si="70"/>
        <v>0</v>
      </c>
      <c r="AC145" s="4">
        <f t="shared" si="71"/>
        <v>0</v>
      </c>
      <c r="AD145" s="4">
        <f t="shared" si="72"/>
        <v>0</v>
      </c>
      <c r="AE145" s="4">
        <f t="shared" si="73"/>
        <v>0</v>
      </c>
      <c r="AF145" s="4">
        <f t="shared" si="74"/>
        <v>0</v>
      </c>
      <c r="AG145" s="4">
        <f t="shared" si="75"/>
        <v>0</v>
      </c>
      <c r="AH145" s="4">
        <f t="shared" si="76"/>
        <v>0</v>
      </c>
      <c r="AI145" s="30" t="s">
        <v>630</v>
      </c>
      <c r="AJ145" s="4">
        <f t="shared" si="77"/>
        <v>0</v>
      </c>
      <c r="AK145" s="4">
        <f t="shared" si="78"/>
        <v>0</v>
      </c>
      <c r="AL145" s="4">
        <f t="shared" si="79"/>
        <v>0</v>
      </c>
      <c r="AN145" s="4">
        <v>21</v>
      </c>
      <c r="AO145" s="4">
        <f>I145*0.0775896209203324</f>
        <v>0</v>
      </c>
      <c r="AP145" s="4">
        <f>I145*(1-0.0775896209203324)</f>
        <v>0</v>
      </c>
      <c r="AQ145" s="14" t="s">
        <v>903</v>
      </c>
      <c r="AV145" s="4">
        <f t="shared" si="80"/>
        <v>0</v>
      </c>
      <c r="AW145" s="4">
        <f t="shared" si="81"/>
        <v>0</v>
      </c>
      <c r="AX145" s="4">
        <f t="shared" si="82"/>
        <v>0</v>
      </c>
      <c r="AY145" s="14" t="s">
        <v>288</v>
      </c>
      <c r="AZ145" s="14" t="s">
        <v>334</v>
      </c>
      <c r="BA145" s="30" t="s">
        <v>694</v>
      </c>
      <c r="BC145" s="4">
        <f t="shared" si="83"/>
        <v>0</v>
      </c>
      <c r="BD145" s="4">
        <f t="shared" si="84"/>
        <v>0</v>
      </c>
      <c r="BE145" s="4">
        <v>0</v>
      </c>
      <c r="BF145" s="4">
        <f>145</f>
        <v>145</v>
      </c>
      <c r="BH145" s="4">
        <f t="shared" si="85"/>
        <v>0</v>
      </c>
      <c r="BI145" s="4">
        <f t="shared" si="86"/>
        <v>0</v>
      </c>
      <c r="BJ145" s="4">
        <f t="shared" si="87"/>
        <v>0</v>
      </c>
      <c r="BK145" s="4"/>
      <c r="BL145" s="4">
        <v>97</v>
      </c>
    </row>
    <row r="146" spans="1:64" ht="15" customHeight="1">
      <c r="A146" s="22" t="s">
        <v>962</v>
      </c>
      <c r="B146" s="9" t="s">
        <v>366</v>
      </c>
      <c r="C146" s="53" t="s">
        <v>1001</v>
      </c>
      <c r="D146" s="53"/>
      <c r="E146" s="53"/>
      <c r="F146" s="53"/>
      <c r="G146" s="9" t="s">
        <v>891</v>
      </c>
      <c r="H146" s="4">
        <v>74.7</v>
      </c>
      <c r="I146" s="4">
        <v>0</v>
      </c>
      <c r="J146" s="4">
        <f t="shared" si="66"/>
        <v>0</v>
      </c>
      <c r="K146" s="4">
        <f t="shared" si="67"/>
        <v>0</v>
      </c>
      <c r="L146" s="4">
        <f t="shared" si="68"/>
        <v>0</v>
      </c>
      <c r="M146" s="17" t="s">
        <v>619</v>
      </c>
      <c r="Z146" s="4">
        <f t="shared" si="69"/>
        <v>0</v>
      </c>
      <c r="AB146" s="4">
        <f t="shared" si="70"/>
        <v>0</v>
      </c>
      <c r="AC146" s="4">
        <f t="shared" si="71"/>
        <v>0</v>
      </c>
      <c r="AD146" s="4">
        <f t="shared" si="72"/>
        <v>0</v>
      </c>
      <c r="AE146" s="4">
        <f t="shared" si="73"/>
        <v>0</v>
      </c>
      <c r="AF146" s="4">
        <f t="shared" si="74"/>
        <v>0</v>
      </c>
      <c r="AG146" s="4">
        <f t="shared" si="75"/>
        <v>0</v>
      </c>
      <c r="AH146" s="4">
        <f t="shared" si="76"/>
        <v>0</v>
      </c>
      <c r="AI146" s="30" t="s">
        <v>630</v>
      </c>
      <c r="AJ146" s="4">
        <f t="shared" si="77"/>
        <v>0</v>
      </c>
      <c r="AK146" s="4">
        <f t="shared" si="78"/>
        <v>0</v>
      </c>
      <c r="AL146" s="4">
        <f t="shared" si="79"/>
        <v>0</v>
      </c>
      <c r="AN146" s="4">
        <v>21</v>
      </c>
      <c r="AO146" s="4">
        <f>I146*0</f>
        <v>0</v>
      </c>
      <c r="AP146" s="4">
        <f>I146*(1-0)</f>
        <v>0</v>
      </c>
      <c r="AQ146" s="14" t="s">
        <v>903</v>
      </c>
      <c r="AV146" s="4">
        <f t="shared" si="80"/>
        <v>0</v>
      </c>
      <c r="AW146" s="4">
        <f t="shared" si="81"/>
        <v>0</v>
      </c>
      <c r="AX146" s="4">
        <f t="shared" si="82"/>
        <v>0</v>
      </c>
      <c r="AY146" s="14" t="s">
        <v>288</v>
      </c>
      <c r="AZ146" s="14" t="s">
        <v>334</v>
      </c>
      <c r="BA146" s="30" t="s">
        <v>694</v>
      </c>
      <c r="BC146" s="4">
        <f t="shared" si="83"/>
        <v>0</v>
      </c>
      <c r="BD146" s="4">
        <f t="shared" si="84"/>
        <v>0</v>
      </c>
      <c r="BE146" s="4">
        <v>0</v>
      </c>
      <c r="BF146" s="4">
        <f>146</f>
        <v>146</v>
      </c>
      <c r="BH146" s="4">
        <f t="shared" si="85"/>
        <v>0</v>
      </c>
      <c r="BI146" s="4">
        <f t="shared" si="86"/>
        <v>0</v>
      </c>
      <c r="BJ146" s="4">
        <f t="shared" si="87"/>
        <v>0</v>
      </c>
      <c r="BK146" s="4"/>
      <c r="BL146" s="4">
        <v>97</v>
      </c>
    </row>
    <row r="147" spans="1:64" ht="15" customHeight="1">
      <c r="A147" s="22" t="s">
        <v>959</v>
      </c>
      <c r="B147" s="9" t="s">
        <v>387</v>
      </c>
      <c r="C147" s="53" t="s">
        <v>477</v>
      </c>
      <c r="D147" s="53"/>
      <c r="E147" s="53"/>
      <c r="F147" s="53"/>
      <c r="G147" s="9" t="s">
        <v>750</v>
      </c>
      <c r="H147" s="4">
        <v>23.59</v>
      </c>
      <c r="I147" s="4">
        <v>0</v>
      </c>
      <c r="J147" s="4">
        <f t="shared" si="66"/>
        <v>0</v>
      </c>
      <c r="K147" s="4">
        <f t="shared" si="67"/>
        <v>0</v>
      </c>
      <c r="L147" s="4">
        <f t="shared" si="68"/>
        <v>0</v>
      </c>
      <c r="M147" s="17" t="s">
        <v>619</v>
      </c>
      <c r="Z147" s="4">
        <f t="shared" si="69"/>
        <v>0</v>
      </c>
      <c r="AB147" s="4">
        <f t="shared" si="70"/>
        <v>0</v>
      </c>
      <c r="AC147" s="4">
        <f t="shared" si="71"/>
        <v>0</v>
      </c>
      <c r="AD147" s="4">
        <f t="shared" si="72"/>
        <v>0</v>
      </c>
      <c r="AE147" s="4">
        <f t="shared" si="73"/>
        <v>0</v>
      </c>
      <c r="AF147" s="4">
        <f t="shared" si="74"/>
        <v>0</v>
      </c>
      <c r="AG147" s="4">
        <f t="shared" si="75"/>
        <v>0</v>
      </c>
      <c r="AH147" s="4">
        <f t="shared" si="76"/>
        <v>0</v>
      </c>
      <c r="AI147" s="30" t="s">
        <v>630</v>
      </c>
      <c r="AJ147" s="4">
        <f t="shared" si="77"/>
        <v>0</v>
      </c>
      <c r="AK147" s="4">
        <f t="shared" si="78"/>
        <v>0</v>
      </c>
      <c r="AL147" s="4">
        <f t="shared" si="79"/>
        <v>0</v>
      </c>
      <c r="AN147" s="4">
        <v>21</v>
      </c>
      <c r="AO147" s="4">
        <f>I147*0</f>
        <v>0</v>
      </c>
      <c r="AP147" s="4">
        <f>I147*(1-0)</f>
        <v>0</v>
      </c>
      <c r="AQ147" s="14" t="s">
        <v>903</v>
      </c>
      <c r="AV147" s="4">
        <f t="shared" si="80"/>
        <v>0</v>
      </c>
      <c r="AW147" s="4">
        <f t="shared" si="81"/>
        <v>0</v>
      </c>
      <c r="AX147" s="4">
        <f t="shared" si="82"/>
        <v>0</v>
      </c>
      <c r="AY147" s="14" t="s">
        <v>288</v>
      </c>
      <c r="AZ147" s="14" t="s">
        <v>334</v>
      </c>
      <c r="BA147" s="30" t="s">
        <v>694</v>
      </c>
      <c r="BC147" s="4">
        <f t="shared" si="83"/>
        <v>0</v>
      </c>
      <c r="BD147" s="4">
        <f t="shared" si="84"/>
        <v>0</v>
      </c>
      <c r="BE147" s="4">
        <v>0</v>
      </c>
      <c r="BF147" s="4">
        <f>147</f>
        <v>147</v>
      </c>
      <c r="BH147" s="4">
        <f t="shared" si="85"/>
        <v>0</v>
      </c>
      <c r="BI147" s="4">
        <f t="shared" si="86"/>
        <v>0</v>
      </c>
      <c r="BJ147" s="4">
        <f t="shared" si="87"/>
        <v>0</v>
      </c>
      <c r="BK147" s="4"/>
      <c r="BL147" s="4">
        <v>97</v>
      </c>
    </row>
    <row r="148" spans="1:64" ht="15" customHeight="1">
      <c r="A148" s="22" t="s">
        <v>32</v>
      </c>
      <c r="B148" s="9" t="s">
        <v>381</v>
      </c>
      <c r="C148" s="53" t="s">
        <v>500</v>
      </c>
      <c r="D148" s="53"/>
      <c r="E148" s="53"/>
      <c r="F148" s="53"/>
      <c r="G148" s="9" t="s">
        <v>750</v>
      </c>
      <c r="H148" s="4">
        <v>10.11</v>
      </c>
      <c r="I148" s="4">
        <v>0</v>
      </c>
      <c r="J148" s="4">
        <f t="shared" si="66"/>
        <v>0</v>
      </c>
      <c r="K148" s="4">
        <f t="shared" si="67"/>
        <v>0</v>
      </c>
      <c r="L148" s="4">
        <f t="shared" si="68"/>
        <v>0</v>
      </c>
      <c r="M148" s="17" t="s">
        <v>619</v>
      </c>
      <c r="Z148" s="4">
        <f t="shared" si="69"/>
        <v>0</v>
      </c>
      <c r="AB148" s="4">
        <f t="shared" si="70"/>
        <v>0</v>
      </c>
      <c r="AC148" s="4">
        <f t="shared" si="71"/>
        <v>0</v>
      </c>
      <c r="AD148" s="4">
        <f t="shared" si="72"/>
        <v>0</v>
      </c>
      <c r="AE148" s="4">
        <f t="shared" si="73"/>
        <v>0</v>
      </c>
      <c r="AF148" s="4">
        <f t="shared" si="74"/>
        <v>0</v>
      </c>
      <c r="AG148" s="4">
        <f t="shared" si="75"/>
        <v>0</v>
      </c>
      <c r="AH148" s="4">
        <f t="shared" si="76"/>
        <v>0</v>
      </c>
      <c r="AI148" s="30" t="s">
        <v>630</v>
      </c>
      <c r="AJ148" s="4">
        <f t="shared" si="77"/>
        <v>0</v>
      </c>
      <c r="AK148" s="4">
        <f t="shared" si="78"/>
        <v>0</v>
      </c>
      <c r="AL148" s="4">
        <f t="shared" si="79"/>
        <v>0</v>
      </c>
      <c r="AN148" s="4">
        <v>21</v>
      </c>
      <c r="AO148" s="4">
        <f>I148*0</f>
        <v>0</v>
      </c>
      <c r="AP148" s="4">
        <f>I148*(1-0)</f>
        <v>0</v>
      </c>
      <c r="AQ148" s="14" t="s">
        <v>903</v>
      </c>
      <c r="AV148" s="4">
        <f t="shared" si="80"/>
        <v>0</v>
      </c>
      <c r="AW148" s="4">
        <f t="shared" si="81"/>
        <v>0</v>
      </c>
      <c r="AX148" s="4">
        <f t="shared" si="82"/>
        <v>0</v>
      </c>
      <c r="AY148" s="14" t="s">
        <v>288</v>
      </c>
      <c r="AZ148" s="14" t="s">
        <v>334</v>
      </c>
      <c r="BA148" s="30" t="s">
        <v>694</v>
      </c>
      <c r="BC148" s="4">
        <f t="shared" si="83"/>
        <v>0</v>
      </c>
      <c r="BD148" s="4">
        <f t="shared" si="84"/>
        <v>0</v>
      </c>
      <c r="BE148" s="4">
        <v>0</v>
      </c>
      <c r="BF148" s="4">
        <f>148</f>
        <v>148</v>
      </c>
      <c r="BH148" s="4">
        <f t="shared" si="85"/>
        <v>0</v>
      </c>
      <c r="BI148" s="4">
        <f t="shared" si="86"/>
        <v>0</v>
      </c>
      <c r="BJ148" s="4">
        <f t="shared" si="87"/>
        <v>0</v>
      </c>
      <c r="BK148" s="4"/>
      <c r="BL148" s="4">
        <v>97</v>
      </c>
    </row>
    <row r="149" spans="1:64" ht="15" customHeight="1">
      <c r="A149" s="22" t="s">
        <v>0</v>
      </c>
      <c r="B149" s="9" t="s">
        <v>456</v>
      </c>
      <c r="C149" s="53" t="s">
        <v>975</v>
      </c>
      <c r="D149" s="53"/>
      <c r="E149" s="53"/>
      <c r="F149" s="53"/>
      <c r="G149" s="9" t="s">
        <v>750</v>
      </c>
      <c r="H149" s="4">
        <v>6.74</v>
      </c>
      <c r="I149" s="4">
        <v>0</v>
      </c>
      <c r="J149" s="4">
        <f t="shared" si="66"/>
        <v>0</v>
      </c>
      <c r="K149" s="4">
        <f t="shared" si="67"/>
        <v>0</v>
      </c>
      <c r="L149" s="4">
        <f t="shared" si="68"/>
        <v>0</v>
      </c>
      <c r="M149" s="17" t="s">
        <v>619</v>
      </c>
      <c r="Z149" s="4">
        <f t="shared" si="69"/>
        <v>0</v>
      </c>
      <c r="AB149" s="4">
        <f t="shared" si="70"/>
        <v>0</v>
      </c>
      <c r="AC149" s="4">
        <f t="shared" si="71"/>
        <v>0</v>
      </c>
      <c r="AD149" s="4">
        <f t="shared" si="72"/>
        <v>0</v>
      </c>
      <c r="AE149" s="4">
        <f t="shared" si="73"/>
        <v>0</v>
      </c>
      <c r="AF149" s="4">
        <f t="shared" si="74"/>
        <v>0</v>
      </c>
      <c r="AG149" s="4">
        <f t="shared" si="75"/>
        <v>0</v>
      </c>
      <c r="AH149" s="4">
        <f t="shared" si="76"/>
        <v>0</v>
      </c>
      <c r="AI149" s="30" t="s">
        <v>630</v>
      </c>
      <c r="AJ149" s="4">
        <f t="shared" si="77"/>
        <v>0</v>
      </c>
      <c r="AK149" s="4">
        <f t="shared" si="78"/>
        <v>0</v>
      </c>
      <c r="AL149" s="4">
        <f t="shared" si="79"/>
        <v>0</v>
      </c>
      <c r="AN149" s="4">
        <v>21</v>
      </c>
      <c r="AO149" s="4">
        <f>I149*0</f>
        <v>0</v>
      </c>
      <c r="AP149" s="4">
        <f>I149*(1-0)</f>
        <v>0</v>
      </c>
      <c r="AQ149" s="14" t="s">
        <v>903</v>
      </c>
      <c r="AV149" s="4">
        <f t="shared" si="80"/>
        <v>0</v>
      </c>
      <c r="AW149" s="4">
        <f t="shared" si="81"/>
        <v>0</v>
      </c>
      <c r="AX149" s="4">
        <f t="shared" si="82"/>
        <v>0</v>
      </c>
      <c r="AY149" s="14" t="s">
        <v>288</v>
      </c>
      <c r="AZ149" s="14" t="s">
        <v>334</v>
      </c>
      <c r="BA149" s="30" t="s">
        <v>694</v>
      </c>
      <c r="BC149" s="4">
        <f t="shared" si="83"/>
        <v>0</v>
      </c>
      <c r="BD149" s="4">
        <f t="shared" si="84"/>
        <v>0</v>
      </c>
      <c r="BE149" s="4">
        <v>0</v>
      </c>
      <c r="BF149" s="4">
        <f>149</f>
        <v>149</v>
      </c>
      <c r="BH149" s="4">
        <f t="shared" si="85"/>
        <v>0</v>
      </c>
      <c r="BI149" s="4">
        <f t="shared" si="86"/>
        <v>0</v>
      </c>
      <c r="BJ149" s="4">
        <f t="shared" si="87"/>
        <v>0</v>
      </c>
      <c r="BK149" s="4"/>
      <c r="BL149" s="4">
        <v>97</v>
      </c>
    </row>
    <row r="150" spans="1:64" ht="15" customHeight="1">
      <c r="A150" s="22" t="s">
        <v>820</v>
      </c>
      <c r="B150" s="9" t="s">
        <v>982</v>
      </c>
      <c r="C150" s="53" t="s">
        <v>51</v>
      </c>
      <c r="D150" s="53"/>
      <c r="E150" s="53"/>
      <c r="F150" s="53"/>
      <c r="G150" s="9" t="s">
        <v>232</v>
      </c>
      <c r="H150" s="4">
        <v>1</v>
      </c>
      <c r="I150" s="4">
        <v>0</v>
      </c>
      <c r="J150" s="4">
        <f t="shared" si="66"/>
        <v>0</v>
      </c>
      <c r="K150" s="4">
        <f t="shared" si="67"/>
        <v>0</v>
      </c>
      <c r="L150" s="4">
        <f t="shared" si="68"/>
        <v>0</v>
      </c>
      <c r="M150" s="17" t="s">
        <v>619</v>
      </c>
      <c r="Z150" s="4">
        <f t="shared" si="69"/>
        <v>0</v>
      </c>
      <c r="AB150" s="4">
        <f t="shared" si="70"/>
        <v>0</v>
      </c>
      <c r="AC150" s="4">
        <f t="shared" si="71"/>
        <v>0</v>
      </c>
      <c r="AD150" s="4">
        <f t="shared" si="72"/>
        <v>0</v>
      </c>
      <c r="AE150" s="4">
        <f t="shared" si="73"/>
        <v>0</v>
      </c>
      <c r="AF150" s="4">
        <f t="shared" si="74"/>
        <v>0</v>
      </c>
      <c r="AG150" s="4">
        <f t="shared" si="75"/>
        <v>0</v>
      </c>
      <c r="AH150" s="4">
        <f t="shared" si="76"/>
        <v>0</v>
      </c>
      <c r="AI150" s="30" t="s">
        <v>630</v>
      </c>
      <c r="AJ150" s="4">
        <f t="shared" si="77"/>
        <v>0</v>
      </c>
      <c r="AK150" s="4">
        <f t="shared" si="78"/>
        <v>0</v>
      </c>
      <c r="AL150" s="4">
        <f t="shared" si="79"/>
        <v>0</v>
      </c>
      <c r="AN150" s="4">
        <v>21</v>
      </c>
      <c r="AO150" s="4">
        <f>I150*0</f>
        <v>0</v>
      </c>
      <c r="AP150" s="4">
        <f>I150*(1-0)</f>
        <v>0</v>
      </c>
      <c r="AQ150" s="14" t="s">
        <v>903</v>
      </c>
      <c r="AV150" s="4">
        <f t="shared" si="80"/>
        <v>0</v>
      </c>
      <c r="AW150" s="4">
        <f t="shared" si="81"/>
        <v>0</v>
      </c>
      <c r="AX150" s="4">
        <f t="shared" si="82"/>
        <v>0</v>
      </c>
      <c r="AY150" s="14" t="s">
        <v>288</v>
      </c>
      <c r="AZ150" s="14" t="s">
        <v>334</v>
      </c>
      <c r="BA150" s="30" t="s">
        <v>694</v>
      </c>
      <c r="BC150" s="4">
        <f t="shared" si="83"/>
        <v>0</v>
      </c>
      <c r="BD150" s="4">
        <f t="shared" si="84"/>
        <v>0</v>
      </c>
      <c r="BE150" s="4">
        <v>0</v>
      </c>
      <c r="BF150" s="4">
        <f>150</f>
        <v>150</v>
      </c>
      <c r="BH150" s="4">
        <f t="shared" si="85"/>
        <v>0</v>
      </c>
      <c r="BI150" s="4">
        <f t="shared" si="86"/>
        <v>0</v>
      </c>
      <c r="BJ150" s="4">
        <f t="shared" si="87"/>
        <v>0</v>
      </c>
      <c r="BK150" s="4"/>
      <c r="BL150" s="4">
        <v>97</v>
      </c>
    </row>
    <row r="151" spans="1:64" ht="13.5" customHeight="1">
      <c r="A151" s="13"/>
      <c r="B151" s="18" t="s">
        <v>473</v>
      </c>
      <c r="C151" s="54" t="s">
        <v>904</v>
      </c>
      <c r="D151" s="55"/>
      <c r="E151" s="55"/>
      <c r="F151" s="55"/>
      <c r="G151" s="55"/>
      <c r="H151" s="55"/>
      <c r="I151" s="55"/>
      <c r="J151" s="55"/>
      <c r="K151" s="55"/>
      <c r="L151" s="55"/>
      <c r="M151" s="56"/>
    </row>
    <row r="152" spans="1:64" ht="15" customHeight="1">
      <c r="A152" s="12" t="s">
        <v>630</v>
      </c>
      <c r="B152" s="32" t="s">
        <v>307</v>
      </c>
      <c r="C152" s="61" t="s">
        <v>399</v>
      </c>
      <c r="D152" s="61"/>
      <c r="E152" s="61"/>
      <c r="F152" s="61"/>
      <c r="G152" s="45" t="s">
        <v>839</v>
      </c>
      <c r="H152" s="45" t="s">
        <v>839</v>
      </c>
      <c r="I152" s="45" t="s">
        <v>839</v>
      </c>
      <c r="J152" s="49">
        <f>SUM(J153:J162)</f>
        <v>0</v>
      </c>
      <c r="K152" s="49">
        <f>SUM(K153:K162)</f>
        <v>0</v>
      </c>
      <c r="L152" s="49">
        <f>SUM(L153:L162)</f>
        <v>0</v>
      </c>
      <c r="M152" s="29" t="s">
        <v>630</v>
      </c>
      <c r="AI152" s="30" t="s">
        <v>630</v>
      </c>
      <c r="AS152" s="49">
        <f>SUM(AJ153:AJ162)</f>
        <v>0</v>
      </c>
      <c r="AT152" s="49">
        <f>SUM(AK153:AK162)</f>
        <v>0</v>
      </c>
      <c r="AU152" s="49">
        <f>SUM(AL153:AL162)</f>
        <v>0</v>
      </c>
    </row>
    <row r="153" spans="1:64" ht="15" customHeight="1">
      <c r="A153" s="22" t="s">
        <v>101</v>
      </c>
      <c r="B153" s="9" t="s">
        <v>925</v>
      </c>
      <c r="C153" s="53" t="s">
        <v>243</v>
      </c>
      <c r="D153" s="53"/>
      <c r="E153" s="53"/>
      <c r="F153" s="53"/>
      <c r="G153" s="9" t="s">
        <v>429</v>
      </c>
      <c r="H153" s="4">
        <v>45.506999999999998</v>
      </c>
      <c r="I153" s="4">
        <v>0</v>
      </c>
      <c r="J153" s="4">
        <f>H153*AO153</f>
        <v>0</v>
      </c>
      <c r="K153" s="4">
        <f>H153*AP153</f>
        <v>0</v>
      </c>
      <c r="L153" s="4">
        <f>H153*I153</f>
        <v>0</v>
      </c>
      <c r="M153" s="17" t="s">
        <v>619</v>
      </c>
      <c r="Z153" s="4">
        <f>IF(AQ153="5",BJ153,0)</f>
        <v>0</v>
      </c>
      <c r="AB153" s="4">
        <f>IF(AQ153="1",BH153,0)</f>
        <v>0</v>
      </c>
      <c r="AC153" s="4">
        <f>IF(AQ153="1",BI153,0)</f>
        <v>0</v>
      </c>
      <c r="AD153" s="4">
        <f>IF(AQ153="7",BH153,0)</f>
        <v>0</v>
      </c>
      <c r="AE153" s="4">
        <f>IF(AQ153="7",BI153,0)</f>
        <v>0</v>
      </c>
      <c r="AF153" s="4">
        <f>IF(AQ153="2",BH153,0)</f>
        <v>0</v>
      </c>
      <c r="AG153" s="4">
        <f>IF(AQ153="2",BI153,0)</f>
        <v>0</v>
      </c>
      <c r="AH153" s="4">
        <f>IF(AQ153="0",BJ153,0)</f>
        <v>0</v>
      </c>
      <c r="AI153" s="30" t="s">
        <v>630</v>
      </c>
      <c r="AJ153" s="4">
        <f>IF(AN153=0,L153,0)</f>
        <v>0</v>
      </c>
      <c r="AK153" s="4">
        <f>IF(AN153=15,L153,0)</f>
        <v>0</v>
      </c>
      <c r="AL153" s="4">
        <f>IF(AN153=21,L153,0)</f>
        <v>0</v>
      </c>
      <c r="AN153" s="4">
        <v>21</v>
      </c>
      <c r="AO153" s="4">
        <f>I153*0</f>
        <v>0</v>
      </c>
      <c r="AP153" s="4">
        <f>I153*(1-0)</f>
        <v>0</v>
      </c>
      <c r="AQ153" s="14" t="s">
        <v>488</v>
      </c>
      <c r="AV153" s="4">
        <f>AW153+AX153</f>
        <v>0</v>
      </c>
      <c r="AW153" s="4">
        <f>H153*AO153</f>
        <v>0</v>
      </c>
      <c r="AX153" s="4">
        <f>H153*AP153</f>
        <v>0</v>
      </c>
      <c r="AY153" s="14" t="s">
        <v>379</v>
      </c>
      <c r="AZ153" s="14" t="s">
        <v>334</v>
      </c>
      <c r="BA153" s="30" t="s">
        <v>694</v>
      </c>
      <c r="BC153" s="4">
        <f>AW153+AX153</f>
        <v>0</v>
      </c>
      <c r="BD153" s="4">
        <f>I153/(100-BE153)*100</f>
        <v>0</v>
      </c>
      <c r="BE153" s="4">
        <v>0</v>
      </c>
      <c r="BF153" s="4">
        <f>153</f>
        <v>153</v>
      </c>
      <c r="BH153" s="4">
        <f>H153*AO153</f>
        <v>0</v>
      </c>
      <c r="BI153" s="4">
        <f>H153*AP153</f>
        <v>0</v>
      </c>
      <c r="BJ153" s="4">
        <f>H153*I153</f>
        <v>0</v>
      </c>
      <c r="BK153" s="4"/>
      <c r="BL153" s="4"/>
    </row>
    <row r="154" spans="1:64" ht="15" customHeight="1">
      <c r="A154" s="22" t="s">
        <v>367</v>
      </c>
      <c r="B154" s="9" t="s">
        <v>184</v>
      </c>
      <c r="C154" s="53" t="s">
        <v>460</v>
      </c>
      <c r="D154" s="53"/>
      <c r="E154" s="53"/>
      <c r="F154" s="53"/>
      <c r="G154" s="9" t="s">
        <v>429</v>
      </c>
      <c r="H154" s="4">
        <v>91.013999999999996</v>
      </c>
      <c r="I154" s="4">
        <v>0</v>
      </c>
      <c r="J154" s="4">
        <f>H154*AO154</f>
        <v>0</v>
      </c>
      <c r="K154" s="4">
        <f>H154*AP154</f>
        <v>0</v>
      </c>
      <c r="L154" s="4">
        <f>H154*I154</f>
        <v>0</v>
      </c>
      <c r="M154" s="17" t="s">
        <v>619</v>
      </c>
      <c r="Z154" s="4">
        <f>IF(AQ154="5",BJ154,0)</f>
        <v>0</v>
      </c>
      <c r="AB154" s="4">
        <f>IF(AQ154="1",BH154,0)</f>
        <v>0</v>
      </c>
      <c r="AC154" s="4">
        <f>IF(AQ154="1",BI154,0)</f>
        <v>0</v>
      </c>
      <c r="AD154" s="4">
        <f>IF(AQ154="7",BH154,0)</f>
        <v>0</v>
      </c>
      <c r="AE154" s="4">
        <f>IF(AQ154="7",BI154,0)</f>
        <v>0</v>
      </c>
      <c r="AF154" s="4">
        <f>IF(AQ154="2",BH154,0)</f>
        <v>0</v>
      </c>
      <c r="AG154" s="4">
        <f>IF(AQ154="2",BI154,0)</f>
        <v>0</v>
      </c>
      <c r="AH154" s="4">
        <f>IF(AQ154="0",BJ154,0)</f>
        <v>0</v>
      </c>
      <c r="AI154" s="30" t="s">
        <v>630</v>
      </c>
      <c r="AJ154" s="4">
        <f>IF(AN154=0,L154,0)</f>
        <v>0</v>
      </c>
      <c r="AK154" s="4">
        <f>IF(AN154=15,L154,0)</f>
        <v>0</v>
      </c>
      <c r="AL154" s="4">
        <f>IF(AN154=21,L154,0)</f>
        <v>0</v>
      </c>
      <c r="AN154" s="4">
        <v>21</v>
      </c>
      <c r="AO154" s="4">
        <f>I154*0</f>
        <v>0</v>
      </c>
      <c r="AP154" s="4">
        <f>I154*(1-0)</f>
        <v>0</v>
      </c>
      <c r="AQ154" s="14" t="s">
        <v>488</v>
      </c>
      <c r="AV154" s="4">
        <f>AW154+AX154</f>
        <v>0</v>
      </c>
      <c r="AW154" s="4">
        <f>H154*AO154</f>
        <v>0</v>
      </c>
      <c r="AX154" s="4">
        <f>H154*AP154</f>
        <v>0</v>
      </c>
      <c r="AY154" s="14" t="s">
        <v>379</v>
      </c>
      <c r="AZ154" s="14" t="s">
        <v>334</v>
      </c>
      <c r="BA154" s="30" t="s">
        <v>694</v>
      </c>
      <c r="BC154" s="4">
        <f>AW154+AX154</f>
        <v>0</v>
      </c>
      <c r="BD154" s="4">
        <f>I154/(100-BE154)*100</f>
        <v>0</v>
      </c>
      <c r="BE154" s="4">
        <v>0</v>
      </c>
      <c r="BF154" s="4">
        <f>154</f>
        <v>154</v>
      </c>
      <c r="BH154" s="4">
        <f>H154*AO154</f>
        <v>0</v>
      </c>
      <c r="BI154" s="4">
        <f>H154*AP154</f>
        <v>0</v>
      </c>
      <c r="BJ154" s="4">
        <f>H154*I154</f>
        <v>0</v>
      </c>
      <c r="BK154" s="4"/>
      <c r="BL154" s="4"/>
    </row>
    <row r="155" spans="1:64" ht="15" customHeight="1">
      <c r="A155" s="22" t="s">
        <v>517</v>
      </c>
      <c r="B155" s="9" t="s">
        <v>717</v>
      </c>
      <c r="C155" s="53" t="s">
        <v>603</v>
      </c>
      <c r="D155" s="53"/>
      <c r="E155" s="53"/>
      <c r="F155" s="53"/>
      <c r="G155" s="9" t="s">
        <v>429</v>
      </c>
      <c r="H155" s="4">
        <v>45.506999999999998</v>
      </c>
      <c r="I155" s="4">
        <v>0</v>
      </c>
      <c r="J155" s="4">
        <f>H155*AO155</f>
        <v>0</v>
      </c>
      <c r="K155" s="4">
        <f>H155*AP155</f>
        <v>0</v>
      </c>
      <c r="L155" s="4">
        <f>H155*I155</f>
        <v>0</v>
      </c>
      <c r="M155" s="17" t="s">
        <v>619</v>
      </c>
      <c r="Z155" s="4">
        <f>IF(AQ155="5",BJ155,0)</f>
        <v>0</v>
      </c>
      <c r="AB155" s="4">
        <f>IF(AQ155="1",BH155,0)</f>
        <v>0</v>
      </c>
      <c r="AC155" s="4">
        <f>IF(AQ155="1",BI155,0)</f>
        <v>0</v>
      </c>
      <c r="AD155" s="4">
        <f>IF(AQ155="7",BH155,0)</f>
        <v>0</v>
      </c>
      <c r="AE155" s="4">
        <f>IF(AQ155="7",BI155,0)</f>
        <v>0</v>
      </c>
      <c r="AF155" s="4">
        <f>IF(AQ155="2",BH155,0)</f>
        <v>0</v>
      </c>
      <c r="AG155" s="4">
        <f>IF(AQ155="2",BI155,0)</f>
        <v>0</v>
      </c>
      <c r="AH155" s="4">
        <f>IF(AQ155="0",BJ155,0)</f>
        <v>0</v>
      </c>
      <c r="AI155" s="30" t="s">
        <v>630</v>
      </c>
      <c r="AJ155" s="4">
        <f>IF(AN155=0,L155,0)</f>
        <v>0</v>
      </c>
      <c r="AK155" s="4">
        <f>IF(AN155=15,L155,0)</f>
        <v>0</v>
      </c>
      <c r="AL155" s="4">
        <f>IF(AN155=21,L155,0)</f>
        <v>0</v>
      </c>
      <c r="AN155" s="4">
        <v>21</v>
      </c>
      <c r="AO155" s="4">
        <f>I155*0.00998701978579675</f>
        <v>0</v>
      </c>
      <c r="AP155" s="4">
        <f>I155*(1-0.00998701978579675)</f>
        <v>0</v>
      </c>
      <c r="AQ155" s="14" t="s">
        <v>488</v>
      </c>
      <c r="AV155" s="4">
        <f>AW155+AX155</f>
        <v>0</v>
      </c>
      <c r="AW155" s="4">
        <f>H155*AO155</f>
        <v>0</v>
      </c>
      <c r="AX155" s="4">
        <f>H155*AP155</f>
        <v>0</v>
      </c>
      <c r="AY155" s="14" t="s">
        <v>379</v>
      </c>
      <c r="AZ155" s="14" t="s">
        <v>334</v>
      </c>
      <c r="BA155" s="30" t="s">
        <v>694</v>
      </c>
      <c r="BC155" s="4">
        <f>AW155+AX155</f>
        <v>0</v>
      </c>
      <c r="BD155" s="4">
        <f>I155/(100-BE155)*100</f>
        <v>0</v>
      </c>
      <c r="BE155" s="4">
        <v>0</v>
      </c>
      <c r="BF155" s="4">
        <f>155</f>
        <v>155</v>
      </c>
      <c r="BH155" s="4">
        <f>H155*AO155</f>
        <v>0</v>
      </c>
      <c r="BI155" s="4">
        <f>H155*AP155</f>
        <v>0</v>
      </c>
      <c r="BJ155" s="4">
        <f>H155*I155</f>
        <v>0</v>
      </c>
      <c r="BK155" s="4"/>
      <c r="BL155" s="4"/>
    </row>
    <row r="156" spans="1:64" ht="13.5" customHeight="1">
      <c r="A156" s="13"/>
      <c r="B156" s="18" t="s">
        <v>473</v>
      </c>
      <c r="C156" s="54" t="s">
        <v>620</v>
      </c>
      <c r="D156" s="55"/>
      <c r="E156" s="55"/>
      <c r="F156" s="55"/>
      <c r="G156" s="55"/>
      <c r="H156" s="55"/>
      <c r="I156" s="55"/>
      <c r="J156" s="55"/>
      <c r="K156" s="55"/>
      <c r="L156" s="55"/>
      <c r="M156" s="56"/>
    </row>
    <row r="157" spans="1:64" ht="15" customHeight="1">
      <c r="A157" s="22" t="s">
        <v>99</v>
      </c>
      <c r="B157" s="9" t="s">
        <v>622</v>
      </c>
      <c r="C157" s="53" t="s">
        <v>269</v>
      </c>
      <c r="D157" s="53"/>
      <c r="E157" s="53"/>
      <c r="F157" s="53"/>
      <c r="G157" s="9" t="s">
        <v>429</v>
      </c>
      <c r="H157" s="4">
        <v>182.02799999999999</v>
      </c>
      <c r="I157" s="4">
        <v>0</v>
      </c>
      <c r="J157" s="4">
        <f t="shared" ref="J157:J162" si="88">H157*AO157</f>
        <v>0</v>
      </c>
      <c r="K157" s="4">
        <f t="shared" ref="K157:K162" si="89">H157*AP157</f>
        <v>0</v>
      </c>
      <c r="L157" s="4">
        <f t="shared" ref="L157:L162" si="90">H157*I157</f>
        <v>0</v>
      </c>
      <c r="M157" s="17" t="s">
        <v>619</v>
      </c>
      <c r="Z157" s="4">
        <f t="shared" ref="Z157:Z162" si="91">IF(AQ157="5",BJ157,0)</f>
        <v>0</v>
      </c>
      <c r="AB157" s="4">
        <f t="shared" ref="AB157:AB162" si="92">IF(AQ157="1",BH157,0)</f>
        <v>0</v>
      </c>
      <c r="AC157" s="4">
        <f t="shared" ref="AC157:AC162" si="93">IF(AQ157="1",BI157,0)</f>
        <v>0</v>
      </c>
      <c r="AD157" s="4">
        <f t="shared" ref="AD157:AD162" si="94">IF(AQ157="7",BH157,0)</f>
        <v>0</v>
      </c>
      <c r="AE157" s="4">
        <f t="shared" ref="AE157:AE162" si="95">IF(AQ157="7",BI157,0)</f>
        <v>0</v>
      </c>
      <c r="AF157" s="4">
        <f t="shared" ref="AF157:AF162" si="96">IF(AQ157="2",BH157,0)</f>
        <v>0</v>
      </c>
      <c r="AG157" s="4">
        <f t="shared" ref="AG157:AG162" si="97">IF(AQ157="2",BI157,0)</f>
        <v>0</v>
      </c>
      <c r="AH157" s="4">
        <f t="shared" ref="AH157:AH162" si="98">IF(AQ157="0",BJ157,0)</f>
        <v>0</v>
      </c>
      <c r="AI157" s="30" t="s">
        <v>630</v>
      </c>
      <c r="AJ157" s="4">
        <f t="shared" ref="AJ157:AJ162" si="99">IF(AN157=0,L157,0)</f>
        <v>0</v>
      </c>
      <c r="AK157" s="4">
        <f t="shared" ref="AK157:AK162" si="100">IF(AN157=15,L157,0)</f>
        <v>0</v>
      </c>
      <c r="AL157" s="4">
        <f t="shared" ref="AL157:AL162" si="101">IF(AN157=21,L157,0)</f>
        <v>0</v>
      </c>
      <c r="AN157" s="4">
        <v>21</v>
      </c>
      <c r="AO157" s="4">
        <f t="shared" ref="AO157:AO162" si="102">I157*0</f>
        <v>0</v>
      </c>
      <c r="AP157" s="4">
        <f t="shared" ref="AP157:AP162" si="103">I157*(1-0)</f>
        <v>0</v>
      </c>
      <c r="AQ157" s="14" t="s">
        <v>488</v>
      </c>
      <c r="AV157" s="4">
        <f t="shared" ref="AV157:AV162" si="104">AW157+AX157</f>
        <v>0</v>
      </c>
      <c r="AW157" s="4">
        <f t="shared" ref="AW157:AW162" si="105">H157*AO157</f>
        <v>0</v>
      </c>
      <c r="AX157" s="4">
        <f t="shared" ref="AX157:AX162" si="106">H157*AP157</f>
        <v>0</v>
      </c>
      <c r="AY157" s="14" t="s">
        <v>379</v>
      </c>
      <c r="AZ157" s="14" t="s">
        <v>334</v>
      </c>
      <c r="BA157" s="30" t="s">
        <v>694</v>
      </c>
      <c r="BC157" s="4">
        <f t="shared" ref="BC157:BC162" si="107">AW157+AX157</f>
        <v>0</v>
      </c>
      <c r="BD157" s="4">
        <f t="shared" ref="BD157:BD162" si="108">I157/(100-BE157)*100</f>
        <v>0</v>
      </c>
      <c r="BE157" s="4">
        <v>0</v>
      </c>
      <c r="BF157" s="4">
        <f>157</f>
        <v>157</v>
      </c>
      <c r="BH157" s="4">
        <f t="shared" ref="BH157:BH162" si="109">H157*AO157</f>
        <v>0</v>
      </c>
      <c r="BI157" s="4">
        <f t="shared" ref="BI157:BI162" si="110">H157*AP157</f>
        <v>0</v>
      </c>
      <c r="BJ157" s="4">
        <f t="shared" ref="BJ157:BJ162" si="111">H157*I157</f>
        <v>0</v>
      </c>
      <c r="BK157" s="4"/>
      <c r="BL157" s="4"/>
    </row>
    <row r="158" spans="1:64" ht="15" customHeight="1">
      <c r="A158" s="22" t="s">
        <v>638</v>
      </c>
      <c r="B158" s="9" t="s">
        <v>74</v>
      </c>
      <c r="C158" s="53" t="s">
        <v>483</v>
      </c>
      <c r="D158" s="53"/>
      <c r="E158" s="53"/>
      <c r="F158" s="53"/>
      <c r="G158" s="9" t="s">
        <v>429</v>
      </c>
      <c r="H158" s="4">
        <v>8.077</v>
      </c>
      <c r="I158" s="4">
        <v>0</v>
      </c>
      <c r="J158" s="4">
        <f t="shared" si="88"/>
        <v>0</v>
      </c>
      <c r="K158" s="4">
        <f t="shared" si="89"/>
        <v>0</v>
      </c>
      <c r="L158" s="4">
        <f t="shared" si="90"/>
        <v>0</v>
      </c>
      <c r="M158" s="17" t="s">
        <v>619</v>
      </c>
      <c r="Z158" s="4">
        <f t="shared" si="91"/>
        <v>0</v>
      </c>
      <c r="AB158" s="4">
        <f t="shared" si="92"/>
        <v>0</v>
      </c>
      <c r="AC158" s="4">
        <f t="shared" si="93"/>
        <v>0</v>
      </c>
      <c r="AD158" s="4">
        <f t="shared" si="94"/>
        <v>0</v>
      </c>
      <c r="AE158" s="4">
        <f t="shared" si="95"/>
        <v>0</v>
      </c>
      <c r="AF158" s="4">
        <f t="shared" si="96"/>
        <v>0</v>
      </c>
      <c r="AG158" s="4">
        <f t="shared" si="97"/>
        <v>0</v>
      </c>
      <c r="AH158" s="4">
        <f t="shared" si="98"/>
        <v>0</v>
      </c>
      <c r="AI158" s="30" t="s">
        <v>630</v>
      </c>
      <c r="AJ158" s="4">
        <f t="shared" si="99"/>
        <v>0</v>
      </c>
      <c r="AK158" s="4">
        <f t="shared" si="100"/>
        <v>0</v>
      </c>
      <c r="AL158" s="4">
        <f t="shared" si="101"/>
        <v>0</v>
      </c>
      <c r="AN158" s="4">
        <v>21</v>
      </c>
      <c r="AO158" s="4">
        <f t="shared" si="102"/>
        <v>0</v>
      </c>
      <c r="AP158" s="4">
        <f t="shared" si="103"/>
        <v>0</v>
      </c>
      <c r="AQ158" s="14" t="s">
        <v>488</v>
      </c>
      <c r="AV158" s="4">
        <f t="shared" si="104"/>
        <v>0</v>
      </c>
      <c r="AW158" s="4">
        <f t="shared" si="105"/>
        <v>0</v>
      </c>
      <c r="AX158" s="4">
        <f t="shared" si="106"/>
        <v>0</v>
      </c>
      <c r="AY158" s="14" t="s">
        <v>379</v>
      </c>
      <c r="AZ158" s="14" t="s">
        <v>334</v>
      </c>
      <c r="BA158" s="30" t="s">
        <v>694</v>
      </c>
      <c r="BC158" s="4">
        <f t="shared" si="107"/>
        <v>0</v>
      </c>
      <c r="BD158" s="4">
        <f t="shared" si="108"/>
        <v>0</v>
      </c>
      <c r="BE158" s="4">
        <v>0</v>
      </c>
      <c r="BF158" s="4">
        <f>158</f>
        <v>158</v>
      </c>
      <c r="BH158" s="4">
        <f t="shared" si="109"/>
        <v>0</v>
      </c>
      <c r="BI158" s="4">
        <f t="shared" si="110"/>
        <v>0</v>
      </c>
      <c r="BJ158" s="4">
        <f t="shared" si="111"/>
        <v>0</v>
      </c>
      <c r="BK158" s="4"/>
      <c r="BL158" s="4"/>
    </row>
    <row r="159" spans="1:64" ht="15" customHeight="1">
      <c r="A159" s="22" t="s">
        <v>441</v>
      </c>
      <c r="B159" s="9" t="s">
        <v>482</v>
      </c>
      <c r="C159" s="53" t="s">
        <v>457</v>
      </c>
      <c r="D159" s="53"/>
      <c r="E159" s="53"/>
      <c r="F159" s="53"/>
      <c r="G159" s="9" t="s">
        <v>429</v>
      </c>
      <c r="H159" s="4">
        <v>0.16800000000000001</v>
      </c>
      <c r="I159" s="4">
        <v>0</v>
      </c>
      <c r="J159" s="4">
        <f t="shared" si="88"/>
        <v>0</v>
      </c>
      <c r="K159" s="4">
        <f t="shared" si="89"/>
        <v>0</v>
      </c>
      <c r="L159" s="4">
        <f t="shared" si="90"/>
        <v>0</v>
      </c>
      <c r="M159" s="17" t="s">
        <v>619</v>
      </c>
      <c r="Z159" s="4">
        <f t="shared" si="91"/>
        <v>0</v>
      </c>
      <c r="AB159" s="4">
        <f t="shared" si="92"/>
        <v>0</v>
      </c>
      <c r="AC159" s="4">
        <f t="shared" si="93"/>
        <v>0</v>
      </c>
      <c r="AD159" s="4">
        <f t="shared" si="94"/>
        <v>0</v>
      </c>
      <c r="AE159" s="4">
        <f t="shared" si="95"/>
        <v>0</v>
      </c>
      <c r="AF159" s="4">
        <f t="shared" si="96"/>
        <v>0</v>
      </c>
      <c r="AG159" s="4">
        <f t="shared" si="97"/>
        <v>0</v>
      </c>
      <c r="AH159" s="4">
        <f t="shared" si="98"/>
        <v>0</v>
      </c>
      <c r="AI159" s="30" t="s">
        <v>630</v>
      </c>
      <c r="AJ159" s="4">
        <f t="shared" si="99"/>
        <v>0</v>
      </c>
      <c r="AK159" s="4">
        <f t="shared" si="100"/>
        <v>0</v>
      </c>
      <c r="AL159" s="4">
        <f t="shared" si="101"/>
        <v>0</v>
      </c>
      <c r="AN159" s="4">
        <v>21</v>
      </c>
      <c r="AO159" s="4">
        <f t="shared" si="102"/>
        <v>0</v>
      </c>
      <c r="AP159" s="4">
        <f t="shared" si="103"/>
        <v>0</v>
      </c>
      <c r="AQ159" s="14" t="s">
        <v>488</v>
      </c>
      <c r="AV159" s="4">
        <f t="shared" si="104"/>
        <v>0</v>
      </c>
      <c r="AW159" s="4">
        <f t="shared" si="105"/>
        <v>0</v>
      </c>
      <c r="AX159" s="4">
        <f t="shared" si="106"/>
        <v>0</v>
      </c>
      <c r="AY159" s="14" t="s">
        <v>379</v>
      </c>
      <c r="AZ159" s="14" t="s">
        <v>334</v>
      </c>
      <c r="BA159" s="30" t="s">
        <v>694</v>
      </c>
      <c r="BC159" s="4">
        <f t="shared" si="107"/>
        <v>0</v>
      </c>
      <c r="BD159" s="4">
        <f t="shared" si="108"/>
        <v>0</v>
      </c>
      <c r="BE159" s="4">
        <v>0</v>
      </c>
      <c r="BF159" s="4">
        <f>159</f>
        <v>159</v>
      </c>
      <c r="BH159" s="4">
        <f t="shared" si="109"/>
        <v>0</v>
      </c>
      <c r="BI159" s="4">
        <f t="shared" si="110"/>
        <v>0</v>
      </c>
      <c r="BJ159" s="4">
        <f t="shared" si="111"/>
        <v>0</v>
      </c>
      <c r="BK159" s="4"/>
      <c r="BL159" s="4"/>
    </row>
    <row r="160" spans="1:64" ht="15" customHeight="1">
      <c r="A160" s="22" t="s">
        <v>743</v>
      </c>
      <c r="B160" s="9" t="s">
        <v>313</v>
      </c>
      <c r="C160" s="53" t="s">
        <v>793</v>
      </c>
      <c r="D160" s="53"/>
      <c r="E160" s="53"/>
      <c r="F160" s="53"/>
      <c r="G160" s="9" t="s">
        <v>429</v>
      </c>
      <c r="H160" s="4">
        <v>30.579000000000001</v>
      </c>
      <c r="I160" s="4">
        <v>0</v>
      </c>
      <c r="J160" s="4">
        <f t="shared" si="88"/>
        <v>0</v>
      </c>
      <c r="K160" s="4">
        <f t="shared" si="89"/>
        <v>0</v>
      </c>
      <c r="L160" s="4">
        <f t="shared" si="90"/>
        <v>0</v>
      </c>
      <c r="M160" s="17" t="s">
        <v>619</v>
      </c>
      <c r="Z160" s="4">
        <f t="shared" si="91"/>
        <v>0</v>
      </c>
      <c r="AB160" s="4">
        <f t="shared" si="92"/>
        <v>0</v>
      </c>
      <c r="AC160" s="4">
        <f t="shared" si="93"/>
        <v>0</v>
      </c>
      <c r="AD160" s="4">
        <f t="shared" si="94"/>
        <v>0</v>
      </c>
      <c r="AE160" s="4">
        <f t="shared" si="95"/>
        <v>0</v>
      </c>
      <c r="AF160" s="4">
        <f t="shared" si="96"/>
        <v>0</v>
      </c>
      <c r="AG160" s="4">
        <f t="shared" si="97"/>
        <v>0</v>
      </c>
      <c r="AH160" s="4">
        <f t="shared" si="98"/>
        <v>0</v>
      </c>
      <c r="AI160" s="30" t="s">
        <v>630</v>
      </c>
      <c r="AJ160" s="4">
        <f t="shared" si="99"/>
        <v>0</v>
      </c>
      <c r="AK160" s="4">
        <f t="shared" si="100"/>
        <v>0</v>
      </c>
      <c r="AL160" s="4">
        <f t="shared" si="101"/>
        <v>0</v>
      </c>
      <c r="AN160" s="4">
        <v>21</v>
      </c>
      <c r="AO160" s="4">
        <f t="shared" si="102"/>
        <v>0</v>
      </c>
      <c r="AP160" s="4">
        <f t="shared" si="103"/>
        <v>0</v>
      </c>
      <c r="AQ160" s="14" t="s">
        <v>488</v>
      </c>
      <c r="AV160" s="4">
        <f t="shared" si="104"/>
        <v>0</v>
      </c>
      <c r="AW160" s="4">
        <f t="shared" si="105"/>
        <v>0</v>
      </c>
      <c r="AX160" s="4">
        <f t="shared" si="106"/>
        <v>0</v>
      </c>
      <c r="AY160" s="14" t="s">
        <v>379</v>
      </c>
      <c r="AZ160" s="14" t="s">
        <v>334</v>
      </c>
      <c r="BA160" s="30" t="s">
        <v>694</v>
      </c>
      <c r="BC160" s="4">
        <f t="shared" si="107"/>
        <v>0</v>
      </c>
      <c r="BD160" s="4">
        <f t="shared" si="108"/>
        <v>0</v>
      </c>
      <c r="BE160" s="4">
        <v>0</v>
      </c>
      <c r="BF160" s="4">
        <f>160</f>
        <v>160</v>
      </c>
      <c r="BH160" s="4">
        <f t="shared" si="109"/>
        <v>0</v>
      </c>
      <c r="BI160" s="4">
        <f t="shared" si="110"/>
        <v>0</v>
      </c>
      <c r="BJ160" s="4">
        <f t="shared" si="111"/>
        <v>0</v>
      </c>
      <c r="BK160" s="4"/>
      <c r="BL160" s="4"/>
    </row>
    <row r="161" spans="1:64" ht="15" customHeight="1">
      <c r="A161" s="22" t="s">
        <v>833</v>
      </c>
      <c r="B161" s="9" t="s">
        <v>568</v>
      </c>
      <c r="C161" s="53" t="s">
        <v>314</v>
      </c>
      <c r="D161" s="53"/>
      <c r="E161" s="53"/>
      <c r="F161" s="53"/>
      <c r="G161" s="9" t="s">
        <v>429</v>
      </c>
      <c r="H161" s="4">
        <v>0.13900000000000001</v>
      </c>
      <c r="I161" s="4">
        <v>0</v>
      </c>
      <c r="J161" s="4">
        <f t="shared" si="88"/>
        <v>0</v>
      </c>
      <c r="K161" s="4">
        <f t="shared" si="89"/>
        <v>0</v>
      </c>
      <c r="L161" s="4">
        <f t="shared" si="90"/>
        <v>0</v>
      </c>
      <c r="M161" s="17" t="s">
        <v>619</v>
      </c>
      <c r="Z161" s="4">
        <f t="shared" si="91"/>
        <v>0</v>
      </c>
      <c r="AB161" s="4">
        <f t="shared" si="92"/>
        <v>0</v>
      </c>
      <c r="AC161" s="4">
        <f t="shared" si="93"/>
        <v>0</v>
      </c>
      <c r="AD161" s="4">
        <f t="shared" si="94"/>
        <v>0</v>
      </c>
      <c r="AE161" s="4">
        <f t="shared" si="95"/>
        <v>0</v>
      </c>
      <c r="AF161" s="4">
        <f t="shared" si="96"/>
        <v>0</v>
      </c>
      <c r="AG161" s="4">
        <f t="shared" si="97"/>
        <v>0</v>
      </c>
      <c r="AH161" s="4">
        <f t="shared" si="98"/>
        <v>0</v>
      </c>
      <c r="AI161" s="30" t="s">
        <v>630</v>
      </c>
      <c r="AJ161" s="4">
        <f t="shared" si="99"/>
        <v>0</v>
      </c>
      <c r="AK161" s="4">
        <f t="shared" si="100"/>
        <v>0</v>
      </c>
      <c r="AL161" s="4">
        <f t="shared" si="101"/>
        <v>0</v>
      </c>
      <c r="AN161" s="4">
        <v>21</v>
      </c>
      <c r="AO161" s="4">
        <f t="shared" si="102"/>
        <v>0</v>
      </c>
      <c r="AP161" s="4">
        <f t="shared" si="103"/>
        <v>0</v>
      </c>
      <c r="AQ161" s="14" t="s">
        <v>488</v>
      </c>
      <c r="AV161" s="4">
        <f t="shared" si="104"/>
        <v>0</v>
      </c>
      <c r="AW161" s="4">
        <f t="shared" si="105"/>
        <v>0</v>
      </c>
      <c r="AX161" s="4">
        <f t="shared" si="106"/>
        <v>0</v>
      </c>
      <c r="AY161" s="14" t="s">
        <v>379</v>
      </c>
      <c r="AZ161" s="14" t="s">
        <v>334</v>
      </c>
      <c r="BA161" s="30" t="s">
        <v>694</v>
      </c>
      <c r="BC161" s="4">
        <f t="shared" si="107"/>
        <v>0</v>
      </c>
      <c r="BD161" s="4">
        <f t="shared" si="108"/>
        <v>0</v>
      </c>
      <c r="BE161" s="4">
        <v>0</v>
      </c>
      <c r="BF161" s="4">
        <f>161</f>
        <v>161</v>
      </c>
      <c r="BH161" s="4">
        <f t="shared" si="109"/>
        <v>0</v>
      </c>
      <c r="BI161" s="4">
        <f t="shared" si="110"/>
        <v>0</v>
      </c>
      <c r="BJ161" s="4">
        <f t="shared" si="111"/>
        <v>0</v>
      </c>
      <c r="BK161" s="4"/>
      <c r="BL161" s="4"/>
    </row>
    <row r="162" spans="1:64" ht="15" customHeight="1">
      <c r="A162" s="22" t="s">
        <v>790</v>
      </c>
      <c r="B162" s="9" t="s">
        <v>350</v>
      </c>
      <c r="C162" s="53" t="s">
        <v>851</v>
      </c>
      <c r="D162" s="53"/>
      <c r="E162" s="53"/>
      <c r="F162" s="53"/>
      <c r="G162" s="9" t="s">
        <v>429</v>
      </c>
      <c r="H162" s="4">
        <v>0.29299999999999998</v>
      </c>
      <c r="I162" s="4">
        <v>0</v>
      </c>
      <c r="J162" s="4">
        <f t="shared" si="88"/>
        <v>0</v>
      </c>
      <c r="K162" s="4">
        <f t="shared" si="89"/>
        <v>0</v>
      </c>
      <c r="L162" s="4">
        <f t="shared" si="90"/>
        <v>0</v>
      </c>
      <c r="M162" s="17" t="s">
        <v>619</v>
      </c>
      <c r="Z162" s="4">
        <f t="shared" si="91"/>
        <v>0</v>
      </c>
      <c r="AB162" s="4">
        <f t="shared" si="92"/>
        <v>0</v>
      </c>
      <c r="AC162" s="4">
        <f t="shared" si="93"/>
        <v>0</v>
      </c>
      <c r="AD162" s="4">
        <f t="shared" si="94"/>
        <v>0</v>
      </c>
      <c r="AE162" s="4">
        <f t="shared" si="95"/>
        <v>0</v>
      </c>
      <c r="AF162" s="4">
        <f t="shared" si="96"/>
        <v>0</v>
      </c>
      <c r="AG162" s="4">
        <f t="shared" si="97"/>
        <v>0</v>
      </c>
      <c r="AH162" s="4">
        <f t="shared" si="98"/>
        <v>0</v>
      </c>
      <c r="AI162" s="30" t="s">
        <v>630</v>
      </c>
      <c r="AJ162" s="4">
        <f t="shared" si="99"/>
        <v>0</v>
      </c>
      <c r="AK162" s="4">
        <f t="shared" si="100"/>
        <v>0</v>
      </c>
      <c r="AL162" s="4">
        <f t="shared" si="101"/>
        <v>0</v>
      </c>
      <c r="AN162" s="4">
        <v>21</v>
      </c>
      <c r="AO162" s="4">
        <f t="shared" si="102"/>
        <v>0</v>
      </c>
      <c r="AP162" s="4">
        <f t="shared" si="103"/>
        <v>0</v>
      </c>
      <c r="AQ162" s="14" t="s">
        <v>488</v>
      </c>
      <c r="AV162" s="4">
        <f t="shared" si="104"/>
        <v>0</v>
      </c>
      <c r="AW162" s="4">
        <f t="shared" si="105"/>
        <v>0</v>
      </c>
      <c r="AX162" s="4">
        <f t="shared" si="106"/>
        <v>0</v>
      </c>
      <c r="AY162" s="14" t="s">
        <v>379</v>
      </c>
      <c r="AZ162" s="14" t="s">
        <v>334</v>
      </c>
      <c r="BA162" s="30" t="s">
        <v>694</v>
      </c>
      <c r="BC162" s="4">
        <f t="shared" si="107"/>
        <v>0</v>
      </c>
      <c r="BD162" s="4">
        <f t="shared" si="108"/>
        <v>0</v>
      </c>
      <c r="BE162" s="4">
        <v>0</v>
      </c>
      <c r="BF162" s="4">
        <f>162</f>
        <v>162</v>
      </c>
      <c r="BH162" s="4">
        <f t="shared" si="109"/>
        <v>0</v>
      </c>
      <c r="BI162" s="4">
        <f t="shared" si="110"/>
        <v>0</v>
      </c>
      <c r="BJ162" s="4">
        <f t="shared" si="111"/>
        <v>0</v>
      </c>
      <c r="BK162" s="4"/>
      <c r="BL162" s="4"/>
    </row>
    <row r="163" spans="1:64" ht="15" customHeight="1">
      <c r="A163" s="12" t="s">
        <v>630</v>
      </c>
      <c r="B163" s="32" t="s">
        <v>134</v>
      </c>
      <c r="C163" s="61" t="s">
        <v>688</v>
      </c>
      <c r="D163" s="61"/>
      <c r="E163" s="61"/>
      <c r="F163" s="61"/>
      <c r="G163" s="45" t="s">
        <v>839</v>
      </c>
      <c r="H163" s="45" t="s">
        <v>839</v>
      </c>
      <c r="I163" s="45" t="s">
        <v>839</v>
      </c>
      <c r="J163" s="49">
        <f>SUM(J164:J164)</f>
        <v>0</v>
      </c>
      <c r="K163" s="49">
        <f>SUM(K164:K164)</f>
        <v>0</v>
      </c>
      <c r="L163" s="49">
        <f>SUM(L164:L164)</f>
        <v>0</v>
      </c>
      <c r="M163" s="29" t="s">
        <v>630</v>
      </c>
      <c r="AI163" s="30" t="s">
        <v>630</v>
      </c>
      <c r="AS163" s="49">
        <f>SUM(AJ164:AJ164)</f>
        <v>0</v>
      </c>
      <c r="AT163" s="49">
        <f>SUM(AK164:AK164)</f>
        <v>0</v>
      </c>
      <c r="AU163" s="49">
        <f>SUM(AL164:AL164)</f>
        <v>0</v>
      </c>
    </row>
    <row r="164" spans="1:64" ht="15" customHeight="1">
      <c r="A164" s="22" t="s">
        <v>19</v>
      </c>
      <c r="B164" s="9" t="s">
        <v>407</v>
      </c>
      <c r="C164" s="53" t="s">
        <v>779</v>
      </c>
      <c r="D164" s="53"/>
      <c r="E164" s="53"/>
      <c r="F164" s="53"/>
      <c r="G164" s="9" t="s">
        <v>695</v>
      </c>
      <c r="H164" s="4">
        <v>1</v>
      </c>
      <c r="I164" s="4">
        <v>0</v>
      </c>
      <c r="J164" s="4">
        <f>H164*AO164</f>
        <v>0</v>
      </c>
      <c r="K164" s="4">
        <f>H164*AP164</f>
        <v>0</v>
      </c>
      <c r="L164" s="4">
        <f>H164*I164</f>
        <v>0</v>
      </c>
      <c r="M164" s="17" t="s">
        <v>630</v>
      </c>
      <c r="Z164" s="4">
        <f>IF(AQ164="5",BJ164,0)</f>
        <v>0</v>
      </c>
      <c r="AB164" s="4">
        <f>IF(AQ164="1",BH164,0)</f>
        <v>0</v>
      </c>
      <c r="AC164" s="4">
        <f>IF(AQ164="1",BI164,0)</f>
        <v>0</v>
      </c>
      <c r="AD164" s="4">
        <f>IF(AQ164="7",BH164,0)</f>
        <v>0</v>
      </c>
      <c r="AE164" s="4">
        <f>IF(AQ164="7",BI164,0)</f>
        <v>0</v>
      </c>
      <c r="AF164" s="4">
        <f>IF(AQ164="2",BH164,0)</f>
        <v>0</v>
      </c>
      <c r="AG164" s="4">
        <f>IF(AQ164="2",BI164,0)</f>
        <v>0</v>
      </c>
      <c r="AH164" s="4">
        <f>IF(AQ164="0",BJ164,0)</f>
        <v>0</v>
      </c>
      <c r="AI164" s="30" t="s">
        <v>630</v>
      </c>
      <c r="AJ164" s="4">
        <f>IF(AN164=0,L164,0)</f>
        <v>0</v>
      </c>
      <c r="AK164" s="4">
        <f>IF(AN164=15,L164,0)</f>
        <v>0</v>
      </c>
      <c r="AL164" s="4">
        <f>IF(AN164=21,L164,0)</f>
        <v>0</v>
      </c>
      <c r="AN164" s="4">
        <v>21</v>
      </c>
      <c r="AO164" s="4">
        <f>I164*0.8</f>
        <v>0</v>
      </c>
      <c r="AP164" s="4">
        <f>I164*(1-0.8)</f>
        <v>0</v>
      </c>
      <c r="AQ164" s="14" t="s">
        <v>625</v>
      </c>
      <c r="AV164" s="4">
        <f>AW164+AX164</f>
        <v>0</v>
      </c>
      <c r="AW164" s="4">
        <f>H164*AO164</f>
        <v>0</v>
      </c>
      <c r="AX164" s="4">
        <f>H164*AP164</f>
        <v>0</v>
      </c>
      <c r="AY164" s="14" t="s">
        <v>942</v>
      </c>
      <c r="AZ164" s="14" t="s">
        <v>334</v>
      </c>
      <c r="BA164" s="30" t="s">
        <v>694</v>
      </c>
      <c r="BC164" s="4">
        <f>AW164+AX164</f>
        <v>0</v>
      </c>
      <c r="BD164" s="4">
        <f>I164/(100-BE164)*100</f>
        <v>0</v>
      </c>
      <c r="BE164" s="4">
        <v>0</v>
      </c>
      <c r="BF164" s="4">
        <f>164</f>
        <v>164</v>
      </c>
      <c r="BH164" s="4">
        <f>H164*AO164</f>
        <v>0</v>
      </c>
      <c r="BI164" s="4">
        <f>H164*AP164</f>
        <v>0</v>
      </c>
      <c r="BJ164" s="4">
        <f>H164*I164</f>
        <v>0</v>
      </c>
      <c r="BK164" s="4"/>
      <c r="BL164" s="4"/>
    </row>
    <row r="165" spans="1:64" ht="13.5" customHeight="1">
      <c r="A165" s="13"/>
      <c r="B165" s="18" t="s">
        <v>473</v>
      </c>
      <c r="C165" s="54" t="s">
        <v>499</v>
      </c>
      <c r="D165" s="55"/>
      <c r="E165" s="55"/>
      <c r="F165" s="55"/>
      <c r="G165" s="55"/>
      <c r="H165" s="55"/>
      <c r="I165" s="55"/>
      <c r="J165" s="55"/>
      <c r="K165" s="55"/>
      <c r="L165" s="55"/>
      <c r="M165" s="56"/>
    </row>
    <row r="166" spans="1:64" ht="15" customHeight="1">
      <c r="A166" s="12" t="s">
        <v>630</v>
      </c>
      <c r="B166" s="32" t="s">
        <v>124</v>
      </c>
      <c r="C166" s="61" t="s">
        <v>433</v>
      </c>
      <c r="D166" s="61"/>
      <c r="E166" s="61"/>
      <c r="F166" s="61"/>
      <c r="G166" s="45" t="s">
        <v>839</v>
      </c>
      <c r="H166" s="45" t="s">
        <v>839</v>
      </c>
      <c r="I166" s="45" t="s">
        <v>839</v>
      </c>
      <c r="J166" s="49">
        <f>SUM(J167:J167)</f>
        <v>0</v>
      </c>
      <c r="K166" s="49">
        <f>SUM(K167:K167)</f>
        <v>0</v>
      </c>
      <c r="L166" s="49">
        <f>SUM(L167:L167)</f>
        <v>0</v>
      </c>
      <c r="M166" s="29" t="s">
        <v>630</v>
      </c>
      <c r="AI166" s="30" t="s">
        <v>630</v>
      </c>
      <c r="AS166" s="49">
        <f>SUM(AJ167:AJ167)</f>
        <v>0</v>
      </c>
      <c r="AT166" s="49">
        <f>SUM(AK167:AK167)</f>
        <v>0</v>
      </c>
      <c r="AU166" s="49">
        <f>SUM(AL167:AL167)</f>
        <v>0</v>
      </c>
    </row>
    <row r="167" spans="1:64" ht="15" customHeight="1">
      <c r="A167" s="22" t="s">
        <v>359</v>
      </c>
      <c r="B167" s="9" t="s">
        <v>469</v>
      </c>
      <c r="C167" s="53" t="s">
        <v>490</v>
      </c>
      <c r="D167" s="53"/>
      <c r="E167" s="53"/>
      <c r="F167" s="53"/>
      <c r="G167" s="9" t="s">
        <v>695</v>
      </c>
      <c r="H167" s="4">
        <v>1</v>
      </c>
      <c r="I167" s="4">
        <v>0</v>
      </c>
      <c r="J167" s="4">
        <f>H167*AO167</f>
        <v>0</v>
      </c>
      <c r="K167" s="4">
        <f>H167*AP167</f>
        <v>0</v>
      </c>
      <c r="L167" s="4">
        <f>H167*I167</f>
        <v>0</v>
      </c>
      <c r="M167" s="17" t="s">
        <v>630</v>
      </c>
      <c r="Z167" s="4">
        <f>IF(AQ167="5",BJ167,0)</f>
        <v>0</v>
      </c>
      <c r="AB167" s="4">
        <f>IF(AQ167="1",BH167,0)</f>
        <v>0</v>
      </c>
      <c r="AC167" s="4">
        <f>IF(AQ167="1",BI167,0)</f>
        <v>0</v>
      </c>
      <c r="AD167" s="4">
        <f>IF(AQ167="7",BH167,0)</f>
        <v>0</v>
      </c>
      <c r="AE167" s="4">
        <f>IF(AQ167="7",BI167,0)</f>
        <v>0</v>
      </c>
      <c r="AF167" s="4">
        <f>IF(AQ167="2",BH167,0)</f>
        <v>0</v>
      </c>
      <c r="AG167" s="4">
        <f>IF(AQ167="2",BI167,0)</f>
        <v>0</v>
      </c>
      <c r="AH167" s="4">
        <f>IF(AQ167="0",BJ167,0)</f>
        <v>0</v>
      </c>
      <c r="AI167" s="30" t="s">
        <v>630</v>
      </c>
      <c r="AJ167" s="4">
        <f>IF(AN167=0,L167,0)</f>
        <v>0</v>
      </c>
      <c r="AK167" s="4">
        <f>IF(AN167=15,L167,0)</f>
        <v>0</v>
      </c>
      <c r="AL167" s="4">
        <f>IF(AN167=21,L167,0)</f>
        <v>0</v>
      </c>
      <c r="AN167" s="4">
        <v>21</v>
      </c>
      <c r="AO167" s="4">
        <f>I167*0.899084303699879</f>
        <v>0</v>
      </c>
      <c r="AP167" s="4">
        <f>I167*(1-0.899084303699879)</f>
        <v>0</v>
      </c>
      <c r="AQ167" s="14" t="s">
        <v>625</v>
      </c>
      <c r="AV167" s="4">
        <f>AW167+AX167</f>
        <v>0</v>
      </c>
      <c r="AW167" s="4">
        <f>H167*AO167</f>
        <v>0</v>
      </c>
      <c r="AX167" s="4">
        <f>H167*AP167</f>
        <v>0</v>
      </c>
      <c r="AY167" s="14" t="s">
        <v>583</v>
      </c>
      <c r="AZ167" s="14" t="s">
        <v>334</v>
      </c>
      <c r="BA167" s="30" t="s">
        <v>694</v>
      </c>
      <c r="BC167" s="4">
        <f>AW167+AX167</f>
        <v>0</v>
      </c>
      <c r="BD167" s="4">
        <f>I167/(100-BE167)*100</f>
        <v>0</v>
      </c>
      <c r="BE167" s="4">
        <v>0</v>
      </c>
      <c r="BF167" s="4">
        <f>167</f>
        <v>167</v>
      </c>
      <c r="BH167" s="4">
        <f>H167*AO167</f>
        <v>0</v>
      </c>
      <c r="BI167" s="4">
        <f>H167*AP167</f>
        <v>0</v>
      </c>
      <c r="BJ167" s="4">
        <f>H167*I167</f>
        <v>0</v>
      </c>
      <c r="BK167" s="4"/>
      <c r="BL167" s="4"/>
    </row>
    <row r="168" spans="1:64" ht="13.5" customHeight="1">
      <c r="A168" s="13"/>
      <c r="B168" s="18" t="s">
        <v>473</v>
      </c>
      <c r="C168" s="54" t="s">
        <v>499</v>
      </c>
      <c r="D168" s="55"/>
      <c r="E168" s="55"/>
      <c r="F168" s="55"/>
      <c r="G168" s="55"/>
      <c r="H168" s="55"/>
      <c r="I168" s="55"/>
      <c r="J168" s="55"/>
      <c r="K168" s="55"/>
      <c r="L168" s="55"/>
      <c r="M168" s="56"/>
    </row>
    <row r="169" spans="1:64" ht="15" customHeight="1">
      <c r="A169" s="12" t="s">
        <v>630</v>
      </c>
      <c r="B169" s="32" t="s">
        <v>55</v>
      </c>
      <c r="C169" s="61" t="s">
        <v>1005</v>
      </c>
      <c r="D169" s="61"/>
      <c r="E169" s="61"/>
      <c r="F169" s="61"/>
      <c r="G169" s="45" t="s">
        <v>839</v>
      </c>
      <c r="H169" s="45" t="s">
        <v>839</v>
      </c>
      <c r="I169" s="45" t="s">
        <v>839</v>
      </c>
      <c r="J169" s="49">
        <f>SUM(J170:J176)</f>
        <v>0</v>
      </c>
      <c r="K169" s="49">
        <f>SUM(K170:K176)</f>
        <v>0</v>
      </c>
      <c r="L169" s="49">
        <f>SUM(L170:L176)</f>
        <v>0</v>
      </c>
      <c r="M169" s="29" t="s">
        <v>630</v>
      </c>
      <c r="AI169" s="30" t="s">
        <v>630</v>
      </c>
      <c r="AS169" s="49">
        <f>SUM(AJ170:AJ176)</f>
        <v>0</v>
      </c>
      <c r="AT169" s="49">
        <f>SUM(AK170:AK176)</f>
        <v>0</v>
      </c>
      <c r="AU169" s="49">
        <f>SUM(AL170:AL176)</f>
        <v>0</v>
      </c>
    </row>
    <row r="170" spans="1:64" ht="15" customHeight="1">
      <c r="A170" s="22" t="s">
        <v>114</v>
      </c>
      <c r="B170" s="9" t="s">
        <v>274</v>
      </c>
      <c r="C170" s="53" t="s">
        <v>873</v>
      </c>
      <c r="D170" s="53"/>
      <c r="E170" s="53"/>
      <c r="F170" s="53"/>
      <c r="G170" s="9" t="s">
        <v>891</v>
      </c>
      <c r="H170" s="4">
        <v>12.5</v>
      </c>
      <c r="I170" s="4">
        <v>0</v>
      </c>
      <c r="J170" s="4">
        <f>H170*AO170</f>
        <v>0</v>
      </c>
      <c r="K170" s="4">
        <f>H170*AP170</f>
        <v>0</v>
      </c>
      <c r="L170" s="4">
        <f>H170*I170</f>
        <v>0</v>
      </c>
      <c r="M170" s="17" t="s">
        <v>619</v>
      </c>
      <c r="Z170" s="4">
        <f>IF(AQ170="5",BJ170,0)</f>
        <v>0</v>
      </c>
      <c r="AB170" s="4">
        <f>IF(AQ170="1",BH170,0)</f>
        <v>0</v>
      </c>
      <c r="AC170" s="4">
        <f>IF(AQ170="1",BI170,0)</f>
        <v>0</v>
      </c>
      <c r="AD170" s="4">
        <f>IF(AQ170="7",BH170,0)</f>
        <v>0</v>
      </c>
      <c r="AE170" s="4">
        <f>IF(AQ170="7",BI170,0)</f>
        <v>0</v>
      </c>
      <c r="AF170" s="4">
        <f>IF(AQ170="2",BH170,0)</f>
        <v>0</v>
      </c>
      <c r="AG170" s="4">
        <f>IF(AQ170="2",BI170,0)</f>
        <v>0</v>
      </c>
      <c r="AH170" s="4">
        <f>IF(AQ170="0",BJ170,0)</f>
        <v>0</v>
      </c>
      <c r="AI170" s="30" t="s">
        <v>630</v>
      </c>
      <c r="AJ170" s="4">
        <f>IF(AN170=0,L170,0)</f>
        <v>0</v>
      </c>
      <c r="AK170" s="4">
        <f>IF(AN170=15,L170,0)</f>
        <v>0</v>
      </c>
      <c r="AL170" s="4">
        <f>IF(AN170=21,L170,0)</f>
        <v>0</v>
      </c>
      <c r="AN170" s="4">
        <v>21</v>
      </c>
      <c r="AO170" s="4">
        <f>I170*0.626404494382023</f>
        <v>0</v>
      </c>
      <c r="AP170" s="4">
        <f>I170*(1-0.626404494382023)</f>
        <v>0</v>
      </c>
      <c r="AQ170" s="14" t="s">
        <v>907</v>
      </c>
      <c r="AV170" s="4">
        <f>AW170+AX170</f>
        <v>0</v>
      </c>
      <c r="AW170" s="4">
        <f>H170*AO170</f>
        <v>0</v>
      </c>
      <c r="AX170" s="4">
        <f>H170*AP170</f>
        <v>0</v>
      </c>
      <c r="AY170" s="14" t="s">
        <v>788</v>
      </c>
      <c r="AZ170" s="14" t="s">
        <v>739</v>
      </c>
      <c r="BA170" s="30" t="s">
        <v>694</v>
      </c>
      <c r="BC170" s="4">
        <f>AW170+AX170</f>
        <v>0</v>
      </c>
      <c r="BD170" s="4">
        <f>I170/(100-BE170)*100</f>
        <v>0</v>
      </c>
      <c r="BE170" s="4">
        <v>0</v>
      </c>
      <c r="BF170" s="4">
        <f>170</f>
        <v>170</v>
      </c>
      <c r="BH170" s="4">
        <f>H170*AO170</f>
        <v>0</v>
      </c>
      <c r="BI170" s="4">
        <f>H170*AP170</f>
        <v>0</v>
      </c>
      <c r="BJ170" s="4">
        <f>H170*I170</f>
        <v>0</v>
      </c>
      <c r="BK170" s="4"/>
      <c r="BL170" s="4">
        <v>711</v>
      </c>
    </row>
    <row r="171" spans="1:64" ht="13.5" customHeight="1">
      <c r="A171" s="13"/>
      <c r="B171" s="18" t="s">
        <v>473</v>
      </c>
      <c r="C171" s="54" t="s">
        <v>660</v>
      </c>
      <c r="D171" s="55"/>
      <c r="E171" s="55"/>
      <c r="F171" s="55"/>
      <c r="G171" s="55"/>
      <c r="H171" s="55"/>
      <c r="I171" s="55"/>
      <c r="J171" s="55"/>
      <c r="K171" s="55"/>
      <c r="L171" s="55"/>
      <c r="M171" s="56"/>
    </row>
    <row r="172" spans="1:64" ht="15" customHeight="1">
      <c r="A172" s="22" t="s">
        <v>988</v>
      </c>
      <c r="B172" s="9" t="s">
        <v>170</v>
      </c>
      <c r="C172" s="53" t="s">
        <v>181</v>
      </c>
      <c r="D172" s="53"/>
      <c r="E172" s="53"/>
      <c r="F172" s="53"/>
      <c r="G172" s="9" t="s">
        <v>891</v>
      </c>
      <c r="H172" s="4">
        <v>141.96</v>
      </c>
      <c r="I172" s="4">
        <v>0</v>
      </c>
      <c r="J172" s="4">
        <f>H172*AO172</f>
        <v>0</v>
      </c>
      <c r="K172" s="4">
        <f>H172*AP172</f>
        <v>0</v>
      </c>
      <c r="L172" s="4">
        <f>H172*I172</f>
        <v>0</v>
      </c>
      <c r="M172" s="17" t="s">
        <v>619</v>
      </c>
      <c r="Z172" s="4">
        <f>IF(AQ172="5",BJ172,0)</f>
        <v>0</v>
      </c>
      <c r="AB172" s="4">
        <f>IF(AQ172="1",BH172,0)</f>
        <v>0</v>
      </c>
      <c r="AC172" s="4">
        <f>IF(AQ172="1",BI172,0)</f>
        <v>0</v>
      </c>
      <c r="AD172" s="4">
        <f>IF(AQ172="7",BH172,0)</f>
        <v>0</v>
      </c>
      <c r="AE172" s="4">
        <f>IF(AQ172="7",BI172,0)</f>
        <v>0</v>
      </c>
      <c r="AF172" s="4">
        <f>IF(AQ172="2",BH172,0)</f>
        <v>0</v>
      </c>
      <c r="AG172" s="4">
        <f>IF(AQ172="2",BI172,0)</f>
        <v>0</v>
      </c>
      <c r="AH172" s="4">
        <f>IF(AQ172="0",BJ172,0)</f>
        <v>0</v>
      </c>
      <c r="AI172" s="30" t="s">
        <v>630</v>
      </c>
      <c r="AJ172" s="4">
        <f>IF(AN172=0,L172,0)</f>
        <v>0</v>
      </c>
      <c r="AK172" s="4">
        <f>IF(AN172=15,L172,0)</f>
        <v>0</v>
      </c>
      <c r="AL172" s="4">
        <f>IF(AN172=21,L172,0)</f>
        <v>0</v>
      </c>
      <c r="AN172" s="4">
        <v>21</v>
      </c>
      <c r="AO172" s="4">
        <f>I172*0.673041825830472</f>
        <v>0</v>
      </c>
      <c r="AP172" s="4">
        <f>I172*(1-0.673041825830472)</f>
        <v>0</v>
      </c>
      <c r="AQ172" s="14" t="s">
        <v>907</v>
      </c>
      <c r="AV172" s="4">
        <f>AW172+AX172</f>
        <v>0</v>
      </c>
      <c r="AW172" s="4">
        <f>H172*AO172</f>
        <v>0</v>
      </c>
      <c r="AX172" s="4">
        <f>H172*AP172</f>
        <v>0</v>
      </c>
      <c r="AY172" s="14" t="s">
        <v>788</v>
      </c>
      <c r="AZ172" s="14" t="s">
        <v>739</v>
      </c>
      <c r="BA172" s="30" t="s">
        <v>694</v>
      </c>
      <c r="BC172" s="4">
        <f>AW172+AX172</f>
        <v>0</v>
      </c>
      <c r="BD172" s="4">
        <f>I172/(100-BE172)*100</f>
        <v>0</v>
      </c>
      <c r="BE172" s="4">
        <v>0</v>
      </c>
      <c r="BF172" s="4">
        <f>172</f>
        <v>172</v>
      </c>
      <c r="BH172" s="4">
        <f>H172*AO172</f>
        <v>0</v>
      </c>
      <c r="BI172" s="4">
        <f>H172*AP172</f>
        <v>0</v>
      </c>
      <c r="BJ172" s="4">
        <f>H172*I172</f>
        <v>0</v>
      </c>
      <c r="BK172" s="4"/>
      <c r="BL172" s="4">
        <v>711</v>
      </c>
    </row>
    <row r="173" spans="1:64" ht="13.5" customHeight="1">
      <c r="A173" s="13"/>
      <c r="B173" s="18" t="s">
        <v>473</v>
      </c>
      <c r="C173" s="54" t="s">
        <v>777</v>
      </c>
      <c r="D173" s="55"/>
      <c r="E173" s="55"/>
      <c r="F173" s="55"/>
      <c r="G173" s="55"/>
      <c r="H173" s="55"/>
      <c r="I173" s="55"/>
      <c r="J173" s="55"/>
      <c r="K173" s="55"/>
      <c r="L173" s="55"/>
      <c r="M173" s="56"/>
    </row>
    <row r="174" spans="1:64" ht="15" customHeight="1">
      <c r="A174" s="22" t="s">
        <v>443</v>
      </c>
      <c r="B174" s="9" t="s">
        <v>170</v>
      </c>
      <c r="C174" s="53" t="s">
        <v>181</v>
      </c>
      <c r="D174" s="53"/>
      <c r="E174" s="53"/>
      <c r="F174" s="53"/>
      <c r="G174" s="9" t="s">
        <v>891</v>
      </c>
      <c r="H174" s="4">
        <v>141.96</v>
      </c>
      <c r="I174" s="4">
        <v>0</v>
      </c>
      <c r="J174" s="4">
        <f>H174*AO174</f>
        <v>0</v>
      </c>
      <c r="K174" s="4">
        <f>H174*AP174</f>
        <v>0</v>
      </c>
      <c r="L174" s="4">
        <f>H174*I174</f>
        <v>0</v>
      </c>
      <c r="M174" s="17" t="s">
        <v>619</v>
      </c>
      <c r="Z174" s="4">
        <f>IF(AQ174="5",BJ174,0)</f>
        <v>0</v>
      </c>
      <c r="AB174" s="4">
        <f>IF(AQ174="1",BH174,0)</f>
        <v>0</v>
      </c>
      <c r="AC174" s="4">
        <f>IF(AQ174="1",BI174,0)</f>
        <v>0</v>
      </c>
      <c r="AD174" s="4">
        <f>IF(AQ174="7",BH174,0)</f>
        <v>0</v>
      </c>
      <c r="AE174" s="4">
        <f>IF(AQ174="7",BI174,0)</f>
        <v>0</v>
      </c>
      <c r="AF174" s="4">
        <f>IF(AQ174="2",BH174,0)</f>
        <v>0</v>
      </c>
      <c r="AG174" s="4">
        <f>IF(AQ174="2",BI174,0)</f>
        <v>0</v>
      </c>
      <c r="AH174" s="4">
        <f>IF(AQ174="0",BJ174,0)</f>
        <v>0</v>
      </c>
      <c r="AI174" s="30" t="s">
        <v>630</v>
      </c>
      <c r="AJ174" s="4">
        <f>IF(AN174=0,L174,0)</f>
        <v>0</v>
      </c>
      <c r="AK174" s="4">
        <f>IF(AN174=15,L174,0)</f>
        <v>0</v>
      </c>
      <c r="AL174" s="4">
        <f>IF(AN174=21,L174,0)</f>
        <v>0</v>
      </c>
      <c r="AN174" s="4">
        <v>21</v>
      </c>
      <c r="AO174" s="4">
        <f>I174*0.673041825830472</f>
        <v>0</v>
      </c>
      <c r="AP174" s="4">
        <f>I174*(1-0.673041825830472)</f>
        <v>0</v>
      </c>
      <c r="AQ174" s="14" t="s">
        <v>907</v>
      </c>
      <c r="AV174" s="4">
        <f>AW174+AX174</f>
        <v>0</v>
      </c>
      <c r="AW174" s="4">
        <f>H174*AO174</f>
        <v>0</v>
      </c>
      <c r="AX174" s="4">
        <f>H174*AP174</f>
        <v>0</v>
      </c>
      <c r="AY174" s="14" t="s">
        <v>788</v>
      </c>
      <c r="AZ174" s="14" t="s">
        <v>739</v>
      </c>
      <c r="BA174" s="30" t="s">
        <v>694</v>
      </c>
      <c r="BC174" s="4">
        <f>AW174+AX174</f>
        <v>0</v>
      </c>
      <c r="BD174" s="4">
        <f>I174/(100-BE174)*100</f>
        <v>0</v>
      </c>
      <c r="BE174" s="4">
        <v>0</v>
      </c>
      <c r="BF174" s="4">
        <f>174</f>
        <v>174</v>
      </c>
      <c r="BH174" s="4">
        <f>H174*AO174</f>
        <v>0</v>
      </c>
      <c r="BI174" s="4">
        <f>H174*AP174</f>
        <v>0</v>
      </c>
      <c r="BJ174" s="4">
        <f>H174*I174</f>
        <v>0</v>
      </c>
      <c r="BK174" s="4"/>
      <c r="BL174" s="4">
        <v>711</v>
      </c>
    </row>
    <row r="175" spans="1:64" ht="13.5" customHeight="1">
      <c r="A175" s="13"/>
      <c r="B175" s="18" t="s">
        <v>473</v>
      </c>
      <c r="C175" s="54" t="s">
        <v>777</v>
      </c>
      <c r="D175" s="55"/>
      <c r="E175" s="55"/>
      <c r="F175" s="55"/>
      <c r="G175" s="55"/>
      <c r="H175" s="55"/>
      <c r="I175" s="55"/>
      <c r="J175" s="55"/>
      <c r="K175" s="55"/>
      <c r="L175" s="55"/>
      <c r="M175" s="56"/>
    </row>
    <row r="176" spans="1:64" ht="15" customHeight="1">
      <c r="A176" s="22" t="s">
        <v>744</v>
      </c>
      <c r="B176" s="9" t="s">
        <v>859</v>
      </c>
      <c r="C176" s="53" t="s">
        <v>710</v>
      </c>
      <c r="D176" s="53"/>
      <c r="E176" s="53"/>
      <c r="F176" s="53"/>
      <c r="G176" s="9" t="s">
        <v>429</v>
      </c>
      <c r="H176" s="4">
        <v>1.0129999999999999</v>
      </c>
      <c r="I176" s="4">
        <v>0</v>
      </c>
      <c r="J176" s="4">
        <f>H176*AO176</f>
        <v>0</v>
      </c>
      <c r="K176" s="4">
        <f>H176*AP176</f>
        <v>0</v>
      </c>
      <c r="L176" s="4">
        <f>H176*I176</f>
        <v>0</v>
      </c>
      <c r="M176" s="17" t="s">
        <v>619</v>
      </c>
      <c r="Z176" s="4">
        <f>IF(AQ176="5",BJ176,0)</f>
        <v>0</v>
      </c>
      <c r="AB176" s="4">
        <f>IF(AQ176="1",BH176,0)</f>
        <v>0</v>
      </c>
      <c r="AC176" s="4">
        <f>IF(AQ176="1",BI176,0)</f>
        <v>0</v>
      </c>
      <c r="AD176" s="4">
        <f>IF(AQ176="7",BH176,0)</f>
        <v>0</v>
      </c>
      <c r="AE176" s="4">
        <f>IF(AQ176="7",BI176,0)</f>
        <v>0</v>
      </c>
      <c r="AF176" s="4">
        <f>IF(AQ176="2",BH176,0)</f>
        <v>0</v>
      </c>
      <c r="AG176" s="4">
        <f>IF(AQ176="2",BI176,0)</f>
        <v>0</v>
      </c>
      <c r="AH176" s="4">
        <f>IF(AQ176="0",BJ176,0)</f>
        <v>0</v>
      </c>
      <c r="AI176" s="30" t="s">
        <v>630</v>
      </c>
      <c r="AJ176" s="4">
        <f>IF(AN176=0,L176,0)</f>
        <v>0</v>
      </c>
      <c r="AK176" s="4">
        <f>IF(AN176=15,L176,0)</f>
        <v>0</v>
      </c>
      <c r="AL176" s="4">
        <f>IF(AN176=21,L176,0)</f>
        <v>0</v>
      </c>
      <c r="AN176" s="4">
        <v>21</v>
      </c>
      <c r="AO176" s="4">
        <f>I176*0</f>
        <v>0</v>
      </c>
      <c r="AP176" s="4">
        <f>I176*(1-0)</f>
        <v>0</v>
      </c>
      <c r="AQ176" s="14" t="s">
        <v>488</v>
      </c>
      <c r="AV176" s="4">
        <f>AW176+AX176</f>
        <v>0</v>
      </c>
      <c r="AW176" s="4">
        <f>H176*AO176</f>
        <v>0</v>
      </c>
      <c r="AX176" s="4">
        <f>H176*AP176</f>
        <v>0</v>
      </c>
      <c r="AY176" s="14" t="s">
        <v>788</v>
      </c>
      <c r="AZ176" s="14" t="s">
        <v>739</v>
      </c>
      <c r="BA176" s="30" t="s">
        <v>694</v>
      </c>
      <c r="BC176" s="4">
        <f>AW176+AX176</f>
        <v>0</v>
      </c>
      <c r="BD176" s="4">
        <f>I176/(100-BE176)*100</f>
        <v>0</v>
      </c>
      <c r="BE176" s="4">
        <v>0</v>
      </c>
      <c r="BF176" s="4">
        <f>176</f>
        <v>176</v>
      </c>
      <c r="BH176" s="4">
        <f>H176*AO176</f>
        <v>0</v>
      </c>
      <c r="BI176" s="4">
        <f>H176*AP176</f>
        <v>0</v>
      </c>
      <c r="BJ176" s="4">
        <f>H176*I176</f>
        <v>0</v>
      </c>
      <c r="BK176" s="4"/>
      <c r="BL176" s="4">
        <v>711</v>
      </c>
    </row>
    <row r="177" spans="1:64" ht="15" customHeight="1">
      <c r="A177" s="12" t="s">
        <v>630</v>
      </c>
      <c r="B177" s="32" t="s">
        <v>585</v>
      </c>
      <c r="C177" s="61" t="s">
        <v>1016</v>
      </c>
      <c r="D177" s="61"/>
      <c r="E177" s="61"/>
      <c r="F177" s="61"/>
      <c r="G177" s="45" t="s">
        <v>839</v>
      </c>
      <c r="H177" s="45" t="s">
        <v>839</v>
      </c>
      <c r="I177" s="45" t="s">
        <v>839</v>
      </c>
      <c r="J177" s="49">
        <f>SUM(J178:J196)</f>
        <v>0</v>
      </c>
      <c r="K177" s="49">
        <f>SUM(K178:K196)</f>
        <v>0</v>
      </c>
      <c r="L177" s="49">
        <f>SUM(L178:L196)</f>
        <v>0</v>
      </c>
      <c r="M177" s="29" t="s">
        <v>630</v>
      </c>
      <c r="AI177" s="30" t="s">
        <v>630</v>
      </c>
      <c r="AS177" s="49">
        <f>SUM(AJ178:AJ196)</f>
        <v>0</v>
      </c>
      <c r="AT177" s="49">
        <f>SUM(AK178:AK196)</f>
        <v>0</v>
      </c>
      <c r="AU177" s="49">
        <f>SUM(AL178:AL196)</f>
        <v>0</v>
      </c>
    </row>
    <row r="178" spans="1:64" ht="15" customHeight="1">
      <c r="A178" s="22" t="s">
        <v>428</v>
      </c>
      <c r="B178" s="9" t="s">
        <v>383</v>
      </c>
      <c r="C178" s="53" t="s">
        <v>412</v>
      </c>
      <c r="D178" s="53"/>
      <c r="E178" s="53"/>
      <c r="F178" s="53"/>
      <c r="G178" s="9" t="s">
        <v>750</v>
      </c>
      <c r="H178" s="4">
        <v>14</v>
      </c>
      <c r="I178" s="4">
        <v>0</v>
      </c>
      <c r="J178" s="4">
        <f t="shared" ref="J178:J186" si="112">H178*AO178</f>
        <v>0</v>
      </c>
      <c r="K178" s="4">
        <f t="shared" ref="K178:K186" si="113">H178*AP178</f>
        <v>0</v>
      </c>
      <c r="L178" s="4">
        <f t="shared" ref="L178:L186" si="114">H178*I178</f>
        <v>0</v>
      </c>
      <c r="M178" s="17" t="s">
        <v>619</v>
      </c>
      <c r="Z178" s="4">
        <f t="shared" ref="Z178:Z186" si="115">IF(AQ178="5",BJ178,0)</f>
        <v>0</v>
      </c>
      <c r="AB178" s="4">
        <f t="shared" ref="AB178:AB186" si="116">IF(AQ178="1",BH178,0)</f>
        <v>0</v>
      </c>
      <c r="AC178" s="4">
        <f t="shared" ref="AC178:AC186" si="117">IF(AQ178="1",BI178,0)</f>
        <v>0</v>
      </c>
      <c r="AD178" s="4">
        <f t="shared" ref="AD178:AD186" si="118">IF(AQ178="7",BH178,0)</f>
        <v>0</v>
      </c>
      <c r="AE178" s="4">
        <f t="shared" ref="AE178:AE186" si="119">IF(AQ178="7",BI178,0)</f>
        <v>0</v>
      </c>
      <c r="AF178" s="4">
        <f t="shared" ref="AF178:AF186" si="120">IF(AQ178="2",BH178,0)</f>
        <v>0</v>
      </c>
      <c r="AG178" s="4">
        <f t="shared" ref="AG178:AG186" si="121">IF(AQ178="2",BI178,0)</f>
        <v>0</v>
      </c>
      <c r="AH178" s="4">
        <f t="shared" ref="AH178:AH186" si="122">IF(AQ178="0",BJ178,0)</f>
        <v>0</v>
      </c>
      <c r="AI178" s="30" t="s">
        <v>630</v>
      </c>
      <c r="AJ178" s="4">
        <f t="shared" ref="AJ178:AJ186" si="123">IF(AN178=0,L178,0)</f>
        <v>0</v>
      </c>
      <c r="AK178" s="4">
        <f t="shared" ref="AK178:AK186" si="124">IF(AN178=15,L178,0)</f>
        <v>0</v>
      </c>
      <c r="AL178" s="4">
        <f t="shared" ref="AL178:AL186" si="125">IF(AN178=21,L178,0)</f>
        <v>0</v>
      </c>
      <c r="AN178" s="4">
        <v>21</v>
      </c>
      <c r="AO178" s="4">
        <f>I178*0.398747225213741</f>
        <v>0</v>
      </c>
      <c r="AP178" s="4">
        <f>I178*(1-0.398747225213741)</f>
        <v>0</v>
      </c>
      <c r="AQ178" s="14" t="s">
        <v>907</v>
      </c>
      <c r="AV178" s="4">
        <f t="shared" ref="AV178:AV186" si="126">AW178+AX178</f>
        <v>0</v>
      </c>
      <c r="AW178" s="4">
        <f t="shared" ref="AW178:AW186" si="127">H178*AO178</f>
        <v>0</v>
      </c>
      <c r="AX178" s="4">
        <f t="shared" ref="AX178:AX186" si="128">H178*AP178</f>
        <v>0</v>
      </c>
      <c r="AY178" s="14" t="s">
        <v>137</v>
      </c>
      <c r="AZ178" s="14" t="s">
        <v>57</v>
      </c>
      <c r="BA178" s="30" t="s">
        <v>694</v>
      </c>
      <c r="BC178" s="4">
        <f t="shared" ref="BC178:BC186" si="129">AW178+AX178</f>
        <v>0</v>
      </c>
      <c r="BD178" s="4">
        <f t="shared" ref="BD178:BD186" si="130">I178/(100-BE178)*100</f>
        <v>0</v>
      </c>
      <c r="BE178" s="4">
        <v>0</v>
      </c>
      <c r="BF178" s="4">
        <f>178</f>
        <v>178</v>
      </c>
      <c r="BH178" s="4">
        <f t="shared" ref="BH178:BH186" si="131">H178*AO178</f>
        <v>0</v>
      </c>
      <c r="BI178" s="4">
        <f t="shared" ref="BI178:BI186" si="132">H178*AP178</f>
        <v>0</v>
      </c>
      <c r="BJ178" s="4">
        <f t="shared" ref="BJ178:BJ186" si="133">H178*I178</f>
        <v>0</v>
      </c>
      <c r="BK178" s="4"/>
      <c r="BL178" s="4">
        <v>721</v>
      </c>
    </row>
    <row r="179" spans="1:64" ht="15" customHeight="1">
      <c r="A179" s="22" t="s">
        <v>586</v>
      </c>
      <c r="B179" s="9" t="s">
        <v>26</v>
      </c>
      <c r="C179" s="53" t="s">
        <v>803</v>
      </c>
      <c r="D179" s="53"/>
      <c r="E179" s="53"/>
      <c r="F179" s="53"/>
      <c r="G179" s="9" t="s">
        <v>750</v>
      </c>
      <c r="H179" s="4">
        <v>19</v>
      </c>
      <c r="I179" s="4">
        <v>0</v>
      </c>
      <c r="J179" s="4">
        <f t="shared" si="112"/>
        <v>0</v>
      </c>
      <c r="K179" s="4">
        <f t="shared" si="113"/>
        <v>0</v>
      </c>
      <c r="L179" s="4">
        <f t="shared" si="114"/>
        <v>0</v>
      </c>
      <c r="M179" s="17" t="s">
        <v>619</v>
      </c>
      <c r="Z179" s="4">
        <f t="shared" si="115"/>
        <v>0</v>
      </c>
      <c r="AB179" s="4">
        <f t="shared" si="116"/>
        <v>0</v>
      </c>
      <c r="AC179" s="4">
        <f t="shared" si="117"/>
        <v>0</v>
      </c>
      <c r="AD179" s="4">
        <f t="shared" si="118"/>
        <v>0</v>
      </c>
      <c r="AE179" s="4">
        <f t="shared" si="119"/>
        <v>0</v>
      </c>
      <c r="AF179" s="4">
        <f t="shared" si="120"/>
        <v>0</v>
      </c>
      <c r="AG179" s="4">
        <f t="shared" si="121"/>
        <v>0</v>
      </c>
      <c r="AH179" s="4">
        <f t="shared" si="122"/>
        <v>0</v>
      </c>
      <c r="AI179" s="30" t="s">
        <v>630</v>
      </c>
      <c r="AJ179" s="4">
        <f t="shared" si="123"/>
        <v>0</v>
      </c>
      <c r="AK179" s="4">
        <f t="shared" si="124"/>
        <v>0</v>
      </c>
      <c r="AL179" s="4">
        <f t="shared" si="125"/>
        <v>0</v>
      </c>
      <c r="AN179" s="4">
        <v>21</v>
      </c>
      <c r="AO179" s="4">
        <f>I179*0.429154251941582</f>
        <v>0</v>
      </c>
      <c r="AP179" s="4">
        <f>I179*(1-0.429154251941582)</f>
        <v>0</v>
      </c>
      <c r="AQ179" s="14" t="s">
        <v>907</v>
      </c>
      <c r="AV179" s="4">
        <f t="shared" si="126"/>
        <v>0</v>
      </c>
      <c r="AW179" s="4">
        <f t="shared" si="127"/>
        <v>0</v>
      </c>
      <c r="AX179" s="4">
        <f t="shared" si="128"/>
        <v>0</v>
      </c>
      <c r="AY179" s="14" t="s">
        <v>137</v>
      </c>
      <c r="AZ179" s="14" t="s">
        <v>57</v>
      </c>
      <c r="BA179" s="30" t="s">
        <v>694</v>
      </c>
      <c r="BC179" s="4">
        <f t="shared" si="129"/>
        <v>0</v>
      </c>
      <c r="BD179" s="4">
        <f t="shared" si="130"/>
        <v>0</v>
      </c>
      <c r="BE179" s="4">
        <v>0</v>
      </c>
      <c r="BF179" s="4">
        <f>179</f>
        <v>179</v>
      </c>
      <c r="BH179" s="4">
        <f t="shared" si="131"/>
        <v>0</v>
      </c>
      <c r="BI179" s="4">
        <f t="shared" si="132"/>
        <v>0</v>
      </c>
      <c r="BJ179" s="4">
        <f t="shared" si="133"/>
        <v>0</v>
      </c>
      <c r="BK179" s="4"/>
      <c r="BL179" s="4">
        <v>721</v>
      </c>
    </row>
    <row r="180" spans="1:64" ht="15" customHeight="1">
      <c r="A180" s="22" t="s">
        <v>977</v>
      </c>
      <c r="B180" s="9" t="s">
        <v>40</v>
      </c>
      <c r="C180" s="53" t="s">
        <v>650</v>
      </c>
      <c r="D180" s="53"/>
      <c r="E180" s="53"/>
      <c r="F180" s="53"/>
      <c r="G180" s="9" t="s">
        <v>750</v>
      </c>
      <c r="H180" s="4">
        <v>53</v>
      </c>
      <c r="I180" s="4">
        <v>0</v>
      </c>
      <c r="J180" s="4">
        <f t="shared" si="112"/>
        <v>0</v>
      </c>
      <c r="K180" s="4">
        <f t="shared" si="113"/>
        <v>0</v>
      </c>
      <c r="L180" s="4">
        <f t="shared" si="114"/>
        <v>0</v>
      </c>
      <c r="M180" s="17" t="s">
        <v>619</v>
      </c>
      <c r="Z180" s="4">
        <f t="shared" si="115"/>
        <v>0</v>
      </c>
      <c r="AB180" s="4">
        <f t="shared" si="116"/>
        <v>0</v>
      </c>
      <c r="AC180" s="4">
        <f t="shared" si="117"/>
        <v>0</v>
      </c>
      <c r="AD180" s="4">
        <f t="shared" si="118"/>
        <v>0</v>
      </c>
      <c r="AE180" s="4">
        <f t="shared" si="119"/>
        <v>0</v>
      </c>
      <c r="AF180" s="4">
        <f t="shared" si="120"/>
        <v>0</v>
      </c>
      <c r="AG180" s="4">
        <f t="shared" si="121"/>
        <v>0</v>
      </c>
      <c r="AH180" s="4">
        <f t="shared" si="122"/>
        <v>0</v>
      </c>
      <c r="AI180" s="30" t="s">
        <v>630</v>
      </c>
      <c r="AJ180" s="4">
        <f t="shared" si="123"/>
        <v>0</v>
      </c>
      <c r="AK180" s="4">
        <f t="shared" si="124"/>
        <v>0</v>
      </c>
      <c r="AL180" s="4">
        <f t="shared" si="125"/>
        <v>0</v>
      </c>
      <c r="AN180" s="4">
        <v>21</v>
      </c>
      <c r="AO180" s="4">
        <f>I180*0.535819935691318</f>
        <v>0</v>
      </c>
      <c r="AP180" s="4">
        <f>I180*(1-0.535819935691318)</f>
        <v>0</v>
      </c>
      <c r="AQ180" s="14" t="s">
        <v>907</v>
      </c>
      <c r="AV180" s="4">
        <f t="shared" si="126"/>
        <v>0</v>
      </c>
      <c r="AW180" s="4">
        <f t="shared" si="127"/>
        <v>0</v>
      </c>
      <c r="AX180" s="4">
        <f t="shared" si="128"/>
        <v>0</v>
      </c>
      <c r="AY180" s="14" t="s">
        <v>137</v>
      </c>
      <c r="AZ180" s="14" t="s">
        <v>57</v>
      </c>
      <c r="BA180" s="30" t="s">
        <v>694</v>
      </c>
      <c r="BC180" s="4">
        <f t="shared" si="129"/>
        <v>0</v>
      </c>
      <c r="BD180" s="4">
        <f t="shared" si="130"/>
        <v>0</v>
      </c>
      <c r="BE180" s="4">
        <v>0</v>
      </c>
      <c r="BF180" s="4">
        <f>180</f>
        <v>180</v>
      </c>
      <c r="BH180" s="4">
        <f t="shared" si="131"/>
        <v>0</v>
      </c>
      <c r="BI180" s="4">
        <f t="shared" si="132"/>
        <v>0</v>
      </c>
      <c r="BJ180" s="4">
        <f t="shared" si="133"/>
        <v>0</v>
      </c>
      <c r="BK180" s="4"/>
      <c r="BL180" s="4">
        <v>721</v>
      </c>
    </row>
    <row r="181" spans="1:64" ht="15" customHeight="1">
      <c r="A181" s="22" t="s">
        <v>639</v>
      </c>
      <c r="B181" s="9" t="s">
        <v>400</v>
      </c>
      <c r="C181" s="53" t="s">
        <v>397</v>
      </c>
      <c r="D181" s="53"/>
      <c r="E181" s="53"/>
      <c r="F181" s="53"/>
      <c r="G181" s="9" t="s">
        <v>232</v>
      </c>
      <c r="H181" s="4">
        <v>1</v>
      </c>
      <c r="I181" s="4">
        <v>0</v>
      </c>
      <c r="J181" s="4">
        <f t="shared" si="112"/>
        <v>0</v>
      </c>
      <c r="K181" s="4">
        <f t="shared" si="113"/>
        <v>0</v>
      </c>
      <c r="L181" s="4">
        <f t="shared" si="114"/>
        <v>0</v>
      </c>
      <c r="M181" s="17" t="s">
        <v>619</v>
      </c>
      <c r="Z181" s="4">
        <f t="shared" si="115"/>
        <v>0</v>
      </c>
      <c r="AB181" s="4">
        <f t="shared" si="116"/>
        <v>0</v>
      </c>
      <c r="AC181" s="4">
        <f t="shared" si="117"/>
        <v>0</v>
      </c>
      <c r="AD181" s="4">
        <f t="shared" si="118"/>
        <v>0</v>
      </c>
      <c r="AE181" s="4">
        <f t="shared" si="119"/>
        <v>0</v>
      </c>
      <c r="AF181" s="4">
        <f t="shared" si="120"/>
        <v>0</v>
      </c>
      <c r="AG181" s="4">
        <f t="shared" si="121"/>
        <v>0</v>
      </c>
      <c r="AH181" s="4">
        <f t="shared" si="122"/>
        <v>0</v>
      </c>
      <c r="AI181" s="30" t="s">
        <v>630</v>
      </c>
      <c r="AJ181" s="4">
        <f t="shared" si="123"/>
        <v>0</v>
      </c>
      <c r="AK181" s="4">
        <f t="shared" si="124"/>
        <v>0</v>
      </c>
      <c r="AL181" s="4">
        <f t="shared" si="125"/>
        <v>0</v>
      </c>
      <c r="AN181" s="4">
        <v>21</v>
      </c>
      <c r="AO181" s="4">
        <f>I181*0.247151162790698</f>
        <v>0</v>
      </c>
      <c r="AP181" s="4">
        <f>I181*(1-0.247151162790698)</f>
        <v>0</v>
      </c>
      <c r="AQ181" s="14" t="s">
        <v>907</v>
      </c>
      <c r="AV181" s="4">
        <f t="shared" si="126"/>
        <v>0</v>
      </c>
      <c r="AW181" s="4">
        <f t="shared" si="127"/>
        <v>0</v>
      </c>
      <c r="AX181" s="4">
        <f t="shared" si="128"/>
        <v>0</v>
      </c>
      <c r="AY181" s="14" t="s">
        <v>137</v>
      </c>
      <c r="AZ181" s="14" t="s">
        <v>57</v>
      </c>
      <c r="BA181" s="30" t="s">
        <v>694</v>
      </c>
      <c r="BC181" s="4">
        <f t="shared" si="129"/>
        <v>0</v>
      </c>
      <c r="BD181" s="4">
        <f t="shared" si="130"/>
        <v>0</v>
      </c>
      <c r="BE181" s="4">
        <v>0</v>
      </c>
      <c r="BF181" s="4">
        <f>181</f>
        <v>181</v>
      </c>
      <c r="BH181" s="4">
        <f t="shared" si="131"/>
        <v>0</v>
      </c>
      <c r="BI181" s="4">
        <f t="shared" si="132"/>
        <v>0</v>
      </c>
      <c r="BJ181" s="4">
        <f t="shared" si="133"/>
        <v>0</v>
      </c>
      <c r="BK181" s="4"/>
      <c r="BL181" s="4">
        <v>721</v>
      </c>
    </row>
    <row r="182" spans="1:64" ht="15" customHeight="1">
      <c r="A182" s="22" t="s">
        <v>986</v>
      </c>
      <c r="B182" s="9" t="s">
        <v>697</v>
      </c>
      <c r="C182" s="53" t="s">
        <v>723</v>
      </c>
      <c r="D182" s="53"/>
      <c r="E182" s="53"/>
      <c r="F182" s="53"/>
      <c r="G182" s="9" t="s">
        <v>232</v>
      </c>
      <c r="H182" s="4">
        <v>3</v>
      </c>
      <c r="I182" s="4">
        <v>0</v>
      </c>
      <c r="J182" s="4">
        <f t="shared" si="112"/>
        <v>0</v>
      </c>
      <c r="K182" s="4">
        <f t="shared" si="113"/>
        <v>0</v>
      </c>
      <c r="L182" s="4">
        <f t="shared" si="114"/>
        <v>0</v>
      </c>
      <c r="M182" s="17" t="s">
        <v>619</v>
      </c>
      <c r="Z182" s="4">
        <f t="shared" si="115"/>
        <v>0</v>
      </c>
      <c r="AB182" s="4">
        <f t="shared" si="116"/>
        <v>0</v>
      </c>
      <c r="AC182" s="4">
        <f t="shared" si="117"/>
        <v>0</v>
      </c>
      <c r="AD182" s="4">
        <f t="shared" si="118"/>
        <v>0</v>
      </c>
      <c r="AE182" s="4">
        <f t="shared" si="119"/>
        <v>0</v>
      </c>
      <c r="AF182" s="4">
        <f t="shared" si="120"/>
        <v>0</v>
      </c>
      <c r="AG182" s="4">
        <f t="shared" si="121"/>
        <v>0</v>
      </c>
      <c r="AH182" s="4">
        <f t="shared" si="122"/>
        <v>0</v>
      </c>
      <c r="AI182" s="30" t="s">
        <v>630</v>
      </c>
      <c r="AJ182" s="4">
        <f t="shared" si="123"/>
        <v>0</v>
      </c>
      <c r="AK182" s="4">
        <f t="shared" si="124"/>
        <v>0</v>
      </c>
      <c r="AL182" s="4">
        <f t="shared" si="125"/>
        <v>0</v>
      </c>
      <c r="AN182" s="4">
        <v>21</v>
      </c>
      <c r="AO182" s="4">
        <f>I182*0.250500963391137</f>
        <v>0</v>
      </c>
      <c r="AP182" s="4">
        <f>I182*(1-0.250500963391137)</f>
        <v>0</v>
      </c>
      <c r="AQ182" s="14" t="s">
        <v>907</v>
      </c>
      <c r="AV182" s="4">
        <f t="shared" si="126"/>
        <v>0</v>
      </c>
      <c r="AW182" s="4">
        <f t="shared" si="127"/>
        <v>0</v>
      </c>
      <c r="AX182" s="4">
        <f t="shared" si="128"/>
        <v>0</v>
      </c>
      <c r="AY182" s="14" t="s">
        <v>137</v>
      </c>
      <c r="AZ182" s="14" t="s">
        <v>57</v>
      </c>
      <c r="BA182" s="30" t="s">
        <v>694</v>
      </c>
      <c r="BC182" s="4">
        <f t="shared" si="129"/>
        <v>0</v>
      </c>
      <c r="BD182" s="4">
        <f t="shared" si="130"/>
        <v>0</v>
      </c>
      <c r="BE182" s="4">
        <v>0</v>
      </c>
      <c r="BF182" s="4">
        <f>182</f>
        <v>182</v>
      </c>
      <c r="BH182" s="4">
        <f t="shared" si="131"/>
        <v>0</v>
      </c>
      <c r="BI182" s="4">
        <f t="shared" si="132"/>
        <v>0</v>
      </c>
      <c r="BJ182" s="4">
        <f t="shared" si="133"/>
        <v>0</v>
      </c>
      <c r="BK182" s="4"/>
      <c r="BL182" s="4">
        <v>721</v>
      </c>
    </row>
    <row r="183" spans="1:64" ht="15" customHeight="1">
      <c r="A183" s="22" t="s">
        <v>934</v>
      </c>
      <c r="B183" s="9" t="s">
        <v>486</v>
      </c>
      <c r="C183" s="53" t="s">
        <v>855</v>
      </c>
      <c r="D183" s="53"/>
      <c r="E183" s="53"/>
      <c r="F183" s="53"/>
      <c r="G183" s="9" t="s">
        <v>232</v>
      </c>
      <c r="H183" s="4">
        <v>17</v>
      </c>
      <c r="I183" s="4">
        <v>0</v>
      </c>
      <c r="J183" s="4">
        <f t="shared" si="112"/>
        <v>0</v>
      </c>
      <c r="K183" s="4">
        <f t="shared" si="113"/>
        <v>0</v>
      </c>
      <c r="L183" s="4">
        <f t="shared" si="114"/>
        <v>0</v>
      </c>
      <c r="M183" s="17" t="s">
        <v>619</v>
      </c>
      <c r="Z183" s="4">
        <f t="shared" si="115"/>
        <v>0</v>
      </c>
      <c r="AB183" s="4">
        <f t="shared" si="116"/>
        <v>0</v>
      </c>
      <c r="AC183" s="4">
        <f t="shared" si="117"/>
        <v>0</v>
      </c>
      <c r="AD183" s="4">
        <f t="shared" si="118"/>
        <v>0</v>
      </c>
      <c r="AE183" s="4">
        <f t="shared" si="119"/>
        <v>0</v>
      </c>
      <c r="AF183" s="4">
        <f t="shared" si="120"/>
        <v>0</v>
      </c>
      <c r="AG183" s="4">
        <f t="shared" si="121"/>
        <v>0</v>
      </c>
      <c r="AH183" s="4">
        <f t="shared" si="122"/>
        <v>0</v>
      </c>
      <c r="AI183" s="30" t="s">
        <v>630</v>
      </c>
      <c r="AJ183" s="4">
        <f t="shared" si="123"/>
        <v>0</v>
      </c>
      <c r="AK183" s="4">
        <f t="shared" si="124"/>
        <v>0</v>
      </c>
      <c r="AL183" s="4">
        <f t="shared" si="125"/>
        <v>0</v>
      </c>
      <c r="AN183" s="4">
        <v>21</v>
      </c>
      <c r="AO183" s="4">
        <f>I183*0.304848066298343</f>
        <v>0</v>
      </c>
      <c r="AP183" s="4">
        <f>I183*(1-0.304848066298343)</f>
        <v>0</v>
      </c>
      <c r="AQ183" s="14" t="s">
        <v>907</v>
      </c>
      <c r="AV183" s="4">
        <f t="shared" si="126"/>
        <v>0</v>
      </c>
      <c r="AW183" s="4">
        <f t="shared" si="127"/>
        <v>0</v>
      </c>
      <c r="AX183" s="4">
        <f t="shared" si="128"/>
        <v>0</v>
      </c>
      <c r="AY183" s="14" t="s">
        <v>137</v>
      </c>
      <c r="AZ183" s="14" t="s">
        <v>57</v>
      </c>
      <c r="BA183" s="30" t="s">
        <v>694</v>
      </c>
      <c r="BC183" s="4">
        <f t="shared" si="129"/>
        <v>0</v>
      </c>
      <c r="BD183" s="4">
        <f t="shared" si="130"/>
        <v>0</v>
      </c>
      <c r="BE183" s="4">
        <v>0</v>
      </c>
      <c r="BF183" s="4">
        <f>183</f>
        <v>183</v>
      </c>
      <c r="BH183" s="4">
        <f t="shared" si="131"/>
        <v>0</v>
      </c>
      <c r="BI183" s="4">
        <f t="shared" si="132"/>
        <v>0</v>
      </c>
      <c r="BJ183" s="4">
        <f t="shared" si="133"/>
        <v>0</v>
      </c>
      <c r="BK183" s="4"/>
      <c r="BL183" s="4">
        <v>721</v>
      </c>
    </row>
    <row r="184" spans="1:64" ht="15" customHeight="1">
      <c r="A184" s="22" t="s">
        <v>863</v>
      </c>
      <c r="B184" s="9" t="s">
        <v>445</v>
      </c>
      <c r="C184" s="53" t="s">
        <v>489</v>
      </c>
      <c r="D184" s="53"/>
      <c r="E184" s="53"/>
      <c r="F184" s="53"/>
      <c r="G184" s="9" t="s">
        <v>232</v>
      </c>
      <c r="H184" s="4">
        <v>1</v>
      </c>
      <c r="I184" s="4">
        <v>0</v>
      </c>
      <c r="J184" s="4">
        <f t="shared" si="112"/>
        <v>0</v>
      </c>
      <c r="K184" s="4">
        <f t="shared" si="113"/>
        <v>0</v>
      </c>
      <c r="L184" s="4">
        <f t="shared" si="114"/>
        <v>0</v>
      </c>
      <c r="M184" s="17" t="s">
        <v>619</v>
      </c>
      <c r="Z184" s="4">
        <f t="shared" si="115"/>
        <v>0</v>
      </c>
      <c r="AB184" s="4">
        <f t="shared" si="116"/>
        <v>0</v>
      </c>
      <c r="AC184" s="4">
        <f t="shared" si="117"/>
        <v>0</v>
      </c>
      <c r="AD184" s="4">
        <f t="shared" si="118"/>
        <v>0</v>
      </c>
      <c r="AE184" s="4">
        <f t="shared" si="119"/>
        <v>0</v>
      </c>
      <c r="AF184" s="4">
        <f t="shared" si="120"/>
        <v>0</v>
      </c>
      <c r="AG184" s="4">
        <f t="shared" si="121"/>
        <v>0</v>
      </c>
      <c r="AH184" s="4">
        <f t="shared" si="122"/>
        <v>0</v>
      </c>
      <c r="AI184" s="30" t="s">
        <v>630</v>
      </c>
      <c r="AJ184" s="4">
        <f t="shared" si="123"/>
        <v>0</v>
      </c>
      <c r="AK184" s="4">
        <f t="shared" si="124"/>
        <v>0</v>
      </c>
      <c r="AL184" s="4">
        <f t="shared" si="125"/>
        <v>0</v>
      </c>
      <c r="AN184" s="4">
        <v>21</v>
      </c>
      <c r="AO184" s="4">
        <f>I184*0.552922590837283</f>
        <v>0</v>
      </c>
      <c r="AP184" s="4">
        <f>I184*(1-0.552922590837283)</f>
        <v>0</v>
      </c>
      <c r="AQ184" s="14" t="s">
        <v>907</v>
      </c>
      <c r="AV184" s="4">
        <f t="shared" si="126"/>
        <v>0</v>
      </c>
      <c r="AW184" s="4">
        <f t="shared" si="127"/>
        <v>0</v>
      </c>
      <c r="AX184" s="4">
        <f t="shared" si="128"/>
        <v>0</v>
      </c>
      <c r="AY184" s="14" t="s">
        <v>137</v>
      </c>
      <c r="AZ184" s="14" t="s">
        <v>57</v>
      </c>
      <c r="BA184" s="30" t="s">
        <v>694</v>
      </c>
      <c r="BC184" s="4">
        <f t="shared" si="129"/>
        <v>0</v>
      </c>
      <c r="BD184" s="4">
        <f t="shared" si="130"/>
        <v>0</v>
      </c>
      <c r="BE184" s="4">
        <v>0</v>
      </c>
      <c r="BF184" s="4">
        <f>184</f>
        <v>184</v>
      </c>
      <c r="BH184" s="4">
        <f t="shared" si="131"/>
        <v>0</v>
      </c>
      <c r="BI184" s="4">
        <f t="shared" si="132"/>
        <v>0</v>
      </c>
      <c r="BJ184" s="4">
        <f t="shared" si="133"/>
        <v>0</v>
      </c>
      <c r="BK184" s="4"/>
      <c r="BL184" s="4">
        <v>721</v>
      </c>
    </row>
    <row r="185" spans="1:64" ht="15" customHeight="1">
      <c r="A185" s="22" t="s">
        <v>479</v>
      </c>
      <c r="B185" s="9" t="s">
        <v>53</v>
      </c>
      <c r="C185" s="53" t="s">
        <v>292</v>
      </c>
      <c r="D185" s="53"/>
      <c r="E185" s="53"/>
      <c r="F185" s="53"/>
      <c r="G185" s="9" t="s">
        <v>232</v>
      </c>
      <c r="H185" s="4">
        <v>3</v>
      </c>
      <c r="I185" s="4">
        <v>0</v>
      </c>
      <c r="J185" s="4">
        <f t="shared" si="112"/>
        <v>0</v>
      </c>
      <c r="K185" s="4">
        <f t="shared" si="113"/>
        <v>0</v>
      </c>
      <c r="L185" s="4">
        <f t="shared" si="114"/>
        <v>0</v>
      </c>
      <c r="M185" s="17" t="s">
        <v>619</v>
      </c>
      <c r="Z185" s="4">
        <f t="shared" si="115"/>
        <v>0</v>
      </c>
      <c r="AB185" s="4">
        <f t="shared" si="116"/>
        <v>0</v>
      </c>
      <c r="AC185" s="4">
        <f t="shared" si="117"/>
        <v>0</v>
      </c>
      <c r="AD185" s="4">
        <f t="shared" si="118"/>
        <v>0</v>
      </c>
      <c r="AE185" s="4">
        <f t="shared" si="119"/>
        <v>0</v>
      </c>
      <c r="AF185" s="4">
        <f t="shared" si="120"/>
        <v>0</v>
      </c>
      <c r="AG185" s="4">
        <f t="shared" si="121"/>
        <v>0</v>
      </c>
      <c r="AH185" s="4">
        <f t="shared" si="122"/>
        <v>0</v>
      </c>
      <c r="AI185" s="30" t="s">
        <v>630</v>
      </c>
      <c r="AJ185" s="4">
        <f t="shared" si="123"/>
        <v>0</v>
      </c>
      <c r="AK185" s="4">
        <f t="shared" si="124"/>
        <v>0</v>
      </c>
      <c r="AL185" s="4">
        <f t="shared" si="125"/>
        <v>0</v>
      </c>
      <c r="AN185" s="4">
        <v>21</v>
      </c>
      <c r="AO185" s="4">
        <f>I185*0.476959700731168</f>
        <v>0</v>
      </c>
      <c r="AP185" s="4">
        <f>I185*(1-0.476959700731168)</f>
        <v>0</v>
      </c>
      <c r="AQ185" s="14" t="s">
        <v>907</v>
      </c>
      <c r="AV185" s="4">
        <f t="shared" si="126"/>
        <v>0</v>
      </c>
      <c r="AW185" s="4">
        <f t="shared" si="127"/>
        <v>0</v>
      </c>
      <c r="AX185" s="4">
        <f t="shared" si="128"/>
        <v>0</v>
      </c>
      <c r="AY185" s="14" t="s">
        <v>137</v>
      </c>
      <c r="AZ185" s="14" t="s">
        <v>57</v>
      </c>
      <c r="BA185" s="30" t="s">
        <v>694</v>
      </c>
      <c r="BC185" s="4">
        <f t="shared" si="129"/>
        <v>0</v>
      </c>
      <c r="BD185" s="4">
        <f t="shared" si="130"/>
        <v>0</v>
      </c>
      <c r="BE185" s="4">
        <v>0</v>
      </c>
      <c r="BF185" s="4">
        <f>185</f>
        <v>185</v>
      </c>
      <c r="BH185" s="4">
        <f t="shared" si="131"/>
        <v>0</v>
      </c>
      <c r="BI185" s="4">
        <f t="shared" si="132"/>
        <v>0</v>
      </c>
      <c r="BJ185" s="4">
        <f t="shared" si="133"/>
        <v>0</v>
      </c>
      <c r="BK185" s="4"/>
      <c r="BL185" s="4">
        <v>721</v>
      </c>
    </row>
    <row r="186" spans="1:64" ht="15" customHeight="1">
      <c r="A186" s="22" t="s">
        <v>432</v>
      </c>
      <c r="B186" s="9" t="s">
        <v>275</v>
      </c>
      <c r="C186" s="53" t="s">
        <v>964</v>
      </c>
      <c r="D186" s="53"/>
      <c r="E186" s="53"/>
      <c r="F186" s="53"/>
      <c r="G186" s="9" t="s">
        <v>232</v>
      </c>
      <c r="H186" s="4">
        <v>5</v>
      </c>
      <c r="I186" s="4">
        <v>0</v>
      </c>
      <c r="J186" s="4">
        <f t="shared" si="112"/>
        <v>0</v>
      </c>
      <c r="K186" s="4">
        <f t="shared" si="113"/>
        <v>0</v>
      </c>
      <c r="L186" s="4">
        <f t="shared" si="114"/>
        <v>0</v>
      </c>
      <c r="M186" s="17" t="s">
        <v>619</v>
      </c>
      <c r="Z186" s="4">
        <f t="shared" si="115"/>
        <v>0</v>
      </c>
      <c r="AB186" s="4">
        <f t="shared" si="116"/>
        <v>0</v>
      </c>
      <c r="AC186" s="4">
        <f t="shared" si="117"/>
        <v>0</v>
      </c>
      <c r="AD186" s="4">
        <f t="shared" si="118"/>
        <v>0</v>
      </c>
      <c r="AE186" s="4">
        <f t="shared" si="119"/>
        <v>0</v>
      </c>
      <c r="AF186" s="4">
        <f t="shared" si="120"/>
        <v>0</v>
      </c>
      <c r="AG186" s="4">
        <f t="shared" si="121"/>
        <v>0</v>
      </c>
      <c r="AH186" s="4">
        <f t="shared" si="122"/>
        <v>0</v>
      </c>
      <c r="AI186" s="30" t="s">
        <v>630</v>
      </c>
      <c r="AJ186" s="4">
        <f t="shared" si="123"/>
        <v>0</v>
      </c>
      <c r="AK186" s="4">
        <f t="shared" si="124"/>
        <v>0</v>
      </c>
      <c r="AL186" s="4">
        <f t="shared" si="125"/>
        <v>0</v>
      </c>
      <c r="AN186" s="4">
        <v>21</v>
      </c>
      <c r="AO186" s="4">
        <f>I186*0.960703309692671</f>
        <v>0</v>
      </c>
      <c r="AP186" s="4">
        <f>I186*(1-0.960703309692671)</f>
        <v>0</v>
      </c>
      <c r="AQ186" s="14" t="s">
        <v>907</v>
      </c>
      <c r="AV186" s="4">
        <f t="shared" si="126"/>
        <v>0</v>
      </c>
      <c r="AW186" s="4">
        <f t="shared" si="127"/>
        <v>0</v>
      </c>
      <c r="AX186" s="4">
        <f t="shared" si="128"/>
        <v>0</v>
      </c>
      <c r="AY186" s="14" t="s">
        <v>137</v>
      </c>
      <c r="AZ186" s="14" t="s">
        <v>57</v>
      </c>
      <c r="BA186" s="30" t="s">
        <v>694</v>
      </c>
      <c r="BC186" s="4">
        <f t="shared" si="129"/>
        <v>0</v>
      </c>
      <c r="BD186" s="4">
        <f t="shared" si="130"/>
        <v>0</v>
      </c>
      <c r="BE186" s="4">
        <v>0</v>
      </c>
      <c r="BF186" s="4">
        <f>186</f>
        <v>186</v>
      </c>
      <c r="BH186" s="4">
        <f t="shared" si="131"/>
        <v>0</v>
      </c>
      <c r="BI186" s="4">
        <f t="shared" si="132"/>
        <v>0</v>
      </c>
      <c r="BJ186" s="4">
        <f t="shared" si="133"/>
        <v>0</v>
      </c>
      <c r="BK186" s="4"/>
      <c r="BL186" s="4">
        <v>721</v>
      </c>
    </row>
    <row r="187" spans="1:64" ht="13.5" customHeight="1">
      <c r="A187" s="13"/>
      <c r="B187" s="18" t="s">
        <v>473</v>
      </c>
      <c r="C187" s="54" t="s">
        <v>394</v>
      </c>
      <c r="D187" s="55"/>
      <c r="E187" s="55"/>
      <c r="F187" s="55"/>
      <c r="G187" s="55"/>
      <c r="H187" s="55"/>
      <c r="I187" s="55"/>
      <c r="J187" s="55"/>
      <c r="K187" s="55"/>
      <c r="L187" s="55"/>
      <c r="M187" s="56"/>
    </row>
    <row r="188" spans="1:64" ht="15" customHeight="1">
      <c r="A188" s="22" t="s">
        <v>391</v>
      </c>
      <c r="B188" s="9" t="s">
        <v>169</v>
      </c>
      <c r="C188" s="53" t="s">
        <v>874</v>
      </c>
      <c r="D188" s="53"/>
      <c r="E188" s="53"/>
      <c r="F188" s="53"/>
      <c r="G188" s="9" t="s">
        <v>232</v>
      </c>
      <c r="H188" s="4">
        <v>17</v>
      </c>
      <c r="I188" s="4">
        <v>0</v>
      </c>
      <c r="J188" s="4">
        <f t="shared" ref="J188:J196" si="134">H188*AO188</f>
        <v>0</v>
      </c>
      <c r="K188" s="4">
        <f t="shared" ref="K188:K196" si="135">H188*AP188</f>
        <v>0</v>
      </c>
      <c r="L188" s="4">
        <f t="shared" ref="L188:L196" si="136">H188*I188</f>
        <v>0</v>
      </c>
      <c r="M188" s="17" t="s">
        <v>619</v>
      </c>
      <c r="Z188" s="4">
        <f t="shared" ref="Z188:Z196" si="137">IF(AQ188="5",BJ188,0)</f>
        <v>0</v>
      </c>
      <c r="AB188" s="4">
        <f t="shared" ref="AB188:AB196" si="138">IF(AQ188="1",BH188,0)</f>
        <v>0</v>
      </c>
      <c r="AC188" s="4">
        <f t="shared" ref="AC188:AC196" si="139">IF(AQ188="1",BI188,0)</f>
        <v>0</v>
      </c>
      <c r="AD188" s="4">
        <f t="shared" ref="AD188:AD196" si="140">IF(AQ188="7",BH188,0)</f>
        <v>0</v>
      </c>
      <c r="AE188" s="4">
        <f t="shared" ref="AE188:AE196" si="141">IF(AQ188="7",BI188,0)</f>
        <v>0</v>
      </c>
      <c r="AF188" s="4">
        <f t="shared" ref="AF188:AF196" si="142">IF(AQ188="2",BH188,0)</f>
        <v>0</v>
      </c>
      <c r="AG188" s="4">
        <f t="shared" ref="AG188:AG196" si="143">IF(AQ188="2",BI188,0)</f>
        <v>0</v>
      </c>
      <c r="AH188" s="4">
        <f t="shared" ref="AH188:AH196" si="144">IF(AQ188="0",BJ188,0)</f>
        <v>0</v>
      </c>
      <c r="AI188" s="30" t="s">
        <v>630</v>
      </c>
      <c r="AJ188" s="4">
        <f t="shared" ref="AJ188:AJ196" si="145">IF(AN188=0,L188,0)</f>
        <v>0</v>
      </c>
      <c r="AK188" s="4">
        <f t="shared" ref="AK188:AK196" si="146">IF(AN188=15,L188,0)</f>
        <v>0</v>
      </c>
      <c r="AL188" s="4">
        <f t="shared" ref="AL188:AL196" si="147">IF(AN188=21,L188,0)</f>
        <v>0</v>
      </c>
      <c r="AN188" s="4">
        <v>21</v>
      </c>
      <c r="AO188" s="4">
        <f>I188*0.261518987341772</f>
        <v>0</v>
      </c>
      <c r="AP188" s="4">
        <f>I188*(1-0.261518987341772)</f>
        <v>0</v>
      </c>
      <c r="AQ188" s="14" t="s">
        <v>907</v>
      </c>
      <c r="AV188" s="4">
        <f t="shared" ref="AV188:AV196" si="148">AW188+AX188</f>
        <v>0</v>
      </c>
      <c r="AW188" s="4">
        <f t="shared" ref="AW188:AW196" si="149">H188*AO188</f>
        <v>0</v>
      </c>
      <c r="AX188" s="4">
        <f t="shared" ref="AX188:AX196" si="150">H188*AP188</f>
        <v>0</v>
      </c>
      <c r="AY188" s="14" t="s">
        <v>137</v>
      </c>
      <c r="AZ188" s="14" t="s">
        <v>57</v>
      </c>
      <c r="BA188" s="30" t="s">
        <v>694</v>
      </c>
      <c r="BC188" s="4">
        <f t="shared" ref="BC188:BC196" si="151">AW188+AX188</f>
        <v>0</v>
      </c>
      <c r="BD188" s="4">
        <f t="shared" ref="BD188:BD196" si="152">I188/(100-BE188)*100</f>
        <v>0</v>
      </c>
      <c r="BE188" s="4">
        <v>0</v>
      </c>
      <c r="BF188" s="4">
        <f>188</f>
        <v>188</v>
      </c>
      <c r="BH188" s="4">
        <f t="shared" ref="BH188:BH196" si="153">H188*AO188</f>
        <v>0</v>
      </c>
      <c r="BI188" s="4">
        <f t="shared" ref="BI188:BI196" si="154">H188*AP188</f>
        <v>0</v>
      </c>
      <c r="BJ188" s="4">
        <f t="shared" ref="BJ188:BJ196" si="155">H188*I188</f>
        <v>0</v>
      </c>
      <c r="BK188" s="4"/>
      <c r="BL188" s="4">
        <v>721</v>
      </c>
    </row>
    <row r="189" spans="1:64" ht="15" customHeight="1">
      <c r="A189" s="22" t="s">
        <v>160</v>
      </c>
      <c r="B189" s="9" t="s">
        <v>179</v>
      </c>
      <c r="C189" s="53" t="s">
        <v>995</v>
      </c>
      <c r="D189" s="53"/>
      <c r="E189" s="53"/>
      <c r="F189" s="53"/>
      <c r="G189" s="9" t="s">
        <v>232</v>
      </c>
      <c r="H189" s="4">
        <v>10</v>
      </c>
      <c r="I189" s="4">
        <v>0</v>
      </c>
      <c r="J189" s="4">
        <f t="shared" si="134"/>
        <v>0</v>
      </c>
      <c r="K189" s="4">
        <f t="shared" si="135"/>
        <v>0</v>
      </c>
      <c r="L189" s="4">
        <f t="shared" si="136"/>
        <v>0</v>
      </c>
      <c r="M189" s="17" t="s">
        <v>619</v>
      </c>
      <c r="Z189" s="4">
        <f t="shared" si="137"/>
        <v>0</v>
      </c>
      <c r="AB189" s="4">
        <f t="shared" si="138"/>
        <v>0</v>
      </c>
      <c r="AC189" s="4">
        <f t="shared" si="139"/>
        <v>0</v>
      </c>
      <c r="AD189" s="4">
        <f t="shared" si="140"/>
        <v>0</v>
      </c>
      <c r="AE189" s="4">
        <f t="shared" si="141"/>
        <v>0</v>
      </c>
      <c r="AF189" s="4">
        <f t="shared" si="142"/>
        <v>0</v>
      </c>
      <c r="AG189" s="4">
        <f t="shared" si="143"/>
        <v>0</v>
      </c>
      <c r="AH189" s="4">
        <f t="shared" si="144"/>
        <v>0</v>
      </c>
      <c r="AI189" s="30" t="s">
        <v>630</v>
      </c>
      <c r="AJ189" s="4">
        <f t="shared" si="145"/>
        <v>0</v>
      </c>
      <c r="AK189" s="4">
        <f t="shared" si="146"/>
        <v>0</v>
      </c>
      <c r="AL189" s="4">
        <f t="shared" si="147"/>
        <v>0</v>
      </c>
      <c r="AN189" s="4">
        <v>21</v>
      </c>
      <c r="AO189" s="4">
        <f>I189*1</f>
        <v>0</v>
      </c>
      <c r="AP189" s="4">
        <f>I189*(1-1)</f>
        <v>0</v>
      </c>
      <c r="AQ189" s="14" t="s">
        <v>907</v>
      </c>
      <c r="AV189" s="4">
        <f t="shared" si="148"/>
        <v>0</v>
      </c>
      <c r="AW189" s="4">
        <f t="shared" si="149"/>
        <v>0</v>
      </c>
      <c r="AX189" s="4">
        <f t="shared" si="150"/>
        <v>0</v>
      </c>
      <c r="AY189" s="14" t="s">
        <v>137</v>
      </c>
      <c r="AZ189" s="14" t="s">
        <v>57</v>
      </c>
      <c r="BA189" s="30" t="s">
        <v>694</v>
      </c>
      <c r="BC189" s="4">
        <f t="shared" si="151"/>
        <v>0</v>
      </c>
      <c r="BD189" s="4">
        <f t="shared" si="152"/>
        <v>0</v>
      </c>
      <c r="BE189" s="4">
        <v>0</v>
      </c>
      <c r="BF189" s="4">
        <f>189</f>
        <v>189</v>
      </c>
      <c r="BH189" s="4">
        <f t="shared" si="153"/>
        <v>0</v>
      </c>
      <c r="BI189" s="4">
        <f t="shared" si="154"/>
        <v>0</v>
      </c>
      <c r="BJ189" s="4">
        <f t="shared" si="155"/>
        <v>0</v>
      </c>
      <c r="BK189" s="4"/>
      <c r="BL189" s="4">
        <v>721</v>
      </c>
    </row>
    <row r="190" spans="1:64" ht="15" customHeight="1">
      <c r="A190" s="22" t="s">
        <v>211</v>
      </c>
      <c r="B190" s="9" t="s">
        <v>234</v>
      </c>
      <c r="C190" s="53" t="s">
        <v>467</v>
      </c>
      <c r="D190" s="53"/>
      <c r="E190" s="53"/>
      <c r="F190" s="53"/>
      <c r="G190" s="9" t="s">
        <v>232</v>
      </c>
      <c r="H190" s="4">
        <v>7</v>
      </c>
      <c r="I190" s="4">
        <v>0</v>
      </c>
      <c r="J190" s="4">
        <f t="shared" si="134"/>
        <v>0</v>
      </c>
      <c r="K190" s="4">
        <f t="shared" si="135"/>
        <v>0</v>
      </c>
      <c r="L190" s="4">
        <f t="shared" si="136"/>
        <v>0</v>
      </c>
      <c r="M190" s="17" t="s">
        <v>619</v>
      </c>
      <c r="Z190" s="4">
        <f t="shared" si="137"/>
        <v>0</v>
      </c>
      <c r="AB190" s="4">
        <f t="shared" si="138"/>
        <v>0</v>
      </c>
      <c r="AC190" s="4">
        <f t="shared" si="139"/>
        <v>0</v>
      </c>
      <c r="AD190" s="4">
        <f t="shared" si="140"/>
        <v>0</v>
      </c>
      <c r="AE190" s="4">
        <f t="shared" si="141"/>
        <v>0</v>
      </c>
      <c r="AF190" s="4">
        <f t="shared" si="142"/>
        <v>0</v>
      </c>
      <c r="AG190" s="4">
        <f t="shared" si="143"/>
        <v>0</v>
      </c>
      <c r="AH190" s="4">
        <f t="shared" si="144"/>
        <v>0</v>
      </c>
      <c r="AI190" s="30" t="s">
        <v>630</v>
      </c>
      <c r="AJ190" s="4">
        <f t="shared" si="145"/>
        <v>0</v>
      </c>
      <c r="AK190" s="4">
        <f t="shared" si="146"/>
        <v>0</v>
      </c>
      <c r="AL190" s="4">
        <f t="shared" si="147"/>
        <v>0</v>
      </c>
      <c r="AN190" s="4">
        <v>21</v>
      </c>
      <c r="AO190" s="4">
        <f>I190*1</f>
        <v>0</v>
      </c>
      <c r="AP190" s="4">
        <f>I190*(1-1)</f>
        <v>0</v>
      </c>
      <c r="AQ190" s="14" t="s">
        <v>907</v>
      </c>
      <c r="AV190" s="4">
        <f t="shared" si="148"/>
        <v>0</v>
      </c>
      <c r="AW190" s="4">
        <f t="shared" si="149"/>
        <v>0</v>
      </c>
      <c r="AX190" s="4">
        <f t="shared" si="150"/>
        <v>0</v>
      </c>
      <c r="AY190" s="14" t="s">
        <v>137</v>
      </c>
      <c r="AZ190" s="14" t="s">
        <v>57</v>
      </c>
      <c r="BA190" s="30" t="s">
        <v>694</v>
      </c>
      <c r="BC190" s="4">
        <f t="shared" si="151"/>
        <v>0</v>
      </c>
      <c r="BD190" s="4">
        <f t="shared" si="152"/>
        <v>0</v>
      </c>
      <c r="BE190" s="4">
        <v>0</v>
      </c>
      <c r="BF190" s="4">
        <f>190</f>
        <v>190</v>
      </c>
      <c r="BH190" s="4">
        <f t="shared" si="153"/>
        <v>0</v>
      </c>
      <c r="BI190" s="4">
        <f t="shared" si="154"/>
        <v>0</v>
      </c>
      <c r="BJ190" s="4">
        <f t="shared" si="155"/>
        <v>0</v>
      </c>
      <c r="BK190" s="4"/>
      <c r="BL190" s="4">
        <v>721</v>
      </c>
    </row>
    <row r="191" spans="1:64" ht="15" customHeight="1">
      <c r="A191" s="22" t="s">
        <v>100</v>
      </c>
      <c r="B191" s="9" t="s">
        <v>765</v>
      </c>
      <c r="C191" s="53" t="s">
        <v>56</v>
      </c>
      <c r="D191" s="53"/>
      <c r="E191" s="53"/>
      <c r="F191" s="53"/>
      <c r="G191" s="9" t="s">
        <v>750</v>
      </c>
      <c r="H191" s="4">
        <v>86</v>
      </c>
      <c r="I191" s="4">
        <v>0</v>
      </c>
      <c r="J191" s="4">
        <f t="shared" si="134"/>
        <v>0</v>
      </c>
      <c r="K191" s="4">
        <f t="shared" si="135"/>
        <v>0</v>
      </c>
      <c r="L191" s="4">
        <f t="shared" si="136"/>
        <v>0</v>
      </c>
      <c r="M191" s="17" t="s">
        <v>619</v>
      </c>
      <c r="Z191" s="4">
        <f t="shared" si="137"/>
        <v>0</v>
      </c>
      <c r="AB191" s="4">
        <f t="shared" si="138"/>
        <v>0</v>
      </c>
      <c r="AC191" s="4">
        <f t="shared" si="139"/>
        <v>0</v>
      </c>
      <c r="AD191" s="4">
        <f t="shared" si="140"/>
        <v>0</v>
      </c>
      <c r="AE191" s="4">
        <f t="shared" si="141"/>
        <v>0</v>
      </c>
      <c r="AF191" s="4">
        <f t="shared" si="142"/>
        <v>0</v>
      </c>
      <c r="AG191" s="4">
        <f t="shared" si="143"/>
        <v>0</v>
      </c>
      <c r="AH191" s="4">
        <f t="shared" si="144"/>
        <v>0</v>
      </c>
      <c r="AI191" s="30" t="s">
        <v>630</v>
      </c>
      <c r="AJ191" s="4">
        <f t="shared" si="145"/>
        <v>0</v>
      </c>
      <c r="AK191" s="4">
        <f t="shared" si="146"/>
        <v>0</v>
      </c>
      <c r="AL191" s="4">
        <f t="shared" si="147"/>
        <v>0</v>
      </c>
      <c r="AN191" s="4">
        <v>21</v>
      </c>
      <c r="AO191" s="4">
        <f>I191*0.0275092936802974</f>
        <v>0</v>
      </c>
      <c r="AP191" s="4">
        <f>I191*(1-0.0275092936802974)</f>
        <v>0</v>
      </c>
      <c r="AQ191" s="14" t="s">
        <v>907</v>
      </c>
      <c r="AV191" s="4">
        <f t="shared" si="148"/>
        <v>0</v>
      </c>
      <c r="AW191" s="4">
        <f t="shared" si="149"/>
        <v>0</v>
      </c>
      <c r="AX191" s="4">
        <f t="shared" si="150"/>
        <v>0</v>
      </c>
      <c r="AY191" s="14" t="s">
        <v>137</v>
      </c>
      <c r="AZ191" s="14" t="s">
        <v>57</v>
      </c>
      <c r="BA191" s="30" t="s">
        <v>694</v>
      </c>
      <c r="BC191" s="4">
        <f t="shared" si="151"/>
        <v>0</v>
      </c>
      <c r="BD191" s="4">
        <f t="shared" si="152"/>
        <v>0</v>
      </c>
      <c r="BE191" s="4">
        <v>0</v>
      </c>
      <c r="BF191" s="4">
        <f>191</f>
        <v>191</v>
      </c>
      <c r="BH191" s="4">
        <f t="shared" si="153"/>
        <v>0</v>
      </c>
      <c r="BI191" s="4">
        <f t="shared" si="154"/>
        <v>0</v>
      </c>
      <c r="BJ191" s="4">
        <f t="shared" si="155"/>
        <v>0</v>
      </c>
      <c r="BK191" s="4"/>
      <c r="BL191" s="4">
        <v>721</v>
      </c>
    </row>
    <row r="192" spans="1:64" ht="15" customHeight="1">
      <c r="A192" s="22" t="s">
        <v>128</v>
      </c>
      <c r="B192" s="9" t="s">
        <v>413</v>
      </c>
      <c r="C192" s="53" t="s">
        <v>342</v>
      </c>
      <c r="D192" s="53"/>
      <c r="E192" s="53"/>
      <c r="F192" s="53"/>
      <c r="G192" s="9" t="s">
        <v>232</v>
      </c>
      <c r="H192" s="4">
        <v>1</v>
      </c>
      <c r="I192" s="4">
        <v>0</v>
      </c>
      <c r="J192" s="4">
        <f t="shared" si="134"/>
        <v>0</v>
      </c>
      <c r="K192" s="4">
        <f t="shared" si="135"/>
        <v>0</v>
      </c>
      <c r="L192" s="4">
        <f t="shared" si="136"/>
        <v>0</v>
      </c>
      <c r="M192" s="17" t="s">
        <v>619</v>
      </c>
      <c r="Z192" s="4">
        <f t="shared" si="137"/>
        <v>0</v>
      </c>
      <c r="AB192" s="4">
        <f t="shared" si="138"/>
        <v>0</v>
      </c>
      <c r="AC192" s="4">
        <f t="shared" si="139"/>
        <v>0</v>
      </c>
      <c r="AD192" s="4">
        <f t="shared" si="140"/>
        <v>0</v>
      </c>
      <c r="AE192" s="4">
        <f t="shared" si="141"/>
        <v>0</v>
      </c>
      <c r="AF192" s="4">
        <f t="shared" si="142"/>
        <v>0</v>
      </c>
      <c r="AG192" s="4">
        <f t="shared" si="143"/>
        <v>0</v>
      </c>
      <c r="AH192" s="4">
        <f t="shared" si="144"/>
        <v>0</v>
      </c>
      <c r="AI192" s="30" t="s">
        <v>630</v>
      </c>
      <c r="AJ192" s="4">
        <f t="shared" si="145"/>
        <v>0</v>
      </c>
      <c r="AK192" s="4">
        <f t="shared" si="146"/>
        <v>0</v>
      </c>
      <c r="AL192" s="4">
        <f t="shared" si="147"/>
        <v>0</v>
      </c>
      <c r="AN192" s="4">
        <v>21</v>
      </c>
      <c r="AO192" s="4">
        <f>I192*0.816811594202899</f>
        <v>0</v>
      </c>
      <c r="AP192" s="4">
        <f>I192*(1-0.816811594202899)</f>
        <v>0</v>
      </c>
      <c r="AQ192" s="14" t="s">
        <v>907</v>
      </c>
      <c r="AV192" s="4">
        <f t="shared" si="148"/>
        <v>0</v>
      </c>
      <c r="AW192" s="4">
        <f t="shared" si="149"/>
        <v>0</v>
      </c>
      <c r="AX192" s="4">
        <f t="shared" si="150"/>
        <v>0</v>
      </c>
      <c r="AY192" s="14" t="s">
        <v>137</v>
      </c>
      <c r="AZ192" s="14" t="s">
        <v>57</v>
      </c>
      <c r="BA192" s="30" t="s">
        <v>694</v>
      </c>
      <c r="BC192" s="4">
        <f t="shared" si="151"/>
        <v>0</v>
      </c>
      <c r="BD192" s="4">
        <f t="shared" si="152"/>
        <v>0</v>
      </c>
      <c r="BE192" s="4">
        <v>0</v>
      </c>
      <c r="BF192" s="4">
        <f>192</f>
        <v>192</v>
      </c>
      <c r="BH192" s="4">
        <f t="shared" si="153"/>
        <v>0</v>
      </c>
      <c r="BI192" s="4">
        <f t="shared" si="154"/>
        <v>0</v>
      </c>
      <c r="BJ192" s="4">
        <f t="shared" si="155"/>
        <v>0</v>
      </c>
      <c r="BK192" s="4"/>
      <c r="BL192" s="4">
        <v>721</v>
      </c>
    </row>
    <row r="193" spans="1:64" ht="15" customHeight="1">
      <c r="A193" s="22" t="s">
        <v>848</v>
      </c>
      <c r="B193" s="9" t="s">
        <v>687</v>
      </c>
      <c r="C193" s="53" t="s">
        <v>691</v>
      </c>
      <c r="D193" s="53"/>
      <c r="E193" s="53"/>
      <c r="F193" s="53"/>
      <c r="G193" s="9" t="s">
        <v>232</v>
      </c>
      <c r="H193" s="4">
        <v>2</v>
      </c>
      <c r="I193" s="4">
        <v>0</v>
      </c>
      <c r="J193" s="4">
        <f t="shared" si="134"/>
        <v>0</v>
      </c>
      <c r="K193" s="4">
        <f t="shared" si="135"/>
        <v>0</v>
      </c>
      <c r="L193" s="4">
        <f t="shared" si="136"/>
        <v>0</v>
      </c>
      <c r="M193" s="17" t="s">
        <v>619</v>
      </c>
      <c r="Z193" s="4">
        <f t="shared" si="137"/>
        <v>0</v>
      </c>
      <c r="AB193" s="4">
        <f t="shared" si="138"/>
        <v>0</v>
      </c>
      <c r="AC193" s="4">
        <f t="shared" si="139"/>
        <v>0</v>
      </c>
      <c r="AD193" s="4">
        <f t="shared" si="140"/>
        <v>0</v>
      </c>
      <c r="AE193" s="4">
        <f t="shared" si="141"/>
        <v>0</v>
      </c>
      <c r="AF193" s="4">
        <f t="shared" si="142"/>
        <v>0</v>
      </c>
      <c r="AG193" s="4">
        <f t="shared" si="143"/>
        <v>0</v>
      </c>
      <c r="AH193" s="4">
        <f t="shared" si="144"/>
        <v>0</v>
      </c>
      <c r="AI193" s="30" t="s">
        <v>630</v>
      </c>
      <c r="AJ193" s="4">
        <f t="shared" si="145"/>
        <v>0</v>
      </c>
      <c r="AK193" s="4">
        <f t="shared" si="146"/>
        <v>0</v>
      </c>
      <c r="AL193" s="4">
        <f t="shared" si="147"/>
        <v>0</v>
      </c>
      <c r="AN193" s="4">
        <v>21</v>
      </c>
      <c r="AO193" s="4">
        <f>I193*0.817846153846154</f>
        <v>0</v>
      </c>
      <c r="AP193" s="4">
        <f>I193*(1-0.817846153846154)</f>
        <v>0</v>
      </c>
      <c r="AQ193" s="14" t="s">
        <v>907</v>
      </c>
      <c r="AV193" s="4">
        <f t="shared" si="148"/>
        <v>0</v>
      </c>
      <c r="AW193" s="4">
        <f t="shared" si="149"/>
        <v>0</v>
      </c>
      <c r="AX193" s="4">
        <f t="shared" si="150"/>
        <v>0</v>
      </c>
      <c r="AY193" s="14" t="s">
        <v>137</v>
      </c>
      <c r="AZ193" s="14" t="s">
        <v>57</v>
      </c>
      <c r="BA193" s="30" t="s">
        <v>694</v>
      </c>
      <c r="BC193" s="4">
        <f t="shared" si="151"/>
        <v>0</v>
      </c>
      <c r="BD193" s="4">
        <f t="shared" si="152"/>
        <v>0</v>
      </c>
      <c r="BE193" s="4">
        <v>0</v>
      </c>
      <c r="BF193" s="4">
        <f>193</f>
        <v>193</v>
      </c>
      <c r="BH193" s="4">
        <f t="shared" si="153"/>
        <v>0</v>
      </c>
      <c r="BI193" s="4">
        <f t="shared" si="154"/>
        <v>0</v>
      </c>
      <c r="BJ193" s="4">
        <f t="shared" si="155"/>
        <v>0</v>
      </c>
      <c r="BK193" s="4"/>
      <c r="BL193" s="4">
        <v>721</v>
      </c>
    </row>
    <row r="194" spans="1:64" ht="15" customHeight="1">
      <c r="A194" s="22" t="s">
        <v>664</v>
      </c>
      <c r="B194" s="9" t="s">
        <v>769</v>
      </c>
      <c r="C194" s="53" t="s">
        <v>214</v>
      </c>
      <c r="D194" s="53"/>
      <c r="E194" s="53"/>
      <c r="F194" s="53"/>
      <c r="G194" s="9" t="s">
        <v>750</v>
      </c>
      <c r="H194" s="4">
        <v>2</v>
      </c>
      <c r="I194" s="4">
        <v>0</v>
      </c>
      <c r="J194" s="4">
        <f t="shared" si="134"/>
        <v>0</v>
      </c>
      <c r="K194" s="4">
        <f t="shared" si="135"/>
        <v>0</v>
      </c>
      <c r="L194" s="4">
        <f t="shared" si="136"/>
        <v>0</v>
      </c>
      <c r="M194" s="17" t="s">
        <v>619</v>
      </c>
      <c r="Z194" s="4">
        <f t="shared" si="137"/>
        <v>0</v>
      </c>
      <c r="AB194" s="4">
        <f t="shared" si="138"/>
        <v>0</v>
      </c>
      <c r="AC194" s="4">
        <f t="shared" si="139"/>
        <v>0</v>
      </c>
      <c r="AD194" s="4">
        <f t="shared" si="140"/>
        <v>0</v>
      </c>
      <c r="AE194" s="4">
        <f t="shared" si="141"/>
        <v>0</v>
      </c>
      <c r="AF194" s="4">
        <f t="shared" si="142"/>
        <v>0</v>
      </c>
      <c r="AG194" s="4">
        <f t="shared" si="143"/>
        <v>0</v>
      </c>
      <c r="AH194" s="4">
        <f t="shared" si="144"/>
        <v>0</v>
      </c>
      <c r="AI194" s="30" t="s">
        <v>630</v>
      </c>
      <c r="AJ194" s="4">
        <f t="shared" si="145"/>
        <v>0</v>
      </c>
      <c r="AK194" s="4">
        <f t="shared" si="146"/>
        <v>0</v>
      </c>
      <c r="AL194" s="4">
        <f t="shared" si="147"/>
        <v>0</v>
      </c>
      <c r="AN194" s="4">
        <v>21</v>
      </c>
      <c r="AO194" s="4">
        <f>I194*0.465782983970407</f>
        <v>0</v>
      </c>
      <c r="AP194" s="4">
        <f>I194*(1-0.465782983970407)</f>
        <v>0</v>
      </c>
      <c r="AQ194" s="14" t="s">
        <v>907</v>
      </c>
      <c r="AV194" s="4">
        <f t="shared" si="148"/>
        <v>0</v>
      </c>
      <c r="AW194" s="4">
        <f t="shared" si="149"/>
        <v>0</v>
      </c>
      <c r="AX194" s="4">
        <f t="shared" si="150"/>
        <v>0</v>
      </c>
      <c r="AY194" s="14" t="s">
        <v>137</v>
      </c>
      <c r="AZ194" s="14" t="s">
        <v>57</v>
      </c>
      <c r="BA194" s="30" t="s">
        <v>694</v>
      </c>
      <c r="BC194" s="4">
        <f t="shared" si="151"/>
        <v>0</v>
      </c>
      <c r="BD194" s="4">
        <f t="shared" si="152"/>
        <v>0</v>
      </c>
      <c r="BE194" s="4">
        <v>0</v>
      </c>
      <c r="BF194" s="4">
        <f>194</f>
        <v>194</v>
      </c>
      <c r="BH194" s="4">
        <f t="shared" si="153"/>
        <v>0</v>
      </c>
      <c r="BI194" s="4">
        <f t="shared" si="154"/>
        <v>0</v>
      </c>
      <c r="BJ194" s="4">
        <f t="shared" si="155"/>
        <v>0</v>
      </c>
      <c r="BK194" s="4"/>
      <c r="BL194" s="4">
        <v>721</v>
      </c>
    </row>
    <row r="195" spans="1:64" ht="15" customHeight="1">
      <c r="A195" s="22" t="s">
        <v>447</v>
      </c>
      <c r="B195" s="9" t="s">
        <v>498</v>
      </c>
      <c r="C195" s="53" t="s">
        <v>46</v>
      </c>
      <c r="D195" s="53"/>
      <c r="E195" s="53"/>
      <c r="F195" s="53"/>
      <c r="G195" s="9" t="s">
        <v>592</v>
      </c>
      <c r="H195" s="4">
        <v>3</v>
      </c>
      <c r="I195" s="4">
        <v>0</v>
      </c>
      <c r="J195" s="4">
        <f t="shared" si="134"/>
        <v>0</v>
      </c>
      <c r="K195" s="4">
        <f t="shared" si="135"/>
        <v>0</v>
      </c>
      <c r="L195" s="4">
        <f t="shared" si="136"/>
        <v>0</v>
      </c>
      <c r="M195" s="17" t="s">
        <v>630</v>
      </c>
      <c r="Z195" s="4">
        <f t="shared" si="137"/>
        <v>0</v>
      </c>
      <c r="AB195" s="4">
        <f t="shared" si="138"/>
        <v>0</v>
      </c>
      <c r="AC195" s="4">
        <f t="shared" si="139"/>
        <v>0</v>
      </c>
      <c r="AD195" s="4">
        <f t="shared" si="140"/>
        <v>0</v>
      </c>
      <c r="AE195" s="4">
        <f t="shared" si="141"/>
        <v>0</v>
      </c>
      <c r="AF195" s="4">
        <f t="shared" si="142"/>
        <v>0</v>
      </c>
      <c r="AG195" s="4">
        <f t="shared" si="143"/>
        <v>0</v>
      </c>
      <c r="AH195" s="4">
        <f t="shared" si="144"/>
        <v>0</v>
      </c>
      <c r="AI195" s="30" t="s">
        <v>630</v>
      </c>
      <c r="AJ195" s="4">
        <f t="shared" si="145"/>
        <v>0</v>
      </c>
      <c r="AK195" s="4">
        <f t="shared" si="146"/>
        <v>0</v>
      </c>
      <c r="AL195" s="4">
        <f t="shared" si="147"/>
        <v>0</v>
      </c>
      <c r="AN195" s="4">
        <v>21</v>
      </c>
      <c r="AO195" s="4">
        <f>I195*0.8</f>
        <v>0</v>
      </c>
      <c r="AP195" s="4">
        <f>I195*(1-0.8)</f>
        <v>0</v>
      </c>
      <c r="AQ195" s="14" t="s">
        <v>907</v>
      </c>
      <c r="AV195" s="4">
        <f t="shared" si="148"/>
        <v>0</v>
      </c>
      <c r="AW195" s="4">
        <f t="shared" si="149"/>
        <v>0</v>
      </c>
      <c r="AX195" s="4">
        <f t="shared" si="150"/>
        <v>0</v>
      </c>
      <c r="AY195" s="14" t="s">
        <v>137</v>
      </c>
      <c r="AZ195" s="14" t="s">
        <v>57</v>
      </c>
      <c r="BA195" s="30" t="s">
        <v>694</v>
      </c>
      <c r="BC195" s="4">
        <f t="shared" si="151"/>
        <v>0</v>
      </c>
      <c r="BD195" s="4">
        <f t="shared" si="152"/>
        <v>0</v>
      </c>
      <c r="BE195" s="4">
        <v>0</v>
      </c>
      <c r="BF195" s="4">
        <f>195</f>
        <v>195</v>
      </c>
      <c r="BH195" s="4">
        <f t="shared" si="153"/>
        <v>0</v>
      </c>
      <c r="BI195" s="4">
        <f t="shared" si="154"/>
        <v>0</v>
      </c>
      <c r="BJ195" s="4">
        <f t="shared" si="155"/>
        <v>0</v>
      </c>
      <c r="BK195" s="4"/>
      <c r="BL195" s="4">
        <v>721</v>
      </c>
    </row>
    <row r="196" spans="1:64" ht="15" customHeight="1">
      <c r="A196" s="22" t="s">
        <v>663</v>
      </c>
      <c r="B196" s="9" t="s">
        <v>21</v>
      </c>
      <c r="C196" s="53" t="s">
        <v>93</v>
      </c>
      <c r="D196" s="53"/>
      <c r="E196" s="53"/>
      <c r="F196" s="53"/>
      <c r="G196" s="9" t="s">
        <v>429</v>
      </c>
      <c r="H196" s="4">
        <v>0.11600000000000001</v>
      </c>
      <c r="I196" s="4">
        <v>0</v>
      </c>
      <c r="J196" s="4">
        <f t="shared" si="134"/>
        <v>0</v>
      </c>
      <c r="K196" s="4">
        <f t="shared" si="135"/>
        <v>0</v>
      </c>
      <c r="L196" s="4">
        <f t="shared" si="136"/>
        <v>0</v>
      </c>
      <c r="M196" s="17" t="s">
        <v>619</v>
      </c>
      <c r="Z196" s="4">
        <f t="shared" si="137"/>
        <v>0</v>
      </c>
      <c r="AB196" s="4">
        <f t="shared" si="138"/>
        <v>0</v>
      </c>
      <c r="AC196" s="4">
        <f t="shared" si="139"/>
        <v>0</v>
      </c>
      <c r="AD196" s="4">
        <f t="shared" si="140"/>
        <v>0</v>
      </c>
      <c r="AE196" s="4">
        <f t="shared" si="141"/>
        <v>0</v>
      </c>
      <c r="AF196" s="4">
        <f t="shared" si="142"/>
        <v>0</v>
      </c>
      <c r="AG196" s="4">
        <f t="shared" si="143"/>
        <v>0</v>
      </c>
      <c r="AH196" s="4">
        <f t="shared" si="144"/>
        <v>0</v>
      </c>
      <c r="AI196" s="30" t="s">
        <v>630</v>
      </c>
      <c r="AJ196" s="4">
        <f t="shared" si="145"/>
        <v>0</v>
      </c>
      <c r="AK196" s="4">
        <f t="shared" si="146"/>
        <v>0</v>
      </c>
      <c r="AL196" s="4">
        <f t="shared" si="147"/>
        <v>0</v>
      </c>
      <c r="AN196" s="4">
        <v>21</v>
      </c>
      <c r="AO196" s="4">
        <f>I196*0</f>
        <v>0</v>
      </c>
      <c r="AP196" s="4">
        <f>I196*(1-0)</f>
        <v>0</v>
      </c>
      <c r="AQ196" s="14" t="s">
        <v>488</v>
      </c>
      <c r="AV196" s="4">
        <f t="shared" si="148"/>
        <v>0</v>
      </c>
      <c r="AW196" s="4">
        <f t="shared" si="149"/>
        <v>0</v>
      </c>
      <c r="AX196" s="4">
        <f t="shared" si="150"/>
        <v>0</v>
      </c>
      <c r="AY196" s="14" t="s">
        <v>137</v>
      </c>
      <c r="AZ196" s="14" t="s">
        <v>57</v>
      </c>
      <c r="BA196" s="30" t="s">
        <v>694</v>
      </c>
      <c r="BC196" s="4">
        <f t="shared" si="151"/>
        <v>0</v>
      </c>
      <c r="BD196" s="4">
        <f t="shared" si="152"/>
        <v>0</v>
      </c>
      <c r="BE196" s="4">
        <v>0</v>
      </c>
      <c r="BF196" s="4">
        <f>196</f>
        <v>196</v>
      </c>
      <c r="BH196" s="4">
        <f t="shared" si="153"/>
        <v>0</v>
      </c>
      <c r="BI196" s="4">
        <f t="shared" si="154"/>
        <v>0</v>
      </c>
      <c r="BJ196" s="4">
        <f t="shared" si="155"/>
        <v>0</v>
      </c>
      <c r="BK196" s="4"/>
      <c r="BL196" s="4">
        <v>721</v>
      </c>
    </row>
    <row r="197" spans="1:64" ht="15" customHeight="1">
      <c r="A197" s="12" t="s">
        <v>630</v>
      </c>
      <c r="B197" s="32" t="s">
        <v>815</v>
      </c>
      <c r="C197" s="61" t="s">
        <v>564</v>
      </c>
      <c r="D197" s="61"/>
      <c r="E197" s="61"/>
      <c r="F197" s="61"/>
      <c r="G197" s="45" t="s">
        <v>839</v>
      </c>
      <c r="H197" s="45" t="s">
        <v>839</v>
      </c>
      <c r="I197" s="45" t="s">
        <v>839</v>
      </c>
      <c r="J197" s="49">
        <f>SUM(J198:J237)</f>
        <v>0</v>
      </c>
      <c r="K197" s="49">
        <f>SUM(K198:K237)</f>
        <v>0</v>
      </c>
      <c r="L197" s="49">
        <f>SUM(L198:L237)</f>
        <v>0</v>
      </c>
      <c r="M197" s="29" t="s">
        <v>630</v>
      </c>
      <c r="AI197" s="30" t="s">
        <v>630</v>
      </c>
      <c r="AS197" s="49">
        <f>SUM(AJ198:AJ237)</f>
        <v>0</v>
      </c>
      <c r="AT197" s="49">
        <f>SUM(AK198:AK237)</f>
        <v>0</v>
      </c>
      <c r="AU197" s="49">
        <f>SUM(AL198:AL237)</f>
        <v>0</v>
      </c>
    </row>
    <row r="198" spans="1:64" ht="15" customHeight="1">
      <c r="A198" s="22" t="s">
        <v>302</v>
      </c>
      <c r="B198" s="9" t="s">
        <v>182</v>
      </c>
      <c r="C198" s="53" t="s">
        <v>337</v>
      </c>
      <c r="D198" s="53"/>
      <c r="E198" s="53"/>
      <c r="F198" s="53"/>
      <c r="G198" s="9" t="s">
        <v>750</v>
      </c>
      <c r="H198" s="4">
        <v>65</v>
      </c>
      <c r="I198" s="4">
        <v>0</v>
      </c>
      <c r="J198" s="4">
        <f>H198*AO198</f>
        <v>0</v>
      </c>
      <c r="K198" s="4">
        <f>H198*AP198</f>
        <v>0</v>
      </c>
      <c r="L198" s="4">
        <f>H198*I198</f>
        <v>0</v>
      </c>
      <c r="M198" s="17" t="s">
        <v>619</v>
      </c>
      <c r="Z198" s="4">
        <f>IF(AQ198="5",BJ198,0)</f>
        <v>0</v>
      </c>
      <c r="AB198" s="4">
        <f>IF(AQ198="1",BH198,0)</f>
        <v>0</v>
      </c>
      <c r="AC198" s="4">
        <f>IF(AQ198="1",BI198,0)</f>
        <v>0</v>
      </c>
      <c r="AD198" s="4">
        <f>IF(AQ198="7",BH198,0)</f>
        <v>0</v>
      </c>
      <c r="AE198" s="4">
        <f>IF(AQ198="7",BI198,0)</f>
        <v>0</v>
      </c>
      <c r="AF198" s="4">
        <f>IF(AQ198="2",BH198,0)</f>
        <v>0</v>
      </c>
      <c r="AG198" s="4">
        <f>IF(AQ198="2",BI198,0)</f>
        <v>0</v>
      </c>
      <c r="AH198" s="4">
        <f>IF(AQ198="0",BJ198,0)</f>
        <v>0</v>
      </c>
      <c r="AI198" s="30" t="s">
        <v>630</v>
      </c>
      <c r="AJ198" s="4">
        <f>IF(AN198=0,L198,0)</f>
        <v>0</v>
      </c>
      <c r="AK198" s="4">
        <f>IF(AN198=15,L198,0)</f>
        <v>0</v>
      </c>
      <c r="AL198" s="4">
        <f>IF(AN198=21,L198,0)</f>
        <v>0</v>
      </c>
      <c r="AN198" s="4">
        <v>21</v>
      </c>
      <c r="AO198" s="4">
        <f>I198*0.18894472361809</f>
        <v>0</v>
      </c>
      <c r="AP198" s="4">
        <f>I198*(1-0.18894472361809)</f>
        <v>0</v>
      </c>
      <c r="AQ198" s="14" t="s">
        <v>907</v>
      </c>
      <c r="AV198" s="4">
        <f>AW198+AX198</f>
        <v>0</v>
      </c>
      <c r="AW198" s="4">
        <f>H198*AO198</f>
        <v>0</v>
      </c>
      <c r="AX198" s="4">
        <f>H198*AP198</f>
        <v>0</v>
      </c>
      <c r="AY198" s="14" t="s">
        <v>580</v>
      </c>
      <c r="AZ198" s="14" t="s">
        <v>57</v>
      </c>
      <c r="BA198" s="30" t="s">
        <v>694</v>
      </c>
      <c r="BC198" s="4">
        <f>AW198+AX198</f>
        <v>0</v>
      </c>
      <c r="BD198" s="4">
        <f>I198/(100-BE198)*100</f>
        <v>0</v>
      </c>
      <c r="BE198" s="4">
        <v>0</v>
      </c>
      <c r="BF198" s="4">
        <f>198</f>
        <v>198</v>
      </c>
      <c r="BH198" s="4">
        <f>H198*AO198</f>
        <v>0</v>
      </c>
      <c r="BI198" s="4">
        <f>H198*AP198</f>
        <v>0</v>
      </c>
      <c r="BJ198" s="4">
        <f>H198*I198</f>
        <v>0</v>
      </c>
      <c r="BK198" s="4"/>
      <c r="BL198" s="4">
        <v>722</v>
      </c>
    </row>
    <row r="199" spans="1:64" ht="13.5" customHeight="1">
      <c r="A199" s="13"/>
      <c r="B199" s="18" t="s">
        <v>473</v>
      </c>
      <c r="C199" s="54" t="s">
        <v>107</v>
      </c>
      <c r="D199" s="55"/>
      <c r="E199" s="55"/>
      <c r="F199" s="55"/>
      <c r="G199" s="55"/>
      <c r="H199" s="55"/>
      <c r="I199" s="55"/>
      <c r="J199" s="55"/>
      <c r="K199" s="55"/>
      <c r="L199" s="55"/>
      <c r="M199" s="56"/>
    </row>
    <row r="200" spans="1:64" ht="15" customHeight="1">
      <c r="A200" s="22" t="s">
        <v>423</v>
      </c>
      <c r="B200" s="9" t="s">
        <v>351</v>
      </c>
      <c r="C200" s="53" t="s">
        <v>293</v>
      </c>
      <c r="D200" s="53"/>
      <c r="E200" s="53"/>
      <c r="F200" s="53"/>
      <c r="G200" s="9" t="s">
        <v>750</v>
      </c>
      <c r="H200" s="4">
        <v>125</v>
      </c>
      <c r="I200" s="4">
        <v>0</v>
      </c>
      <c r="J200" s="4">
        <f>H200*AO200</f>
        <v>0</v>
      </c>
      <c r="K200" s="4">
        <f>H200*AP200</f>
        <v>0</v>
      </c>
      <c r="L200" s="4">
        <f>H200*I200</f>
        <v>0</v>
      </c>
      <c r="M200" s="17" t="s">
        <v>619</v>
      </c>
      <c r="Z200" s="4">
        <f>IF(AQ200="5",BJ200,0)</f>
        <v>0</v>
      </c>
      <c r="AB200" s="4">
        <f>IF(AQ200="1",BH200,0)</f>
        <v>0</v>
      </c>
      <c r="AC200" s="4">
        <f>IF(AQ200="1",BI200,0)</f>
        <v>0</v>
      </c>
      <c r="AD200" s="4">
        <f>IF(AQ200="7",BH200,0)</f>
        <v>0</v>
      </c>
      <c r="AE200" s="4">
        <f>IF(AQ200="7",BI200,0)</f>
        <v>0</v>
      </c>
      <c r="AF200" s="4">
        <f>IF(AQ200="2",BH200,0)</f>
        <v>0</v>
      </c>
      <c r="AG200" s="4">
        <f>IF(AQ200="2",BI200,0)</f>
        <v>0</v>
      </c>
      <c r="AH200" s="4">
        <f>IF(AQ200="0",BJ200,0)</f>
        <v>0</v>
      </c>
      <c r="AI200" s="30" t="s">
        <v>630</v>
      </c>
      <c r="AJ200" s="4">
        <f>IF(AN200=0,L200,0)</f>
        <v>0</v>
      </c>
      <c r="AK200" s="4">
        <f>IF(AN200=15,L200,0)</f>
        <v>0</v>
      </c>
      <c r="AL200" s="4">
        <f>IF(AN200=21,L200,0)</f>
        <v>0</v>
      </c>
      <c r="AN200" s="4">
        <v>21</v>
      </c>
      <c r="AO200" s="4">
        <f>I200*0.322082018927445</f>
        <v>0</v>
      </c>
      <c r="AP200" s="4">
        <f>I200*(1-0.322082018927445)</f>
        <v>0</v>
      </c>
      <c r="AQ200" s="14" t="s">
        <v>907</v>
      </c>
      <c r="AV200" s="4">
        <f>AW200+AX200</f>
        <v>0</v>
      </c>
      <c r="AW200" s="4">
        <f>H200*AO200</f>
        <v>0</v>
      </c>
      <c r="AX200" s="4">
        <f>H200*AP200</f>
        <v>0</v>
      </c>
      <c r="AY200" s="14" t="s">
        <v>580</v>
      </c>
      <c r="AZ200" s="14" t="s">
        <v>57</v>
      </c>
      <c r="BA200" s="30" t="s">
        <v>694</v>
      </c>
      <c r="BC200" s="4">
        <f>AW200+AX200</f>
        <v>0</v>
      </c>
      <c r="BD200" s="4">
        <f>I200/(100-BE200)*100</f>
        <v>0</v>
      </c>
      <c r="BE200" s="4">
        <v>0</v>
      </c>
      <c r="BF200" s="4">
        <f>200</f>
        <v>200</v>
      </c>
      <c r="BH200" s="4">
        <f>H200*AO200</f>
        <v>0</v>
      </c>
      <c r="BI200" s="4">
        <f>H200*AP200</f>
        <v>0</v>
      </c>
      <c r="BJ200" s="4">
        <f>H200*I200</f>
        <v>0</v>
      </c>
      <c r="BK200" s="4"/>
      <c r="BL200" s="4">
        <v>722</v>
      </c>
    </row>
    <row r="201" spans="1:64" ht="13.5" customHeight="1">
      <c r="A201" s="13"/>
      <c r="B201" s="18" t="s">
        <v>473</v>
      </c>
      <c r="C201" s="54" t="s">
        <v>265</v>
      </c>
      <c r="D201" s="55"/>
      <c r="E201" s="55"/>
      <c r="F201" s="55"/>
      <c r="G201" s="55"/>
      <c r="H201" s="55"/>
      <c r="I201" s="55"/>
      <c r="J201" s="55"/>
      <c r="K201" s="55"/>
      <c r="L201" s="55"/>
      <c r="M201" s="56"/>
    </row>
    <row r="202" spans="1:64" ht="15" customHeight="1">
      <c r="A202" s="22" t="s">
        <v>266</v>
      </c>
      <c r="B202" s="9" t="s">
        <v>514</v>
      </c>
      <c r="C202" s="53" t="s">
        <v>293</v>
      </c>
      <c r="D202" s="53"/>
      <c r="E202" s="53"/>
      <c r="F202" s="53"/>
      <c r="G202" s="9" t="s">
        <v>750</v>
      </c>
      <c r="H202" s="4">
        <v>45</v>
      </c>
      <c r="I202" s="4">
        <v>0</v>
      </c>
      <c r="J202" s="4">
        <f>H202*AO202</f>
        <v>0</v>
      </c>
      <c r="K202" s="4">
        <f>H202*AP202</f>
        <v>0</v>
      </c>
      <c r="L202" s="4">
        <f>H202*I202</f>
        <v>0</v>
      </c>
      <c r="M202" s="17" t="s">
        <v>619</v>
      </c>
      <c r="Z202" s="4">
        <f>IF(AQ202="5",BJ202,0)</f>
        <v>0</v>
      </c>
      <c r="AB202" s="4">
        <f>IF(AQ202="1",BH202,0)</f>
        <v>0</v>
      </c>
      <c r="AC202" s="4">
        <f>IF(AQ202="1",BI202,0)</f>
        <v>0</v>
      </c>
      <c r="AD202" s="4">
        <f>IF(AQ202="7",BH202,0)</f>
        <v>0</v>
      </c>
      <c r="AE202" s="4">
        <f>IF(AQ202="7",BI202,0)</f>
        <v>0</v>
      </c>
      <c r="AF202" s="4">
        <f>IF(AQ202="2",BH202,0)</f>
        <v>0</v>
      </c>
      <c r="AG202" s="4">
        <f>IF(AQ202="2",BI202,0)</f>
        <v>0</v>
      </c>
      <c r="AH202" s="4">
        <f>IF(AQ202="0",BJ202,0)</f>
        <v>0</v>
      </c>
      <c r="AI202" s="30" t="s">
        <v>630</v>
      </c>
      <c r="AJ202" s="4">
        <f>IF(AN202=0,L202,0)</f>
        <v>0</v>
      </c>
      <c r="AK202" s="4">
        <f>IF(AN202=15,L202,0)</f>
        <v>0</v>
      </c>
      <c r="AL202" s="4">
        <f>IF(AN202=21,L202,0)</f>
        <v>0</v>
      </c>
      <c r="AN202" s="4">
        <v>21</v>
      </c>
      <c r="AO202" s="4">
        <f>I202*0.386425992779783</f>
        <v>0</v>
      </c>
      <c r="AP202" s="4">
        <f>I202*(1-0.386425992779783)</f>
        <v>0</v>
      </c>
      <c r="AQ202" s="14" t="s">
        <v>907</v>
      </c>
      <c r="AV202" s="4">
        <f>AW202+AX202</f>
        <v>0</v>
      </c>
      <c r="AW202" s="4">
        <f>H202*AO202</f>
        <v>0</v>
      </c>
      <c r="AX202" s="4">
        <f>H202*AP202</f>
        <v>0</v>
      </c>
      <c r="AY202" s="14" t="s">
        <v>580</v>
      </c>
      <c r="AZ202" s="14" t="s">
        <v>57</v>
      </c>
      <c r="BA202" s="30" t="s">
        <v>694</v>
      </c>
      <c r="BC202" s="4">
        <f>AW202+AX202</f>
        <v>0</v>
      </c>
      <c r="BD202" s="4">
        <f>I202/(100-BE202)*100</f>
        <v>0</v>
      </c>
      <c r="BE202" s="4">
        <v>0</v>
      </c>
      <c r="BF202" s="4">
        <f>202</f>
        <v>202</v>
      </c>
      <c r="BH202" s="4">
        <f>H202*AO202</f>
        <v>0</v>
      </c>
      <c r="BI202" s="4">
        <f>H202*AP202</f>
        <v>0</v>
      </c>
      <c r="BJ202" s="4">
        <f>H202*I202</f>
        <v>0</v>
      </c>
      <c r="BK202" s="4"/>
      <c r="BL202" s="4">
        <v>722</v>
      </c>
    </row>
    <row r="203" spans="1:64" ht="13.5" customHeight="1">
      <c r="A203" s="13"/>
      <c r="B203" s="18" t="s">
        <v>473</v>
      </c>
      <c r="C203" s="54" t="s">
        <v>317</v>
      </c>
      <c r="D203" s="55"/>
      <c r="E203" s="55"/>
      <c r="F203" s="55"/>
      <c r="G203" s="55"/>
      <c r="H203" s="55"/>
      <c r="I203" s="55"/>
      <c r="J203" s="55"/>
      <c r="K203" s="55"/>
      <c r="L203" s="55"/>
      <c r="M203" s="56"/>
    </row>
    <row r="204" spans="1:64" ht="15" customHeight="1">
      <c r="A204" s="22" t="s">
        <v>246</v>
      </c>
      <c r="B204" s="9" t="s">
        <v>190</v>
      </c>
      <c r="C204" s="53" t="s">
        <v>937</v>
      </c>
      <c r="D204" s="53"/>
      <c r="E204" s="53"/>
      <c r="F204" s="53"/>
      <c r="G204" s="9" t="s">
        <v>750</v>
      </c>
      <c r="H204" s="4">
        <v>65</v>
      </c>
      <c r="I204" s="4">
        <v>0</v>
      </c>
      <c r="J204" s="4">
        <f t="shared" ref="J204:J237" si="156">H204*AO204</f>
        <v>0</v>
      </c>
      <c r="K204" s="4">
        <f t="shared" ref="K204:K237" si="157">H204*AP204</f>
        <v>0</v>
      </c>
      <c r="L204" s="4">
        <f t="shared" ref="L204:L237" si="158">H204*I204</f>
        <v>0</v>
      </c>
      <c r="M204" s="17" t="s">
        <v>619</v>
      </c>
      <c r="Z204" s="4">
        <f t="shared" ref="Z204:Z237" si="159">IF(AQ204="5",BJ204,0)</f>
        <v>0</v>
      </c>
      <c r="AB204" s="4">
        <f t="shared" ref="AB204:AB237" si="160">IF(AQ204="1",BH204,0)</f>
        <v>0</v>
      </c>
      <c r="AC204" s="4">
        <f t="shared" ref="AC204:AC237" si="161">IF(AQ204="1",BI204,0)</f>
        <v>0</v>
      </c>
      <c r="AD204" s="4">
        <f t="shared" ref="AD204:AD237" si="162">IF(AQ204="7",BH204,0)</f>
        <v>0</v>
      </c>
      <c r="AE204" s="4">
        <f t="shared" ref="AE204:AE237" si="163">IF(AQ204="7",BI204,0)</f>
        <v>0</v>
      </c>
      <c r="AF204" s="4">
        <f t="shared" ref="AF204:AF237" si="164">IF(AQ204="2",BH204,0)</f>
        <v>0</v>
      </c>
      <c r="AG204" s="4">
        <f t="shared" ref="AG204:AG237" si="165">IF(AQ204="2",BI204,0)</f>
        <v>0</v>
      </c>
      <c r="AH204" s="4">
        <f t="shared" ref="AH204:AH237" si="166">IF(AQ204="0",BJ204,0)</f>
        <v>0</v>
      </c>
      <c r="AI204" s="30" t="s">
        <v>630</v>
      </c>
      <c r="AJ204" s="4">
        <f t="shared" ref="AJ204:AJ237" si="167">IF(AN204=0,L204,0)</f>
        <v>0</v>
      </c>
      <c r="AK204" s="4">
        <f t="shared" ref="AK204:AK237" si="168">IF(AN204=15,L204,0)</f>
        <v>0</v>
      </c>
      <c r="AL204" s="4">
        <f t="shared" ref="AL204:AL237" si="169">IF(AN204=21,L204,0)</f>
        <v>0</v>
      </c>
      <c r="AN204" s="4">
        <v>21</v>
      </c>
      <c r="AO204" s="4">
        <f>I204*0.0904921700223714</f>
        <v>0</v>
      </c>
      <c r="AP204" s="4">
        <f>I204*(1-0.0904921700223714)</f>
        <v>0</v>
      </c>
      <c r="AQ204" s="14" t="s">
        <v>907</v>
      </c>
      <c r="AV204" s="4">
        <f t="shared" ref="AV204:AV237" si="170">AW204+AX204</f>
        <v>0</v>
      </c>
      <c r="AW204" s="4">
        <f t="shared" ref="AW204:AW237" si="171">H204*AO204</f>
        <v>0</v>
      </c>
      <c r="AX204" s="4">
        <f t="shared" ref="AX204:AX237" si="172">H204*AP204</f>
        <v>0</v>
      </c>
      <c r="AY204" s="14" t="s">
        <v>580</v>
      </c>
      <c r="AZ204" s="14" t="s">
        <v>57</v>
      </c>
      <c r="BA204" s="30" t="s">
        <v>694</v>
      </c>
      <c r="BC204" s="4">
        <f t="shared" ref="BC204:BC237" si="173">AW204+AX204</f>
        <v>0</v>
      </c>
      <c r="BD204" s="4">
        <f t="shared" ref="BD204:BD237" si="174">I204/(100-BE204)*100</f>
        <v>0</v>
      </c>
      <c r="BE204" s="4">
        <v>0</v>
      </c>
      <c r="BF204" s="4">
        <f>204</f>
        <v>204</v>
      </c>
      <c r="BH204" s="4">
        <f t="shared" ref="BH204:BH237" si="175">H204*AO204</f>
        <v>0</v>
      </c>
      <c r="BI204" s="4">
        <f t="shared" ref="BI204:BI237" si="176">H204*AP204</f>
        <v>0</v>
      </c>
      <c r="BJ204" s="4">
        <f t="shared" ref="BJ204:BJ237" si="177">H204*I204</f>
        <v>0</v>
      </c>
      <c r="BK204" s="4"/>
      <c r="BL204" s="4">
        <v>722</v>
      </c>
    </row>
    <row r="205" spans="1:64" ht="15" customHeight="1">
      <c r="A205" s="22" t="s">
        <v>923</v>
      </c>
      <c r="B205" s="9" t="s">
        <v>1010</v>
      </c>
      <c r="C205" s="53" t="s">
        <v>835</v>
      </c>
      <c r="D205" s="53"/>
      <c r="E205" s="53"/>
      <c r="F205" s="53"/>
      <c r="G205" s="9" t="s">
        <v>750</v>
      </c>
      <c r="H205" s="4">
        <v>66.95</v>
      </c>
      <c r="I205" s="4">
        <v>0</v>
      </c>
      <c r="J205" s="4">
        <f t="shared" si="156"/>
        <v>0</v>
      </c>
      <c r="K205" s="4">
        <f t="shared" si="157"/>
        <v>0</v>
      </c>
      <c r="L205" s="4">
        <f t="shared" si="158"/>
        <v>0</v>
      </c>
      <c r="M205" s="17" t="s">
        <v>619</v>
      </c>
      <c r="Z205" s="4">
        <f t="shared" si="159"/>
        <v>0</v>
      </c>
      <c r="AB205" s="4">
        <f t="shared" si="160"/>
        <v>0</v>
      </c>
      <c r="AC205" s="4">
        <f t="shared" si="161"/>
        <v>0</v>
      </c>
      <c r="AD205" s="4">
        <f t="shared" si="162"/>
        <v>0</v>
      </c>
      <c r="AE205" s="4">
        <f t="shared" si="163"/>
        <v>0</v>
      </c>
      <c r="AF205" s="4">
        <f t="shared" si="164"/>
        <v>0</v>
      </c>
      <c r="AG205" s="4">
        <f t="shared" si="165"/>
        <v>0</v>
      </c>
      <c r="AH205" s="4">
        <f t="shared" si="166"/>
        <v>0</v>
      </c>
      <c r="AI205" s="30" t="s">
        <v>630</v>
      </c>
      <c r="AJ205" s="4">
        <f t="shared" si="167"/>
        <v>0</v>
      </c>
      <c r="AK205" s="4">
        <f t="shared" si="168"/>
        <v>0</v>
      </c>
      <c r="AL205" s="4">
        <f t="shared" si="169"/>
        <v>0</v>
      </c>
      <c r="AN205" s="4">
        <v>21</v>
      </c>
      <c r="AO205" s="4">
        <f>I205*1</f>
        <v>0</v>
      </c>
      <c r="AP205" s="4">
        <f>I205*(1-1)</f>
        <v>0</v>
      </c>
      <c r="AQ205" s="14" t="s">
        <v>907</v>
      </c>
      <c r="AV205" s="4">
        <f t="shared" si="170"/>
        <v>0</v>
      </c>
      <c r="AW205" s="4">
        <f t="shared" si="171"/>
        <v>0</v>
      </c>
      <c r="AX205" s="4">
        <f t="shared" si="172"/>
        <v>0</v>
      </c>
      <c r="AY205" s="14" t="s">
        <v>580</v>
      </c>
      <c r="AZ205" s="14" t="s">
        <v>57</v>
      </c>
      <c r="BA205" s="30" t="s">
        <v>694</v>
      </c>
      <c r="BC205" s="4">
        <f t="shared" si="173"/>
        <v>0</v>
      </c>
      <c r="BD205" s="4">
        <f t="shared" si="174"/>
        <v>0</v>
      </c>
      <c r="BE205" s="4">
        <v>0</v>
      </c>
      <c r="BF205" s="4">
        <f>205</f>
        <v>205</v>
      </c>
      <c r="BH205" s="4">
        <f t="shared" si="175"/>
        <v>0</v>
      </c>
      <c r="BI205" s="4">
        <f t="shared" si="176"/>
        <v>0</v>
      </c>
      <c r="BJ205" s="4">
        <f t="shared" si="177"/>
        <v>0</v>
      </c>
      <c r="BK205" s="4"/>
      <c r="BL205" s="4">
        <v>722</v>
      </c>
    </row>
    <row r="206" spans="1:64" ht="15" customHeight="1">
      <c r="A206" s="22" t="s">
        <v>343</v>
      </c>
      <c r="B206" s="9" t="s">
        <v>679</v>
      </c>
      <c r="C206" s="53" t="s">
        <v>594</v>
      </c>
      <c r="D206" s="53"/>
      <c r="E206" s="53"/>
      <c r="F206" s="53"/>
      <c r="G206" s="9" t="s">
        <v>750</v>
      </c>
      <c r="H206" s="4">
        <v>125</v>
      </c>
      <c r="I206" s="4">
        <v>0</v>
      </c>
      <c r="J206" s="4">
        <f t="shared" si="156"/>
        <v>0</v>
      </c>
      <c r="K206" s="4">
        <f t="shared" si="157"/>
        <v>0</v>
      </c>
      <c r="L206" s="4">
        <f t="shared" si="158"/>
        <v>0</v>
      </c>
      <c r="M206" s="17" t="s">
        <v>619</v>
      </c>
      <c r="Z206" s="4">
        <f t="shared" si="159"/>
        <v>0</v>
      </c>
      <c r="AB206" s="4">
        <f t="shared" si="160"/>
        <v>0</v>
      </c>
      <c r="AC206" s="4">
        <f t="shared" si="161"/>
        <v>0</v>
      </c>
      <c r="AD206" s="4">
        <f t="shared" si="162"/>
        <v>0</v>
      </c>
      <c r="AE206" s="4">
        <f t="shared" si="163"/>
        <v>0</v>
      </c>
      <c r="AF206" s="4">
        <f t="shared" si="164"/>
        <v>0</v>
      </c>
      <c r="AG206" s="4">
        <f t="shared" si="165"/>
        <v>0</v>
      </c>
      <c r="AH206" s="4">
        <f t="shared" si="166"/>
        <v>0</v>
      </c>
      <c r="AI206" s="30" t="s">
        <v>630</v>
      </c>
      <c r="AJ206" s="4">
        <f t="shared" si="167"/>
        <v>0</v>
      </c>
      <c r="AK206" s="4">
        <f t="shared" si="168"/>
        <v>0</v>
      </c>
      <c r="AL206" s="4">
        <f t="shared" si="169"/>
        <v>0</v>
      </c>
      <c r="AN206" s="4">
        <v>21</v>
      </c>
      <c r="AO206" s="4">
        <f>I206*0.0843587069864442</f>
        <v>0</v>
      </c>
      <c r="AP206" s="4">
        <f>I206*(1-0.0843587069864442)</f>
        <v>0</v>
      </c>
      <c r="AQ206" s="14" t="s">
        <v>907</v>
      </c>
      <c r="AV206" s="4">
        <f t="shared" si="170"/>
        <v>0</v>
      </c>
      <c r="AW206" s="4">
        <f t="shared" si="171"/>
        <v>0</v>
      </c>
      <c r="AX206" s="4">
        <f t="shared" si="172"/>
        <v>0</v>
      </c>
      <c r="AY206" s="14" t="s">
        <v>580</v>
      </c>
      <c r="AZ206" s="14" t="s">
        <v>57</v>
      </c>
      <c r="BA206" s="30" t="s">
        <v>694</v>
      </c>
      <c r="BC206" s="4">
        <f t="shared" si="173"/>
        <v>0</v>
      </c>
      <c r="BD206" s="4">
        <f t="shared" si="174"/>
        <v>0</v>
      </c>
      <c r="BE206" s="4">
        <v>0</v>
      </c>
      <c r="BF206" s="4">
        <f>206</f>
        <v>206</v>
      </c>
      <c r="BH206" s="4">
        <f t="shared" si="175"/>
        <v>0</v>
      </c>
      <c r="BI206" s="4">
        <f t="shared" si="176"/>
        <v>0</v>
      </c>
      <c r="BJ206" s="4">
        <f t="shared" si="177"/>
        <v>0</v>
      </c>
      <c r="BK206" s="4"/>
      <c r="BL206" s="4">
        <v>722</v>
      </c>
    </row>
    <row r="207" spans="1:64" ht="15" customHeight="1">
      <c r="A207" s="22" t="s">
        <v>252</v>
      </c>
      <c r="B207" s="9" t="s">
        <v>215</v>
      </c>
      <c r="C207" s="53" t="s">
        <v>402</v>
      </c>
      <c r="D207" s="53"/>
      <c r="E207" s="53"/>
      <c r="F207" s="53"/>
      <c r="G207" s="9" t="s">
        <v>750</v>
      </c>
      <c r="H207" s="4">
        <v>128.75</v>
      </c>
      <c r="I207" s="4">
        <v>0</v>
      </c>
      <c r="J207" s="4">
        <f t="shared" si="156"/>
        <v>0</v>
      </c>
      <c r="K207" s="4">
        <f t="shared" si="157"/>
        <v>0</v>
      </c>
      <c r="L207" s="4">
        <f t="shared" si="158"/>
        <v>0</v>
      </c>
      <c r="M207" s="17" t="s">
        <v>619</v>
      </c>
      <c r="Z207" s="4">
        <f t="shared" si="159"/>
        <v>0</v>
      </c>
      <c r="AB207" s="4">
        <f t="shared" si="160"/>
        <v>0</v>
      </c>
      <c r="AC207" s="4">
        <f t="shared" si="161"/>
        <v>0</v>
      </c>
      <c r="AD207" s="4">
        <f t="shared" si="162"/>
        <v>0</v>
      </c>
      <c r="AE207" s="4">
        <f t="shared" si="163"/>
        <v>0</v>
      </c>
      <c r="AF207" s="4">
        <f t="shared" si="164"/>
        <v>0</v>
      </c>
      <c r="AG207" s="4">
        <f t="shared" si="165"/>
        <v>0</v>
      </c>
      <c r="AH207" s="4">
        <f t="shared" si="166"/>
        <v>0</v>
      </c>
      <c r="AI207" s="30" t="s">
        <v>630</v>
      </c>
      <c r="AJ207" s="4">
        <f t="shared" si="167"/>
        <v>0</v>
      </c>
      <c r="AK207" s="4">
        <f t="shared" si="168"/>
        <v>0</v>
      </c>
      <c r="AL207" s="4">
        <f t="shared" si="169"/>
        <v>0</v>
      </c>
      <c r="AN207" s="4">
        <v>21</v>
      </c>
      <c r="AO207" s="4">
        <f>I207*1</f>
        <v>0</v>
      </c>
      <c r="AP207" s="4">
        <f>I207*(1-1)</f>
        <v>0</v>
      </c>
      <c r="AQ207" s="14" t="s">
        <v>907</v>
      </c>
      <c r="AV207" s="4">
        <f t="shared" si="170"/>
        <v>0</v>
      </c>
      <c r="AW207" s="4">
        <f t="shared" si="171"/>
        <v>0</v>
      </c>
      <c r="AX207" s="4">
        <f t="shared" si="172"/>
        <v>0</v>
      </c>
      <c r="AY207" s="14" t="s">
        <v>580</v>
      </c>
      <c r="AZ207" s="14" t="s">
        <v>57</v>
      </c>
      <c r="BA207" s="30" t="s">
        <v>694</v>
      </c>
      <c r="BC207" s="4">
        <f t="shared" si="173"/>
        <v>0</v>
      </c>
      <c r="BD207" s="4">
        <f t="shared" si="174"/>
        <v>0</v>
      </c>
      <c r="BE207" s="4">
        <v>0</v>
      </c>
      <c r="BF207" s="4">
        <f>207</f>
        <v>207</v>
      </c>
      <c r="BH207" s="4">
        <f t="shared" si="175"/>
        <v>0</v>
      </c>
      <c r="BI207" s="4">
        <f t="shared" si="176"/>
        <v>0</v>
      </c>
      <c r="BJ207" s="4">
        <f t="shared" si="177"/>
        <v>0</v>
      </c>
      <c r="BK207" s="4"/>
      <c r="BL207" s="4">
        <v>722</v>
      </c>
    </row>
    <row r="208" spans="1:64" ht="15" customHeight="1">
      <c r="A208" s="22" t="s">
        <v>683</v>
      </c>
      <c r="B208" s="9" t="s">
        <v>279</v>
      </c>
      <c r="C208" s="53" t="s">
        <v>130</v>
      </c>
      <c r="D208" s="53"/>
      <c r="E208" s="53"/>
      <c r="F208" s="53"/>
      <c r="G208" s="9" t="s">
        <v>750</v>
      </c>
      <c r="H208" s="4">
        <v>45</v>
      </c>
      <c r="I208" s="4">
        <v>0</v>
      </c>
      <c r="J208" s="4">
        <f t="shared" si="156"/>
        <v>0</v>
      </c>
      <c r="K208" s="4">
        <f t="shared" si="157"/>
        <v>0</v>
      </c>
      <c r="L208" s="4">
        <f t="shared" si="158"/>
        <v>0</v>
      </c>
      <c r="M208" s="17" t="s">
        <v>619</v>
      </c>
      <c r="Z208" s="4">
        <f t="shared" si="159"/>
        <v>0</v>
      </c>
      <c r="AB208" s="4">
        <f t="shared" si="160"/>
        <v>0</v>
      </c>
      <c r="AC208" s="4">
        <f t="shared" si="161"/>
        <v>0</v>
      </c>
      <c r="AD208" s="4">
        <f t="shared" si="162"/>
        <v>0</v>
      </c>
      <c r="AE208" s="4">
        <f t="shared" si="163"/>
        <v>0</v>
      </c>
      <c r="AF208" s="4">
        <f t="shared" si="164"/>
        <v>0</v>
      </c>
      <c r="AG208" s="4">
        <f t="shared" si="165"/>
        <v>0</v>
      </c>
      <c r="AH208" s="4">
        <f t="shared" si="166"/>
        <v>0</v>
      </c>
      <c r="AI208" s="30" t="s">
        <v>630</v>
      </c>
      <c r="AJ208" s="4">
        <f t="shared" si="167"/>
        <v>0</v>
      </c>
      <c r="AK208" s="4">
        <f t="shared" si="168"/>
        <v>0</v>
      </c>
      <c r="AL208" s="4">
        <f t="shared" si="169"/>
        <v>0</v>
      </c>
      <c r="AN208" s="4">
        <v>21</v>
      </c>
      <c r="AO208" s="4">
        <f>I208*0.0652316654320156</f>
        <v>0</v>
      </c>
      <c r="AP208" s="4">
        <f>I208*(1-0.0652316654320156)</f>
        <v>0</v>
      </c>
      <c r="AQ208" s="14" t="s">
        <v>907</v>
      </c>
      <c r="AV208" s="4">
        <f t="shared" si="170"/>
        <v>0</v>
      </c>
      <c r="AW208" s="4">
        <f t="shared" si="171"/>
        <v>0</v>
      </c>
      <c r="AX208" s="4">
        <f t="shared" si="172"/>
        <v>0</v>
      </c>
      <c r="AY208" s="14" t="s">
        <v>580</v>
      </c>
      <c r="AZ208" s="14" t="s">
        <v>57</v>
      </c>
      <c r="BA208" s="30" t="s">
        <v>694</v>
      </c>
      <c r="BC208" s="4">
        <f t="shared" si="173"/>
        <v>0</v>
      </c>
      <c r="BD208" s="4">
        <f t="shared" si="174"/>
        <v>0</v>
      </c>
      <c r="BE208" s="4">
        <v>0</v>
      </c>
      <c r="BF208" s="4">
        <f>208</f>
        <v>208</v>
      </c>
      <c r="BH208" s="4">
        <f t="shared" si="175"/>
        <v>0</v>
      </c>
      <c r="BI208" s="4">
        <f t="shared" si="176"/>
        <v>0</v>
      </c>
      <c r="BJ208" s="4">
        <f t="shared" si="177"/>
        <v>0</v>
      </c>
      <c r="BK208" s="4"/>
      <c r="BL208" s="4">
        <v>722</v>
      </c>
    </row>
    <row r="209" spans="1:64" ht="15" customHeight="1">
      <c r="A209" s="22" t="s">
        <v>118</v>
      </c>
      <c r="B209" s="9" t="s">
        <v>760</v>
      </c>
      <c r="C209" s="53" t="s">
        <v>116</v>
      </c>
      <c r="D209" s="53"/>
      <c r="E209" s="53"/>
      <c r="F209" s="53"/>
      <c r="G209" s="9" t="s">
        <v>750</v>
      </c>
      <c r="H209" s="4">
        <v>46.35</v>
      </c>
      <c r="I209" s="4">
        <v>0</v>
      </c>
      <c r="J209" s="4">
        <f t="shared" si="156"/>
        <v>0</v>
      </c>
      <c r="K209" s="4">
        <f t="shared" si="157"/>
        <v>0</v>
      </c>
      <c r="L209" s="4">
        <f t="shared" si="158"/>
        <v>0</v>
      </c>
      <c r="M209" s="17" t="s">
        <v>619</v>
      </c>
      <c r="Z209" s="4">
        <f t="shared" si="159"/>
        <v>0</v>
      </c>
      <c r="AB209" s="4">
        <f t="shared" si="160"/>
        <v>0</v>
      </c>
      <c r="AC209" s="4">
        <f t="shared" si="161"/>
        <v>0</v>
      </c>
      <c r="AD209" s="4">
        <f t="shared" si="162"/>
        <v>0</v>
      </c>
      <c r="AE209" s="4">
        <f t="shared" si="163"/>
        <v>0</v>
      </c>
      <c r="AF209" s="4">
        <f t="shared" si="164"/>
        <v>0</v>
      </c>
      <c r="AG209" s="4">
        <f t="shared" si="165"/>
        <v>0</v>
      </c>
      <c r="AH209" s="4">
        <f t="shared" si="166"/>
        <v>0</v>
      </c>
      <c r="AI209" s="30" t="s">
        <v>630</v>
      </c>
      <c r="AJ209" s="4">
        <f t="shared" si="167"/>
        <v>0</v>
      </c>
      <c r="AK209" s="4">
        <f t="shared" si="168"/>
        <v>0</v>
      </c>
      <c r="AL209" s="4">
        <f t="shared" si="169"/>
        <v>0</v>
      </c>
      <c r="AN209" s="4">
        <v>21</v>
      </c>
      <c r="AO209" s="4">
        <f>I209*1</f>
        <v>0</v>
      </c>
      <c r="AP209" s="4">
        <f>I209*(1-1)</f>
        <v>0</v>
      </c>
      <c r="AQ209" s="14" t="s">
        <v>907</v>
      </c>
      <c r="AV209" s="4">
        <f t="shared" si="170"/>
        <v>0</v>
      </c>
      <c r="AW209" s="4">
        <f t="shared" si="171"/>
        <v>0</v>
      </c>
      <c r="AX209" s="4">
        <f t="shared" si="172"/>
        <v>0</v>
      </c>
      <c r="AY209" s="14" t="s">
        <v>580</v>
      </c>
      <c r="AZ209" s="14" t="s">
        <v>57</v>
      </c>
      <c r="BA209" s="30" t="s">
        <v>694</v>
      </c>
      <c r="BC209" s="4">
        <f t="shared" si="173"/>
        <v>0</v>
      </c>
      <c r="BD209" s="4">
        <f t="shared" si="174"/>
        <v>0</v>
      </c>
      <c r="BE209" s="4">
        <v>0</v>
      </c>
      <c r="BF209" s="4">
        <f>209</f>
        <v>209</v>
      </c>
      <c r="BH209" s="4">
        <f t="shared" si="175"/>
        <v>0</v>
      </c>
      <c r="BI209" s="4">
        <f t="shared" si="176"/>
        <v>0</v>
      </c>
      <c r="BJ209" s="4">
        <f t="shared" si="177"/>
        <v>0</v>
      </c>
      <c r="BK209" s="4"/>
      <c r="BL209" s="4">
        <v>722</v>
      </c>
    </row>
    <row r="210" spans="1:64" ht="15" customHeight="1">
      <c r="A210" s="22" t="s">
        <v>841</v>
      </c>
      <c r="B210" s="9" t="s">
        <v>30</v>
      </c>
      <c r="C210" s="53" t="s">
        <v>913</v>
      </c>
      <c r="D210" s="53"/>
      <c r="E210" s="53"/>
      <c r="F210" s="53"/>
      <c r="G210" s="9" t="s">
        <v>232</v>
      </c>
      <c r="H210" s="4">
        <v>8</v>
      </c>
      <c r="I210" s="4">
        <v>0</v>
      </c>
      <c r="J210" s="4">
        <f t="shared" si="156"/>
        <v>0</v>
      </c>
      <c r="K210" s="4">
        <f t="shared" si="157"/>
        <v>0</v>
      </c>
      <c r="L210" s="4">
        <f t="shared" si="158"/>
        <v>0</v>
      </c>
      <c r="M210" s="17" t="s">
        <v>619</v>
      </c>
      <c r="Z210" s="4">
        <f t="shared" si="159"/>
        <v>0</v>
      </c>
      <c r="AB210" s="4">
        <f t="shared" si="160"/>
        <v>0</v>
      </c>
      <c r="AC210" s="4">
        <f t="shared" si="161"/>
        <v>0</v>
      </c>
      <c r="AD210" s="4">
        <f t="shared" si="162"/>
        <v>0</v>
      </c>
      <c r="AE210" s="4">
        <f t="shared" si="163"/>
        <v>0</v>
      </c>
      <c r="AF210" s="4">
        <f t="shared" si="164"/>
        <v>0</v>
      </c>
      <c r="AG210" s="4">
        <f t="shared" si="165"/>
        <v>0</v>
      </c>
      <c r="AH210" s="4">
        <f t="shared" si="166"/>
        <v>0</v>
      </c>
      <c r="AI210" s="30" t="s">
        <v>630</v>
      </c>
      <c r="AJ210" s="4">
        <f t="shared" si="167"/>
        <v>0</v>
      </c>
      <c r="AK210" s="4">
        <f t="shared" si="168"/>
        <v>0</v>
      </c>
      <c r="AL210" s="4">
        <f t="shared" si="169"/>
        <v>0</v>
      </c>
      <c r="AN210" s="4">
        <v>21</v>
      </c>
      <c r="AO210" s="4">
        <f>I210*0.388702012921138</f>
        <v>0</v>
      </c>
      <c r="AP210" s="4">
        <f>I210*(1-0.388702012921138)</f>
        <v>0</v>
      </c>
      <c r="AQ210" s="14" t="s">
        <v>907</v>
      </c>
      <c r="AV210" s="4">
        <f t="shared" si="170"/>
        <v>0</v>
      </c>
      <c r="AW210" s="4">
        <f t="shared" si="171"/>
        <v>0</v>
      </c>
      <c r="AX210" s="4">
        <f t="shared" si="172"/>
        <v>0</v>
      </c>
      <c r="AY210" s="14" t="s">
        <v>580</v>
      </c>
      <c r="AZ210" s="14" t="s">
        <v>57</v>
      </c>
      <c r="BA210" s="30" t="s">
        <v>694</v>
      </c>
      <c r="BC210" s="4">
        <f t="shared" si="173"/>
        <v>0</v>
      </c>
      <c r="BD210" s="4">
        <f t="shared" si="174"/>
        <v>0</v>
      </c>
      <c r="BE210" s="4">
        <v>0</v>
      </c>
      <c r="BF210" s="4">
        <f>210</f>
        <v>210</v>
      </c>
      <c r="BH210" s="4">
        <f t="shared" si="175"/>
        <v>0</v>
      </c>
      <c r="BI210" s="4">
        <f t="shared" si="176"/>
        <v>0</v>
      </c>
      <c r="BJ210" s="4">
        <f t="shared" si="177"/>
        <v>0</v>
      </c>
      <c r="BK210" s="4"/>
      <c r="BL210" s="4">
        <v>722</v>
      </c>
    </row>
    <row r="211" spans="1:64" ht="15" customHeight="1">
      <c r="A211" s="22" t="s">
        <v>225</v>
      </c>
      <c r="B211" s="9" t="s">
        <v>88</v>
      </c>
      <c r="C211" s="53" t="s">
        <v>276</v>
      </c>
      <c r="D211" s="53"/>
      <c r="E211" s="53"/>
      <c r="F211" s="53"/>
      <c r="G211" s="9" t="s">
        <v>232</v>
      </c>
      <c r="H211" s="4">
        <v>12</v>
      </c>
      <c r="I211" s="4">
        <v>0</v>
      </c>
      <c r="J211" s="4">
        <f t="shared" si="156"/>
        <v>0</v>
      </c>
      <c r="K211" s="4">
        <f t="shared" si="157"/>
        <v>0</v>
      </c>
      <c r="L211" s="4">
        <f t="shared" si="158"/>
        <v>0</v>
      </c>
      <c r="M211" s="17" t="s">
        <v>619</v>
      </c>
      <c r="Z211" s="4">
        <f t="shared" si="159"/>
        <v>0</v>
      </c>
      <c r="AB211" s="4">
        <f t="shared" si="160"/>
        <v>0</v>
      </c>
      <c r="AC211" s="4">
        <f t="shared" si="161"/>
        <v>0</v>
      </c>
      <c r="AD211" s="4">
        <f t="shared" si="162"/>
        <v>0</v>
      </c>
      <c r="AE211" s="4">
        <f t="shared" si="163"/>
        <v>0</v>
      </c>
      <c r="AF211" s="4">
        <f t="shared" si="164"/>
        <v>0</v>
      </c>
      <c r="AG211" s="4">
        <f t="shared" si="165"/>
        <v>0</v>
      </c>
      <c r="AH211" s="4">
        <f t="shared" si="166"/>
        <v>0</v>
      </c>
      <c r="AI211" s="30" t="s">
        <v>630</v>
      </c>
      <c r="AJ211" s="4">
        <f t="shared" si="167"/>
        <v>0</v>
      </c>
      <c r="AK211" s="4">
        <f t="shared" si="168"/>
        <v>0</v>
      </c>
      <c r="AL211" s="4">
        <f t="shared" si="169"/>
        <v>0</v>
      </c>
      <c r="AN211" s="4">
        <v>21</v>
      </c>
      <c r="AO211" s="4">
        <f>I211*0.367553012453719</f>
        <v>0</v>
      </c>
      <c r="AP211" s="4">
        <f>I211*(1-0.367553012453719)</f>
        <v>0</v>
      </c>
      <c r="AQ211" s="14" t="s">
        <v>907</v>
      </c>
      <c r="AV211" s="4">
        <f t="shared" si="170"/>
        <v>0</v>
      </c>
      <c r="AW211" s="4">
        <f t="shared" si="171"/>
        <v>0</v>
      </c>
      <c r="AX211" s="4">
        <f t="shared" si="172"/>
        <v>0</v>
      </c>
      <c r="AY211" s="14" t="s">
        <v>580</v>
      </c>
      <c r="AZ211" s="14" t="s">
        <v>57</v>
      </c>
      <c r="BA211" s="30" t="s">
        <v>694</v>
      </c>
      <c r="BC211" s="4">
        <f t="shared" si="173"/>
        <v>0</v>
      </c>
      <c r="BD211" s="4">
        <f t="shared" si="174"/>
        <v>0</v>
      </c>
      <c r="BE211" s="4">
        <v>0</v>
      </c>
      <c r="BF211" s="4">
        <f>211</f>
        <v>211</v>
      </c>
      <c r="BH211" s="4">
        <f t="shared" si="175"/>
        <v>0</v>
      </c>
      <c r="BI211" s="4">
        <f t="shared" si="176"/>
        <v>0</v>
      </c>
      <c r="BJ211" s="4">
        <f t="shared" si="177"/>
        <v>0</v>
      </c>
      <c r="BK211" s="4"/>
      <c r="BL211" s="4">
        <v>722</v>
      </c>
    </row>
    <row r="212" spans="1:64" ht="15" customHeight="1">
      <c r="A212" s="22" t="s">
        <v>132</v>
      </c>
      <c r="B212" s="9" t="s">
        <v>877</v>
      </c>
      <c r="C212" s="53" t="s">
        <v>227</v>
      </c>
      <c r="D212" s="53"/>
      <c r="E212" s="53"/>
      <c r="F212" s="53"/>
      <c r="G212" s="9" t="s">
        <v>232</v>
      </c>
      <c r="H212" s="4">
        <v>34</v>
      </c>
      <c r="I212" s="4">
        <v>0</v>
      </c>
      <c r="J212" s="4">
        <f t="shared" si="156"/>
        <v>0</v>
      </c>
      <c r="K212" s="4">
        <f t="shared" si="157"/>
        <v>0</v>
      </c>
      <c r="L212" s="4">
        <f t="shared" si="158"/>
        <v>0</v>
      </c>
      <c r="M212" s="17" t="s">
        <v>619</v>
      </c>
      <c r="Z212" s="4">
        <f t="shared" si="159"/>
        <v>0</v>
      </c>
      <c r="AB212" s="4">
        <f t="shared" si="160"/>
        <v>0</v>
      </c>
      <c r="AC212" s="4">
        <f t="shared" si="161"/>
        <v>0</v>
      </c>
      <c r="AD212" s="4">
        <f t="shared" si="162"/>
        <v>0</v>
      </c>
      <c r="AE212" s="4">
        <f t="shared" si="163"/>
        <v>0</v>
      </c>
      <c r="AF212" s="4">
        <f t="shared" si="164"/>
        <v>0</v>
      </c>
      <c r="AG212" s="4">
        <f t="shared" si="165"/>
        <v>0</v>
      </c>
      <c r="AH212" s="4">
        <f t="shared" si="166"/>
        <v>0</v>
      </c>
      <c r="AI212" s="30" t="s">
        <v>630</v>
      </c>
      <c r="AJ212" s="4">
        <f t="shared" si="167"/>
        <v>0</v>
      </c>
      <c r="AK212" s="4">
        <f t="shared" si="168"/>
        <v>0</v>
      </c>
      <c r="AL212" s="4">
        <f t="shared" si="169"/>
        <v>0</v>
      </c>
      <c r="AN212" s="4">
        <v>21</v>
      </c>
      <c r="AO212" s="4">
        <f>I212*0.0385245901639344</f>
        <v>0</v>
      </c>
      <c r="AP212" s="4">
        <f>I212*(1-0.0385245901639344)</f>
        <v>0</v>
      </c>
      <c r="AQ212" s="14" t="s">
        <v>907</v>
      </c>
      <c r="AV212" s="4">
        <f t="shared" si="170"/>
        <v>0</v>
      </c>
      <c r="AW212" s="4">
        <f t="shared" si="171"/>
        <v>0</v>
      </c>
      <c r="AX212" s="4">
        <f t="shared" si="172"/>
        <v>0</v>
      </c>
      <c r="AY212" s="14" t="s">
        <v>580</v>
      </c>
      <c r="AZ212" s="14" t="s">
        <v>57</v>
      </c>
      <c r="BA212" s="30" t="s">
        <v>694</v>
      </c>
      <c r="BC212" s="4">
        <f t="shared" si="173"/>
        <v>0</v>
      </c>
      <c r="BD212" s="4">
        <f t="shared" si="174"/>
        <v>0</v>
      </c>
      <c r="BE212" s="4">
        <v>0</v>
      </c>
      <c r="BF212" s="4">
        <f>212</f>
        <v>212</v>
      </c>
      <c r="BH212" s="4">
        <f t="shared" si="175"/>
        <v>0</v>
      </c>
      <c r="BI212" s="4">
        <f t="shared" si="176"/>
        <v>0</v>
      </c>
      <c r="BJ212" s="4">
        <f t="shared" si="177"/>
        <v>0</v>
      </c>
      <c r="BK212" s="4"/>
      <c r="BL212" s="4">
        <v>722</v>
      </c>
    </row>
    <row r="213" spans="1:64" ht="15" customHeight="1">
      <c r="A213" s="22" t="s">
        <v>264</v>
      </c>
      <c r="B213" s="9" t="s">
        <v>549</v>
      </c>
      <c r="C213" s="53" t="s">
        <v>326</v>
      </c>
      <c r="D213" s="53"/>
      <c r="E213" s="53"/>
      <c r="F213" s="53"/>
      <c r="G213" s="9" t="s">
        <v>232</v>
      </c>
      <c r="H213" s="4">
        <v>34</v>
      </c>
      <c r="I213" s="4">
        <v>0</v>
      </c>
      <c r="J213" s="4">
        <f t="shared" si="156"/>
        <v>0</v>
      </c>
      <c r="K213" s="4">
        <f t="shared" si="157"/>
        <v>0</v>
      </c>
      <c r="L213" s="4">
        <f t="shared" si="158"/>
        <v>0</v>
      </c>
      <c r="M213" s="17" t="s">
        <v>619</v>
      </c>
      <c r="Z213" s="4">
        <f t="shared" si="159"/>
        <v>0</v>
      </c>
      <c r="AB213" s="4">
        <f t="shared" si="160"/>
        <v>0</v>
      </c>
      <c r="AC213" s="4">
        <f t="shared" si="161"/>
        <v>0</v>
      </c>
      <c r="AD213" s="4">
        <f t="shared" si="162"/>
        <v>0</v>
      </c>
      <c r="AE213" s="4">
        <f t="shared" si="163"/>
        <v>0</v>
      </c>
      <c r="AF213" s="4">
        <f t="shared" si="164"/>
        <v>0</v>
      </c>
      <c r="AG213" s="4">
        <f t="shared" si="165"/>
        <v>0</v>
      </c>
      <c r="AH213" s="4">
        <f t="shared" si="166"/>
        <v>0</v>
      </c>
      <c r="AI213" s="30" t="s">
        <v>630</v>
      </c>
      <c r="AJ213" s="4">
        <f t="shared" si="167"/>
        <v>0</v>
      </c>
      <c r="AK213" s="4">
        <f t="shared" si="168"/>
        <v>0</v>
      </c>
      <c r="AL213" s="4">
        <f t="shared" si="169"/>
        <v>0</v>
      </c>
      <c r="AN213" s="4">
        <v>21</v>
      </c>
      <c r="AO213" s="4">
        <f>I213*1</f>
        <v>0</v>
      </c>
      <c r="AP213" s="4">
        <f>I213*(1-1)</f>
        <v>0</v>
      </c>
      <c r="AQ213" s="14" t="s">
        <v>907</v>
      </c>
      <c r="AV213" s="4">
        <f t="shared" si="170"/>
        <v>0</v>
      </c>
      <c r="AW213" s="4">
        <f t="shared" si="171"/>
        <v>0</v>
      </c>
      <c r="AX213" s="4">
        <f t="shared" si="172"/>
        <v>0</v>
      </c>
      <c r="AY213" s="14" t="s">
        <v>580</v>
      </c>
      <c r="AZ213" s="14" t="s">
        <v>57</v>
      </c>
      <c r="BA213" s="30" t="s">
        <v>694</v>
      </c>
      <c r="BC213" s="4">
        <f t="shared" si="173"/>
        <v>0</v>
      </c>
      <c r="BD213" s="4">
        <f t="shared" si="174"/>
        <v>0</v>
      </c>
      <c r="BE213" s="4">
        <v>0</v>
      </c>
      <c r="BF213" s="4">
        <f>213</f>
        <v>213</v>
      </c>
      <c r="BH213" s="4">
        <f t="shared" si="175"/>
        <v>0</v>
      </c>
      <c r="BI213" s="4">
        <f t="shared" si="176"/>
        <v>0</v>
      </c>
      <c r="BJ213" s="4">
        <f t="shared" si="177"/>
        <v>0</v>
      </c>
      <c r="BK213" s="4"/>
      <c r="BL213" s="4">
        <v>722</v>
      </c>
    </row>
    <row r="214" spans="1:64" ht="15" customHeight="1">
      <c r="A214" s="22" t="s">
        <v>287</v>
      </c>
      <c r="B214" s="9" t="s">
        <v>206</v>
      </c>
      <c r="C214" s="53" t="s">
        <v>823</v>
      </c>
      <c r="D214" s="53"/>
      <c r="E214" s="53"/>
      <c r="F214" s="53"/>
      <c r="G214" s="9" t="s">
        <v>232</v>
      </c>
      <c r="H214" s="4">
        <v>41</v>
      </c>
      <c r="I214" s="4">
        <v>0</v>
      </c>
      <c r="J214" s="4">
        <f t="shared" si="156"/>
        <v>0</v>
      </c>
      <c r="K214" s="4">
        <f t="shared" si="157"/>
        <v>0</v>
      </c>
      <c r="L214" s="4">
        <f t="shared" si="158"/>
        <v>0</v>
      </c>
      <c r="M214" s="17" t="s">
        <v>619</v>
      </c>
      <c r="Z214" s="4">
        <f t="shared" si="159"/>
        <v>0</v>
      </c>
      <c r="AB214" s="4">
        <f t="shared" si="160"/>
        <v>0</v>
      </c>
      <c r="AC214" s="4">
        <f t="shared" si="161"/>
        <v>0</v>
      </c>
      <c r="AD214" s="4">
        <f t="shared" si="162"/>
        <v>0</v>
      </c>
      <c r="AE214" s="4">
        <f t="shared" si="163"/>
        <v>0</v>
      </c>
      <c r="AF214" s="4">
        <f t="shared" si="164"/>
        <v>0</v>
      </c>
      <c r="AG214" s="4">
        <f t="shared" si="165"/>
        <v>0</v>
      </c>
      <c r="AH214" s="4">
        <f t="shared" si="166"/>
        <v>0</v>
      </c>
      <c r="AI214" s="30" t="s">
        <v>630</v>
      </c>
      <c r="AJ214" s="4">
        <f t="shared" si="167"/>
        <v>0</v>
      </c>
      <c r="AK214" s="4">
        <f t="shared" si="168"/>
        <v>0</v>
      </c>
      <c r="AL214" s="4">
        <f t="shared" si="169"/>
        <v>0</v>
      </c>
      <c r="AN214" s="4">
        <v>21</v>
      </c>
      <c r="AO214" s="4">
        <f>I214*0.0379644588045234</f>
        <v>0</v>
      </c>
      <c r="AP214" s="4">
        <f>I214*(1-0.0379644588045234)</f>
        <v>0</v>
      </c>
      <c r="AQ214" s="14" t="s">
        <v>907</v>
      </c>
      <c r="AV214" s="4">
        <f t="shared" si="170"/>
        <v>0</v>
      </c>
      <c r="AW214" s="4">
        <f t="shared" si="171"/>
        <v>0</v>
      </c>
      <c r="AX214" s="4">
        <f t="shared" si="172"/>
        <v>0</v>
      </c>
      <c r="AY214" s="14" t="s">
        <v>580</v>
      </c>
      <c r="AZ214" s="14" t="s">
        <v>57</v>
      </c>
      <c r="BA214" s="30" t="s">
        <v>694</v>
      </c>
      <c r="BC214" s="4">
        <f t="shared" si="173"/>
        <v>0</v>
      </c>
      <c r="BD214" s="4">
        <f t="shared" si="174"/>
        <v>0</v>
      </c>
      <c r="BE214" s="4">
        <v>0</v>
      </c>
      <c r="BF214" s="4">
        <f>214</f>
        <v>214</v>
      </c>
      <c r="BH214" s="4">
        <f t="shared" si="175"/>
        <v>0</v>
      </c>
      <c r="BI214" s="4">
        <f t="shared" si="176"/>
        <v>0</v>
      </c>
      <c r="BJ214" s="4">
        <f t="shared" si="177"/>
        <v>0</v>
      </c>
      <c r="BK214" s="4"/>
      <c r="BL214" s="4">
        <v>722</v>
      </c>
    </row>
    <row r="215" spans="1:64" ht="15" customHeight="1">
      <c r="A215" s="22" t="s">
        <v>191</v>
      </c>
      <c r="B215" s="9" t="s">
        <v>328</v>
      </c>
      <c r="C215" s="53" t="s">
        <v>628</v>
      </c>
      <c r="D215" s="53"/>
      <c r="E215" s="53"/>
      <c r="F215" s="53"/>
      <c r="G215" s="9" t="s">
        <v>232</v>
      </c>
      <c r="H215" s="4">
        <v>41</v>
      </c>
      <c r="I215" s="4">
        <v>0</v>
      </c>
      <c r="J215" s="4">
        <f t="shared" si="156"/>
        <v>0</v>
      </c>
      <c r="K215" s="4">
        <f t="shared" si="157"/>
        <v>0</v>
      </c>
      <c r="L215" s="4">
        <f t="shared" si="158"/>
        <v>0</v>
      </c>
      <c r="M215" s="17" t="s">
        <v>619</v>
      </c>
      <c r="Z215" s="4">
        <f t="shared" si="159"/>
        <v>0</v>
      </c>
      <c r="AB215" s="4">
        <f t="shared" si="160"/>
        <v>0</v>
      </c>
      <c r="AC215" s="4">
        <f t="shared" si="161"/>
        <v>0</v>
      </c>
      <c r="AD215" s="4">
        <f t="shared" si="162"/>
        <v>0</v>
      </c>
      <c r="AE215" s="4">
        <f t="shared" si="163"/>
        <v>0</v>
      </c>
      <c r="AF215" s="4">
        <f t="shared" si="164"/>
        <v>0</v>
      </c>
      <c r="AG215" s="4">
        <f t="shared" si="165"/>
        <v>0</v>
      </c>
      <c r="AH215" s="4">
        <f t="shared" si="166"/>
        <v>0</v>
      </c>
      <c r="AI215" s="30" t="s">
        <v>630</v>
      </c>
      <c r="AJ215" s="4">
        <f t="shared" si="167"/>
        <v>0</v>
      </c>
      <c r="AK215" s="4">
        <f t="shared" si="168"/>
        <v>0</v>
      </c>
      <c r="AL215" s="4">
        <f t="shared" si="169"/>
        <v>0</v>
      </c>
      <c r="AN215" s="4">
        <v>21</v>
      </c>
      <c r="AO215" s="4">
        <f>I215*1</f>
        <v>0</v>
      </c>
      <c r="AP215" s="4">
        <f>I215*(1-1)</f>
        <v>0</v>
      </c>
      <c r="AQ215" s="14" t="s">
        <v>907</v>
      </c>
      <c r="AV215" s="4">
        <f t="shared" si="170"/>
        <v>0</v>
      </c>
      <c r="AW215" s="4">
        <f t="shared" si="171"/>
        <v>0</v>
      </c>
      <c r="AX215" s="4">
        <f t="shared" si="172"/>
        <v>0</v>
      </c>
      <c r="AY215" s="14" t="s">
        <v>580</v>
      </c>
      <c r="AZ215" s="14" t="s">
        <v>57</v>
      </c>
      <c r="BA215" s="30" t="s">
        <v>694</v>
      </c>
      <c r="BC215" s="4">
        <f t="shared" si="173"/>
        <v>0</v>
      </c>
      <c r="BD215" s="4">
        <f t="shared" si="174"/>
        <v>0</v>
      </c>
      <c r="BE215" s="4">
        <v>0</v>
      </c>
      <c r="BF215" s="4">
        <f>215</f>
        <v>215</v>
      </c>
      <c r="BH215" s="4">
        <f t="shared" si="175"/>
        <v>0</v>
      </c>
      <c r="BI215" s="4">
        <f t="shared" si="176"/>
        <v>0</v>
      </c>
      <c r="BJ215" s="4">
        <f t="shared" si="177"/>
        <v>0</v>
      </c>
      <c r="BK215" s="4"/>
      <c r="BL215" s="4">
        <v>722</v>
      </c>
    </row>
    <row r="216" spans="1:64" ht="15" customHeight="1">
      <c r="A216" s="22" t="s">
        <v>373</v>
      </c>
      <c r="B216" s="9" t="s">
        <v>285</v>
      </c>
      <c r="C216" s="53" t="s">
        <v>641</v>
      </c>
      <c r="D216" s="53"/>
      <c r="E216" s="53"/>
      <c r="F216" s="53"/>
      <c r="G216" s="9" t="s">
        <v>232</v>
      </c>
      <c r="H216" s="4">
        <v>26</v>
      </c>
      <c r="I216" s="4">
        <v>0</v>
      </c>
      <c r="J216" s="4">
        <f t="shared" si="156"/>
        <v>0</v>
      </c>
      <c r="K216" s="4">
        <f t="shared" si="157"/>
        <v>0</v>
      </c>
      <c r="L216" s="4">
        <f t="shared" si="158"/>
        <v>0</v>
      </c>
      <c r="M216" s="17" t="s">
        <v>619</v>
      </c>
      <c r="Z216" s="4">
        <f t="shared" si="159"/>
        <v>0</v>
      </c>
      <c r="AB216" s="4">
        <f t="shared" si="160"/>
        <v>0</v>
      </c>
      <c r="AC216" s="4">
        <f t="shared" si="161"/>
        <v>0</v>
      </c>
      <c r="AD216" s="4">
        <f t="shared" si="162"/>
        <v>0</v>
      </c>
      <c r="AE216" s="4">
        <f t="shared" si="163"/>
        <v>0</v>
      </c>
      <c r="AF216" s="4">
        <f t="shared" si="164"/>
        <v>0</v>
      </c>
      <c r="AG216" s="4">
        <f t="shared" si="165"/>
        <v>0</v>
      </c>
      <c r="AH216" s="4">
        <f t="shared" si="166"/>
        <v>0</v>
      </c>
      <c r="AI216" s="30" t="s">
        <v>630</v>
      </c>
      <c r="AJ216" s="4">
        <f t="shared" si="167"/>
        <v>0</v>
      </c>
      <c r="AK216" s="4">
        <f t="shared" si="168"/>
        <v>0</v>
      </c>
      <c r="AL216" s="4">
        <f t="shared" si="169"/>
        <v>0</v>
      </c>
      <c r="AN216" s="4">
        <v>21</v>
      </c>
      <c r="AO216" s="4">
        <f>I216*0.0202586206896552</f>
        <v>0</v>
      </c>
      <c r="AP216" s="4">
        <f>I216*(1-0.0202586206896552)</f>
        <v>0</v>
      </c>
      <c r="AQ216" s="14" t="s">
        <v>907</v>
      </c>
      <c r="AV216" s="4">
        <f t="shared" si="170"/>
        <v>0</v>
      </c>
      <c r="AW216" s="4">
        <f t="shared" si="171"/>
        <v>0</v>
      </c>
      <c r="AX216" s="4">
        <f t="shared" si="172"/>
        <v>0</v>
      </c>
      <c r="AY216" s="14" t="s">
        <v>580</v>
      </c>
      <c r="AZ216" s="14" t="s">
        <v>57</v>
      </c>
      <c r="BA216" s="30" t="s">
        <v>694</v>
      </c>
      <c r="BC216" s="4">
        <f t="shared" si="173"/>
        <v>0</v>
      </c>
      <c r="BD216" s="4">
        <f t="shared" si="174"/>
        <v>0</v>
      </c>
      <c r="BE216" s="4">
        <v>0</v>
      </c>
      <c r="BF216" s="4">
        <f>216</f>
        <v>216</v>
      </c>
      <c r="BH216" s="4">
        <f t="shared" si="175"/>
        <v>0</v>
      </c>
      <c r="BI216" s="4">
        <f t="shared" si="176"/>
        <v>0</v>
      </c>
      <c r="BJ216" s="4">
        <f t="shared" si="177"/>
        <v>0</v>
      </c>
      <c r="BK216" s="4"/>
      <c r="BL216" s="4">
        <v>722</v>
      </c>
    </row>
    <row r="217" spans="1:64" ht="15" customHeight="1">
      <c r="A217" s="22" t="s">
        <v>358</v>
      </c>
      <c r="B217" s="9" t="s">
        <v>33</v>
      </c>
      <c r="C217" s="53" t="s">
        <v>207</v>
      </c>
      <c r="D217" s="53"/>
      <c r="E217" s="53"/>
      <c r="F217" s="53"/>
      <c r="G217" s="9" t="s">
        <v>232</v>
      </c>
      <c r="H217" s="4">
        <v>26</v>
      </c>
      <c r="I217" s="4">
        <v>0</v>
      </c>
      <c r="J217" s="4">
        <f t="shared" si="156"/>
        <v>0</v>
      </c>
      <c r="K217" s="4">
        <f t="shared" si="157"/>
        <v>0</v>
      </c>
      <c r="L217" s="4">
        <f t="shared" si="158"/>
        <v>0</v>
      </c>
      <c r="M217" s="17" t="s">
        <v>619</v>
      </c>
      <c r="Z217" s="4">
        <f t="shared" si="159"/>
        <v>0</v>
      </c>
      <c r="AB217" s="4">
        <f t="shared" si="160"/>
        <v>0</v>
      </c>
      <c r="AC217" s="4">
        <f t="shared" si="161"/>
        <v>0</v>
      </c>
      <c r="AD217" s="4">
        <f t="shared" si="162"/>
        <v>0</v>
      </c>
      <c r="AE217" s="4">
        <f t="shared" si="163"/>
        <v>0</v>
      </c>
      <c r="AF217" s="4">
        <f t="shared" si="164"/>
        <v>0</v>
      </c>
      <c r="AG217" s="4">
        <f t="shared" si="165"/>
        <v>0</v>
      </c>
      <c r="AH217" s="4">
        <f t="shared" si="166"/>
        <v>0</v>
      </c>
      <c r="AI217" s="30" t="s">
        <v>630</v>
      </c>
      <c r="AJ217" s="4">
        <f t="shared" si="167"/>
        <v>0</v>
      </c>
      <c r="AK217" s="4">
        <f t="shared" si="168"/>
        <v>0</v>
      </c>
      <c r="AL217" s="4">
        <f t="shared" si="169"/>
        <v>0</v>
      </c>
      <c r="AN217" s="4">
        <v>21</v>
      </c>
      <c r="AO217" s="4">
        <f>I217*1</f>
        <v>0</v>
      </c>
      <c r="AP217" s="4">
        <f>I217*(1-1)</f>
        <v>0</v>
      </c>
      <c r="AQ217" s="14" t="s">
        <v>907</v>
      </c>
      <c r="AV217" s="4">
        <f t="shared" si="170"/>
        <v>0</v>
      </c>
      <c r="AW217" s="4">
        <f t="shared" si="171"/>
        <v>0</v>
      </c>
      <c r="AX217" s="4">
        <f t="shared" si="172"/>
        <v>0</v>
      </c>
      <c r="AY217" s="14" t="s">
        <v>580</v>
      </c>
      <c r="AZ217" s="14" t="s">
        <v>57</v>
      </c>
      <c r="BA217" s="30" t="s">
        <v>694</v>
      </c>
      <c r="BC217" s="4">
        <f t="shared" si="173"/>
        <v>0</v>
      </c>
      <c r="BD217" s="4">
        <f t="shared" si="174"/>
        <v>0</v>
      </c>
      <c r="BE217" s="4">
        <v>0</v>
      </c>
      <c r="BF217" s="4">
        <f>217</f>
        <v>217</v>
      </c>
      <c r="BH217" s="4">
        <f t="shared" si="175"/>
        <v>0</v>
      </c>
      <c r="BI217" s="4">
        <f t="shared" si="176"/>
        <v>0</v>
      </c>
      <c r="BJ217" s="4">
        <f t="shared" si="177"/>
        <v>0</v>
      </c>
      <c r="BK217" s="4"/>
      <c r="BL217" s="4">
        <v>722</v>
      </c>
    </row>
    <row r="218" spans="1:64" ht="15" customHeight="1">
      <c r="A218" s="22" t="s">
        <v>503</v>
      </c>
      <c r="B218" s="9" t="s">
        <v>141</v>
      </c>
      <c r="C218" s="53" t="s">
        <v>730</v>
      </c>
      <c r="D218" s="53"/>
      <c r="E218" s="53"/>
      <c r="F218" s="53"/>
      <c r="G218" s="9" t="s">
        <v>232</v>
      </c>
      <c r="H218" s="4">
        <v>10</v>
      </c>
      <c r="I218" s="4">
        <v>0</v>
      </c>
      <c r="J218" s="4">
        <f t="shared" si="156"/>
        <v>0</v>
      </c>
      <c r="K218" s="4">
        <f t="shared" si="157"/>
        <v>0</v>
      </c>
      <c r="L218" s="4">
        <f t="shared" si="158"/>
        <v>0</v>
      </c>
      <c r="M218" s="17" t="s">
        <v>619</v>
      </c>
      <c r="Z218" s="4">
        <f t="shared" si="159"/>
        <v>0</v>
      </c>
      <c r="AB218" s="4">
        <f t="shared" si="160"/>
        <v>0</v>
      </c>
      <c r="AC218" s="4">
        <f t="shared" si="161"/>
        <v>0</v>
      </c>
      <c r="AD218" s="4">
        <f t="shared" si="162"/>
        <v>0</v>
      </c>
      <c r="AE218" s="4">
        <f t="shared" si="163"/>
        <v>0</v>
      </c>
      <c r="AF218" s="4">
        <f t="shared" si="164"/>
        <v>0</v>
      </c>
      <c r="AG218" s="4">
        <f t="shared" si="165"/>
        <v>0</v>
      </c>
      <c r="AH218" s="4">
        <f t="shared" si="166"/>
        <v>0</v>
      </c>
      <c r="AI218" s="30" t="s">
        <v>630</v>
      </c>
      <c r="AJ218" s="4">
        <f t="shared" si="167"/>
        <v>0</v>
      </c>
      <c r="AK218" s="4">
        <f t="shared" si="168"/>
        <v>0</v>
      </c>
      <c r="AL218" s="4">
        <f t="shared" si="169"/>
        <v>0</v>
      </c>
      <c r="AN218" s="4">
        <v>21</v>
      </c>
      <c r="AO218" s="4">
        <f>I218*0.581486665211418</f>
        <v>0</v>
      </c>
      <c r="AP218" s="4">
        <f>I218*(1-0.581486665211418)</f>
        <v>0</v>
      </c>
      <c r="AQ218" s="14" t="s">
        <v>907</v>
      </c>
      <c r="AV218" s="4">
        <f t="shared" si="170"/>
        <v>0</v>
      </c>
      <c r="AW218" s="4">
        <f t="shared" si="171"/>
        <v>0</v>
      </c>
      <c r="AX218" s="4">
        <f t="shared" si="172"/>
        <v>0</v>
      </c>
      <c r="AY218" s="14" t="s">
        <v>580</v>
      </c>
      <c r="AZ218" s="14" t="s">
        <v>57</v>
      </c>
      <c r="BA218" s="30" t="s">
        <v>694</v>
      </c>
      <c r="BC218" s="4">
        <f t="shared" si="173"/>
        <v>0</v>
      </c>
      <c r="BD218" s="4">
        <f t="shared" si="174"/>
        <v>0</v>
      </c>
      <c r="BE218" s="4">
        <v>0</v>
      </c>
      <c r="BF218" s="4">
        <f>218</f>
        <v>218</v>
      </c>
      <c r="BH218" s="4">
        <f t="shared" si="175"/>
        <v>0</v>
      </c>
      <c r="BI218" s="4">
        <f t="shared" si="176"/>
        <v>0</v>
      </c>
      <c r="BJ218" s="4">
        <f t="shared" si="177"/>
        <v>0</v>
      </c>
      <c r="BK218" s="4"/>
      <c r="BL218" s="4">
        <v>722</v>
      </c>
    </row>
    <row r="219" spans="1:64" ht="15" customHeight="1">
      <c r="A219" s="22" t="s">
        <v>104</v>
      </c>
      <c r="B219" s="9" t="s">
        <v>816</v>
      </c>
      <c r="C219" s="53" t="s">
        <v>316</v>
      </c>
      <c r="D219" s="53"/>
      <c r="E219" s="53"/>
      <c r="F219" s="53"/>
      <c r="G219" s="9" t="s">
        <v>232</v>
      </c>
      <c r="H219" s="4">
        <v>13</v>
      </c>
      <c r="I219" s="4">
        <v>0</v>
      </c>
      <c r="J219" s="4">
        <f t="shared" si="156"/>
        <v>0</v>
      </c>
      <c r="K219" s="4">
        <f t="shared" si="157"/>
        <v>0</v>
      </c>
      <c r="L219" s="4">
        <f t="shared" si="158"/>
        <v>0</v>
      </c>
      <c r="M219" s="17" t="s">
        <v>619</v>
      </c>
      <c r="Z219" s="4">
        <f t="shared" si="159"/>
        <v>0</v>
      </c>
      <c r="AB219" s="4">
        <f t="shared" si="160"/>
        <v>0</v>
      </c>
      <c r="AC219" s="4">
        <f t="shared" si="161"/>
        <v>0</v>
      </c>
      <c r="AD219" s="4">
        <f t="shared" si="162"/>
        <v>0</v>
      </c>
      <c r="AE219" s="4">
        <f t="shared" si="163"/>
        <v>0</v>
      </c>
      <c r="AF219" s="4">
        <f t="shared" si="164"/>
        <v>0</v>
      </c>
      <c r="AG219" s="4">
        <f t="shared" si="165"/>
        <v>0</v>
      </c>
      <c r="AH219" s="4">
        <f t="shared" si="166"/>
        <v>0</v>
      </c>
      <c r="AI219" s="30" t="s">
        <v>630</v>
      </c>
      <c r="AJ219" s="4">
        <f t="shared" si="167"/>
        <v>0</v>
      </c>
      <c r="AK219" s="4">
        <f t="shared" si="168"/>
        <v>0</v>
      </c>
      <c r="AL219" s="4">
        <f t="shared" si="169"/>
        <v>0</v>
      </c>
      <c r="AN219" s="4">
        <v>21</v>
      </c>
      <c r="AO219" s="4">
        <f>I219*0.755614513122042</f>
        <v>0</v>
      </c>
      <c r="AP219" s="4">
        <f>I219*(1-0.755614513122042)</f>
        <v>0</v>
      </c>
      <c r="AQ219" s="14" t="s">
        <v>907</v>
      </c>
      <c r="AV219" s="4">
        <f t="shared" si="170"/>
        <v>0</v>
      </c>
      <c r="AW219" s="4">
        <f t="shared" si="171"/>
        <v>0</v>
      </c>
      <c r="AX219" s="4">
        <f t="shared" si="172"/>
        <v>0</v>
      </c>
      <c r="AY219" s="14" t="s">
        <v>580</v>
      </c>
      <c r="AZ219" s="14" t="s">
        <v>57</v>
      </c>
      <c r="BA219" s="30" t="s">
        <v>694</v>
      </c>
      <c r="BC219" s="4">
        <f t="shared" si="173"/>
        <v>0</v>
      </c>
      <c r="BD219" s="4">
        <f t="shared" si="174"/>
        <v>0</v>
      </c>
      <c r="BE219" s="4">
        <v>0</v>
      </c>
      <c r="BF219" s="4">
        <f>219</f>
        <v>219</v>
      </c>
      <c r="BH219" s="4">
        <f t="shared" si="175"/>
        <v>0</v>
      </c>
      <c r="BI219" s="4">
        <f t="shared" si="176"/>
        <v>0</v>
      </c>
      <c r="BJ219" s="4">
        <f t="shared" si="177"/>
        <v>0</v>
      </c>
      <c r="BK219" s="4"/>
      <c r="BL219" s="4">
        <v>722</v>
      </c>
    </row>
    <row r="220" spans="1:64" ht="15" customHeight="1">
      <c r="A220" s="22" t="s">
        <v>481</v>
      </c>
      <c r="B220" s="9" t="s">
        <v>947</v>
      </c>
      <c r="C220" s="53" t="s">
        <v>911</v>
      </c>
      <c r="D220" s="53"/>
      <c r="E220" s="53"/>
      <c r="F220" s="53"/>
      <c r="G220" s="9" t="s">
        <v>232</v>
      </c>
      <c r="H220" s="4">
        <v>7</v>
      </c>
      <c r="I220" s="4">
        <v>0</v>
      </c>
      <c r="J220" s="4">
        <f t="shared" si="156"/>
        <v>0</v>
      </c>
      <c r="K220" s="4">
        <f t="shared" si="157"/>
        <v>0</v>
      </c>
      <c r="L220" s="4">
        <f t="shared" si="158"/>
        <v>0</v>
      </c>
      <c r="M220" s="17" t="s">
        <v>619</v>
      </c>
      <c r="Z220" s="4">
        <f t="shared" si="159"/>
        <v>0</v>
      </c>
      <c r="AB220" s="4">
        <f t="shared" si="160"/>
        <v>0</v>
      </c>
      <c r="AC220" s="4">
        <f t="shared" si="161"/>
        <v>0</v>
      </c>
      <c r="AD220" s="4">
        <f t="shared" si="162"/>
        <v>0</v>
      </c>
      <c r="AE220" s="4">
        <f t="shared" si="163"/>
        <v>0</v>
      </c>
      <c r="AF220" s="4">
        <f t="shared" si="164"/>
        <v>0</v>
      </c>
      <c r="AG220" s="4">
        <f t="shared" si="165"/>
        <v>0</v>
      </c>
      <c r="AH220" s="4">
        <f t="shared" si="166"/>
        <v>0</v>
      </c>
      <c r="AI220" s="30" t="s">
        <v>630</v>
      </c>
      <c r="AJ220" s="4">
        <f t="shared" si="167"/>
        <v>0</v>
      </c>
      <c r="AK220" s="4">
        <f t="shared" si="168"/>
        <v>0</v>
      </c>
      <c r="AL220" s="4">
        <f t="shared" si="169"/>
        <v>0</v>
      </c>
      <c r="AN220" s="4">
        <v>21</v>
      </c>
      <c r="AO220" s="4">
        <f>I220*0.0548251748251748</f>
        <v>0</v>
      </c>
      <c r="AP220" s="4">
        <f>I220*(1-0.0548251748251748)</f>
        <v>0</v>
      </c>
      <c r="AQ220" s="14" t="s">
        <v>907</v>
      </c>
      <c r="AV220" s="4">
        <f t="shared" si="170"/>
        <v>0</v>
      </c>
      <c r="AW220" s="4">
        <f t="shared" si="171"/>
        <v>0</v>
      </c>
      <c r="AX220" s="4">
        <f t="shared" si="172"/>
        <v>0</v>
      </c>
      <c r="AY220" s="14" t="s">
        <v>580</v>
      </c>
      <c r="AZ220" s="14" t="s">
        <v>57</v>
      </c>
      <c r="BA220" s="30" t="s">
        <v>694</v>
      </c>
      <c r="BC220" s="4">
        <f t="shared" si="173"/>
        <v>0</v>
      </c>
      <c r="BD220" s="4">
        <f t="shared" si="174"/>
        <v>0</v>
      </c>
      <c r="BE220" s="4">
        <v>0</v>
      </c>
      <c r="BF220" s="4">
        <f>220</f>
        <v>220</v>
      </c>
      <c r="BH220" s="4">
        <f t="shared" si="175"/>
        <v>0</v>
      </c>
      <c r="BI220" s="4">
        <f t="shared" si="176"/>
        <v>0</v>
      </c>
      <c r="BJ220" s="4">
        <f t="shared" si="177"/>
        <v>0</v>
      </c>
      <c r="BK220" s="4"/>
      <c r="BL220" s="4">
        <v>722</v>
      </c>
    </row>
    <row r="221" spans="1:64" ht="15" customHeight="1">
      <c r="A221" s="22" t="s">
        <v>59</v>
      </c>
      <c r="B221" s="9" t="s">
        <v>867</v>
      </c>
      <c r="C221" s="53" t="s">
        <v>349</v>
      </c>
      <c r="D221" s="53"/>
      <c r="E221" s="53"/>
      <c r="F221" s="53"/>
      <c r="G221" s="9" t="s">
        <v>232</v>
      </c>
      <c r="H221" s="4">
        <v>7</v>
      </c>
      <c r="I221" s="4">
        <v>0</v>
      </c>
      <c r="J221" s="4">
        <f t="shared" si="156"/>
        <v>0</v>
      </c>
      <c r="K221" s="4">
        <f t="shared" si="157"/>
        <v>0</v>
      </c>
      <c r="L221" s="4">
        <f t="shared" si="158"/>
        <v>0</v>
      </c>
      <c r="M221" s="17" t="s">
        <v>619</v>
      </c>
      <c r="Z221" s="4">
        <f t="shared" si="159"/>
        <v>0</v>
      </c>
      <c r="AB221" s="4">
        <f t="shared" si="160"/>
        <v>0</v>
      </c>
      <c r="AC221" s="4">
        <f t="shared" si="161"/>
        <v>0</v>
      </c>
      <c r="AD221" s="4">
        <f t="shared" si="162"/>
        <v>0</v>
      </c>
      <c r="AE221" s="4">
        <f t="shared" si="163"/>
        <v>0</v>
      </c>
      <c r="AF221" s="4">
        <f t="shared" si="164"/>
        <v>0</v>
      </c>
      <c r="AG221" s="4">
        <f t="shared" si="165"/>
        <v>0</v>
      </c>
      <c r="AH221" s="4">
        <f t="shared" si="166"/>
        <v>0</v>
      </c>
      <c r="AI221" s="30" t="s">
        <v>630</v>
      </c>
      <c r="AJ221" s="4">
        <f t="shared" si="167"/>
        <v>0</v>
      </c>
      <c r="AK221" s="4">
        <f t="shared" si="168"/>
        <v>0</v>
      </c>
      <c r="AL221" s="4">
        <f t="shared" si="169"/>
        <v>0</v>
      </c>
      <c r="AN221" s="4">
        <v>21</v>
      </c>
      <c r="AO221" s="4">
        <f>I221*1</f>
        <v>0</v>
      </c>
      <c r="AP221" s="4">
        <f>I221*(1-1)</f>
        <v>0</v>
      </c>
      <c r="AQ221" s="14" t="s">
        <v>907</v>
      </c>
      <c r="AV221" s="4">
        <f t="shared" si="170"/>
        <v>0</v>
      </c>
      <c r="AW221" s="4">
        <f t="shared" si="171"/>
        <v>0</v>
      </c>
      <c r="AX221" s="4">
        <f t="shared" si="172"/>
        <v>0</v>
      </c>
      <c r="AY221" s="14" t="s">
        <v>580</v>
      </c>
      <c r="AZ221" s="14" t="s">
        <v>57</v>
      </c>
      <c r="BA221" s="30" t="s">
        <v>694</v>
      </c>
      <c r="BC221" s="4">
        <f t="shared" si="173"/>
        <v>0</v>
      </c>
      <c r="BD221" s="4">
        <f t="shared" si="174"/>
        <v>0</v>
      </c>
      <c r="BE221" s="4">
        <v>0</v>
      </c>
      <c r="BF221" s="4">
        <f>221</f>
        <v>221</v>
      </c>
      <c r="BH221" s="4">
        <f t="shared" si="175"/>
        <v>0</v>
      </c>
      <c r="BI221" s="4">
        <f t="shared" si="176"/>
        <v>0</v>
      </c>
      <c r="BJ221" s="4">
        <f t="shared" si="177"/>
        <v>0</v>
      </c>
      <c r="BK221" s="4"/>
      <c r="BL221" s="4">
        <v>722</v>
      </c>
    </row>
    <row r="222" spans="1:64" ht="15" customHeight="1">
      <c r="A222" s="22" t="s">
        <v>971</v>
      </c>
      <c r="B222" s="9" t="s">
        <v>912</v>
      </c>
      <c r="C222" s="53" t="s">
        <v>738</v>
      </c>
      <c r="D222" s="53"/>
      <c r="E222" s="53"/>
      <c r="F222" s="53"/>
      <c r="G222" s="9" t="s">
        <v>232</v>
      </c>
      <c r="H222" s="4">
        <v>12</v>
      </c>
      <c r="I222" s="4">
        <v>0</v>
      </c>
      <c r="J222" s="4">
        <f t="shared" si="156"/>
        <v>0</v>
      </c>
      <c r="K222" s="4">
        <f t="shared" si="157"/>
        <v>0</v>
      </c>
      <c r="L222" s="4">
        <f t="shared" si="158"/>
        <v>0</v>
      </c>
      <c r="M222" s="17" t="s">
        <v>619</v>
      </c>
      <c r="Z222" s="4">
        <f t="shared" si="159"/>
        <v>0</v>
      </c>
      <c r="AB222" s="4">
        <f t="shared" si="160"/>
        <v>0</v>
      </c>
      <c r="AC222" s="4">
        <f t="shared" si="161"/>
        <v>0</v>
      </c>
      <c r="AD222" s="4">
        <f t="shared" si="162"/>
        <v>0</v>
      </c>
      <c r="AE222" s="4">
        <f t="shared" si="163"/>
        <v>0</v>
      </c>
      <c r="AF222" s="4">
        <f t="shared" si="164"/>
        <v>0</v>
      </c>
      <c r="AG222" s="4">
        <f t="shared" si="165"/>
        <v>0</v>
      </c>
      <c r="AH222" s="4">
        <f t="shared" si="166"/>
        <v>0</v>
      </c>
      <c r="AI222" s="30" t="s">
        <v>630</v>
      </c>
      <c r="AJ222" s="4">
        <f t="shared" si="167"/>
        <v>0</v>
      </c>
      <c r="AK222" s="4">
        <f t="shared" si="168"/>
        <v>0</v>
      </c>
      <c r="AL222" s="4">
        <f t="shared" si="169"/>
        <v>0</v>
      </c>
      <c r="AN222" s="4">
        <v>21</v>
      </c>
      <c r="AO222" s="4">
        <f>I222*0.127984849789102</f>
        <v>0</v>
      </c>
      <c r="AP222" s="4">
        <f>I222*(1-0.127984849789102)</f>
        <v>0</v>
      </c>
      <c r="AQ222" s="14" t="s">
        <v>907</v>
      </c>
      <c r="AV222" s="4">
        <f t="shared" si="170"/>
        <v>0</v>
      </c>
      <c r="AW222" s="4">
        <f t="shared" si="171"/>
        <v>0</v>
      </c>
      <c r="AX222" s="4">
        <f t="shared" si="172"/>
        <v>0</v>
      </c>
      <c r="AY222" s="14" t="s">
        <v>580</v>
      </c>
      <c r="AZ222" s="14" t="s">
        <v>57</v>
      </c>
      <c r="BA222" s="30" t="s">
        <v>694</v>
      </c>
      <c r="BC222" s="4">
        <f t="shared" si="173"/>
        <v>0</v>
      </c>
      <c r="BD222" s="4">
        <f t="shared" si="174"/>
        <v>0</v>
      </c>
      <c r="BE222" s="4">
        <v>0</v>
      </c>
      <c r="BF222" s="4">
        <f>222</f>
        <v>222</v>
      </c>
      <c r="BH222" s="4">
        <f t="shared" si="175"/>
        <v>0</v>
      </c>
      <c r="BI222" s="4">
        <f t="shared" si="176"/>
        <v>0</v>
      </c>
      <c r="BJ222" s="4">
        <f t="shared" si="177"/>
        <v>0</v>
      </c>
      <c r="BK222" s="4"/>
      <c r="BL222" s="4">
        <v>722</v>
      </c>
    </row>
    <row r="223" spans="1:64" ht="15" customHeight="1">
      <c r="A223" s="22" t="s">
        <v>539</v>
      </c>
      <c r="B223" s="9" t="s">
        <v>8</v>
      </c>
      <c r="C223" s="53" t="s">
        <v>648</v>
      </c>
      <c r="D223" s="53"/>
      <c r="E223" s="53"/>
      <c r="F223" s="53"/>
      <c r="G223" s="9" t="s">
        <v>232</v>
      </c>
      <c r="H223" s="4">
        <v>12</v>
      </c>
      <c r="I223" s="4">
        <v>0</v>
      </c>
      <c r="J223" s="4">
        <f t="shared" si="156"/>
        <v>0</v>
      </c>
      <c r="K223" s="4">
        <f t="shared" si="157"/>
        <v>0</v>
      </c>
      <c r="L223" s="4">
        <f t="shared" si="158"/>
        <v>0</v>
      </c>
      <c r="M223" s="17" t="s">
        <v>619</v>
      </c>
      <c r="Z223" s="4">
        <f t="shared" si="159"/>
        <v>0</v>
      </c>
      <c r="AB223" s="4">
        <f t="shared" si="160"/>
        <v>0</v>
      </c>
      <c r="AC223" s="4">
        <f t="shared" si="161"/>
        <v>0</v>
      </c>
      <c r="AD223" s="4">
        <f t="shared" si="162"/>
        <v>0</v>
      </c>
      <c r="AE223" s="4">
        <f t="shared" si="163"/>
        <v>0</v>
      </c>
      <c r="AF223" s="4">
        <f t="shared" si="164"/>
        <v>0</v>
      </c>
      <c r="AG223" s="4">
        <f t="shared" si="165"/>
        <v>0</v>
      </c>
      <c r="AH223" s="4">
        <f t="shared" si="166"/>
        <v>0</v>
      </c>
      <c r="AI223" s="30" t="s">
        <v>630</v>
      </c>
      <c r="AJ223" s="4">
        <f t="shared" si="167"/>
        <v>0</v>
      </c>
      <c r="AK223" s="4">
        <f t="shared" si="168"/>
        <v>0</v>
      </c>
      <c r="AL223" s="4">
        <f t="shared" si="169"/>
        <v>0</v>
      </c>
      <c r="AN223" s="4">
        <v>21</v>
      </c>
      <c r="AO223" s="4">
        <f>I223*1</f>
        <v>0</v>
      </c>
      <c r="AP223" s="4">
        <f>I223*(1-1)</f>
        <v>0</v>
      </c>
      <c r="AQ223" s="14" t="s">
        <v>907</v>
      </c>
      <c r="AV223" s="4">
        <f t="shared" si="170"/>
        <v>0</v>
      </c>
      <c r="AW223" s="4">
        <f t="shared" si="171"/>
        <v>0</v>
      </c>
      <c r="AX223" s="4">
        <f t="shared" si="172"/>
        <v>0</v>
      </c>
      <c r="AY223" s="14" t="s">
        <v>580</v>
      </c>
      <c r="AZ223" s="14" t="s">
        <v>57</v>
      </c>
      <c r="BA223" s="30" t="s">
        <v>694</v>
      </c>
      <c r="BC223" s="4">
        <f t="shared" si="173"/>
        <v>0</v>
      </c>
      <c r="BD223" s="4">
        <f t="shared" si="174"/>
        <v>0</v>
      </c>
      <c r="BE223" s="4">
        <v>0</v>
      </c>
      <c r="BF223" s="4">
        <f>223</f>
        <v>223</v>
      </c>
      <c r="BH223" s="4">
        <f t="shared" si="175"/>
        <v>0</v>
      </c>
      <c r="BI223" s="4">
        <f t="shared" si="176"/>
        <v>0</v>
      </c>
      <c r="BJ223" s="4">
        <f t="shared" si="177"/>
        <v>0</v>
      </c>
      <c r="BK223" s="4"/>
      <c r="BL223" s="4">
        <v>722</v>
      </c>
    </row>
    <row r="224" spans="1:64" ht="15" customHeight="1">
      <c r="A224" s="22" t="s">
        <v>378</v>
      </c>
      <c r="B224" s="9" t="s">
        <v>356</v>
      </c>
      <c r="C224" s="53" t="s">
        <v>818</v>
      </c>
      <c r="D224" s="53"/>
      <c r="E224" s="53"/>
      <c r="F224" s="53"/>
      <c r="G224" s="9" t="s">
        <v>232</v>
      </c>
      <c r="H224" s="4">
        <v>35</v>
      </c>
      <c r="I224" s="4">
        <v>0</v>
      </c>
      <c r="J224" s="4">
        <f t="shared" si="156"/>
        <v>0</v>
      </c>
      <c r="K224" s="4">
        <f t="shared" si="157"/>
        <v>0</v>
      </c>
      <c r="L224" s="4">
        <f t="shared" si="158"/>
        <v>0</v>
      </c>
      <c r="M224" s="17" t="s">
        <v>619</v>
      </c>
      <c r="Z224" s="4">
        <f t="shared" si="159"/>
        <v>0</v>
      </c>
      <c r="AB224" s="4">
        <f t="shared" si="160"/>
        <v>0</v>
      </c>
      <c r="AC224" s="4">
        <f t="shared" si="161"/>
        <v>0</v>
      </c>
      <c r="AD224" s="4">
        <f t="shared" si="162"/>
        <v>0</v>
      </c>
      <c r="AE224" s="4">
        <f t="shared" si="163"/>
        <v>0</v>
      </c>
      <c r="AF224" s="4">
        <f t="shared" si="164"/>
        <v>0</v>
      </c>
      <c r="AG224" s="4">
        <f t="shared" si="165"/>
        <v>0</v>
      </c>
      <c r="AH224" s="4">
        <f t="shared" si="166"/>
        <v>0</v>
      </c>
      <c r="AI224" s="30" t="s">
        <v>630</v>
      </c>
      <c r="AJ224" s="4">
        <f t="shared" si="167"/>
        <v>0</v>
      </c>
      <c r="AK224" s="4">
        <f t="shared" si="168"/>
        <v>0</v>
      </c>
      <c r="AL224" s="4">
        <f t="shared" si="169"/>
        <v>0</v>
      </c>
      <c r="AN224" s="4">
        <v>21</v>
      </c>
      <c r="AO224" s="4">
        <f>I224*0.57807486631016</f>
        <v>0</v>
      </c>
      <c r="AP224" s="4">
        <f>I224*(1-0.57807486631016)</f>
        <v>0</v>
      </c>
      <c r="AQ224" s="14" t="s">
        <v>907</v>
      </c>
      <c r="AV224" s="4">
        <f t="shared" si="170"/>
        <v>0</v>
      </c>
      <c r="AW224" s="4">
        <f t="shared" si="171"/>
        <v>0</v>
      </c>
      <c r="AX224" s="4">
        <f t="shared" si="172"/>
        <v>0</v>
      </c>
      <c r="AY224" s="14" t="s">
        <v>580</v>
      </c>
      <c r="AZ224" s="14" t="s">
        <v>57</v>
      </c>
      <c r="BA224" s="30" t="s">
        <v>694</v>
      </c>
      <c r="BC224" s="4">
        <f t="shared" si="173"/>
        <v>0</v>
      </c>
      <c r="BD224" s="4">
        <f t="shared" si="174"/>
        <v>0</v>
      </c>
      <c r="BE224" s="4">
        <v>0</v>
      </c>
      <c r="BF224" s="4">
        <f>224</f>
        <v>224</v>
      </c>
      <c r="BH224" s="4">
        <f t="shared" si="175"/>
        <v>0</v>
      </c>
      <c r="BI224" s="4">
        <f t="shared" si="176"/>
        <v>0</v>
      </c>
      <c r="BJ224" s="4">
        <f t="shared" si="177"/>
        <v>0</v>
      </c>
      <c r="BK224" s="4"/>
      <c r="BL224" s="4">
        <v>722</v>
      </c>
    </row>
    <row r="225" spans="1:64" ht="15" customHeight="1">
      <c r="A225" s="22" t="s">
        <v>268</v>
      </c>
      <c r="B225" s="9" t="s">
        <v>560</v>
      </c>
      <c r="C225" s="53" t="s">
        <v>662</v>
      </c>
      <c r="D225" s="53"/>
      <c r="E225" s="53"/>
      <c r="F225" s="53"/>
      <c r="G225" s="9" t="s">
        <v>232</v>
      </c>
      <c r="H225" s="4">
        <v>35</v>
      </c>
      <c r="I225" s="4">
        <v>0</v>
      </c>
      <c r="J225" s="4">
        <f t="shared" si="156"/>
        <v>0</v>
      </c>
      <c r="K225" s="4">
        <f t="shared" si="157"/>
        <v>0</v>
      </c>
      <c r="L225" s="4">
        <f t="shared" si="158"/>
        <v>0</v>
      </c>
      <c r="M225" s="17" t="s">
        <v>619</v>
      </c>
      <c r="Z225" s="4">
        <f t="shared" si="159"/>
        <v>0</v>
      </c>
      <c r="AB225" s="4">
        <f t="shared" si="160"/>
        <v>0</v>
      </c>
      <c r="AC225" s="4">
        <f t="shared" si="161"/>
        <v>0</v>
      </c>
      <c r="AD225" s="4">
        <f t="shared" si="162"/>
        <v>0</v>
      </c>
      <c r="AE225" s="4">
        <f t="shared" si="163"/>
        <v>0</v>
      </c>
      <c r="AF225" s="4">
        <f t="shared" si="164"/>
        <v>0</v>
      </c>
      <c r="AG225" s="4">
        <f t="shared" si="165"/>
        <v>0</v>
      </c>
      <c r="AH225" s="4">
        <f t="shared" si="166"/>
        <v>0</v>
      </c>
      <c r="AI225" s="30" t="s">
        <v>630</v>
      </c>
      <c r="AJ225" s="4">
        <f t="shared" si="167"/>
        <v>0</v>
      </c>
      <c r="AK225" s="4">
        <f t="shared" si="168"/>
        <v>0</v>
      </c>
      <c r="AL225" s="4">
        <f t="shared" si="169"/>
        <v>0</v>
      </c>
      <c r="AN225" s="4">
        <v>21</v>
      </c>
      <c r="AO225" s="4">
        <f>I225*1</f>
        <v>0</v>
      </c>
      <c r="AP225" s="4">
        <f>I225*(1-1)</f>
        <v>0</v>
      </c>
      <c r="AQ225" s="14" t="s">
        <v>907</v>
      </c>
      <c r="AV225" s="4">
        <f t="shared" si="170"/>
        <v>0</v>
      </c>
      <c r="AW225" s="4">
        <f t="shared" si="171"/>
        <v>0</v>
      </c>
      <c r="AX225" s="4">
        <f t="shared" si="172"/>
        <v>0</v>
      </c>
      <c r="AY225" s="14" t="s">
        <v>580</v>
      </c>
      <c r="AZ225" s="14" t="s">
        <v>57</v>
      </c>
      <c r="BA225" s="30" t="s">
        <v>694</v>
      </c>
      <c r="BC225" s="4">
        <f t="shared" si="173"/>
        <v>0</v>
      </c>
      <c r="BD225" s="4">
        <f t="shared" si="174"/>
        <v>0</v>
      </c>
      <c r="BE225" s="4">
        <v>0</v>
      </c>
      <c r="BF225" s="4">
        <f>225</f>
        <v>225</v>
      </c>
      <c r="BH225" s="4">
        <f t="shared" si="175"/>
        <v>0</v>
      </c>
      <c r="BI225" s="4">
        <f t="shared" si="176"/>
        <v>0</v>
      </c>
      <c r="BJ225" s="4">
        <f t="shared" si="177"/>
        <v>0</v>
      </c>
      <c r="BK225" s="4"/>
      <c r="BL225" s="4">
        <v>722</v>
      </c>
    </row>
    <row r="226" spans="1:64" ht="15" customHeight="1">
      <c r="A226" s="22" t="s">
        <v>631</v>
      </c>
      <c r="B226" s="9" t="s">
        <v>727</v>
      </c>
      <c r="C226" s="53" t="s">
        <v>185</v>
      </c>
      <c r="D226" s="53"/>
      <c r="E226" s="53"/>
      <c r="F226" s="53"/>
      <c r="G226" s="9" t="s">
        <v>232</v>
      </c>
      <c r="H226" s="4">
        <v>6</v>
      </c>
      <c r="I226" s="4">
        <v>0</v>
      </c>
      <c r="J226" s="4">
        <f t="shared" si="156"/>
        <v>0</v>
      </c>
      <c r="K226" s="4">
        <f t="shared" si="157"/>
        <v>0</v>
      </c>
      <c r="L226" s="4">
        <f t="shared" si="158"/>
        <v>0</v>
      </c>
      <c r="M226" s="17" t="s">
        <v>619</v>
      </c>
      <c r="Z226" s="4">
        <f t="shared" si="159"/>
        <v>0</v>
      </c>
      <c r="AB226" s="4">
        <f t="shared" si="160"/>
        <v>0</v>
      </c>
      <c r="AC226" s="4">
        <f t="shared" si="161"/>
        <v>0</v>
      </c>
      <c r="AD226" s="4">
        <f t="shared" si="162"/>
        <v>0</v>
      </c>
      <c r="AE226" s="4">
        <f t="shared" si="163"/>
        <v>0</v>
      </c>
      <c r="AF226" s="4">
        <f t="shared" si="164"/>
        <v>0</v>
      </c>
      <c r="AG226" s="4">
        <f t="shared" si="165"/>
        <v>0</v>
      </c>
      <c r="AH226" s="4">
        <f t="shared" si="166"/>
        <v>0</v>
      </c>
      <c r="AI226" s="30" t="s">
        <v>630</v>
      </c>
      <c r="AJ226" s="4">
        <f t="shared" si="167"/>
        <v>0</v>
      </c>
      <c r="AK226" s="4">
        <f t="shared" si="168"/>
        <v>0</v>
      </c>
      <c r="AL226" s="4">
        <f t="shared" si="169"/>
        <v>0</v>
      </c>
      <c r="AN226" s="4">
        <v>21</v>
      </c>
      <c r="AO226" s="4">
        <f>I226*0.0202586206896552</f>
        <v>0</v>
      </c>
      <c r="AP226" s="4">
        <f>I226*(1-0.0202586206896552)</f>
        <v>0</v>
      </c>
      <c r="AQ226" s="14" t="s">
        <v>907</v>
      </c>
      <c r="AV226" s="4">
        <f t="shared" si="170"/>
        <v>0</v>
      </c>
      <c r="AW226" s="4">
        <f t="shared" si="171"/>
        <v>0</v>
      </c>
      <c r="AX226" s="4">
        <f t="shared" si="172"/>
        <v>0</v>
      </c>
      <c r="AY226" s="14" t="s">
        <v>580</v>
      </c>
      <c r="AZ226" s="14" t="s">
        <v>57</v>
      </c>
      <c r="BA226" s="30" t="s">
        <v>694</v>
      </c>
      <c r="BC226" s="4">
        <f t="shared" si="173"/>
        <v>0</v>
      </c>
      <c r="BD226" s="4">
        <f t="shared" si="174"/>
        <v>0</v>
      </c>
      <c r="BE226" s="4">
        <v>0</v>
      </c>
      <c r="BF226" s="4">
        <f>226</f>
        <v>226</v>
      </c>
      <c r="BH226" s="4">
        <f t="shared" si="175"/>
        <v>0</v>
      </c>
      <c r="BI226" s="4">
        <f t="shared" si="176"/>
        <v>0</v>
      </c>
      <c r="BJ226" s="4">
        <f t="shared" si="177"/>
        <v>0</v>
      </c>
      <c r="BK226" s="4"/>
      <c r="BL226" s="4">
        <v>722</v>
      </c>
    </row>
    <row r="227" spans="1:64" ht="15" customHeight="1">
      <c r="A227" s="22" t="s">
        <v>842</v>
      </c>
      <c r="B227" s="9" t="s">
        <v>567</v>
      </c>
      <c r="C227" s="53" t="s">
        <v>446</v>
      </c>
      <c r="D227" s="53"/>
      <c r="E227" s="53"/>
      <c r="F227" s="53"/>
      <c r="G227" s="9" t="s">
        <v>232</v>
      </c>
      <c r="H227" s="4">
        <v>6</v>
      </c>
      <c r="I227" s="4">
        <v>0</v>
      </c>
      <c r="J227" s="4">
        <f t="shared" si="156"/>
        <v>0</v>
      </c>
      <c r="K227" s="4">
        <f t="shared" si="157"/>
        <v>0</v>
      </c>
      <c r="L227" s="4">
        <f t="shared" si="158"/>
        <v>0</v>
      </c>
      <c r="M227" s="17" t="s">
        <v>619</v>
      </c>
      <c r="Z227" s="4">
        <f t="shared" si="159"/>
        <v>0</v>
      </c>
      <c r="AB227" s="4">
        <f t="shared" si="160"/>
        <v>0</v>
      </c>
      <c r="AC227" s="4">
        <f t="shared" si="161"/>
        <v>0</v>
      </c>
      <c r="AD227" s="4">
        <f t="shared" si="162"/>
        <v>0</v>
      </c>
      <c r="AE227" s="4">
        <f t="shared" si="163"/>
        <v>0</v>
      </c>
      <c r="AF227" s="4">
        <f t="shared" si="164"/>
        <v>0</v>
      </c>
      <c r="AG227" s="4">
        <f t="shared" si="165"/>
        <v>0</v>
      </c>
      <c r="AH227" s="4">
        <f t="shared" si="166"/>
        <v>0</v>
      </c>
      <c r="AI227" s="30" t="s">
        <v>630</v>
      </c>
      <c r="AJ227" s="4">
        <f t="shared" si="167"/>
        <v>0</v>
      </c>
      <c r="AK227" s="4">
        <f t="shared" si="168"/>
        <v>0</v>
      </c>
      <c r="AL227" s="4">
        <f t="shared" si="169"/>
        <v>0</v>
      </c>
      <c r="AN227" s="4">
        <v>21</v>
      </c>
      <c r="AO227" s="4">
        <f>I227*1</f>
        <v>0</v>
      </c>
      <c r="AP227" s="4">
        <f>I227*(1-1)</f>
        <v>0</v>
      </c>
      <c r="AQ227" s="14" t="s">
        <v>907</v>
      </c>
      <c r="AV227" s="4">
        <f t="shared" si="170"/>
        <v>0</v>
      </c>
      <c r="AW227" s="4">
        <f t="shared" si="171"/>
        <v>0</v>
      </c>
      <c r="AX227" s="4">
        <f t="shared" si="172"/>
        <v>0</v>
      </c>
      <c r="AY227" s="14" t="s">
        <v>580</v>
      </c>
      <c r="AZ227" s="14" t="s">
        <v>57</v>
      </c>
      <c r="BA227" s="30" t="s">
        <v>694</v>
      </c>
      <c r="BC227" s="4">
        <f t="shared" si="173"/>
        <v>0</v>
      </c>
      <c r="BD227" s="4">
        <f t="shared" si="174"/>
        <v>0</v>
      </c>
      <c r="BE227" s="4">
        <v>0</v>
      </c>
      <c r="BF227" s="4">
        <f>227</f>
        <v>227</v>
      </c>
      <c r="BH227" s="4">
        <f t="shared" si="175"/>
        <v>0</v>
      </c>
      <c r="BI227" s="4">
        <f t="shared" si="176"/>
        <v>0</v>
      </c>
      <c r="BJ227" s="4">
        <f t="shared" si="177"/>
        <v>0</v>
      </c>
      <c r="BK227" s="4"/>
      <c r="BL227" s="4">
        <v>722</v>
      </c>
    </row>
    <row r="228" spans="1:64" ht="15" customHeight="1">
      <c r="A228" s="22" t="s">
        <v>219</v>
      </c>
      <c r="B228" s="9" t="s">
        <v>109</v>
      </c>
      <c r="C228" s="53" t="s">
        <v>502</v>
      </c>
      <c r="D228" s="53"/>
      <c r="E228" s="53"/>
      <c r="F228" s="53"/>
      <c r="G228" s="9" t="s">
        <v>232</v>
      </c>
      <c r="H228" s="4">
        <v>12</v>
      </c>
      <c r="I228" s="4">
        <v>0</v>
      </c>
      <c r="J228" s="4">
        <f t="shared" si="156"/>
        <v>0</v>
      </c>
      <c r="K228" s="4">
        <f t="shared" si="157"/>
        <v>0</v>
      </c>
      <c r="L228" s="4">
        <f t="shared" si="158"/>
        <v>0</v>
      </c>
      <c r="M228" s="17" t="s">
        <v>619</v>
      </c>
      <c r="Z228" s="4">
        <f t="shared" si="159"/>
        <v>0</v>
      </c>
      <c r="AB228" s="4">
        <f t="shared" si="160"/>
        <v>0</v>
      </c>
      <c r="AC228" s="4">
        <f t="shared" si="161"/>
        <v>0</v>
      </c>
      <c r="AD228" s="4">
        <f t="shared" si="162"/>
        <v>0</v>
      </c>
      <c r="AE228" s="4">
        <f t="shared" si="163"/>
        <v>0</v>
      </c>
      <c r="AF228" s="4">
        <f t="shared" si="164"/>
        <v>0</v>
      </c>
      <c r="AG228" s="4">
        <f t="shared" si="165"/>
        <v>0</v>
      </c>
      <c r="AH228" s="4">
        <f t="shared" si="166"/>
        <v>0</v>
      </c>
      <c r="AI228" s="30" t="s">
        <v>630</v>
      </c>
      <c r="AJ228" s="4">
        <f t="shared" si="167"/>
        <v>0</v>
      </c>
      <c r="AK228" s="4">
        <f t="shared" si="168"/>
        <v>0</v>
      </c>
      <c r="AL228" s="4">
        <f t="shared" si="169"/>
        <v>0</v>
      </c>
      <c r="AN228" s="4">
        <v>21</v>
      </c>
      <c r="AO228" s="4">
        <f>I228*0.0114634146341463</f>
        <v>0</v>
      </c>
      <c r="AP228" s="4">
        <f>I228*(1-0.0114634146341463)</f>
        <v>0</v>
      </c>
      <c r="AQ228" s="14" t="s">
        <v>907</v>
      </c>
      <c r="AV228" s="4">
        <f t="shared" si="170"/>
        <v>0</v>
      </c>
      <c r="AW228" s="4">
        <f t="shared" si="171"/>
        <v>0</v>
      </c>
      <c r="AX228" s="4">
        <f t="shared" si="172"/>
        <v>0</v>
      </c>
      <c r="AY228" s="14" t="s">
        <v>580</v>
      </c>
      <c r="AZ228" s="14" t="s">
        <v>57</v>
      </c>
      <c r="BA228" s="30" t="s">
        <v>694</v>
      </c>
      <c r="BC228" s="4">
        <f t="shared" si="173"/>
        <v>0</v>
      </c>
      <c r="BD228" s="4">
        <f t="shared" si="174"/>
        <v>0</v>
      </c>
      <c r="BE228" s="4">
        <v>0</v>
      </c>
      <c r="BF228" s="4">
        <f>228</f>
        <v>228</v>
      </c>
      <c r="BH228" s="4">
        <f t="shared" si="175"/>
        <v>0</v>
      </c>
      <c r="BI228" s="4">
        <f t="shared" si="176"/>
        <v>0</v>
      </c>
      <c r="BJ228" s="4">
        <f t="shared" si="177"/>
        <v>0</v>
      </c>
      <c r="BK228" s="4"/>
      <c r="BL228" s="4">
        <v>722</v>
      </c>
    </row>
    <row r="229" spans="1:64" ht="15" customHeight="1">
      <c r="A229" s="22" t="s">
        <v>956</v>
      </c>
      <c r="B229" s="9" t="s">
        <v>729</v>
      </c>
      <c r="C229" s="53" t="s">
        <v>434</v>
      </c>
      <c r="D229" s="53"/>
      <c r="E229" s="53"/>
      <c r="F229" s="53"/>
      <c r="G229" s="9" t="s">
        <v>232</v>
      </c>
      <c r="H229" s="4">
        <v>12</v>
      </c>
      <c r="I229" s="4">
        <v>0</v>
      </c>
      <c r="J229" s="4">
        <f t="shared" si="156"/>
        <v>0</v>
      </c>
      <c r="K229" s="4">
        <f t="shared" si="157"/>
        <v>0</v>
      </c>
      <c r="L229" s="4">
        <f t="shared" si="158"/>
        <v>0</v>
      </c>
      <c r="M229" s="17" t="s">
        <v>619</v>
      </c>
      <c r="Z229" s="4">
        <f t="shared" si="159"/>
        <v>0</v>
      </c>
      <c r="AB229" s="4">
        <f t="shared" si="160"/>
        <v>0</v>
      </c>
      <c r="AC229" s="4">
        <f t="shared" si="161"/>
        <v>0</v>
      </c>
      <c r="AD229" s="4">
        <f t="shared" si="162"/>
        <v>0</v>
      </c>
      <c r="AE229" s="4">
        <f t="shared" si="163"/>
        <v>0</v>
      </c>
      <c r="AF229" s="4">
        <f t="shared" si="164"/>
        <v>0</v>
      </c>
      <c r="AG229" s="4">
        <f t="shared" si="165"/>
        <v>0</v>
      </c>
      <c r="AH229" s="4">
        <f t="shared" si="166"/>
        <v>0</v>
      </c>
      <c r="AI229" s="30" t="s">
        <v>630</v>
      </c>
      <c r="AJ229" s="4">
        <f t="shared" si="167"/>
        <v>0</v>
      </c>
      <c r="AK229" s="4">
        <f t="shared" si="168"/>
        <v>0</v>
      </c>
      <c r="AL229" s="4">
        <f t="shared" si="169"/>
        <v>0</v>
      </c>
      <c r="AN229" s="4">
        <v>21</v>
      </c>
      <c r="AO229" s="4">
        <f>I229*1</f>
        <v>0</v>
      </c>
      <c r="AP229" s="4">
        <f>I229*(1-1)</f>
        <v>0</v>
      </c>
      <c r="AQ229" s="14" t="s">
        <v>907</v>
      </c>
      <c r="AV229" s="4">
        <f t="shared" si="170"/>
        <v>0</v>
      </c>
      <c r="AW229" s="4">
        <f t="shared" si="171"/>
        <v>0</v>
      </c>
      <c r="AX229" s="4">
        <f t="shared" si="172"/>
        <v>0</v>
      </c>
      <c r="AY229" s="14" t="s">
        <v>580</v>
      </c>
      <c r="AZ229" s="14" t="s">
        <v>57</v>
      </c>
      <c r="BA229" s="30" t="s">
        <v>694</v>
      </c>
      <c r="BC229" s="4">
        <f t="shared" si="173"/>
        <v>0</v>
      </c>
      <c r="BD229" s="4">
        <f t="shared" si="174"/>
        <v>0</v>
      </c>
      <c r="BE229" s="4">
        <v>0</v>
      </c>
      <c r="BF229" s="4">
        <f>229</f>
        <v>229</v>
      </c>
      <c r="BH229" s="4">
        <f t="shared" si="175"/>
        <v>0</v>
      </c>
      <c r="BI229" s="4">
        <f t="shared" si="176"/>
        <v>0</v>
      </c>
      <c r="BJ229" s="4">
        <f t="shared" si="177"/>
        <v>0</v>
      </c>
      <c r="BK229" s="4"/>
      <c r="BL229" s="4">
        <v>722</v>
      </c>
    </row>
    <row r="230" spans="1:64" ht="15" customHeight="1">
      <c r="A230" s="22" t="s">
        <v>376</v>
      </c>
      <c r="B230" s="9" t="s">
        <v>336</v>
      </c>
      <c r="C230" s="53" t="s">
        <v>406</v>
      </c>
      <c r="D230" s="53"/>
      <c r="E230" s="53"/>
      <c r="F230" s="53"/>
      <c r="G230" s="9" t="s">
        <v>232</v>
      </c>
      <c r="H230" s="4">
        <v>7</v>
      </c>
      <c r="I230" s="4">
        <v>0</v>
      </c>
      <c r="J230" s="4">
        <f t="shared" si="156"/>
        <v>0</v>
      </c>
      <c r="K230" s="4">
        <f t="shared" si="157"/>
        <v>0</v>
      </c>
      <c r="L230" s="4">
        <f t="shared" si="158"/>
        <v>0</v>
      </c>
      <c r="M230" s="17" t="s">
        <v>619</v>
      </c>
      <c r="Z230" s="4">
        <f t="shared" si="159"/>
        <v>0</v>
      </c>
      <c r="AB230" s="4">
        <f t="shared" si="160"/>
        <v>0</v>
      </c>
      <c r="AC230" s="4">
        <f t="shared" si="161"/>
        <v>0</v>
      </c>
      <c r="AD230" s="4">
        <f t="shared" si="162"/>
        <v>0</v>
      </c>
      <c r="AE230" s="4">
        <f t="shared" si="163"/>
        <v>0</v>
      </c>
      <c r="AF230" s="4">
        <f t="shared" si="164"/>
        <v>0</v>
      </c>
      <c r="AG230" s="4">
        <f t="shared" si="165"/>
        <v>0</v>
      </c>
      <c r="AH230" s="4">
        <f t="shared" si="166"/>
        <v>0</v>
      </c>
      <c r="AI230" s="30" t="s">
        <v>630</v>
      </c>
      <c r="AJ230" s="4">
        <f t="shared" si="167"/>
        <v>0</v>
      </c>
      <c r="AK230" s="4">
        <f t="shared" si="168"/>
        <v>0</v>
      </c>
      <c r="AL230" s="4">
        <f t="shared" si="169"/>
        <v>0</v>
      </c>
      <c r="AN230" s="4">
        <v>21</v>
      </c>
      <c r="AO230" s="4">
        <f>I230*0</f>
        <v>0</v>
      </c>
      <c r="AP230" s="4">
        <f>I230*(1-0)</f>
        <v>0</v>
      </c>
      <c r="AQ230" s="14" t="s">
        <v>907</v>
      </c>
      <c r="AV230" s="4">
        <f t="shared" si="170"/>
        <v>0</v>
      </c>
      <c r="AW230" s="4">
        <f t="shared" si="171"/>
        <v>0</v>
      </c>
      <c r="AX230" s="4">
        <f t="shared" si="172"/>
        <v>0</v>
      </c>
      <c r="AY230" s="14" t="s">
        <v>580</v>
      </c>
      <c r="AZ230" s="14" t="s">
        <v>57</v>
      </c>
      <c r="BA230" s="30" t="s">
        <v>694</v>
      </c>
      <c r="BC230" s="4">
        <f t="shared" si="173"/>
        <v>0</v>
      </c>
      <c r="BD230" s="4">
        <f t="shared" si="174"/>
        <v>0</v>
      </c>
      <c r="BE230" s="4">
        <v>0</v>
      </c>
      <c r="BF230" s="4">
        <f>230</f>
        <v>230</v>
      </c>
      <c r="BH230" s="4">
        <f t="shared" si="175"/>
        <v>0</v>
      </c>
      <c r="BI230" s="4">
        <f t="shared" si="176"/>
        <v>0</v>
      </c>
      <c r="BJ230" s="4">
        <f t="shared" si="177"/>
        <v>0</v>
      </c>
      <c r="BK230" s="4"/>
      <c r="BL230" s="4">
        <v>722</v>
      </c>
    </row>
    <row r="231" spans="1:64" ht="15" customHeight="1">
      <c r="A231" s="22" t="s">
        <v>832</v>
      </c>
      <c r="B231" s="9" t="s">
        <v>900</v>
      </c>
      <c r="C231" s="53" t="s">
        <v>192</v>
      </c>
      <c r="D231" s="53"/>
      <c r="E231" s="53"/>
      <c r="F231" s="53"/>
      <c r="G231" s="9" t="s">
        <v>232</v>
      </c>
      <c r="H231" s="4">
        <v>7</v>
      </c>
      <c r="I231" s="4">
        <v>0</v>
      </c>
      <c r="J231" s="4">
        <f t="shared" si="156"/>
        <v>0</v>
      </c>
      <c r="K231" s="4">
        <f t="shared" si="157"/>
        <v>0</v>
      </c>
      <c r="L231" s="4">
        <f t="shared" si="158"/>
        <v>0</v>
      </c>
      <c r="M231" s="17" t="s">
        <v>619</v>
      </c>
      <c r="Z231" s="4">
        <f t="shared" si="159"/>
        <v>0</v>
      </c>
      <c r="AB231" s="4">
        <f t="shared" si="160"/>
        <v>0</v>
      </c>
      <c r="AC231" s="4">
        <f t="shared" si="161"/>
        <v>0</v>
      </c>
      <c r="AD231" s="4">
        <f t="shared" si="162"/>
        <v>0</v>
      </c>
      <c r="AE231" s="4">
        <f t="shared" si="163"/>
        <v>0</v>
      </c>
      <c r="AF231" s="4">
        <f t="shared" si="164"/>
        <v>0</v>
      </c>
      <c r="AG231" s="4">
        <f t="shared" si="165"/>
        <v>0</v>
      </c>
      <c r="AH231" s="4">
        <f t="shared" si="166"/>
        <v>0</v>
      </c>
      <c r="AI231" s="30" t="s">
        <v>630</v>
      </c>
      <c r="AJ231" s="4">
        <f t="shared" si="167"/>
        <v>0</v>
      </c>
      <c r="AK231" s="4">
        <f t="shared" si="168"/>
        <v>0</v>
      </c>
      <c r="AL231" s="4">
        <f t="shared" si="169"/>
        <v>0</v>
      </c>
      <c r="AN231" s="4">
        <v>21</v>
      </c>
      <c r="AO231" s="4">
        <f>I231*1</f>
        <v>0</v>
      </c>
      <c r="AP231" s="4">
        <f>I231*(1-1)</f>
        <v>0</v>
      </c>
      <c r="AQ231" s="14" t="s">
        <v>907</v>
      </c>
      <c r="AV231" s="4">
        <f t="shared" si="170"/>
        <v>0</v>
      </c>
      <c r="AW231" s="4">
        <f t="shared" si="171"/>
        <v>0</v>
      </c>
      <c r="AX231" s="4">
        <f t="shared" si="172"/>
        <v>0</v>
      </c>
      <c r="AY231" s="14" t="s">
        <v>580</v>
      </c>
      <c r="AZ231" s="14" t="s">
        <v>57</v>
      </c>
      <c r="BA231" s="30" t="s">
        <v>694</v>
      </c>
      <c r="BC231" s="4">
        <f t="shared" si="173"/>
        <v>0</v>
      </c>
      <c r="BD231" s="4">
        <f t="shared" si="174"/>
        <v>0</v>
      </c>
      <c r="BE231" s="4">
        <v>0</v>
      </c>
      <c r="BF231" s="4">
        <f>231</f>
        <v>231</v>
      </c>
      <c r="BH231" s="4">
        <f t="shared" si="175"/>
        <v>0</v>
      </c>
      <c r="BI231" s="4">
        <f t="shared" si="176"/>
        <v>0</v>
      </c>
      <c r="BJ231" s="4">
        <f t="shared" si="177"/>
        <v>0</v>
      </c>
      <c r="BK231" s="4"/>
      <c r="BL231" s="4">
        <v>722</v>
      </c>
    </row>
    <row r="232" spans="1:64" ht="15" customHeight="1">
      <c r="A232" s="22" t="s">
        <v>667</v>
      </c>
      <c r="B232" s="9" t="s">
        <v>878</v>
      </c>
      <c r="C232" s="53" t="s">
        <v>470</v>
      </c>
      <c r="D232" s="53"/>
      <c r="E232" s="53"/>
      <c r="F232" s="53"/>
      <c r="G232" s="9" t="s">
        <v>232</v>
      </c>
      <c r="H232" s="4">
        <v>13</v>
      </c>
      <c r="I232" s="4">
        <v>0</v>
      </c>
      <c r="J232" s="4">
        <f t="shared" si="156"/>
        <v>0</v>
      </c>
      <c r="K232" s="4">
        <f t="shared" si="157"/>
        <v>0</v>
      </c>
      <c r="L232" s="4">
        <f t="shared" si="158"/>
        <v>0</v>
      </c>
      <c r="M232" s="17" t="s">
        <v>619</v>
      </c>
      <c r="Z232" s="4">
        <f t="shared" si="159"/>
        <v>0</v>
      </c>
      <c r="AB232" s="4">
        <f t="shared" si="160"/>
        <v>0</v>
      </c>
      <c r="AC232" s="4">
        <f t="shared" si="161"/>
        <v>0</v>
      </c>
      <c r="AD232" s="4">
        <f t="shared" si="162"/>
        <v>0</v>
      </c>
      <c r="AE232" s="4">
        <f t="shared" si="163"/>
        <v>0</v>
      </c>
      <c r="AF232" s="4">
        <f t="shared" si="164"/>
        <v>0</v>
      </c>
      <c r="AG232" s="4">
        <f t="shared" si="165"/>
        <v>0</v>
      </c>
      <c r="AH232" s="4">
        <f t="shared" si="166"/>
        <v>0</v>
      </c>
      <c r="AI232" s="30" t="s">
        <v>630</v>
      </c>
      <c r="AJ232" s="4">
        <f t="shared" si="167"/>
        <v>0</v>
      </c>
      <c r="AK232" s="4">
        <f t="shared" si="168"/>
        <v>0</v>
      </c>
      <c r="AL232" s="4">
        <f t="shared" si="169"/>
        <v>0</v>
      </c>
      <c r="AN232" s="4">
        <v>21</v>
      </c>
      <c r="AO232" s="4">
        <f>I232*0</f>
        <v>0</v>
      </c>
      <c r="AP232" s="4">
        <f>I232*(1-0)</f>
        <v>0</v>
      </c>
      <c r="AQ232" s="14" t="s">
        <v>907</v>
      </c>
      <c r="AV232" s="4">
        <f t="shared" si="170"/>
        <v>0</v>
      </c>
      <c r="AW232" s="4">
        <f t="shared" si="171"/>
        <v>0</v>
      </c>
      <c r="AX232" s="4">
        <f t="shared" si="172"/>
        <v>0</v>
      </c>
      <c r="AY232" s="14" t="s">
        <v>580</v>
      </c>
      <c r="AZ232" s="14" t="s">
        <v>57</v>
      </c>
      <c r="BA232" s="30" t="s">
        <v>694</v>
      </c>
      <c r="BC232" s="4">
        <f t="shared" si="173"/>
        <v>0</v>
      </c>
      <c r="BD232" s="4">
        <f t="shared" si="174"/>
        <v>0</v>
      </c>
      <c r="BE232" s="4">
        <v>0</v>
      </c>
      <c r="BF232" s="4">
        <f>232</f>
        <v>232</v>
      </c>
      <c r="BH232" s="4">
        <f t="shared" si="175"/>
        <v>0</v>
      </c>
      <c r="BI232" s="4">
        <f t="shared" si="176"/>
        <v>0</v>
      </c>
      <c r="BJ232" s="4">
        <f t="shared" si="177"/>
        <v>0</v>
      </c>
      <c r="BK232" s="4"/>
      <c r="BL232" s="4">
        <v>722</v>
      </c>
    </row>
    <row r="233" spans="1:64" ht="15" customHeight="1">
      <c r="A233" s="22" t="s">
        <v>850</v>
      </c>
      <c r="B233" s="9" t="s">
        <v>119</v>
      </c>
      <c r="C233" s="53" t="s">
        <v>846</v>
      </c>
      <c r="D233" s="53"/>
      <c r="E233" s="53"/>
      <c r="F233" s="53"/>
      <c r="G233" s="9" t="s">
        <v>232</v>
      </c>
      <c r="H233" s="4">
        <v>13</v>
      </c>
      <c r="I233" s="4">
        <v>0</v>
      </c>
      <c r="J233" s="4">
        <f t="shared" si="156"/>
        <v>0</v>
      </c>
      <c r="K233" s="4">
        <f t="shared" si="157"/>
        <v>0</v>
      </c>
      <c r="L233" s="4">
        <f t="shared" si="158"/>
        <v>0</v>
      </c>
      <c r="M233" s="17" t="s">
        <v>619</v>
      </c>
      <c r="Z233" s="4">
        <f t="shared" si="159"/>
        <v>0</v>
      </c>
      <c r="AB233" s="4">
        <f t="shared" si="160"/>
        <v>0</v>
      </c>
      <c r="AC233" s="4">
        <f t="shared" si="161"/>
        <v>0</v>
      </c>
      <c r="AD233" s="4">
        <f t="shared" si="162"/>
        <v>0</v>
      </c>
      <c r="AE233" s="4">
        <f t="shared" si="163"/>
        <v>0</v>
      </c>
      <c r="AF233" s="4">
        <f t="shared" si="164"/>
        <v>0</v>
      </c>
      <c r="AG233" s="4">
        <f t="shared" si="165"/>
        <v>0</v>
      </c>
      <c r="AH233" s="4">
        <f t="shared" si="166"/>
        <v>0</v>
      </c>
      <c r="AI233" s="30" t="s">
        <v>630</v>
      </c>
      <c r="AJ233" s="4">
        <f t="shared" si="167"/>
        <v>0</v>
      </c>
      <c r="AK233" s="4">
        <f t="shared" si="168"/>
        <v>0</v>
      </c>
      <c r="AL233" s="4">
        <f t="shared" si="169"/>
        <v>0</v>
      </c>
      <c r="AN233" s="4">
        <v>21</v>
      </c>
      <c r="AO233" s="4">
        <f>I233*1</f>
        <v>0</v>
      </c>
      <c r="AP233" s="4">
        <f>I233*(1-1)</f>
        <v>0</v>
      </c>
      <c r="AQ233" s="14" t="s">
        <v>907</v>
      </c>
      <c r="AV233" s="4">
        <f t="shared" si="170"/>
        <v>0</v>
      </c>
      <c r="AW233" s="4">
        <f t="shared" si="171"/>
        <v>0</v>
      </c>
      <c r="AX233" s="4">
        <f t="shared" si="172"/>
        <v>0</v>
      </c>
      <c r="AY233" s="14" t="s">
        <v>580</v>
      </c>
      <c r="AZ233" s="14" t="s">
        <v>57</v>
      </c>
      <c r="BA233" s="30" t="s">
        <v>694</v>
      </c>
      <c r="BC233" s="4">
        <f t="shared" si="173"/>
        <v>0</v>
      </c>
      <c r="BD233" s="4">
        <f t="shared" si="174"/>
        <v>0</v>
      </c>
      <c r="BE233" s="4">
        <v>0</v>
      </c>
      <c r="BF233" s="4">
        <f>233</f>
        <v>233</v>
      </c>
      <c r="BH233" s="4">
        <f t="shared" si="175"/>
        <v>0</v>
      </c>
      <c r="BI233" s="4">
        <f t="shared" si="176"/>
        <v>0</v>
      </c>
      <c r="BJ233" s="4">
        <f t="shared" si="177"/>
        <v>0</v>
      </c>
      <c r="BK233" s="4"/>
      <c r="BL233" s="4">
        <v>722</v>
      </c>
    </row>
    <row r="234" spans="1:64" ht="15" customHeight="1">
      <c r="A234" s="22" t="s">
        <v>162</v>
      </c>
      <c r="B234" s="9" t="s">
        <v>11</v>
      </c>
      <c r="C234" s="53" t="s">
        <v>830</v>
      </c>
      <c r="D234" s="53"/>
      <c r="E234" s="53"/>
      <c r="F234" s="53"/>
      <c r="G234" s="9" t="s">
        <v>750</v>
      </c>
      <c r="H234" s="4">
        <v>190</v>
      </c>
      <c r="I234" s="4">
        <v>0</v>
      </c>
      <c r="J234" s="4">
        <f t="shared" si="156"/>
        <v>0</v>
      </c>
      <c r="K234" s="4">
        <f t="shared" si="157"/>
        <v>0</v>
      </c>
      <c r="L234" s="4">
        <f t="shared" si="158"/>
        <v>0</v>
      </c>
      <c r="M234" s="17" t="s">
        <v>619</v>
      </c>
      <c r="Z234" s="4">
        <f t="shared" si="159"/>
        <v>0</v>
      </c>
      <c r="AB234" s="4">
        <f t="shared" si="160"/>
        <v>0</v>
      </c>
      <c r="AC234" s="4">
        <f t="shared" si="161"/>
        <v>0</v>
      </c>
      <c r="AD234" s="4">
        <f t="shared" si="162"/>
        <v>0</v>
      </c>
      <c r="AE234" s="4">
        <f t="shared" si="163"/>
        <v>0</v>
      </c>
      <c r="AF234" s="4">
        <f t="shared" si="164"/>
        <v>0</v>
      </c>
      <c r="AG234" s="4">
        <f t="shared" si="165"/>
        <v>0</v>
      </c>
      <c r="AH234" s="4">
        <f t="shared" si="166"/>
        <v>0</v>
      </c>
      <c r="AI234" s="30" t="s">
        <v>630</v>
      </c>
      <c r="AJ234" s="4">
        <f t="shared" si="167"/>
        <v>0</v>
      </c>
      <c r="AK234" s="4">
        <f t="shared" si="168"/>
        <v>0</v>
      </c>
      <c r="AL234" s="4">
        <f t="shared" si="169"/>
        <v>0</v>
      </c>
      <c r="AN234" s="4">
        <v>21</v>
      </c>
      <c r="AO234" s="4">
        <f>I234*0.0142857142857143</f>
        <v>0</v>
      </c>
      <c r="AP234" s="4">
        <f>I234*(1-0.0142857142857143)</f>
        <v>0</v>
      </c>
      <c r="AQ234" s="14" t="s">
        <v>907</v>
      </c>
      <c r="AV234" s="4">
        <f t="shared" si="170"/>
        <v>0</v>
      </c>
      <c r="AW234" s="4">
        <f t="shared" si="171"/>
        <v>0</v>
      </c>
      <c r="AX234" s="4">
        <f t="shared" si="172"/>
        <v>0</v>
      </c>
      <c r="AY234" s="14" t="s">
        <v>580</v>
      </c>
      <c r="AZ234" s="14" t="s">
        <v>57</v>
      </c>
      <c r="BA234" s="30" t="s">
        <v>694</v>
      </c>
      <c r="BC234" s="4">
        <f t="shared" si="173"/>
        <v>0</v>
      </c>
      <c r="BD234" s="4">
        <f t="shared" si="174"/>
        <v>0</v>
      </c>
      <c r="BE234" s="4">
        <v>0</v>
      </c>
      <c r="BF234" s="4">
        <f>234</f>
        <v>234</v>
      </c>
      <c r="BH234" s="4">
        <f t="shared" si="175"/>
        <v>0</v>
      </c>
      <c r="BI234" s="4">
        <f t="shared" si="176"/>
        <v>0</v>
      </c>
      <c r="BJ234" s="4">
        <f t="shared" si="177"/>
        <v>0</v>
      </c>
      <c r="BK234" s="4"/>
      <c r="BL234" s="4">
        <v>722</v>
      </c>
    </row>
    <row r="235" spans="1:64" ht="15" customHeight="1">
      <c r="A235" s="22" t="s">
        <v>442</v>
      </c>
      <c r="B235" s="9" t="s">
        <v>310</v>
      </c>
      <c r="C235" s="53" t="s">
        <v>216</v>
      </c>
      <c r="D235" s="53"/>
      <c r="E235" s="53"/>
      <c r="F235" s="53"/>
      <c r="G235" s="9" t="s">
        <v>750</v>
      </c>
      <c r="H235" s="4">
        <v>45</v>
      </c>
      <c r="I235" s="4">
        <v>0</v>
      </c>
      <c r="J235" s="4">
        <f t="shared" si="156"/>
        <v>0</v>
      </c>
      <c r="K235" s="4">
        <f t="shared" si="157"/>
        <v>0</v>
      </c>
      <c r="L235" s="4">
        <f t="shared" si="158"/>
        <v>0</v>
      </c>
      <c r="M235" s="17" t="s">
        <v>619</v>
      </c>
      <c r="Z235" s="4">
        <f t="shared" si="159"/>
        <v>0</v>
      </c>
      <c r="AB235" s="4">
        <f t="shared" si="160"/>
        <v>0</v>
      </c>
      <c r="AC235" s="4">
        <f t="shared" si="161"/>
        <v>0</v>
      </c>
      <c r="AD235" s="4">
        <f t="shared" si="162"/>
        <v>0</v>
      </c>
      <c r="AE235" s="4">
        <f t="shared" si="163"/>
        <v>0</v>
      </c>
      <c r="AF235" s="4">
        <f t="shared" si="164"/>
        <v>0</v>
      </c>
      <c r="AG235" s="4">
        <f t="shared" si="165"/>
        <v>0</v>
      </c>
      <c r="AH235" s="4">
        <f t="shared" si="166"/>
        <v>0</v>
      </c>
      <c r="AI235" s="30" t="s">
        <v>630</v>
      </c>
      <c r="AJ235" s="4">
        <f t="shared" si="167"/>
        <v>0</v>
      </c>
      <c r="AK235" s="4">
        <f t="shared" si="168"/>
        <v>0</v>
      </c>
      <c r="AL235" s="4">
        <f t="shared" si="169"/>
        <v>0</v>
      </c>
      <c r="AN235" s="4">
        <v>21</v>
      </c>
      <c r="AO235" s="4">
        <f>I235*0.0188751191611058</f>
        <v>0</v>
      </c>
      <c r="AP235" s="4">
        <f>I235*(1-0.0188751191611058)</f>
        <v>0</v>
      </c>
      <c r="AQ235" s="14" t="s">
        <v>907</v>
      </c>
      <c r="AV235" s="4">
        <f t="shared" si="170"/>
        <v>0</v>
      </c>
      <c r="AW235" s="4">
        <f t="shared" si="171"/>
        <v>0</v>
      </c>
      <c r="AX235" s="4">
        <f t="shared" si="172"/>
        <v>0</v>
      </c>
      <c r="AY235" s="14" t="s">
        <v>580</v>
      </c>
      <c r="AZ235" s="14" t="s">
        <v>57</v>
      </c>
      <c r="BA235" s="30" t="s">
        <v>694</v>
      </c>
      <c r="BC235" s="4">
        <f t="shared" si="173"/>
        <v>0</v>
      </c>
      <c r="BD235" s="4">
        <f t="shared" si="174"/>
        <v>0</v>
      </c>
      <c r="BE235" s="4">
        <v>0</v>
      </c>
      <c r="BF235" s="4">
        <f>235</f>
        <v>235</v>
      </c>
      <c r="BH235" s="4">
        <f t="shared" si="175"/>
        <v>0</v>
      </c>
      <c r="BI235" s="4">
        <f t="shared" si="176"/>
        <v>0</v>
      </c>
      <c r="BJ235" s="4">
        <f t="shared" si="177"/>
        <v>0</v>
      </c>
      <c r="BK235" s="4"/>
      <c r="BL235" s="4">
        <v>722</v>
      </c>
    </row>
    <row r="236" spans="1:64" ht="15" customHeight="1">
      <c r="A236" s="22" t="s">
        <v>511</v>
      </c>
      <c r="B236" s="9" t="s">
        <v>145</v>
      </c>
      <c r="C236" s="53" t="s">
        <v>659</v>
      </c>
      <c r="D236" s="53"/>
      <c r="E236" s="53"/>
      <c r="F236" s="53"/>
      <c r="G236" s="9" t="s">
        <v>750</v>
      </c>
      <c r="H236" s="4">
        <v>170</v>
      </c>
      <c r="I236" s="4">
        <v>0</v>
      </c>
      <c r="J236" s="4">
        <f t="shared" si="156"/>
        <v>0</v>
      </c>
      <c r="K236" s="4">
        <f t="shared" si="157"/>
        <v>0</v>
      </c>
      <c r="L236" s="4">
        <f t="shared" si="158"/>
        <v>0</v>
      </c>
      <c r="M236" s="17" t="s">
        <v>619</v>
      </c>
      <c r="Z236" s="4">
        <f t="shared" si="159"/>
        <v>0</v>
      </c>
      <c r="AB236" s="4">
        <f t="shared" si="160"/>
        <v>0</v>
      </c>
      <c r="AC236" s="4">
        <f t="shared" si="161"/>
        <v>0</v>
      </c>
      <c r="AD236" s="4">
        <f t="shared" si="162"/>
        <v>0</v>
      </c>
      <c r="AE236" s="4">
        <f t="shared" si="163"/>
        <v>0</v>
      </c>
      <c r="AF236" s="4">
        <f t="shared" si="164"/>
        <v>0</v>
      </c>
      <c r="AG236" s="4">
        <f t="shared" si="165"/>
        <v>0</v>
      </c>
      <c r="AH236" s="4">
        <f t="shared" si="166"/>
        <v>0</v>
      </c>
      <c r="AI236" s="30" t="s">
        <v>630</v>
      </c>
      <c r="AJ236" s="4">
        <f t="shared" si="167"/>
        <v>0</v>
      </c>
      <c r="AK236" s="4">
        <f t="shared" si="168"/>
        <v>0</v>
      </c>
      <c r="AL236" s="4">
        <f t="shared" si="169"/>
        <v>0</v>
      </c>
      <c r="AN236" s="4">
        <v>21</v>
      </c>
      <c r="AO236" s="4">
        <f>I236*0.0523809523809524</f>
        <v>0</v>
      </c>
      <c r="AP236" s="4">
        <f>I236*(1-0.0523809523809524)</f>
        <v>0</v>
      </c>
      <c r="AQ236" s="14" t="s">
        <v>907</v>
      </c>
      <c r="AV236" s="4">
        <f t="shared" si="170"/>
        <v>0</v>
      </c>
      <c r="AW236" s="4">
        <f t="shared" si="171"/>
        <v>0</v>
      </c>
      <c r="AX236" s="4">
        <f t="shared" si="172"/>
        <v>0</v>
      </c>
      <c r="AY236" s="14" t="s">
        <v>580</v>
      </c>
      <c r="AZ236" s="14" t="s">
        <v>57</v>
      </c>
      <c r="BA236" s="30" t="s">
        <v>694</v>
      </c>
      <c r="BC236" s="4">
        <f t="shared" si="173"/>
        <v>0</v>
      </c>
      <c r="BD236" s="4">
        <f t="shared" si="174"/>
        <v>0</v>
      </c>
      <c r="BE236" s="4">
        <v>0</v>
      </c>
      <c r="BF236" s="4">
        <f>236</f>
        <v>236</v>
      </c>
      <c r="BH236" s="4">
        <f t="shared" si="175"/>
        <v>0</v>
      </c>
      <c r="BI236" s="4">
        <f t="shared" si="176"/>
        <v>0</v>
      </c>
      <c r="BJ236" s="4">
        <f t="shared" si="177"/>
        <v>0</v>
      </c>
      <c r="BK236" s="4"/>
      <c r="BL236" s="4">
        <v>722</v>
      </c>
    </row>
    <row r="237" spans="1:64" ht="15" customHeight="1">
      <c r="A237" s="22" t="s">
        <v>813</v>
      </c>
      <c r="B237" s="9" t="s">
        <v>613</v>
      </c>
      <c r="C237" s="53" t="s">
        <v>495</v>
      </c>
      <c r="D237" s="53"/>
      <c r="E237" s="53"/>
      <c r="F237" s="53"/>
      <c r="G237" s="9" t="s">
        <v>429</v>
      </c>
      <c r="H237" s="4">
        <v>0.222</v>
      </c>
      <c r="I237" s="4">
        <v>0</v>
      </c>
      <c r="J237" s="4">
        <f t="shared" si="156"/>
        <v>0</v>
      </c>
      <c r="K237" s="4">
        <f t="shared" si="157"/>
        <v>0</v>
      </c>
      <c r="L237" s="4">
        <f t="shared" si="158"/>
        <v>0</v>
      </c>
      <c r="M237" s="17" t="s">
        <v>619</v>
      </c>
      <c r="Z237" s="4">
        <f t="shared" si="159"/>
        <v>0</v>
      </c>
      <c r="AB237" s="4">
        <f t="shared" si="160"/>
        <v>0</v>
      </c>
      <c r="AC237" s="4">
        <f t="shared" si="161"/>
        <v>0</v>
      </c>
      <c r="AD237" s="4">
        <f t="shared" si="162"/>
        <v>0</v>
      </c>
      <c r="AE237" s="4">
        <f t="shared" si="163"/>
        <v>0</v>
      </c>
      <c r="AF237" s="4">
        <f t="shared" si="164"/>
        <v>0</v>
      </c>
      <c r="AG237" s="4">
        <f t="shared" si="165"/>
        <v>0</v>
      </c>
      <c r="AH237" s="4">
        <f t="shared" si="166"/>
        <v>0</v>
      </c>
      <c r="AI237" s="30" t="s">
        <v>630</v>
      </c>
      <c r="AJ237" s="4">
        <f t="shared" si="167"/>
        <v>0</v>
      </c>
      <c r="AK237" s="4">
        <f t="shared" si="168"/>
        <v>0</v>
      </c>
      <c r="AL237" s="4">
        <f t="shared" si="169"/>
        <v>0</v>
      </c>
      <c r="AN237" s="4">
        <v>21</v>
      </c>
      <c r="AO237" s="4">
        <f>I237*0</f>
        <v>0</v>
      </c>
      <c r="AP237" s="4">
        <f>I237*(1-0)</f>
        <v>0</v>
      </c>
      <c r="AQ237" s="14" t="s">
        <v>488</v>
      </c>
      <c r="AV237" s="4">
        <f t="shared" si="170"/>
        <v>0</v>
      </c>
      <c r="AW237" s="4">
        <f t="shared" si="171"/>
        <v>0</v>
      </c>
      <c r="AX237" s="4">
        <f t="shared" si="172"/>
        <v>0</v>
      </c>
      <c r="AY237" s="14" t="s">
        <v>580</v>
      </c>
      <c r="AZ237" s="14" t="s">
        <v>57</v>
      </c>
      <c r="BA237" s="30" t="s">
        <v>694</v>
      </c>
      <c r="BC237" s="4">
        <f t="shared" si="173"/>
        <v>0</v>
      </c>
      <c r="BD237" s="4">
        <f t="shared" si="174"/>
        <v>0</v>
      </c>
      <c r="BE237" s="4">
        <v>0</v>
      </c>
      <c r="BF237" s="4">
        <f>237</f>
        <v>237</v>
      </c>
      <c r="BH237" s="4">
        <f t="shared" si="175"/>
        <v>0</v>
      </c>
      <c r="BI237" s="4">
        <f t="shared" si="176"/>
        <v>0</v>
      </c>
      <c r="BJ237" s="4">
        <f t="shared" si="177"/>
        <v>0</v>
      </c>
      <c r="BK237" s="4"/>
      <c r="BL237" s="4">
        <v>722</v>
      </c>
    </row>
    <row r="238" spans="1:64" ht="15" customHeight="1">
      <c r="A238" s="12" t="s">
        <v>630</v>
      </c>
      <c r="B238" s="32" t="s">
        <v>871</v>
      </c>
      <c r="C238" s="61" t="s">
        <v>547</v>
      </c>
      <c r="D238" s="61"/>
      <c r="E238" s="61"/>
      <c r="F238" s="61"/>
      <c r="G238" s="45" t="s">
        <v>839</v>
      </c>
      <c r="H238" s="45" t="s">
        <v>839</v>
      </c>
      <c r="I238" s="45" t="s">
        <v>839</v>
      </c>
      <c r="J238" s="49">
        <f>SUM(J239:J243)</f>
        <v>0</v>
      </c>
      <c r="K238" s="49">
        <f>SUM(K239:K243)</f>
        <v>0</v>
      </c>
      <c r="L238" s="49">
        <f>SUM(L239:L243)</f>
        <v>0</v>
      </c>
      <c r="M238" s="29" t="s">
        <v>630</v>
      </c>
      <c r="AI238" s="30" t="s">
        <v>630</v>
      </c>
      <c r="AS238" s="49">
        <f>SUM(AJ239:AJ243)</f>
        <v>0</v>
      </c>
      <c r="AT238" s="49">
        <f>SUM(AK239:AK243)</f>
        <v>0</v>
      </c>
      <c r="AU238" s="49">
        <f>SUM(AL239:AL243)</f>
        <v>0</v>
      </c>
    </row>
    <row r="239" spans="1:64" ht="15" customHeight="1">
      <c r="A239" s="22" t="s">
        <v>922</v>
      </c>
      <c r="B239" s="9" t="s">
        <v>129</v>
      </c>
      <c r="C239" s="53" t="s">
        <v>798</v>
      </c>
      <c r="D239" s="53"/>
      <c r="E239" s="53"/>
      <c r="F239" s="53"/>
      <c r="G239" s="9" t="s">
        <v>232</v>
      </c>
      <c r="H239" s="4">
        <v>1</v>
      </c>
      <c r="I239" s="4">
        <v>0</v>
      </c>
      <c r="J239" s="4">
        <f>H239*AO239</f>
        <v>0</v>
      </c>
      <c r="K239" s="4">
        <f>H239*AP239</f>
        <v>0</v>
      </c>
      <c r="L239" s="4">
        <f>H239*I239</f>
        <v>0</v>
      </c>
      <c r="M239" s="17" t="s">
        <v>619</v>
      </c>
      <c r="Z239" s="4">
        <f>IF(AQ239="5",BJ239,0)</f>
        <v>0</v>
      </c>
      <c r="AB239" s="4">
        <f>IF(AQ239="1",BH239,0)</f>
        <v>0</v>
      </c>
      <c r="AC239" s="4">
        <f>IF(AQ239="1",BI239,0)</f>
        <v>0</v>
      </c>
      <c r="AD239" s="4">
        <f>IF(AQ239="7",BH239,0)</f>
        <v>0</v>
      </c>
      <c r="AE239" s="4">
        <f>IF(AQ239="7",BI239,0)</f>
        <v>0</v>
      </c>
      <c r="AF239" s="4">
        <f>IF(AQ239="2",BH239,0)</f>
        <v>0</v>
      </c>
      <c r="AG239" s="4">
        <f>IF(AQ239="2",BI239,0)</f>
        <v>0</v>
      </c>
      <c r="AH239" s="4">
        <f>IF(AQ239="0",BJ239,0)</f>
        <v>0</v>
      </c>
      <c r="AI239" s="30" t="s">
        <v>630</v>
      </c>
      <c r="AJ239" s="4">
        <f>IF(AN239=0,L239,0)</f>
        <v>0</v>
      </c>
      <c r="AK239" s="4">
        <f>IF(AN239=15,L239,0)</f>
        <v>0</v>
      </c>
      <c r="AL239" s="4">
        <f>IF(AN239=21,L239,0)</f>
        <v>0</v>
      </c>
      <c r="AN239" s="4">
        <v>21</v>
      </c>
      <c r="AO239" s="4">
        <f>I239*0.87125</f>
        <v>0</v>
      </c>
      <c r="AP239" s="4">
        <f>I239*(1-0.87125)</f>
        <v>0</v>
      </c>
      <c r="AQ239" s="14" t="s">
        <v>907</v>
      </c>
      <c r="AV239" s="4">
        <f>AW239+AX239</f>
        <v>0</v>
      </c>
      <c r="AW239" s="4">
        <f>H239*AO239</f>
        <v>0</v>
      </c>
      <c r="AX239" s="4">
        <f>H239*AP239</f>
        <v>0</v>
      </c>
      <c r="AY239" s="14" t="s">
        <v>417</v>
      </c>
      <c r="AZ239" s="14" t="s">
        <v>57</v>
      </c>
      <c r="BA239" s="30" t="s">
        <v>694</v>
      </c>
      <c r="BC239" s="4">
        <f>AW239+AX239</f>
        <v>0</v>
      </c>
      <c r="BD239" s="4">
        <f>I239/(100-BE239)*100</f>
        <v>0</v>
      </c>
      <c r="BE239" s="4">
        <v>0</v>
      </c>
      <c r="BF239" s="4">
        <f>239</f>
        <v>239</v>
      </c>
      <c r="BH239" s="4">
        <f>H239*AO239</f>
        <v>0</v>
      </c>
      <c r="BI239" s="4">
        <f>H239*AP239</f>
        <v>0</v>
      </c>
      <c r="BJ239" s="4">
        <f>H239*I239</f>
        <v>0</v>
      </c>
      <c r="BK239" s="4"/>
      <c r="BL239" s="4">
        <v>725</v>
      </c>
    </row>
    <row r="240" spans="1:64" ht="15" customHeight="1">
      <c r="A240" s="22" t="s">
        <v>2</v>
      </c>
      <c r="B240" s="9" t="s">
        <v>175</v>
      </c>
      <c r="C240" s="53" t="s">
        <v>780</v>
      </c>
      <c r="D240" s="53"/>
      <c r="E240" s="53"/>
      <c r="F240" s="53"/>
      <c r="G240" s="9" t="s">
        <v>232</v>
      </c>
      <c r="H240" s="4">
        <v>1</v>
      </c>
      <c r="I240" s="4">
        <v>0</v>
      </c>
      <c r="J240" s="4">
        <f>H240*AO240</f>
        <v>0</v>
      </c>
      <c r="K240" s="4">
        <f>H240*AP240</f>
        <v>0</v>
      </c>
      <c r="L240" s="4">
        <f>H240*I240</f>
        <v>0</v>
      </c>
      <c r="M240" s="17" t="s">
        <v>619</v>
      </c>
      <c r="Z240" s="4">
        <f>IF(AQ240="5",BJ240,0)</f>
        <v>0</v>
      </c>
      <c r="AB240" s="4">
        <f>IF(AQ240="1",BH240,0)</f>
        <v>0</v>
      </c>
      <c r="AC240" s="4">
        <f>IF(AQ240="1",BI240,0)</f>
        <v>0</v>
      </c>
      <c r="AD240" s="4">
        <f>IF(AQ240="7",BH240,0)</f>
        <v>0</v>
      </c>
      <c r="AE240" s="4">
        <f>IF(AQ240="7",BI240,0)</f>
        <v>0</v>
      </c>
      <c r="AF240" s="4">
        <f>IF(AQ240="2",BH240,0)</f>
        <v>0</v>
      </c>
      <c r="AG240" s="4">
        <f>IF(AQ240="2",BI240,0)</f>
        <v>0</v>
      </c>
      <c r="AH240" s="4">
        <f>IF(AQ240="0",BJ240,0)</f>
        <v>0</v>
      </c>
      <c r="AI240" s="30" t="s">
        <v>630</v>
      </c>
      <c r="AJ240" s="4">
        <f>IF(AN240=0,L240,0)</f>
        <v>0</v>
      </c>
      <c r="AK240" s="4">
        <f>IF(AN240=15,L240,0)</f>
        <v>0</v>
      </c>
      <c r="AL240" s="4">
        <f>IF(AN240=21,L240,0)</f>
        <v>0</v>
      </c>
      <c r="AN240" s="4">
        <v>21</v>
      </c>
      <c r="AO240" s="4">
        <f>I240*0.744919047619048</f>
        <v>0</v>
      </c>
      <c r="AP240" s="4">
        <f>I240*(1-0.744919047619048)</f>
        <v>0</v>
      </c>
      <c r="AQ240" s="14" t="s">
        <v>907</v>
      </c>
      <c r="AV240" s="4">
        <f>AW240+AX240</f>
        <v>0</v>
      </c>
      <c r="AW240" s="4">
        <f>H240*AO240</f>
        <v>0</v>
      </c>
      <c r="AX240" s="4">
        <f>H240*AP240</f>
        <v>0</v>
      </c>
      <c r="AY240" s="14" t="s">
        <v>417</v>
      </c>
      <c r="AZ240" s="14" t="s">
        <v>57</v>
      </c>
      <c r="BA240" s="30" t="s">
        <v>694</v>
      </c>
      <c r="BC240" s="4">
        <f>AW240+AX240</f>
        <v>0</v>
      </c>
      <c r="BD240" s="4">
        <f>I240/(100-BE240)*100</f>
        <v>0</v>
      </c>
      <c r="BE240" s="4">
        <v>0</v>
      </c>
      <c r="BF240" s="4">
        <f>240</f>
        <v>240</v>
      </c>
      <c r="BH240" s="4">
        <f>H240*AO240</f>
        <v>0</v>
      </c>
      <c r="BI240" s="4">
        <f>H240*AP240</f>
        <v>0</v>
      </c>
      <c r="BJ240" s="4">
        <f>H240*I240</f>
        <v>0</v>
      </c>
      <c r="BK240" s="4"/>
      <c r="BL240" s="4">
        <v>725</v>
      </c>
    </row>
    <row r="241" spans="1:64" ht="15" customHeight="1">
      <c r="A241" s="22" t="s">
        <v>27</v>
      </c>
      <c r="B241" s="9" t="s">
        <v>713</v>
      </c>
      <c r="C241" s="53" t="s">
        <v>506</v>
      </c>
      <c r="D241" s="53"/>
      <c r="E241" s="53"/>
      <c r="F241" s="53"/>
      <c r="G241" s="9" t="s">
        <v>695</v>
      </c>
      <c r="H241" s="4">
        <v>1</v>
      </c>
      <c r="I241" s="4">
        <v>0</v>
      </c>
      <c r="J241" s="4">
        <f>H241*AO241</f>
        <v>0</v>
      </c>
      <c r="K241" s="4">
        <f>H241*AP241</f>
        <v>0</v>
      </c>
      <c r="L241" s="4">
        <f>H241*I241</f>
        <v>0</v>
      </c>
      <c r="M241" s="17" t="s">
        <v>630</v>
      </c>
      <c r="Z241" s="4">
        <f>IF(AQ241="5",BJ241,0)</f>
        <v>0</v>
      </c>
      <c r="AB241" s="4">
        <f>IF(AQ241="1",BH241,0)</f>
        <v>0</v>
      </c>
      <c r="AC241" s="4">
        <f>IF(AQ241="1",BI241,0)</f>
        <v>0</v>
      </c>
      <c r="AD241" s="4">
        <f>IF(AQ241="7",BH241,0)</f>
        <v>0</v>
      </c>
      <c r="AE241" s="4">
        <f>IF(AQ241="7",BI241,0)</f>
        <v>0</v>
      </c>
      <c r="AF241" s="4">
        <f>IF(AQ241="2",BH241,0)</f>
        <v>0</v>
      </c>
      <c r="AG241" s="4">
        <f>IF(AQ241="2",BI241,0)</f>
        <v>0</v>
      </c>
      <c r="AH241" s="4">
        <f>IF(AQ241="0",BJ241,0)</f>
        <v>0</v>
      </c>
      <c r="AI241" s="30" t="s">
        <v>630</v>
      </c>
      <c r="AJ241" s="4">
        <f>IF(AN241=0,L241,0)</f>
        <v>0</v>
      </c>
      <c r="AK241" s="4">
        <f>IF(AN241=15,L241,0)</f>
        <v>0</v>
      </c>
      <c r="AL241" s="4">
        <f>IF(AN241=21,L241,0)</f>
        <v>0</v>
      </c>
      <c r="AN241" s="4">
        <v>21</v>
      </c>
      <c r="AO241" s="4">
        <f>I241*0.782608695652174</f>
        <v>0</v>
      </c>
      <c r="AP241" s="4">
        <f>I241*(1-0.782608695652174)</f>
        <v>0</v>
      </c>
      <c r="AQ241" s="14" t="s">
        <v>907</v>
      </c>
      <c r="AV241" s="4">
        <f>AW241+AX241</f>
        <v>0</v>
      </c>
      <c r="AW241" s="4">
        <f>H241*AO241</f>
        <v>0</v>
      </c>
      <c r="AX241" s="4">
        <f>H241*AP241</f>
        <v>0</v>
      </c>
      <c r="AY241" s="14" t="s">
        <v>417</v>
      </c>
      <c r="AZ241" s="14" t="s">
        <v>57</v>
      </c>
      <c r="BA241" s="30" t="s">
        <v>694</v>
      </c>
      <c r="BC241" s="4">
        <f>AW241+AX241</f>
        <v>0</v>
      </c>
      <c r="BD241" s="4">
        <f>I241/(100-BE241)*100</f>
        <v>0</v>
      </c>
      <c r="BE241" s="4">
        <v>0</v>
      </c>
      <c r="BF241" s="4">
        <f>241</f>
        <v>241</v>
      </c>
      <c r="BH241" s="4">
        <f>H241*AO241</f>
        <v>0</v>
      </c>
      <c r="BI241" s="4">
        <f>H241*AP241</f>
        <v>0</v>
      </c>
      <c r="BJ241" s="4">
        <f>H241*I241</f>
        <v>0</v>
      </c>
      <c r="BK241" s="4"/>
      <c r="BL241" s="4">
        <v>725</v>
      </c>
    </row>
    <row r="242" spans="1:64" ht="13.5" customHeight="1">
      <c r="A242" s="13"/>
      <c r="B242" s="18" t="s">
        <v>473</v>
      </c>
      <c r="C242" s="54" t="s">
        <v>499</v>
      </c>
      <c r="D242" s="55"/>
      <c r="E242" s="55"/>
      <c r="F242" s="55"/>
      <c r="G242" s="55"/>
      <c r="H242" s="55"/>
      <c r="I242" s="55"/>
      <c r="J242" s="55"/>
      <c r="K242" s="55"/>
      <c r="L242" s="55"/>
      <c r="M242" s="56"/>
    </row>
    <row r="243" spans="1:64" ht="15" customHeight="1">
      <c r="A243" s="22" t="s">
        <v>52</v>
      </c>
      <c r="B243" s="9" t="s">
        <v>759</v>
      </c>
      <c r="C243" s="53" t="s">
        <v>987</v>
      </c>
      <c r="D243" s="53"/>
      <c r="E243" s="53"/>
      <c r="F243" s="53"/>
      <c r="G243" s="9" t="s">
        <v>429</v>
      </c>
      <c r="H243" s="4">
        <v>1.9E-2</v>
      </c>
      <c r="I243" s="4">
        <v>0</v>
      </c>
      <c r="J243" s="4">
        <f>H243*AO243</f>
        <v>0</v>
      </c>
      <c r="K243" s="4">
        <f>H243*AP243</f>
        <v>0</v>
      </c>
      <c r="L243" s="4">
        <f>H243*I243</f>
        <v>0</v>
      </c>
      <c r="M243" s="17" t="s">
        <v>619</v>
      </c>
      <c r="Z243" s="4">
        <f>IF(AQ243="5",BJ243,0)</f>
        <v>0</v>
      </c>
      <c r="AB243" s="4">
        <f>IF(AQ243="1",BH243,0)</f>
        <v>0</v>
      </c>
      <c r="AC243" s="4">
        <f>IF(AQ243="1",BI243,0)</f>
        <v>0</v>
      </c>
      <c r="AD243" s="4">
        <f>IF(AQ243="7",BH243,0)</f>
        <v>0</v>
      </c>
      <c r="AE243" s="4">
        <f>IF(AQ243="7",BI243,0)</f>
        <v>0</v>
      </c>
      <c r="AF243" s="4">
        <f>IF(AQ243="2",BH243,0)</f>
        <v>0</v>
      </c>
      <c r="AG243" s="4">
        <f>IF(AQ243="2",BI243,0)</f>
        <v>0</v>
      </c>
      <c r="AH243" s="4">
        <f>IF(AQ243="0",BJ243,0)</f>
        <v>0</v>
      </c>
      <c r="AI243" s="30" t="s">
        <v>630</v>
      </c>
      <c r="AJ243" s="4">
        <f>IF(AN243=0,L243,0)</f>
        <v>0</v>
      </c>
      <c r="AK243" s="4">
        <f>IF(AN243=15,L243,0)</f>
        <v>0</v>
      </c>
      <c r="AL243" s="4">
        <f>IF(AN243=21,L243,0)</f>
        <v>0</v>
      </c>
      <c r="AN243" s="4">
        <v>21</v>
      </c>
      <c r="AO243" s="4">
        <f>I243*0</f>
        <v>0</v>
      </c>
      <c r="AP243" s="4">
        <f>I243*(1-0)</f>
        <v>0</v>
      </c>
      <c r="AQ243" s="14" t="s">
        <v>488</v>
      </c>
      <c r="AV243" s="4">
        <f>AW243+AX243</f>
        <v>0</v>
      </c>
      <c r="AW243" s="4">
        <f>H243*AO243</f>
        <v>0</v>
      </c>
      <c r="AX243" s="4">
        <f>H243*AP243</f>
        <v>0</v>
      </c>
      <c r="AY243" s="14" t="s">
        <v>417</v>
      </c>
      <c r="AZ243" s="14" t="s">
        <v>57</v>
      </c>
      <c r="BA243" s="30" t="s">
        <v>694</v>
      </c>
      <c r="BC243" s="4">
        <f>AW243+AX243</f>
        <v>0</v>
      </c>
      <c r="BD243" s="4">
        <f>I243/(100-BE243)*100</f>
        <v>0</v>
      </c>
      <c r="BE243" s="4">
        <v>0</v>
      </c>
      <c r="BF243" s="4">
        <f>243</f>
        <v>243</v>
      </c>
      <c r="BH243" s="4">
        <f>H243*AO243</f>
        <v>0</v>
      </c>
      <c r="BI243" s="4">
        <f>H243*AP243</f>
        <v>0</v>
      </c>
      <c r="BJ243" s="4">
        <f>H243*I243</f>
        <v>0</v>
      </c>
      <c r="BK243" s="4"/>
      <c r="BL243" s="4">
        <v>725</v>
      </c>
    </row>
    <row r="244" spans="1:64" ht="15" customHeight="1">
      <c r="A244" s="12" t="s">
        <v>630</v>
      </c>
      <c r="B244" s="32" t="s">
        <v>522</v>
      </c>
      <c r="C244" s="61" t="s">
        <v>949</v>
      </c>
      <c r="D244" s="61"/>
      <c r="E244" s="61"/>
      <c r="F244" s="61"/>
      <c r="G244" s="45" t="s">
        <v>839</v>
      </c>
      <c r="H244" s="45" t="s">
        <v>839</v>
      </c>
      <c r="I244" s="45" t="s">
        <v>839</v>
      </c>
      <c r="J244" s="49">
        <f>SUM(J245:J248)</f>
        <v>0</v>
      </c>
      <c r="K244" s="49">
        <f>SUM(K245:K248)</f>
        <v>0</v>
      </c>
      <c r="L244" s="49">
        <f>SUM(L245:L248)</f>
        <v>0</v>
      </c>
      <c r="M244" s="29" t="s">
        <v>630</v>
      </c>
      <c r="AI244" s="30" t="s">
        <v>630</v>
      </c>
      <c r="AS244" s="49">
        <f>SUM(AJ245:AJ248)</f>
        <v>0</v>
      </c>
      <c r="AT244" s="49">
        <f>SUM(AK245:AK248)</f>
        <v>0</v>
      </c>
      <c r="AU244" s="49">
        <f>SUM(AL245:AL248)</f>
        <v>0</v>
      </c>
    </row>
    <row r="245" spans="1:64" ht="15" customHeight="1">
      <c r="A245" s="22" t="s">
        <v>675</v>
      </c>
      <c r="B245" s="9" t="s">
        <v>35</v>
      </c>
      <c r="C245" s="53" t="s">
        <v>642</v>
      </c>
      <c r="D245" s="53"/>
      <c r="E245" s="53"/>
      <c r="F245" s="53"/>
      <c r="G245" s="9" t="s">
        <v>232</v>
      </c>
      <c r="H245" s="4">
        <v>1</v>
      </c>
      <c r="I245" s="4">
        <v>0</v>
      </c>
      <c r="J245" s="4">
        <f>H245*AO245</f>
        <v>0</v>
      </c>
      <c r="K245" s="4">
        <f>H245*AP245</f>
        <v>0</v>
      </c>
      <c r="L245" s="4">
        <f>H245*I245</f>
        <v>0</v>
      </c>
      <c r="M245" s="17" t="s">
        <v>619</v>
      </c>
      <c r="Z245" s="4">
        <f>IF(AQ245="5",BJ245,0)</f>
        <v>0</v>
      </c>
      <c r="AB245" s="4">
        <f>IF(AQ245="1",BH245,0)</f>
        <v>0</v>
      </c>
      <c r="AC245" s="4">
        <f>IF(AQ245="1",BI245,0)</f>
        <v>0</v>
      </c>
      <c r="AD245" s="4">
        <f>IF(AQ245="7",BH245,0)</f>
        <v>0</v>
      </c>
      <c r="AE245" s="4">
        <f>IF(AQ245="7",BI245,0)</f>
        <v>0</v>
      </c>
      <c r="AF245" s="4">
        <f>IF(AQ245="2",BH245,0)</f>
        <v>0</v>
      </c>
      <c r="AG245" s="4">
        <f>IF(AQ245="2",BI245,0)</f>
        <v>0</v>
      </c>
      <c r="AH245" s="4">
        <f>IF(AQ245="0",BJ245,0)</f>
        <v>0</v>
      </c>
      <c r="AI245" s="30" t="s">
        <v>630</v>
      </c>
      <c r="AJ245" s="4">
        <f>IF(AN245=0,L245,0)</f>
        <v>0</v>
      </c>
      <c r="AK245" s="4">
        <f>IF(AN245=15,L245,0)</f>
        <v>0</v>
      </c>
      <c r="AL245" s="4">
        <f>IF(AN245=21,L245,0)</f>
        <v>0</v>
      </c>
      <c r="AN245" s="4">
        <v>21</v>
      </c>
      <c r="AO245" s="4">
        <f>I245*0</f>
        <v>0</v>
      </c>
      <c r="AP245" s="4">
        <f>I245*(1-0)</f>
        <v>0</v>
      </c>
      <c r="AQ245" s="14" t="s">
        <v>907</v>
      </c>
      <c r="AV245" s="4">
        <f>AW245+AX245</f>
        <v>0</v>
      </c>
      <c r="AW245" s="4">
        <f>H245*AO245</f>
        <v>0</v>
      </c>
      <c r="AX245" s="4">
        <f>H245*AP245</f>
        <v>0</v>
      </c>
      <c r="AY245" s="14" t="s">
        <v>733</v>
      </c>
      <c r="AZ245" s="14" t="s">
        <v>57</v>
      </c>
      <c r="BA245" s="30" t="s">
        <v>694</v>
      </c>
      <c r="BC245" s="4">
        <f>AW245+AX245</f>
        <v>0</v>
      </c>
      <c r="BD245" s="4">
        <f>I245/(100-BE245)*100</f>
        <v>0</v>
      </c>
      <c r="BE245" s="4">
        <v>0</v>
      </c>
      <c r="BF245" s="4">
        <f>245</f>
        <v>245</v>
      </c>
      <c r="BH245" s="4">
        <f>H245*AO245</f>
        <v>0</v>
      </c>
      <c r="BI245" s="4">
        <f>H245*AP245</f>
        <v>0</v>
      </c>
      <c r="BJ245" s="4">
        <f>H245*I245</f>
        <v>0</v>
      </c>
      <c r="BK245" s="4"/>
      <c r="BL245" s="4">
        <v>728</v>
      </c>
    </row>
    <row r="246" spans="1:64" ht="15" customHeight="1">
      <c r="A246" s="22" t="s">
        <v>997</v>
      </c>
      <c r="B246" s="9" t="s">
        <v>600</v>
      </c>
      <c r="C246" s="53" t="s">
        <v>561</v>
      </c>
      <c r="D246" s="53"/>
      <c r="E246" s="53"/>
      <c r="F246" s="53"/>
      <c r="G246" s="9" t="s">
        <v>232</v>
      </c>
      <c r="H246" s="4">
        <v>1</v>
      </c>
      <c r="I246" s="4">
        <v>0</v>
      </c>
      <c r="J246" s="4">
        <f>H246*AO246</f>
        <v>0</v>
      </c>
      <c r="K246" s="4">
        <f>H246*AP246</f>
        <v>0</v>
      </c>
      <c r="L246" s="4">
        <f>H246*I246</f>
        <v>0</v>
      </c>
      <c r="M246" s="17" t="s">
        <v>619</v>
      </c>
      <c r="Z246" s="4">
        <f>IF(AQ246="5",BJ246,0)</f>
        <v>0</v>
      </c>
      <c r="AB246" s="4">
        <f>IF(AQ246="1",BH246,0)</f>
        <v>0</v>
      </c>
      <c r="AC246" s="4">
        <f>IF(AQ246="1",BI246,0)</f>
        <v>0</v>
      </c>
      <c r="AD246" s="4">
        <f>IF(AQ246="7",BH246,0)</f>
        <v>0</v>
      </c>
      <c r="AE246" s="4">
        <f>IF(AQ246="7",BI246,0)</f>
        <v>0</v>
      </c>
      <c r="AF246" s="4">
        <f>IF(AQ246="2",BH246,0)</f>
        <v>0</v>
      </c>
      <c r="AG246" s="4">
        <f>IF(AQ246="2",BI246,0)</f>
        <v>0</v>
      </c>
      <c r="AH246" s="4">
        <f>IF(AQ246="0",BJ246,0)</f>
        <v>0</v>
      </c>
      <c r="AI246" s="30" t="s">
        <v>630</v>
      </c>
      <c r="AJ246" s="4">
        <f>IF(AN246=0,L246,0)</f>
        <v>0</v>
      </c>
      <c r="AK246" s="4">
        <f>IF(AN246=15,L246,0)</f>
        <v>0</v>
      </c>
      <c r="AL246" s="4">
        <f>IF(AN246=21,L246,0)</f>
        <v>0</v>
      </c>
      <c r="AN246" s="4">
        <v>21</v>
      </c>
      <c r="AO246" s="4">
        <f>I246*1</f>
        <v>0</v>
      </c>
      <c r="AP246" s="4">
        <f>I246*(1-1)</f>
        <v>0</v>
      </c>
      <c r="AQ246" s="14" t="s">
        <v>907</v>
      </c>
      <c r="AV246" s="4">
        <f>AW246+AX246</f>
        <v>0</v>
      </c>
      <c r="AW246" s="4">
        <f>H246*AO246</f>
        <v>0</v>
      </c>
      <c r="AX246" s="4">
        <f>H246*AP246</f>
        <v>0</v>
      </c>
      <c r="AY246" s="14" t="s">
        <v>733</v>
      </c>
      <c r="AZ246" s="14" t="s">
        <v>57</v>
      </c>
      <c r="BA246" s="30" t="s">
        <v>694</v>
      </c>
      <c r="BC246" s="4">
        <f>AW246+AX246</f>
        <v>0</v>
      </c>
      <c r="BD246" s="4">
        <f>I246/(100-BE246)*100</f>
        <v>0</v>
      </c>
      <c r="BE246" s="4">
        <v>0</v>
      </c>
      <c r="BF246" s="4">
        <f>246</f>
        <v>246</v>
      </c>
      <c r="BH246" s="4">
        <f>H246*AO246</f>
        <v>0</v>
      </c>
      <c r="BI246" s="4">
        <f>H246*AP246</f>
        <v>0</v>
      </c>
      <c r="BJ246" s="4">
        <f>H246*I246</f>
        <v>0</v>
      </c>
      <c r="BK246" s="4"/>
      <c r="BL246" s="4">
        <v>728</v>
      </c>
    </row>
    <row r="247" spans="1:64" ht="15" customHeight="1">
      <c r="A247" s="22" t="s">
        <v>260</v>
      </c>
      <c r="B247" s="9" t="s">
        <v>384</v>
      </c>
      <c r="C247" s="53" t="s">
        <v>361</v>
      </c>
      <c r="D247" s="53"/>
      <c r="E247" s="53"/>
      <c r="F247" s="53"/>
      <c r="G247" s="9" t="s">
        <v>232</v>
      </c>
      <c r="H247" s="4">
        <v>1</v>
      </c>
      <c r="I247" s="4">
        <v>0</v>
      </c>
      <c r="J247" s="4">
        <f>H247*AO247</f>
        <v>0</v>
      </c>
      <c r="K247" s="4">
        <f>H247*AP247</f>
        <v>0</v>
      </c>
      <c r="L247" s="4">
        <f>H247*I247</f>
        <v>0</v>
      </c>
      <c r="M247" s="17" t="s">
        <v>619</v>
      </c>
      <c r="Z247" s="4">
        <f>IF(AQ247="5",BJ247,0)</f>
        <v>0</v>
      </c>
      <c r="AB247" s="4">
        <f>IF(AQ247="1",BH247,0)</f>
        <v>0</v>
      </c>
      <c r="AC247" s="4">
        <f>IF(AQ247="1",BI247,0)</f>
        <v>0</v>
      </c>
      <c r="AD247" s="4">
        <f>IF(AQ247="7",BH247,0)</f>
        <v>0</v>
      </c>
      <c r="AE247" s="4">
        <f>IF(AQ247="7",BI247,0)</f>
        <v>0</v>
      </c>
      <c r="AF247" s="4">
        <f>IF(AQ247="2",BH247,0)</f>
        <v>0</v>
      </c>
      <c r="AG247" s="4">
        <f>IF(AQ247="2",BI247,0)</f>
        <v>0</v>
      </c>
      <c r="AH247" s="4">
        <f>IF(AQ247="0",BJ247,0)</f>
        <v>0</v>
      </c>
      <c r="AI247" s="30" t="s">
        <v>630</v>
      </c>
      <c r="AJ247" s="4">
        <f>IF(AN247=0,L247,0)</f>
        <v>0</v>
      </c>
      <c r="AK247" s="4">
        <f>IF(AN247=15,L247,0)</f>
        <v>0</v>
      </c>
      <c r="AL247" s="4">
        <f>IF(AN247=21,L247,0)</f>
        <v>0</v>
      </c>
      <c r="AN247" s="4">
        <v>21</v>
      </c>
      <c r="AO247" s="4">
        <f>I247*0</f>
        <v>0</v>
      </c>
      <c r="AP247" s="4">
        <f>I247*(1-0)</f>
        <v>0</v>
      </c>
      <c r="AQ247" s="14" t="s">
        <v>907</v>
      </c>
      <c r="AV247" s="4">
        <f>AW247+AX247</f>
        <v>0</v>
      </c>
      <c r="AW247" s="4">
        <f>H247*AO247</f>
        <v>0</v>
      </c>
      <c r="AX247" s="4">
        <f>H247*AP247</f>
        <v>0</v>
      </c>
      <c r="AY247" s="14" t="s">
        <v>733</v>
      </c>
      <c r="AZ247" s="14" t="s">
        <v>57</v>
      </c>
      <c r="BA247" s="30" t="s">
        <v>694</v>
      </c>
      <c r="BC247" s="4">
        <f>AW247+AX247</f>
        <v>0</v>
      </c>
      <c r="BD247" s="4">
        <f>I247/(100-BE247)*100</f>
        <v>0</v>
      </c>
      <c r="BE247" s="4">
        <v>0</v>
      </c>
      <c r="BF247" s="4">
        <f>247</f>
        <v>247</v>
      </c>
      <c r="BH247" s="4">
        <f>H247*AO247</f>
        <v>0</v>
      </c>
      <c r="BI247" s="4">
        <f>H247*AP247</f>
        <v>0</v>
      </c>
      <c r="BJ247" s="4">
        <f>H247*I247</f>
        <v>0</v>
      </c>
      <c r="BK247" s="4"/>
      <c r="BL247" s="4">
        <v>728</v>
      </c>
    </row>
    <row r="248" spans="1:64" ht="15" customHeight="1">
      <c r="A248" s="22" t="s">
        <v>58</v>
      </c>
      <c r="B248" s="9" t="s">
        <v>372</v>
      </c>
      <c r="C248" s="53" t="s">
        <v>573</v>
      </c>
      <c r="D248" s="53"/>
      <c r="E248" s="53"/>
      <c r="F248" s="53"/>
      <c r="G248" s="9" t="s">
        <v>232</v>
      </c>
      <c r="H248" s="4">
        <v>1</v>
      </c>
      <c r="I248" s="4">
        <v>0</v>
      </c>
      <c r="J248" s="4">
        <f>H248*AO248</f>
        <v>0</v>
      </c>
      <c r="K248" s="4">
        <f>H248*AP248</f>
        <v>0</v>
      </c>
      <c r="L248" s="4">
        <f>H248*I248</f>
        <v>0</v>
      </c>
      <c r="M248" s="17" t="s">
        <v>619</v>
      </c>
      <c r="Z248" s="4">
        <f>IF(AQ248="5",BJ248,0)</f>
        <v>0</v>
      </c>
      <c r="AB248" s="4">
        <f>IF(AQ248="1",BH248,0)</f>
        <v>0</v>
      </c>
      <c r="AC248" s="4">
        <f>IF(AQ248="1",BI248,0)</f>
        <v>0</v>
      </c>
      <c r="AD248" s="4">
        <f>IF(AQ248="7",BH248,0)</f>
        <v>0</v>
      </c>
      <c r="AE248" s="4">
        <f>IF(AQ248="7",BI248,0)</f>
        <v>0</v>
      </c>
      <c r="AF248" s="4">
        <f>IF(AQ248="2",BH248,0)</f>
        <v>0</v>
      </c>
      <c r="AG248" s="4">
        <f>IF(AQ248="2",BI248,0)</f>
        <v>0</v>
      </c>
      <c r="AH248" s="4">
        <f>IF(AQ248="0",BJ248,0)</f>
        <v>0</v>
      </c>
      <c r="AI248" s="30" t="s">
        <v>630</v>
      </c>
      <c r="AJ248" s="4">
        <f>IF(AN248=0,L248,0)</f>
        <v>0</v>
      </c>
      <c r="AK248" s="4">
        <f>IF(AN248=15,L248,0)</f>
        <v>0</v>
      </c>
      <c r="AL248" s="4">
        <f>IF(AN248=21,L248,0)</f>
        <v>0</v>
      </c>
      <c r="AN248" s="4">
        <v>21</v>
      </c>
      <c r="AO248" s="4">
        <f>I248*1</f>
        <v>0</v>
      </c>
      <c r="AP248" s="4">
        <f>I248*(1-1)</f>
        <v>0</v>
      </c>
      <c r="AQ248" s="14" t="s">
        <v>907</v>
      </c>
      <c r="AV248" s="4">
        <f>AW248+AX248</f>
        <v>0</v>
      </c>
      <c r="AW248" s="4">
        <f>H248*AO248</f>
        <v>0</v>
      </c>
      <c r="AX248" s="4">
        <f>H248*AP248</f>
        <v>0</v>
      </c>
      <c r="AY248" s="14" t="s">
        <v>733</v>
      </c>
      <c r="AZ248" s="14" t="s">
        <v>57</v>
      </c>
      <c r="BA248" s="30" t="s">
        <v>694</v>
      </c>
      <c r="BC248" s="4">
        <f>AW248+AX248</f>
        <v>0</v>
      </c>
      <c r="BD248" s="4">
        <f>I248/(100-BE248)*100</f>
        <v>0</v>
      </c>
      <c r="BE248" s="4">
        <v>0</v>
      </c>
      <c r="BF248" s="4">
        <f>248</f>
        <v>248</v>
      </c>
      <c r="BH248" s="4">
        <f>H248*AO248</f>
        <v>0</v>
      </c>
      <c r="BI248" s="4">
        <f>H248*AP248</f>
        <v>0</v>
      </c>
      <c r="BJ248" s="4">
        <f>H248*I248</f>
        <v>0</v>
      </c>
      <c r="BK248" s="4"/>
      <c r="BL248" s="4">
        <v>728</v>
      </c>
    </row>
    <row r="249" spans="1:64" ht="15" customHeight="1">
      <c r="A249" s="12" t="s">
        <v>630</v>
      </c>
      <c r="B249" s="32" t="s">
        <v>933</v>
      </c>
      <c r="C249" s="61" t="s">
        <v>764</v>
      </c>
      <c r="D249" s="61"/>
      <c r="E249" s="61"/>
      <c r="F249" s="61"/>
      <c r="G249" s="45" t="s">
        <v>839</v>
      </c>
      <c r="H249" s="45" t="s">
        <v>839</v>
      </c>
      <c r="I249" s="45" t="s">
        <v>839</v>
      </c>
      <c r="J249" s="49">
        <f>SUM(J250:J256)</f>
        <v>0</v>
      </c>
      <c r="K249" s="49">
        <f>SUM(K250:K256)</f>
        <v>0</v>
      </c>
      <c r="L249" s="49">
        <f>SUM(L250:L256)</f>
        <v>0</v>
      </c>
      <c r="M249" s="29" t="s">
        <v>630</v>
      </c>
      <c r="AI249" s="30" t="s">
        <v>630</v>
      </c>
      <c r="AS249" s="49">
        <f>SUM(AJ250:AJ256)</f>
        <v>0</v>
      </c>
      <c r="AT249" s="49">
        <f>SUM(AK250:AK256)</f>
        <v>0</v>
      </c>
      <c r="AU249" s="49">
        <f>SUM(AL250:AL256)</f>
        <v>0</v>
      </c>
    </row>
    <row r="250" spans="1:64" ht="15" customHeight="1">
      <c r="A250" s="22" t="s">
        <v>140</v>
      </c>
      <c r="B250" s="9" t="s">
        <v>797</v>
      </c>
      <c r="C250" s="53" t="s">
        <v>853</v>
      </c>
      <c r="D250" s="53"/>
      <c r="E250" s="53"/>
      <c r="F250" s="53"/>
      <c r="G250" s="9" t="s">
        <v>750</v>
      </c>
      <c r="H250" s="4">
        <v>18</v>
      </c>
      <c r="I250" s="4">
        <v>0</v>
      </c>
      <c r="J250" s="4">
        <f t="shared" ref="J250:J256" si="178">H250*AO250</f>
        <v>0</v>
      </c>
      <c r="K250" s="4">
        <f t="shared" ref="K250:K256" si="179">H250*AP250</f>
        <v>0</v>
      </c>
      <c r="L250" s="4">
        <f t="shared" ref="L250:L256" si="180">H250*I250</f>
        <v>0</v>
      </c>
      <c r="M250" s="17" t="s">
        <v>619</v>
      </c>
      <c r="Z250" s="4">
        <f t="shared" ref="Z250:Z256" si="181">IF(AQ250="5",BJ250,0)</f>
        <v>0</v>
      </c>
      <c r="AB250" s="4">
        <f t="shared" ref="AB250:AB256" si="182">IF(AQ250="1",BH250,0)</f>
        <v>0</v>
      </c>
      <c r="AC250" s="4">
        <f t="shared" ref="AC250:AC256" si="183">IF(AQ250="1",BI250,0)</f>
        <v>0</v>
      </c>
      <c r="AD250" s="4">
        <f t="shared" ref="AD250:AD256" si="184">IF(AQ250="7",BH250,0)</f>
        <v>0</v>
      </c>
      <c r="AE250" s="4">
        <f t="shared" ref="AE250:AE256" si="185">IF(AQ250="7",BI250,0)</f>
        <v>0</v>
      </c>
      <c r="AF250" s="4">
        <f t="shared" ref="AF250:AF256" si="186">IF(AQ250="2",BH250,0)</f>
        <v>0</v>
      </c>
      <c r="AG250" s="4">
        <f t="shared" ref="AG250:AG256" si="187">IF(AQ250="2",BI250,0)</f>
        <v>0</v>
      </c>
      <c r="AH250" s="4">
        <f t="shared" ref="AH250:AH256" si="188">IF(AQ250="0",BJ250,0)</f>
        <v>0</v>
      </c>
      <c r="AI250" s="30" t="s">
        <v>630</v>
      </c>
      <c r="AJ250" s="4">
        <f t="shared" ref="AJ250:AJ256" si="189">IF(AN250=0,L250,0)</f>
        <v>0</v>
      </c>
      <c r="AK250" s="4">
        <f t="shared" ref="AK250:AK256" si="190">IF(AN250=15,L250,0)</f>
        <v>0</v>
      </c>
      <c r="AL250" s="4">
        <f t="shared" ref="AL250:AL256" si="191">IF(AN250=21,L250,0)</f>
        <v>0</v>
      </c>
      <c r="AN250" s="4">
        <v>21</v>
      </c>
      <c r="AO250" s="4">
        <f>I250*0.451167785234899</f>
        <v>0</v>
      </c>
      <c r="AP250" s="4">
        <f>I250*(1-0.451167785234899)</f>
        <v>0</v>
      </c>
      <c r="AQ250" s="14" t="s">
        <v>907</v>
      </c>
      <c r="AV250" s="4">
        <f t="shared" ref="AV250:AV256" si="192">AW250+AX250</f>
        <v>0</v>
      </c>
      <c r="AW250" s="4">
        <f t="shared" ref="AW250:AW256" si="193">H250*AO250</f>
        <v>0</v>
      </c>
      <c r="AX250" s="4">
        <f t="shared" ref="AX250:AX256" si="194">H250*AP250</f>
        <v>0</v>
      </c>
      <c r="AY250" s="14" t="s">
        <v>86</v>
      </c>
      <c r="AZ250" s="14" t="s">
        <v>821</v>
      </c>
      <c r="BA250" s="30" t="s">
        <v>694</v>
      </c>
      <c r="BC250" s="4">
        <f t="shared" ref="BC250:BC256" si="195">AW250+AX250</f>
        <v>0</v>
      </c>
      <c r="BD250" s="4">
        <f t="shared" ref="BD250:BD256" si="196">I250/(100-BE250)*100</f>
        <v>0</v>
      </c>
      <c r="BE250" s="4">
        <v>0</v>
      </c>
      <c r="BF250" s="4">
        <f>250</f>
        <v>250</v>
      </c>
      <c r="BH250" s="4">
        <f t="shared" ref="BH250:BH256" si="197">H250*AO250</f>
        <v>0</v>
      </c>
      <c r="BI250" s="4">
        <f t="shared" ref="BI250:BI256" si="198">H250*AP250</f>
        <v>0</v>
      </c>
      <c r="BJ250" s="4">
        <f t="shared" ref="BJ250:BJ256" si="199">H250*I250</f>
        <v>0</v>
      </c>
      <c r="BK250" s="4"/>
      <c r="BL250" s="4">
        <v>733</v>
      </c>
    </row>
    <row r="251" spans="1:64" ht="15" customHeight="1">
      <c r="A251" s="22" t="s">
        <v>829</v>
      </c>
      <c r="B251" s="9" t="s">
        <v>431</v>
      </c>
      <c r="C251" s="53" t="s">
        <v>880</v>
      </c>
      <c r="D251" s="53"/>
      <c r="E251" s="53"/>
      <c r="F251" s="53"/>
      <c r="G251" s="9" t="s">
        <v>232</v>
      </c>
      <c r="H251" s="4">
        <v>2</v>
      </c>
      <c r="I251" s="4">
        <v>0</v>
      </c>
      <c r="J251" s="4">
        <f t="shared" si="178"/>
        <v>0</v>
      </c>
      <c r="K251" s="4">
        <f t="shared" si="179"/>
        <v>0</v>
      </c>
      <c r="L251" s="4">
        <f t="shared" si="180"/>
        <v>0</v>
      </c>
      <c r="M251" s="17" t="s">
        <v>619</v>
      </c>
      <c r="Z251" s="4">
        <f t="shared" si="181"/>
        <v>0</v>
      </c>
      <c r="AB251" s="4">
        <f t="shared" si="182"/>
        <v>0</v>
      </c>
      <c r="AC251" s="4">
        <f t="shared" si="183"/>
        <v>0</v>
      </c>
      <c r="AD251" s="4">
        <f t="shared" si="184"/>
        <v>0</v>
      </c>
      <c r="AE251" s="4">
        <f t="shared" si="185"/>
        <v>0</v>
      </c>
      <c r="AF251" s="4">
        <f t="shared" si="186"/>
        <v>0</v>
      </c>
      <c r="AG251" s="4">
        <f t="shared" si="187"/>
        <v>0</v>
      </c>
      <c r="AH251" s="4">
        <f t="shared" si="188"/>
        <v>0</v>
      </c>
      <c r="AI251" s="30" t="s">
        <v>630</v>
      </c>
      <c r="AJ251" s="4">
        <f t="shared" si="189"/>
        <v>0</v>
      </c>
      <c r="AK251" s="4">
        <f t="shared" si="190"/>
        <v>0</v>
      </c>
      <c r="AL251" s="4">
        <f t="shared" si="191"/>
        <v>0</v>
      </c>
      <c r="AN251" s="4">
        <v>21</v>
      </c>
      <c r="AO251" s="4">
        <f>I251*0</f>
        <v>0</v>
      </c>
      <c r="AP251" s="4">
        <f>I251*(1-0)</f>
        <v>0</v>
      </c>
      <c r="AQ251" s="14" t="s">
        <v>907</v>
      </c>
      <c r="AV251" s="4">
        <f t="shared" si="192"/>
        <v>0</v>
      </c>
      <c r="AW251" s="4">
        <f t="shared" si="193"/>
        <v>0</v>
      </c>
      <c r="AX251" s="4">
        <f t="shared" si="194"/>
        <v>0</v>
      </c>
      <c r="AY251" s="14" t="s">
        <v>86</v>
      </c>
      <c r="AZ251" s="14" t="s">
        <v>821</v>
      </c>
      <c r="BA251" s="30" t="s">
        <v>694</v>
      </c>
      <c r="BC251" s="4">
        <f t="shared" si="195"/>
        <v>0</v>
      </c>
      <c r="BD251" s="4">
        <f t="shared" si="196"/>
        <v>0</v>
      </c>
      <c r="BE251" s="4">
        <v>0</v>
      </c>
      <c r="BF251" s="4">
        <f>251</f>
        <v>251</v>
      </c>
      <c r="BH251" s="4">
        <f t="shared" si="197"/>
        <v>0</v>
      </c>
      <c r="BI251" s="4">
        <f t="shared" si="198"/>
        <v>0</v>
      </c>
      <c r="BJ251" s="4">
        <f t="shared" si="199"/>
        <v>0</v>
      </c>
      <c r="BK251" s="4"/>
      <c r="BL251" s="4">
        <v>733</v>
      </c>
    </row>
    <row r="252" spans="1:64" ht="15" customHeight="1">
      <c r="A252" s="22" t="s">
        <v>562</v>
      </c>
      <c r="B252" s="9" t="s">
        <v>415</v>
      </c>
      <c r="C252" s="53" t="s">
        <v>509</v>
      </c>
      <c r="D252" s="53"/>
      <c r="E252" s="53"/>
      <c r="F252" s="53"/>
      <c r="G252" s="9" t="s">
        <v>750</v>
      </c>
      <c r="H252" s="4">
        <v>18</v>
      </c>
      <c r="I252" s="4">
        <v>0</v>
      </c>
      <c r="J252" s="4">
        <f t="shared" si="178"/>
        <v>0</v>
      </c>
      <c r="K252" s="4">
        <f t="shared" si="179"/>
        <v>0</v>
      </c>
      <c r="L252" s="4">
        <f t="shared" si="180"/>
        <v>0</v>
      </c>
      <c r="M252" s="17" t="s">
        <v>619</v>
      </c>
      <c r="Z252" s="4">
        <f t="shared" si="181"/>
        <v>0</v>
      </c>
      <c r="AB252" s="4">
        <f t="shared" si="182"/>
        <v>0</v>
      </c>
      <c r="AC252" s="4">
        <f t="shared" si="183"/>
        <v>0</v>
      </c>
      <c r="AD252" s="4">
        <f t="shared" si="184"/>
        <v>0</v>
      </c>
      <c r="AE252" s="4">
        <f t="shared" si="185"/>
        <v>0</v>
      </c>
      <c r="AF252" s="4">
        <f t="shared" si="186"/>
        <v>0</v>
      </c>
      <c r="AG252" s="4">
        <f t="shared" si="187"/>
        <v>0</v>
      </c>
      <c r="AH252" s="4">
        <f t="shared" si="188"/>
        <v>0</v>
      </c>
      <c r="AI252" s="30" t="s">
        <v>630</v>
      </c>
      <c r="AJ252" s="4">
        <f t="shared" si="189"/>
        <v>0</v>
      </c>
      <c r="AK252" s="4">
        <f t="shared" si="190"/>
        <v>0</v>
      </c>
      <c r="AL252" s="4">
        <f t="shared" si="191"/>
        <v>0</v>
      </c>
      <c r="AN252" s="4">
        <v>21</v>
      </c>
      <c r="AO252" s="4">
        <f>I252*0.0227973568281938</f>
        <v>0</v>
      </c>
      <c r="AP252" s="4">
        <f>I252*(1-0.0227973568281938)</f>
        <v>0</v>
      </c>
      <c r="AQ252" s="14" t="s">
        <v>907</v>
      </c>
      <c r="AV252" s="4">
        <f t="shared" si="192"/>
        <v>0</v>
      </c>
      <c r="AW252" s="4">
        <f t="shared" si="193"/>
        <v>0</v>
      </c>
      <c r="AX252" s="4">
        <f t="shared" si="194"/>
        <v>0</v>
      </c>
      <c r="AY252" s="14" t="s">
        <v>86</v>
      </c>
      <c r="AZ252" s="14" t="s">
        <v>821</v>
      </c>
      <c r="BA252" s="30" t="s">
        <v>694</v>
      </c>
      <c r="BC252" s="4">
        <f t="shared" si="195"/>
        <v>0</v>
      </c>
      <c r="BD252" s="4">
        <f t="shared" si="196"/>
        <v>0</v>
      </c>
      <c r="BE252" s="4">
        <v>0</v>
      </c>
      <c r="BF252" s="4">
        <f>252</f>
        <v>252</v>
      </c>
      <c r="BH252" s="4">
        <f t="shared" si="197"/>
        <v>0</v>
      </c>
      <c r="BI252" s="4">
        <f t="shared" si="198"/>
        <v>0</v>
      </c>
      <c r="BJ252" s="4">
        <f t="shared" si="199"/>
        <v>0</v>
      </c>
      <c r="BK252" s="4"/>
      <c r="BL252" s="4">
        <v>733</v>
      </c>
    </row>
    <row r="253" spans="1:64" ht="15" customHeight="1">
      <c r="A253" s="22" t="s">
        <v>258</v>
      </c>
      <c r="B253" s="9" t="s">
        <v>25</v>
      </c>
      <c r="C253" s="53" t="s">
        <v>420</v>
      </c>
      <c r="D253" s="53"/>
      <c r="E253" s="53"/>
      <c r="F253" s="53"/>
      <c r="G253" s="9" t="s">
        <v>750</v>
      </c>
      <c r="H253" s="4">
        <v>18</v>
      </c>
      <c r="I253" s="4">
        <v>0</v>
      </c>
      <c r="J253" s="4">
        <f t="shared" si="178"/>
        <v>0</v>
      </c>
      <c r="K253" s="4">
        <f t="shared" si="179"/>
        <v>0</v>
      </c>
      <c r="L253" s="4">
        <f t="shared" si="180"/>
        <v>0</v>
      </c>
      <c r="M253" s="17" t="s">
        <v>619</v>
      </c>
      <c r="Z253" s="4">
        <f t="shared" si="181"/>
        <v>0</v>
      </c>
      <c r="AB253" s="4">
        <f t="shared" si="182"/>
        <v>0</v>
      </c>
      <c r="AC253" s="4">
        <f t="shared" si="183"/>
        <v>0</v>
      </c>
      <c r="AD253" s="4">
        <f t="shared" si="184"/>
        <v>0</v>
      </c>
      <c r="AE253" s="4">
        <f t="shared" si="185"/>
        <v>0</v>
      </c>
      <c r="AF253" s="4">
        <f t="shared" si="186"/>
        <v>0</v>
      </c>
      <c r="AG253" s="4">
        <f t="shared" si="187"/>
        <v>0</v>
      </c>
      <c r="AH253" s="4">
        <f t="shared" si="188"/>
        <v>0</v>
      </c>
      <c r="AI253" s="30" t="s">
        <v>630</v>
      </c>
      <c r="AJ253" s="4">
        <f t="shared" si="189"/>
        <v>0</v>
      </c>
      <c r="AK253" s="4">
        <f t="shared" si="190"/>
        <v>0</v>
      </c>
      <c r="AL253" s="4">
        <f t="shared" si="191"/>
        <v>0</v>
      </c>
      <c r="AN253" s="4">
        <v>21</v>
      </c>
      <c r="AO253" s="4">
        <f>I253*0</f>
        <v>0</v>
      </c>
      <c r="AP253" s="4">
        <f>I253*(1-0)</f>
        <v>0</v>
      </c>
      <c r="AQ253" s="14" t="s">
        <v>907</v>
      </c>
      <c r="AV253" s="4">
        <f t="shared" si="192"/>
        <v>0</v>
      </c>
      <c r="AW253" s="4">
        <f t="shared" si="193"/>
        <v>0</v>
      </c>
      <c r="AX253" s="4">
        <f t="shared" si="194"/>
        <v>0</v>
      </c>
      <c r="AY253" s="14" t="s">
        <v>86</v>
      </c>
      <c r="AZ253" s="14" t="s">
        <v>821</v>
      </c>
      <c r="BA253" s="30" t="s">
        <v>694</v>
      </c>
      <c r="BC253" s="4">
        <f t="shared" si="195"/>
        <v>0</v>
      </c>
      <c r="BD253" s="4">
        <f t="shared" si="196"/>
        <v>0</v>
      </c>
      <c r="BE253" s="4">
        <v>0</v>
      </c>
      <c r="BF253" s="4">
        <f>253</f>
        <v>253</v>
      </c>
      <c r="BH253" s="4">
        <f t="shared" si="197"/>
        <v>0</v>
      </c>
      <c r="BI253" s="4">
        <f t="shared" si="198"/>
        <v>0</v>
      </c>
      <c r="BJ253" s="4">
        <f t="shared" si="199"/>
        <v>0</v>
      </c>
      <c r="BK253" s="4"/>
      <c r="BL253" s="4">
        <v>733</v>
      </c>
    </row>
    <row r="254" spans="1:64" ht="15" customHeight="1">
      <c r="A254" s="22" t="s">
        <v>740</v>
      </c>
      <c r="B254" s="9" t="s">
        <v>332</v>
      </c>
      <c r="C254" s="53" t="s">
        <v>94</v>
      </c>
      <c r="D254" s="53"/>
      <c r="E254" s="53"/>
      <c r="F254" s="53"/>
      <c r="G254" s="9" t="s">
        <v>750</v>
      </c>
      <c r="H254" s="4">
        <v>18</v>
      </c>
      <c r="I254" s="4">
        <v>0</v>
      </c>
      <c r="J254" s="4">
        <f t="shared" si="178"/>
        <v>0</v>
      </c>
      <c r="K254" s="4">
        <f t="shared" si="179"/>
        <v>0</v>
      </c>
      <c r="L254" s="4">
        <f t="shared" si="180"/>
        <v>0</v>
      </c>
      <c r="M254" s="17" t="s">
        <v>619</v>
      </c>
      <c r="Z254" s="4">
        <f t="shared" si="181"/>
        <v>0</v>
      </c>
      <c r="AB254" s="4">
        <f t="shared" si="182"/>
        <v>0</v>
      </c>
      <c r="AC254" s="4">
        <f t="shared" si="183"/>
        <v>0</v>
      </c>
      <c r="AD254" s="4">
        <f t="shared" si="184"/>
        <v>0</v>
      </c>
      <c r="AE254" s="4">
        <f t="shared" si="185"/>
        <v>0</v>
      </c>
      <c r="AF254" s="4">
        <f t="shared" si="186"/>
        <v>0</v>
      </c>
      <c r="AG254" s="4">
        <f t="shared" si="187"/>
        <v>0</v>
      </c>
      <c r="AH254" s="4">
        <f t="shared" si="188"/>
        <v>0</v>
      </c>
      <c r="AI254" s="30" t="s">
        <v>630</v>
      </c>
      <c r="AJ254" s="4">
        <f t="shared" si="189"/>
        <v>0</v>
      </c>
      <c r="AK254" s="4">
        <f t="shared" si="190"/>
        <v>0</v>
      </c>
      <c r="AL254" s="4">
        <f t="shared" si="191"/>
        <v>0</v>
      </c>
      <c r="AN254" s="4">
        <v>21</v>
      </c>
      <c r="AO254" s="4">
        <f>I254*1</f>
        <v>0</v>
      </c>
      <c r="AP254" s="4">
        <f>I254*(1-1)</f>
        <v>0</v>
      </c>
      <c r="AQ254" s="14" t="s">
        <v>907</v>
      </c>
      <c r="AV254" s="4">
        <f t="shared" si="192"/>
        <v>0</v>
      </c>
      <c r="AW254" s="4">
        <f t="shared" si="193"/>
        <v>0</v>
      </c>
      <c r="AX254" s="4">
        <f t="shared" si="194"/>
        <v>0</v>
      </c>
      <c r="AY254" s="14" t="s">
        <v>86</v>
      </c>
      <c r="AZ254" s="14" t="s">
        <v>821</v>
      </c>
      <c r="BA254" s="30" t="s">
        <v>694</v>
      </c>
      <c r="BC254" s="4">
        <f t="shared" si="195"/>
        <v>0</v>
      </c>
      <c r="BD254" s="4">
        <f t="shared" si="196"/>
        <v>0</v>
      </c>
      <c r="BE254" s="4">
        <v>0</v>
      </c>
      <c r="BF254" s="4">
        <f>254</f>
        <v>254</v>
      </c>
      <c r="BH254" s="4">
        <f t="shared" si="197"/>
        <v>0</v>
      </c>
      <c r="BI254" s="4">
        <f t="shared" si="198"/>
        <v>0</v>
      </c>
      <c r="BJ254" s="4">
        <f t="shared" si="199"/>
        <v>0</v>
      </c>
      <c r="BK254" s="4"/>
      <c r="BL254" s="4">
        <v>733</v>
      </c>
    </row>
    <row r="255" spans="1:64" ht="15" customHeight="1">
      <c r="A255" s="22" t="s">
        <v>943</v>
      </c>
      <c r="B255" s="9" t="s">
        <v>431</v>
      </c>
      <c r="C255" s="53" t="s">
        <v>880</v>
      </c>
      <c r="D255" s="53"/>
      <c r="E255" s="53"/>
      <c r="F255" s="53"/>
      <c r="G255" s="9" t="s">
        <v>232</v>
      </c>
      <c r="H255" s="4">
        <v>2</v>
      </c>
      <c r="I255" s="4">
        <v>0</v>
      </c>
      <c r="J255" s="4">
        <f t="shared" si="178"/>
        <v>0</v>
      </c>
      <c r="K255" s="4">
        <f t="shared" si="179"/>
        <v>0</v>
      </c>
      <c r="L255" s="4">
        <f t="shared" si="180"/>
        <v>0</v>
      </c>
      <c r="M255" s="17" t="s">
        <v>619</v>
      </c>
      <c r="Z255" s="4">
        <f t="shared" si="181"/>
        <v>0</v>
      </c>
      <c r="AB255" s="4">
        <f t="shared" si="182"/>
        <v>0</v>
      </c>
      <c r="AC255" s="4">
        <f t="shared" si="183"/>
        <v>0</v>
      </c>
      <c r="AD255" s="4">
        <f t="shared" si="184"/>
        <v>0</v>
      </c>
      <c r="AE255" s="4">
        <f t="shared" si="185"/>
        <v>0</v>
      </c>
      <c r="AF255" s="4">
        <f t="shared" si="186"/>
        <v>0</v>
      </c>
      <c r="AG255" s="4">
        <f t="shared" si="187"/>
        <v>0</v>
      </c>
      <c r="AH255" s="4">
        <f t="shared" si="188"/>
        <v>0</v>
      </c>
      <c r="AI255" s="30" t="s">
        <v>630</v>
      </c>
      <c r="AJ255" s="4">
        <f t="shared" si="189"/>
        <v>0</v>
      </c>
      <c r="AK255" s="4">
        <f t="shared" si="190"/>
        <v>0</v>
      </c>
      <c r="AL255" s="4">
        <f t="shared" si="191"/>
        <v>0</v>
      </c>
      <c r="AN255" s="4">
        <v>21</v>
      </c>
      <c r="AO255" s="4">
        <f>I255*0</f>
        <v>0</v>
      </c>
      <c r="AP255" s="4">
        <f>I255*(1-0)</f>
        <v>0</v>
      </c>
      <c r="AQ255" s="14" t="s">
        <v>907</v>
      </c>
      <c r="AV255" s="4">
        <f t="shared" si="192"/>
        <v>0</v>
      </c>
      <c r="AW255" s="4">
        <f t="shared" si="193"/>
        <v>0</v>
      </c>
      <c r="AX255" s="4">
        <f t="shared" si="194"/>
        <v>0</v>
      </c>
      <c r="AY255" s="14" t="s">
        <v>86</v>
      </c>
      <c r="AZ255" s="14" t="s">
        <v>821</v>
      </c>
      <c r="BA255" s="30" t="s">
        <v>694</v>
      </c>
      <c r="BC255" s="4">
        <f t="shared" si="195"/>
        <v>0</v>
      </c>
      <c r="BD255" s="4">
        <f t="shared" si="196"/>
        <v>0</v>
      </c>
      <c r="BE255" s="4">
        <v>0</v>
      </c>
      <c r="BF255" s="4">
        <f>255</f>
        <v>255</v>
      </c>
      <c r="BH255" s="4">
        <f t="shared" si="197"/>
        <v>0</v>
      </c>
      <c r="BI255" s="4">
        <f t="shared" si="198"/>
        <v>0</v>
      </c>
      <c r="BJ255" s="4">
        <f t="shared" si="199"/>
        <v>0</v>
      </c>
      <c r="BK255" s="4"/>
      <c r="BL255" s="4">
        <v>733</v>
      </c>
    </row>
    <row r="256" spans="1:64" ht="15" customHeight="1">
      <c r="A256" s="22" t="s">
        <v>228</v>
      </c>
      <c r="B256" s="9" t="s">
        <v>817</v>
      </c>
      <c r="C256" s="53" t="s">
        <v>787</v>
      </c>
      <c r="D256" s="53"/>
      <c r="E256" s="53"/>
      <c r="F256" s="53"/>
      <c r="G256" s="9" t="s">
        <v>429</v>
      </c>
      <c r="H256" s="4">
        <v>0.124</v>
      </c>
      <c r="I256" s="4">
        <v>0</v>
      </c>
      <c r="J256" s="4">
        <f t="shared" si="178"/>
        <v>0</v>
      </c>
      <c r="K256" s="4">
        <f t="shared" si="179"/>
        <v>0</v>
      </c>
      <c r="L256" s="4">
        <f t="shared" si="180"/>
        <v>0</v>
      </c>
      <c r="M256" s="17" t="s">
        <v>619</v>
      </c>
      <c r="Z256" s="4">
        <f t="shared" si="181"/>
        <v>0</v>
      </c>
      <c r="AB256" s="4">
        <f t="shared" si="182"/>
        <v>0</v>
      </c>
      <c r="AC256" s="4">
        <f t="shared" si="183"/>
        <v>0</v>
      </c>
      <c r="AD256" s="4">
        <f t="shared" si="184"/>
        <v>0</v>
      </c>
      <c r="AE256" s="4">
        <f t="shared" si="185"/>
        <v>0</v>
      </c>
      <c r="AF256" s="4">
        <f t="shared" si="186"/>
        <v>0</v>
      </c>
      <c r="AG256" s="4">
        <f t="shared" si="187"/>
        <v>0</v>
      </c>
      <c r="AH256" s="4">
        <f t="shared" si="188"/>
        <v>0</v>
      </c>
      <c r="AI256" s="30" t="s">
        <v>630</v>
      </c>
      <c r="AJ256" s="4">
        <f t="shared" si="189"/>
        <v>0</v>
      </c>
      <c r="AK256" s="4">
        <f t="shared" si="190"/>
        <v>0</v>
      </c>
      <c r="AL256" s="4">
        <f t="shared" si="191"/>
        <v>0</v>
      </c>
      <c r="AN256" s="4">
        <v>21</v>
      </c>
      <c r="AO256" s="4">
        <f>I256*0</f>
        <v>0</v>
      </c>
      <c r="AP256" s="4">
        <f>I256*(1-0)</f>
        <v>0</v>
      </c>
      <c r="AQ256" s="14" t="s">
        <v>488</v>
      </c>
      <c r="AV256" s="4">
        <f t="shared" si="192"/>
        <v>0</v>
      </c>
      <c r="AW256" s="4">
        <f t="shared" si="193"/>
        <v>0</v>
      </c>
      <c r="AX256" s="4">
        <f t="shared" si="194"/>
        <v>0</v>
      </c>
      <c r="AY256" s="14" t="s">
        <v>86</v>
      </c>
      <c r="AZ256" s="14" t="s">
        <v>821</v>
      </c>
      <c r="BA256" s="30" t="s">
        <v>694</v>
      </c>
      <c r="BC256" s="4">
        <f t="shared" si="195"/>
        <v>0</v>
      </c>
      <c r="BD256" s="4">
        <f t="shared" si="196"/>
        <v>0</v>
      </c>
      <c r="BE256" s="4">
        <v>0</v>
      </c>
      <c r="BF256" s="4">
        <f>256</f>
        <v>256</v>
      </c>
      <c r="BH256" s="4">
        <f t="shared" si="197"/>
        <v>0</v>
      </c>
      <c r="BI256" s="4">
        <f t="shared" si="198"/>
        <v>0</v>
      </c>
      <c r="BJ256" s="4">
        <f t="shared" si="199"/>
        <v>0</v>
      </c>
      <c r="BK256" s="4"/>
      <c r="BL256" s="4">
        <v>733</v>
      </c>
    </row>
    <row r="257" spans="1:64" ht="15" customHeight="1">
      <c r="A257" s="12" t="s">
        <v>630</v>
      </c>
      <c r="B257" s="32" t="s">
        <v>936</v>
      </c>
      <c r="C257" s="61" t="s">
        <v>678</v>
      </c>
      <c r="D257" s="61"/>
      <c r="E257" s="61"/>
      <c r="F257" s="61"/>
      <c r="G257" s="45" t="s">
        <v>839</v>
      </c>
      <c r="H257" s="45" t="s">
        <v>839</v>
      </c>
      <c r="I257" s="45" t="s">
        <v>839</v>
      </c>
      <c r="J257" s="49">
        <f>SUM(J258:J265)</f>
        <v>0</v>
      </c>
      <c r="K257" s="49">
        <f>SUM(K258:K265)</f>
        <v>0</v>
      </c>
      <c r="L257" s="49">
        <f>SUM(L258:L265)</f>
        <v>0</v>
      </c>
      <c r="M257" s="29" t="s">
        <v>630</v>
      </c>
      <c r="AI257" s="30" t="s">
        <v>630</v>
      </c>
      <c r="AS257" s="49">
        <f>SUM(AJ258:AJ265)</f>
        <v>0</v>
      </c>
      <c r="AT257" s="49">
        <f>SUM(AK258:AK265)</f>
        <v>0</v>
      </c>
      <c r="AU257" s="49">
        <f>SUM(AL258:AL265)</f>
        <v>0</v>
      </c>
    </row>
    <row r="258" spans="1:64" ht="15" customHeight="1">
      <c r="A258" s="22" t="s">
        <v>966</v>
      </c>
      <c r="B258" s="9" t="s">
        <v>637</v>
      </c>
      <c r="C258" s="53" t="s">
        <v>701</v>
      </c>
      <c r="D258" s="53"/>
      <c r="E258" s="53"/>
      <c r="F258" s="53"/>
      <c r="G258" s="9" t="s">
        <v>891</v>
      </c>
      <c r="H258" s="4">
        <v>6.14</v>
      </c>
      <c r="I258" s="4">
        <v>0</v>
      </c>
      <c r="J258" s="4">
        <f t="shared" ref="J258:J265" si="200">H258*AO258</f>
        <v>0</v>
      </c>
      <c r="K258" s="4">
        <f t="shared" ref="K258:K265" si="201">H258*AP258</f>
        <v>0</v>
      </c>
      <c r="L258" s="4">
        <f t="shared" ref="L258:L265" si="202">H258*I258</f>
        <v>0</v>
      </c>
      <c r="M258" s="17" t="s">
        <v>619</v>
      </c>
      <c r="Z258" s="4">
        <f t="shared" ref="Z258:Z265" si="203">IF(AQ258="5",BJ258,0)</f>
        <v>0</v>
      </c>
      <c r="AB258" s="4">
        <f t="shared" ref="AB258:AB265" si="204">IF(AQ258="1",BH258,0)</f>
        <v>0</v>
      </c>
      <c r="AC258" s="4">
        <f t="shared" ref="AC258:AC265" si="205">IF(AQ258="1",BI258,0)</f>
        <v>0</v>
      </c>
      <c r="AD258" s="4">
        <f t="shared" ref="AD258:AD265" si="206">IF(AQ258="7",BH258,0)</f>
        <v>0</v>
      </c>
      <c r="AE258" s="4">
        <f t="shared" ref="AE258:AE265" si="207">IF(AQ258="7",BI258,0)</f>
        <v>0</v>
      </c>
      <c r="AF258" s="4">
        <f t="shared" ref="AF258:AF265" si="208">IF(AQ258="2",BH258,0)</f>
        <v>0</v>
      </c>
      <c r="AG258" s="4">
        <f t="shared" ref="AG258:AG265" si="209">IF(AQ258="2",BI258,0)</f>
        <v>0</v>
      </c>
      <c r="AH258" s="4">
        <f t="shared" ref="AH258:AH265" si="210">IF(AQ258="0",BJ258,0)</f>
        <v>0</v>
      </c>
      <c r="AI258" s="30" t="s">
        <v>630</v>
      </c>
      <c r="AJ258" s="4">
        <f t="shared" ref="AJ258:AJ265" si="211">IF(AN258=0,L258,0)</f>
        <v>0</v>
      </c>
      <c r="AK258" s="4">
        <f t="shared" ref="AK258:AK265" si="212">IF(AN258=15,L258,0)</f>
        <v>0</v>
      </c>
      <c r="AL258" s="4">
        <f t="shared" ref="AL258:AL265" si="213">IF(AN258=21,L258,0)</f>
        <v>0</v>
      </c>
      <c r="AN258" s="4">
        <v>21</v>
      </c>
      <c r="AO258" s="4">
        <f>I258*0</f>
        <v>0</v>
      </c>
      <c r="AP258" s="4">
        <f>I258*(1-0)</f>
        <v>0</v>
      </c>
      <c r="AQ258" s="14" t="s">
        <v>907</v>
      </c>
      <c r="AV258" s="4">
        <f t="shared" ref="AV258:AV265" si="214">AW258+AX258</f>
        <v>0</v>
      </c>
      <c r="AW258" s="4">
        <f t="shared" ref="AW258:AW265" si="215">H258*AO258</f>
        <v>0</v>
      </c>
      <c r="AX258" s="4">
        <f t="shared" ref="AX258:AX265" si="216">H258*AP258</f>
        <v>0</v>
      </c>
      <c r="AY258" s="14" t="s">
        <v>521</v>
      </c>
      <c r="AZ258" s="14" t="s">
        <v>821</v>
      </c>
      <c r="BA258" s="30" t="s">
        <v>694</v>
      </c>
      <c r="BC258" s="4">
        <f t="shared" ref="BC258:BC265" si="217">AW258+AX258</f>
        <v>0</v>
      </c>
      <c r="BD258" s="4">
        <f t="shared" ref="BD258:BD265" si="218">I258/(100-BE258)*100</f>
        <v>0</v>
      </c>
      <c r="BE258" s="4">
        <v>0</v>
      </c>
      <c r="BF258" s="4">
        <f>258</f>
        <v>258</v>
      </c>
      <c r="BH258" s="4">
        <f t="shared" ref="BH258:BH265" si="219">H258*AO258</f>
        <v>0</v>
      </c>
      <c r="BI258" s="4">
        <f t="shared" ref="BI258:BI265" si="220">H258*AP258</f>
        <v>0</v>
      </c>
      <c r="BJ258" s="4">
        <f t="shared" ref="BJ258:BJ265" si="221">H258*I258</f>
        <v>0</v>
      </c>
      <c r="BK258" s="4"/>
      <c r="BL258" s="4">
        <v>735</v>
      </c>
    </row>
    <row r="259" spans="1:64" ht="15" customHeight="1">
      <c r="A259" s="22" t="s">
        <v>297</v>
      </c>
      <c r="B259" s="9" t="s">
        <v>653</v>
      </c>
      <c r="C259" s="53" t="s">
        <v>556</v>
      </c>
      <c r="D259" s="53"/>
      <c r="E259" s="53"/>
      <c r="F259" s="53"/>
      <c r="G259" s="9" t="s">
        <v>891</v>
      </c>
      <c r="H259" s="4">
        <v>6.14</v>
      </c>
      <c r="I259" s="4">
        <v>0</v>
      </c>
      <c r="J259" s="4">
        <f t="shared" si="200"/>
        <v>0</v>
      </c>
      <c r="K259" s="4">
        <f t="shared" si="201"/>
        <v>0</v>
      </c>
      <c r="L259" s="4">
        <f t="shared" si="202"/>
        <v>0</v>
      </c>
      <c r="M259" s="17" t="s">
        <v>619</v>
      </c>
      <c r="Z259" s="4">
        <f t="shared" si="203"/>
        <v>0</v>
      </c>
      <c r="AB259" s="4">
        <f t="shared" si="204"/>
        <v>0</v>
      </c>
      <c r="AC259" s="4">
        <f t="shared" si="205"/>
        <v>0</v>
      </c>
      <c r="AD259" s="4">
        <f t="shared" si="206"/>
        <v>0</v>
      </c>
      <c r="AE259" s="4">
        <f t="shared" si="207"/>
        <v>0</v>
      </c>
      <c r="AF259" s="4">
        <f t="shared" si="208"/>
        <v>0</v>
      </c>
      <c r="AG259" s="4">
        <f t="shared" si="209"/>
        <v>0</v>
      </c>
      <c r="AH259" s="4">
        <f t="shared" si="210"/>
        <v>0</v>
      </c>
      <c r="AI259" s="30" t="s">
        <v>630</v>
      </c>
      <c r="AJ259" s="4">
        <f t="shared" si="211"/>
        <v>0</v>
      </c>
      <c r="AK259" s="4">
        <f t="shared" si="212"/>
        <v>0</v>
      </c>
      <c r="AL259" s="4">
        <f t="shared" si="213"/>
        <v>0</v>
      </c>
      <c r="AN259" s="4">
        <v>21</v>
      </c>
      <c r="AO259" s="4">
        <f>I259*0.390342157138834</f>
        <v>0</v>
      </c>
      <c r="AP259" s="4">
        <f>I259*(1-0.390342157138834)</f>
        <v>0</v>
      </c>
      <c r="AQ259" s="14" t="s">
        <v>907</v>
      </c>
      <c r="AV259" s="4">
        <f t="shared" si="214"/>
        <v>0</v>
      </c>
      <c r="AW259" s="4">
        <f t="shared" si="215"/>
        <v>0</v>
      </c>
      <c r="AX259" s="4">
        <f t="shared" si="216"/>
        <v>0</v>
      </c>
      <c r="AY259" s="14" t="s">
        <v>521</v>
      </c>
      <c r="AZ259" s="14" t="s">
        <v>821</v>
      </c>
      <c r="BA259" s="30" t="s">
        <v>694</v>
      </c>
      <c r="BC259" s="4">
        <f t="shared" si="217"/>
        <v>0</v>
      </c>
      <c r="BD259" s="4">
        <f t="shared" si="218"/>
        <v>0</v>
      </c>
      <c r="BE259" s="4">
        <v>0</v>
      </c>
      <c r="BF259" s="4">
        <f>259</f>
        <v>259</v>
      </c>
      <c r="BH259" s="4">
        <f t="shared" si="219"/>
        <v>0</v>
      </c>
      <c r="BI259" s="4">
        <f t="shared" si="220"/>
        <v>0</v>
      </c>
      <c r="BJ259" s="4">
        <f t="shared" si="221"/>
        <v>0</v>
      </c>
      <c r="BK259" s="4"/>
      <c r="BL259" s="4">
        <v>735</v>
      </c>
    </row>
    <row r="260" spans="1:64" ht="15" customHeight="1">
      <c r="A260" s="22" t="s">
        <v>734</v>
      </c>
      <c r="B260" s="9" t="s">
        <v>341</v>
      </c>
      <c r="C260" s="53" t="s">
        <v>459</v>
      </c>
      <c r="D260" s="53"/>
      <c r="E260" s="53"/>
      <c r="F260" s="53"/>
      <c r="G260" s="9" t="s">
        <v>891</v>
      </c>
      <c r="H260" s="4">
        <v>46.87</v>
      </c>
      <c r="I260" s="4">
        <v>0</v>
      </c>
      <c r="J260" s="4">
        <f t="shared" si="200"/>
        <v>0</v>
      </c>
      <c r="K260" s="4">
        <f t="shared" si="201"/>
        <v>0</v>
      </c>
      <c r="L260" s="4">
        <f t="shared" si="202"/>
        <v>0</v>
      </c>
      <c r="M260" s="17" t="s">
        <v>619</v>
      </c>
      <c r="Z260" s="4">
        <f t="shared" si="203"/>
        <v>0</v>
      </c>
      <c r="AB260" s="4">
        <f t="shared" si="204"/>
        <v>0</v>
      </c>
      <c r="AC260" s="4">
        <f t="shared" si="205"/>
        <v>0</v>
      </c>
      <c r="AD260" s="4">
        <f t="shared" si="206"/>
        <v>0</v>
      </c>
      <c r="AE260" s="4">
        <f t="shared" si="207"/>
        <v>0</v>
      </c>
      <c r="AF260" s="4">
        <f t="shared" si="208"/>
        <v>0</v>
      </c>
      <c r="AG260" s="4">
        <f t="shared" si="209"/>
        <v>0</v>
      </c>
      <c r="AH260" s="4">
        <f t="shared" si="210"/>
        <v>0</v>
      </c>
      <c r="AI260" s="30" t="s">
        <v>630</v>
      </c>
      <c r="AJ260" s="4">
        <f t="shared" si="211"/>
        <v>0</v>
      </c>
      <c r="AK260" s="4">
        <f t="shared" si="212"/>
        <v>0</v>
      </c>
      <c r="AL260" s="4">
        <f t="shared" si="213"/>
        <v>0</v>
      </c>
      <c r="AN260" s="4">
        <v>21</v>
      </c>
      <c r="AO260" s="4">
        <f>I260*0</f>
        <v>0</v>
      </c>
      <c r="AP260" s="4">
        <f>I260*(1-0)</f>
        <v>0</v>
      </c>
      <c r="AQ260" s="14" t="s">
        <v>907</v>
      </c>
      <c r="AV260" s="4">
        <f t="shared" si="214"/>
        <v>0</v>
      </c>
      <c r="AW260" s="4">
        <f t="shared" si="215"/>
        <v>0</v>
      </c>
      <c r="AX260" s="4">
        <f t="shared" si="216"/>
        <v>0</v>
      </c>
      <c r="AY260" s="14" t="s">
        <v>521</v>
      </c>
      <c r="AZ260" s="14" t="s">
        <v>821</v>
      </c>
      <c r="BA260" s="30" t="s">
        <v>694</v>
      </c>
      <c r="BC260" s="4">
        <f t="shared" si="217"/>
        <v>0</v>
      </c>
      <c r="BD260" s="4">
        <f t="shared" si="218"/>
        <v>0</v>
      </c>
      <c r="BE260" s="4">
        <v>0</v>
      </c>
      <c r="BF260" s="4">
        <f>260</f>
        <v>260</v>
      </c>
      <c r="BH260" s="4">
        <f t="shared" si="219"/>
        <v>0</v>
      </c>
      <c r="BI260" s="4">
        <f t="shared" si="220"/>
        <v>0</v>
      </c>
      <c r="BJ260" s="4">
        <f t="shared" si="221"/>
        <v>0</v>
      </c>
      <c r="BK260" s="4"/>
      <c r="BL260" s="4">
        <v>735</v>
      </c>
    </row>
    <row r="261" spans="1:64" ht="15" customHeight="1">
      <c r="A261" s="22" t="s">
        <v>485</v>
      </c>
      <c r="B261" s="9" t="s">
        <v>235</v>
      </c>
      <c r="C261" s="53" t="s">
        <v>161</v>
      </c>
      <c r="D261" s="53"/>
      <c r="E261" s="53"/>
      <c r="F261" s="53"/>
      <c r="G261" s="9" t="s">
        <v>232</v>
      </c>
      <c r="H261" s="4">
        <v>1</v>
      </c>
      <c r="I261" s="4">
        <v>0</v>
      </c>
      <c r="J261" s="4">
        <f t="shared" si="200"/>
        <v>0</v>
      </c>
      <c r="K261" s="4">
        <f t="shared" si="201"/>
        <v>0</v>
      </c>
      <c r="L261" s="4">
        <f t="shared" si="202"/>
        <v>0</v>
      </c>
      <c r="M261" s="17" t="s">
        <v>619</v>
      </c>
      <c r="Z261" s="4">
        <f t="shared" si="203"/>
        <v>0</v>
      </c>
      <c r="AB261" s="4">
        <f t="shared" si="204"/>
        <v>0</v>
      </c>
      <c r="AC261" s="4">
        <f t="shared" si="205"/>
        <v>0</v>
      </c>
      <c r="AD261" s="4">
        <f t="shared" si="206"/>
        <v>0</v>
      </c>
      <c r="AE261" s="4">
        <f t="shared" si="207"/>
        <v>0</v>
      </c>
      <c r="AF261" s="4">
        <f t="shared" si="208"/>
        <v>0</v>
      </c>
      <c r="AG261" s="4">
        <f t="shared" si="209"/>
        <v>0</v>
      </c>
      <c r="AH261" s="4">
        <f t="shared" si="210"/>
        <v>0</v>
      </c>
      <c r="AI261" s="30" t="s">
        <v>630</v>
      </c>
      <c r="AJ261" s="4">
        <f t="shared" si="211"/>
        <v>0</v>
      </c>
      <c r="AK261" s="4">
        <f t="shared" si="212"/>
        <v>0</v>
      </c>
      <c r="AL261" s="4">
        <f t="shared" si="213"/>
        <v>0</v>
      </c>
      <c r="AN261" s="4">
        <v>21</v>
      </c>
      <c r="AO261" s="4">
        <f>I261*0.127467532467532</f>
        <v>0</v>
      </c>
      <c r="AP261" s="4">
        <f>I261*(1-0.127467532467532)</f>
        <v>0</v>
      </c>
      <c r="AQ261" s="14" t="s">
        <v>907</v>
      </c>
      <c r="AV261" s="4">
        <f t="shared" si="214"/>
        <v>0</v>
      </c>
      <c r="AW261" s="4">
        <f t="shared" si="215"/>
        <v>0</v>
      </c>
      <c r="AX261" s="4">
        <f t="shared" si="216"/>
        <v>0</v>
      </c>
      <c r="AY261" s="14" t="s">
        <v>521</v>
      </c>
      <c r="AZ261" s="14" t="s">
        <v>821</v>
      </c>
      <c r="BA261" s="30" t="s">
        <v>694</v>
      </c>
      <c r="BC261" s="4">
        <f t="shared" si="217"/>
        <v>0</v>
      </c>
      <c r="BD261" s="4">
        <f t="shared" si="218"/>
        <v>0</v>
      </c>
      <c r="BE261" s="4">
        <v>0</v>
      </c>
      <c r="BF261" s="4">
        <f>261</f>
        <v>261</v>
      </c>
      <c r="BH261" s="4">
        <f t="shared" si="219"/>
        <v>0</v>
      </c>
      <c r="BI261" s="4">
        <f t="shared" si="220"/>
        <v>0</v>
      </c>
      <c r="BJ261" s="4">
        <f t="shared" si="221"/>
        <v>0</v>
      </c>
      <c r="BK261" s="4"/>
      <c r="BL261" s="4">
        <v>735</v>
      </c>
    </row>
    <row r="262" spans="1:64" ht="15" customHeight="1">
      <c r="A262" s="22" t="s">
        <v>17</v>
      </c>
      <c r="B262" s="9" t="s">
        <v>115</v>
      </c>
      <c r="C262" s="53" t="s">
        <v>389</v>
      </c>
      <c r="D262" s="53"/>
      <c r="E262" s="53"/>
      <c r="F262" s="53"/>
      <c r="G262" s="9" t="s">
        <v>695</v>
      </c>
      <c r="H262" s="4">
        <v>1</v>
      </c>
      <c r="I262" s="4">
        <v>0</v>
      </c>
      <c r="J262" s="4">
        <f t="shared" si="200"/>
        <v>0</v>
      </c>
      <c r="K262" s="4">
        <f t="shared" si="201"/>
        <v>0</v>
      </c>
      <c r="L262" s="4">
        <f t="shared" si="202"/>
        <v>0</v>
      </c>
      <c r="M262" s="17" t="s">
        <v>630</v>
      </c>
      <c r="Z262" s="4">
        <f t="shared" si="203"/>
        <v>0</v>
      </c>
      <c r="AB262" s="4">
        <f t="shared" si="204"/>
        <v>0</v>
      </c>
      <c r="AC262" s="4">
        <f t="shared" si="205"/>
        <v>0</v>
      </c>
      <c r="AD262" s="4">
        <f t="shared" si="206"/>
        <v>0</v>
      </c>
      <c r="AE262" s="4">
        <f t="shared" si="207"/>
        <v>0</v>
      </c>
      <c r="AF262" s="4">
        <f t="shared" si="208"/>
        <v>0</v>
      </c>
      <c r="AG262" s="4">
        <f t="shared" si="209"/>
        <v>0</v>
      </c>
      <c r="AH262" s="4">
        <f t="shared" si="210"/>
        <v>0</v>
      </c>
      <c r="AI262" s="30" t="s">
        <v>630</v>
      </c>
      <c r="AJ262" s="4">
        <f t="shared" si="211"/>
        <v>0</v>
      </c>
      <c r="AK262" s="4">
        <f t="shared" si="212"/>
        <v>0</v>
      </c>
      <c r="AL262" s="4">
        <f t="shared" si="213"/>
        <v>0</v>
      </c>
      <c r="AN262" s="4">
        <v>21</v>
      </c>
      <c r="AO262" s="4">
        <f>I262*0</f>
        <v>0</v>
      </c>
      <c r="AP262" s="4">
        <f>I262*(1-0)</f>
        <v>0</v>
      </c>
      <c r="AQ262" s="14" t="s">
        <v>907</v>
      </c>
      <c r="AV262" s="4">
        <f t="shared" si="214"/>
        <v>0</v>
      </c>
      <c r="AW262" s="4">
        <f t="shared" si="215"/>
        <v>0</v>
      </c>
      <c r="AX262" s="4">
        <f t="shared" si="216"/>
        <v>0</v>
      </c>
      <c r="AY262" s="14" t="s">
        <v>521</v>
      </c>
      <c r="AZ262" s="14" t="s">
        <v>821</v>
      </c>
      <c r="BA262" s="30" t="s">
        <v>694</v>
      </c>
      <c r="BC262" s="4">
        <f t="shared" si="217"/>
        <v>0</v>
      </c>
      <c r="BD262" s="4">
        <f t="shared" si="218"/>
        <v>0</v>
      </c>
      <c r="BE262" s="4">
        <v>0</v>
      </c>
      <c r="BF262" s="4">
        <f>262</f>
        <v>262</v>
      </c>
      <c r="BH262" s="4">
        <f t="shared" si="219"/>
        <v>0</v>
      </c>
      <c r="BI262" s="4">
        <f t="shared" si="220"/>
        <v>0</v>
      </c>
      <c r="BJ262" s="4">
        <f t="shared" si="221"/>
        <v>0</v>
      </c>
      <c r="BK262" s="4"/>
      <c r="BL262" s="4">
        <v>735</v>
      </c>
    </row>
    <row r="263" spans="1:64" ht="15" customHeight="1">
      <c r="A263" s="22" t="s">
        <v>681</v>
      </c>
      <c r="B263" s="9" t="s">
        <v>519</v>
      </c>
      <c r="C263" s="53" t="s">
        <v>905</v>
      </c>
      <c r="D263" s="53"/>
      <c r="E263" s="53"/>
      <c r="F263" s="53"/>
      <c r="G263" s="9" t="s">
        <v>636</v>
      </c>
      <c r="H263" s="4">
        <v>1</v>
      </c>
      <c r="I263" s="4">
        <v>0</v>
      </c>
      <c r="J263" s="4">
        <f t="shared" si="200"/>
        <v>0</v>
      </c>
      <c r="K263" s="4">
        <f t="shared" si="201"/>
        <v>0</v>
      </c>
      <c r="L263" s="4">
        <f t="shared" si="202"/>
        <v>0</v>
      </c>
      <c r="M263" s="17" t="s">
        <v>619</v>
      </c>
      <c r="Z263" s="4">
        <f t="shared" si="203"/>
        <v>0</v>
      </c>
      <c r="AB263" s="4">
        <f t="shared" si="204"/>
        <v>0</v>
      </c>
      <c r="AC263" s="4">
        <f t="shared" si="205"/>
        <v>0</v>
      </c>
      <c r="AD263" s="4">
        <f t="shared" si="206"/>
        <v>0</v>
      </c>
      <c r="AE263" s="4">
        <f t="shared" si="207"/>
        <v>0</v>
      </c>
      <c r="AF263" s="4">
        <f t="shared" si="208"/>
        <v>0</v>
      </c>
      <c r="AG263" s="4">
        <f t="shared" si="209"/>
        <v>0</v>
      </c>
      <c r="AH263" s="4">
        <f t="shared" si="210"/>
        <v>0</v>
      </c>
      <c r="AI263" s="30" t="s">
        <v>630</v>
      </c>
      <c r="AJ263" s="4">
        <f t="shared" si="211"/>
        <v>0</v>
      </c>
      <c r="AK263" s="4">
        <f t="shared" si="212"/>
        <v>0</v>
      </c>
      <c r="AL263" s="4">
        <f t="shared" si="213"/>
        <v>0</v>
      </c>
      <c r="AN263" s="4">
        <v>21</v>
      </c>
      <c r="AO263" s="4">
        <f>I263*0.135160256410256</f>
        <v>0</v>
      </c>
      <c r="AP263" s="4">
        <f>I263*(1-0.135160256410256)</f>
        <v>0</v>
      </c>
      <c r="AQ263" s="14" t="s">
        <v>907</v>
      </c>
      <c r="AV263" s="4">
        <f t="shared" si="214"/>
        <v>0</v>
      </c>
      <c r="AW263" s="4">
        <f t="shared" si="215"/>
        <v>0</v>
      </c>
      <c r="AX263" s="4">
        <f t="shared" si="216"/>
        <v>0</v>
      </c>
      <c r="AY263" s="14" t="s">
        <v>521</v>
      </c>
      <c r="AZ263" s="14" t="s">
        <v>821</v>
      </c>
      <c r="BA263" s="30" t="s">
        <v>694</v>
      </c>
      <c r="BC263" s="4">
        <f t="shared" si="217"/>
        <v>0</v>
      </c>
      <c r="BD263" s="4">
        <f t="shared" si="218"/>
        <v>0</v>
      </c>
      <c r="BE263" s="4">
        <v>0</v>
      </c>
      <c r="BF263" s="4">
        <f>263</f>
        <v>263</v>
      </c>
      <c r="BH263" s="4">
        <f t="shared" si="219"/>
        <v>0</v>
      </c>
      <c r="BI263" s="4">
        <f t="shared" si="220"/>
        <v>0</v>
      </c>
      <c r="BJ263" s="4">
        <f t="shared" si="221"/>
        <v>0</v>
      </c>
      <c r="BK263" s="4"/>
      <c r="BL263" s="4">
        <v>735</v>
      </c>
    </row>
    <row r="264" spans="1:64" ht="15" customHeight="1">
      <c r="A264" s="22" t="s">
        <v>968</v>
      </c>
      <c r="B264" s="9" t="s">
        <v>238</v>
      </c>
      <c r="C264" s="53" t="s">
        <v>198</v>
      </c>
      <c r="D264" s="53"/>
      <c r="E264" s="53"/>
      <c r="F264" s="53"/>
      <c r="G264" s="9" t="s">
        <v>891</v>
      </c>
      <c r="H264" s="4">
        <v>46.87</v>
      </c>
      <c r="I264" s="4">
        <v>0</v>
      </c>
      <c r="J264" s="4">
        <f t="shared" si="200"/>
        <v>0</v>
      </c>
      <c r="K264" s="4">
        <f t="shared" si="201"/>
        <v>0</v>
      </c>
      <c r="L264" s="4">
        <f t="shared" si="202"/>
        <v>0</v>
      </c>
      <c r="M264" s="17" t="s">
        <v>619</v>
      </c>
      <c r="Z264" s="4">
        <f t="shared" si="203"/>
        <v>0</v>
      </c>
      <c r="AB264" s="4">
        <f t="shared" si="204"/>
        <v>0</v>
      </c>
      <c r="AC264" s="4">
        <f t="shared" si="205"/>
        <v>0</v>
      </c>
      <c r="AD264" s="4">
        <f t="shared" si="206"/>
        <v>0</v>
      </c>
      <c r="AE264" s="4">
        <f t="shared" si="207"/>
        <v>0</v>
      </c>
      <c r="AF264" s="4">
        <f t="shared" si="208"/>
        <v>0</v>
      </c>
      <c r="AG264" s="4">
        <f t="shared" si="209"/>
        <v>0</v>
      </c>
      <c r="AH264" s="4">
        <f t="shared" si="210"/>
        <v>0</v>
      </c>
      <c r="AI264" s="30" t="s">
        <v>630</v>
      </c>
      <c r="AJ264" s="4">
        <f t="shared" si="211"/>
        <v>0</v>
      </c>
      <c r="AK264" s="4">
        <f t="shared" si="212"/>
        <v>0</v>
      </c>
      <c r="AL264" s="4">
        <f t="shared" si="213"/>
        <v>0</v>
      </c>
      <c r="AN264" s="4">
        <v>21</v>
      </c>
      <c r="AO264" s="4">
        <f>I264*0.0144097753795959</f>
        <v>0</v>
      </c>
      <c r="AP264" s="4">
        <f>I264*(1-0.0144097753795959)</f>
        <v>0</v>
      </c>
      <c r="AQ264" s="14" t="s">
        <v>907</v>
      </c>
      <c r="AV264" s="4">
        <f t="shared" si="214"/>
        <v>0</v>
      </c>
      <c r="AW264" s="4">
        <f t="shared" si="215"/>
        <v>0</v>
      </c>
      <c r="AX264" s="4">
        <f t="shared" si="216"/>
        <v>0</v>
      </c>
      <c r="AY264" s="14" t="s">
        <v>521</v>
      </c>
      <c r="AZ264" s="14" t="s">
        <v>821</v>
      </c>
      <c r="BA264" s="30" t="s">
        <v>694</v>
      </c>
      <c r="BC264" s="4">
        <f t="shared" si="217"/>
        <v>0</v>
      </c>
      <c r="BD264" s="4">
        <f t="shared" si="218"/>
        <v>0</v>
      </c>
      <c r="BE264" s="4">
        <v>0</v>
      </c>
      <c r="BF264" s="4">
        <f>264</f>
        <v>264</v>
      </c>
      <c r="BH264" s="4">
        <f t="shared" si="219"/>
        <v>0</v>
      </c>
      <c r="BI264" s="4">
        <f t="shared" si="220"/>
        <v>0</v>
      </c>
      <c r="BJ264" s="4">
        <f t="shared" si="221"/>
        <v>0</v>
      </c>
      <c r="BK264" s="4"/>
      <c r="BL264" s="4">
        <v>735</v>
      </c>
    </row>
    <row r="265" spans="1:64" ht="15" customHeight="1">
      <c r="A265" s="22" t="s">
        <v>895</v>
      </c>
      <c r="B265" s="9" t="s">
        <v>670</v>
      </c>
      <c r="C265" s="53" t="s">
        <v>666</v>
      </c>
      <c r="D265" s="53"/>
      <c r="E265" s="53"/>
      <c r="F265" s="53"/>
      <c r="G265" s="9" t="s">
        <v>429</v>
      </c>
      <c r="H265" s="4">
        <v>0.27100000000000002</v>
      </c>
      <c r="I265" s="4">
        <v>0</v>
      </c>
      <c r="J265" s="4">
        <f t="shared" si="200"/>
        <v>0</v>
      </c>
      <c r="K265" s="4">
        <f t="shared" si="201"/>
        <v>0</v>
      </c>
      <c r="L265" s="4">
        <f t="shared" si="202"/>
        <v>0</v>
      </c>
      <c r="M265" s="17" t="s">
        <v>619</v>
      </c>
      <c r="Z265" s="4">
        <f t="shared" si="203"/>
        <v>0</v>
      </c>
      <c r="AB265" s="4">
        <f t="shared" si="204"/>
        <v>0</v>
      </c>
      <c r="AC265" s="4">
        <f t="shared" si="205"/>
        <v>0</v>
      </c>
      <c r="AD265" s="4">
        <f t="shared" si="206"/>
        <v>0</v>
      </c>
      <c r="AE265" s="4">
        <f t="shared" si="207"/>
        <v>0</v>
      </c>
      <c r="AF265" s="4">
        <f t="shared" si="208"/>
        <v>0</v>
      </c>
      <c r="AG265" s="4">
        <f t="shared" si="209"/>
        <v>0</v>
      </c>
      <c r="AH265" s="4">
        <f t="shared" si="210"/>
        <v>0</v>
      </c>
      <c r="AI265" s="30" t="s">
        <v>630</v>
      </c>
      <c r="AJ265" s="4">
        <f t="shared" si="211"/>
        <v>0</v>
      </c>
      <c r="AK265" s="4">
        <f t="shared" si="212"/>
        <v>0</v>
      </c>
      <c r="AL265" s="4">
        <f t="shared" si="213"/>
        <v>0</v>
      </c>
      <c r="AN265" s="4">
        <v>21</v>
      </c>
      <c r="AO265" s="4">
        <f>I265*0</f>
        <v>0</v>
      </c>
      <c r="AP265" s="4">
        <f>I265*(1-0)</f>
        <v>0</v>
      </c>
      <c r="AQ265" s="14" t="s">
        <v>488</v>
      </c>
      <c r="AV265" s="4">
        <f t="shared" si="214"/>
        <v>0</v>
      </c>
      <c r="AW265" s="4">
        <f t="shared" si="215"/>
        <v>0</v>
      </c>
      <c r="AX265" s="4">
        <f t="shared" si="216"/>
        <v>0</v>
      </c>
      <c r="AY265" s="14" t="s">
        <v>521</v>
      </c>
      <c r="AZ265" s="14" t="s">
        <v>821</v>
      </c>
      <c r="BA265" s="30" t="s">
        <v>694</v>
      </c>
      <c r="BC265" s="4">
        <f t="shared" si="217"/>
        <v>0</v>
      </c>
      <c r="BD265" s="4">
        <f t="shared" si="218"/>
        <v>0</v>
      </c>
      <c r="BE265" s="4">
        <v>0</v>
      </c>
      <c r="BF265" s="4">
        <f>265</f>
        <v>265</v>
      </c>
      <c r="BH265" s="4">
        <f t="shared" si="219"/>
        <v>0</v>
      </c>
      <c r="BI265" s="4">
        <f t="shared" si="220"/>
        <v>0</v>
      </c>
      <c r="BJ265" s="4">
        <f t="shared" si="221"/>
        <v>0</v>
      </c>
      <c r="BK265" s="4"/>
      <c r="BL265" s="4">
        <v>735</v>
      </c>
    </row>
    <row r="266" spans="1:64" ht="15" customHeight="1">
      <c r="A266" s="12" t="s">
        <v>630</v>
      </c>
      <c r="B266" s="32" t="s">
        <v>386</v>
      </c>
      <c r="C266" s="61" t="s">
        <v>439</v>
      </c>
      <c r="D266" s="61"/>
      <c r="E266" s="61"/>
      <c r="F266" s="61"/>
      <c r="G266" s="45" t="s">
        <v>839</v>
      </c>
      <c r="H266" s="45" t="s">
        <v>839</v>
      </c>
      <c r="I266" s="45" t="s">
        <v>839</v>
      </c>
      <c r="J266" s="49">
        <f>SUM(J267:J287)</f>
        <v>0</v>
      </c>
      <c r="K266" s="49">
        <f>SUM(K267:K287)</f>
        <v>0</v>
      </c>
      <c r="L266" s="49">
        <f>SUM(L267:L287)</f>
        <v>0</v>
      </c>
      <c r="M266" s="29" t="s">
        <v>630</v>
      </c>
      <c r="AI266" s="30" t="s">
        <v>630</v>
      </c>
      <c r="AS266" s="49">
        <f>SUM(AJ267:AJ287)</f>
        <v>0</v>
      </c>
      <c r="AT266" s="49">
        <f>SUM(AK267:AK287)</f>
        <v>0</v>
      </c>
      <c r="AU266" s="49">
        <f>SUM(AL267:AL287)</f>
        <v>0</v>
      </c>
    </row>
    <row r="267" spans="1:64" ht="15" customHeight="1">
      <c r="A267" s="22" t="s">
        <v>693</v>
      </c>
      <c r="B267" s="9" t="s">
        <v>154</v>
      </c>
      <c r="C267" s="53" t="s">
        <v>510</v>
      </c>
      <c r="D267" s="53"/>
      <c r="E267" s="53"/>
      <c r="F267" s="53"/>
      <c r="G267" s="9" t="s">
        <v>232</v>
      </c>
      <c r="H267" s="4">
        <v>1</v>
      </c>
      <c r="I267" s="4">
        <v>0</v>
      </c>
      <c r="J267" s="4">
        <f t="shared" ref="J267:J287" si="222">H267*AO267</f>
        <v>0</v>
      </c>
      <c r="K267" s="4">
        <f t="shared" ref="K267:K287" si="223">H267*AP267</f>
        <v>0</v>
      </c>
      <c r="L267" s="4">
        <f t="shared" ref="L267:L287" si="224">H267*I267</f>
        <v>0</v>
      </c>
      <c r="M267" s="17" t="s">
        <v>619</v>
      </c>
      <c r="Z267" s="4">
        <f t="shared" ref="Z267:Z287" si="225">IF(AQ267="5",BJ267,0)</f>
        <v>0</v>
      </c>
      <c r="AB267" s="4">
        <f t="shared" ref="AB267:AB287" si="226">IF(AQ267="1",BH267,0)</f>
        <v>0</v>
      </c>
      <c r="AC267" s="4">
        <f t="shared" ref="AC267:AC287" si="227">IF(AQ267="1",BI267,0)</f>
        <v>0</v>
      </c>
      <c r="AD267" s="4">
        <f t="shared" ref="AD267:AD287" si="228">IF(AQ267="7",BH267,0)</f>
        <v>0</v>
      </c>
      <c r="AE267" s="4">
        <f t="shared" ref="AE267:AE287" si="229">IF(AQ267="7",BI267,0)</f>
        <v>0</v>
      </c>
      <c r="AF267" s="4">
        <f t="shared" ref="AF267:AF287" si="230">IF(AQ267="2",BH267,0)</f>
        <v>0</v>
      </c>
      <c r="AG267" s="4">
        <f t="shared" ref="AG267:AG287" si="231">IF(AQ267="2",BI267,0)</f>
        <v>0</v>
      </c>
      <c r="AH267" s="4">
        <f t="shared" ref="AH267:AH287" si="232">IF(AQ267="0",BJ267,0)</f>
        <v>0</v>
      </c>
      <c r="AI267" s="30" t="s">
        <v>630</v>
      </c>
      <c r="AJ267" s="4">
        <f t="shared" ref="AJ267:AJ287" si="233">IF(AN267=0,L267,0)</f>
        <v>0</v>
      </c>
      <c r="AK267" s="4">
        <f t="shared" ref="AK267:AK287" si="234">IF(AN267=15,L267,0)</f>
        <v>0</v>
      </c>
      <c r="AL267" s="4">
        <f t="shared" ref="AL267:AL287" si="235">IF(AN267=21,L267,0)</f>
        <v>0</v>
      </c>
      <c r="AN267" s="4">
        <v>21</v>
      </c>
      <c r="AO267" s="4">
        <f>I267*0</f>
        <v>0</v>
      </c>
      <c r="AP267" s="4">
        <f>I267*(1-0)</f>
        <v>0</v>
      </c>
      <c r="AQ267" s="14" t="s">
        <v>907</v>
      </c>
      <c r="AV267" s="4">
        <f t="shared" ref="AV267:AV287" si="236">AW267+AX267</f>
        <v>0</v>
      </c>
      <c r="AW267" s="4">
        <f t="shared" ref="AW267:AW287" si="237">H267*AO267</f>
        <v>0</v>
      </c>
      <c r="AX267" s="4">
        <f t="shared" ref="AX267:AX287" si="238">H267*AP267</f>
        <v>0</v>
      </c>
      <c r="AY267" s="14" t="s">
        <v>95</v>
      </c>
      <c r="AZ267" s="14" t="s">
        <v>493</v>
      </c>
      <c r="BA267" s="30" t="s">
        <v>694</v>
      </c>
      <c r="BC267" s="4">
        <f t="shared" ref="BC267:BC287" si="239">AW267+AX267</f>
        <v>0</v>
      </c>
      <c r="BD267" s="4">
        <f t="shared" ref="BD267:BD287" si="240">I267/(100-BE267)*100</f>
        <v>0</v>
      </c>
      <c r="BE267" s="4">
        <v>0</v>
      </c>
      <c r="BF267" s="4">
        <f>267</f>
        <v>267</v>
      </c>
      <c r="BH267" s="4">
        <f t="shared" ref="BH267:BH287" si="241">H267*AO267</f>
        <v>0</v>
      </c>
      <c r="BI267" s="4">
        <f t="shared" ref="BI267:BI287" si="242">H267*AP267</f>
        <v>0</v>
      </c>
      <c r="BJ267" s="4">
        <f t="shared" ref="BJ267:BJ287" si="243">H267*I267</f>
        <v>0</v>
      </c>
      <c r="BK267" s="4"/>
      <c r="BL267" s="4">
        <v>766</v>
      </c>
    </row>
    <row r="268" spans="1:64" ht="15" customHeight="1">
      <c r="A268" s="22" t="s">
        <v>577</v>
      </c>
      <c r="B268" s="9" t="s">
        <v>649</v>
      </c>
      <c r="C268" s="53" t="s">
        <v>507</v>
      </c>
      <c r="D268" s="53"/>
      <c r="E268" s="53"/>
      <c r="F268" s="53"/>
      <c r="G268" s="9" t="s">
        <v>232</v>
      </c>
      <c r="H268" s="4">
        <v>1</v>
      </c>
      <c r="I268" s="4">
        <v>0</v>
      </c>
      <c r="J268" s="4">
        <f t="shared" si="222"/>
        <v>0</v>
      </c>
      <c r="K268" s="4">
        <f t="shared" si="223"/>
        <v>0</v>
      </c>
      <c r="L268" s="4">
        <f t="shared" si="224"/>
        <v>0</v>
      </c>
      <c r="M268" s="17" t="s">
        <v>619</v>
      </c>
      <c r="Z268" s="4">
        <f t="shared" si="225"/>
        <v>0</v>
      </c>
      <c r="AB268" s="4">
        <f t="shared" si="226"/>
        <v>0</v>
      </c>
      <c r="AC268" s="4">
        <f t="shared" si="227"/>
        <v>0</v>
      </c>
      <c r="AD268" s="4">
        <f t="shared" si="228"/>
        <v>0</v>
      </c>
      <c r="AE268" s="4">
        <f t="shared" si="229"/>
        <v>0</v>
      </c>
      <c r="AF268" s="4">
        <f t="shared" si="230"/>
        <v>0</v>
      </c>
      <c r="AG268" s="4">
        <f t="shared" si="231"/>
        <v>0</v>
      </c>
      <c r="AH268" s="4">
        <f t="shared" si="232"/>
        <v>0</v>
      </c>
      <c r="AI268" s="30" t="s">
        <v>630</v>
      </c>
      <c r="AJ268" s="4">
        <f t="shared" si="233"/>
        <v>0</v>
      </c>
      <c r="AK268" s="4">
        <f t="shared" si="234"/>
        <v>0</v>
      </c>
      <c r="AL268" s="4">
        <f t="shared" si="235"/>
        <v>0</v>
      </c>
      <c r="AN268" s="4">
        <v>21</v>
      </c>
      <c r="AO268" s="4">
        <f>I268*1</f>
        <v>0</v>
      </c>
      <c r="AP268" s="4">
        <f>I268*(1-1)</f>
        <v>0</v>
      </c>
      <c r="AQ268" s="14" t="s">
        <v>907</v>
      </c>
      <c r="AV268" s="4">
        <f t="shared" si="236"/>
        <v>0</v>
      </c>
      <c r="AW268" s="4">
        <f t="shared" si="237"/>
        <v>0</v>
      </c>
      <c r="AX268" s="4">
        <f t="shared" si="238"/>
        <v>0</v>
      </c>
      <c r="AY268" s="14" t="s">
        <v>95</v>
      </c>
      <c r="AZ268" s="14" t="s">
        <v>493</v>
      </c>
      <c r="BA268" s="30" t="s">
        <v>694</v>
      </c>
      <c r="BC268" s="4">
        <f t="shared" si="239"/>
        <v>0</v>
      </c>
      <c r="BD268" s="4">
        <f t="shared" si="240"/>
        <v>0</v>
      </c>
      <c r="BE268" s="4">
        <v>0</v>
      </c>
      <c r="BF268" s="4">
        <f>268</f>
        <v>268</v>
      </c>
      <c r="BH268" s="4">
        <f t="shared" si="241"/>
        <v>0</v>
      </c>
      <c r="BI268" s="4">
        <f t="shared" si="242"/>
        <v>0</v>
      </c>
      <c r="BJ268" s="4">
        <f t="shared" si="243"/>
        <v>0</v>
      </c>
      <c r="BK268" s="4"/>
      <c r="BL268" s="4">
        <v>766</v>
      </c>
    </row>
    <row r="269" spans="1:64" ht="15" customHeight="1">
      <c r="A269" s="22" t="s">
        <v>81</v>
      </c>
      <c r="B269" s="9" t="s">
        <v>716</v>
      </c>
      <c r="C269" s="53" t="s">
        <v>251</v>
      </c>
      <c r="D269" s="53"/>
      <c r="E269" s="53"/>
      <c r="F269" s="53"/>
      <c r="G269" s="9" t="s">
        <v>232</v>
      </c>
      <c r="H269" s="4">
        <v>1</v>
      </c>
      <c r="I269" s="4">
        <v>0</v>
      </c>
      <c r="J269" s="4">
        <f t="shared" si="222"/>
        <v>0</v>
      </c>
      <c r="K269" s="4">
        <f t="shared" si="223"/>
        <v>0</v>
      </c>
      <c r="L269" s="4">
        <f t="shared" si="224"/>
        <v>0</v>
      </c>
      <c r="M269" s="17" t="s">
        <v>619</v>
      </c>
      <c r="Z269" s="4">
        <f t="shared" si="225"/>
        <v>0</v>
      </c>
      <c r="AB269" s="4">
        <f t="shared" si="226"/>
        <v>0</v>
      </c>
      <c r="AC269" s="4">
        <f t="shared" si="227"/>
        <v>0</v>
      </c>
      <c r="AD269" s="4">
        <f t="shared" si="228"/>
        <v>0</v>
      </c>
      <c r="AE269" s="4">
        <f t="shared" si="229"/>
        <v>0</v>
      </c>
      <c r="AF269" s="4">
        <f t="shared" si="230"/>
        <v>0</v>
      </c>
      <c r="AG269" s="4">
        <f t="shared" si="231"/>
        <v>0</v>
      </c>
      <c r="AH269" s="4">
        <f t="shared" si="232"/>
        <v>0</v>
      </c>
      <c r="AI269" s="30" t="s">
        <v>630</v>
      </c>
      <c r="AJ269" s="4">
        <f t="shared" si="233"/>
        <v>0</v>
      </c>
      <c r="AK269" s="4">
        <f t="shared" si="234"/>
        <v>0</v>
      </c>
      <c r="AL269" s="4">
        <f t="shared" si="235"/>
        <v>0</v>
      </c>
      <c r="AN269" s="4">
        <v>21</v>
      </c>
      <c r="AO269" s="4">
        <f>I269*0</f>
        <v>0</v>
      </c>
      <c r="AP269" s="4">
        <f>I269*(1-0)</f>
        <v>0</v>
      </c>
      <c r="AQ269" s="14" t="s">
        <v>907</v>
      </c>
      <c r="AV269" s="4">
        <f t="shared" si="236"/>
        <v>0</v>
      </c>
      <c r="AW269" s="4">
        <f t="shared" si="237"/>
        <v>0</v>
      </c>
      <c r="AX269" s="4">
        <f t="shared" si="238"/>
        <v>0</v>
      </c>
      <c r="AY269" s="14" t="s">
        <v>95</v>
      </c>
      <c r="AZ269" s="14" t="s">
        <v>493</v>
      </c>
      <c r="BA269" s="30" t="s">
        <v>694</v>
      </c>
      <c r="BC269" s="4">
        <f t="shared" si="239"/>
        <v>0</v>
      </c>
      <c r="BD269" s="4">
        <f t="shared" si="240"/>
        <v>0</v>
      </c>
      <c r="BE269" s="4">
        <v>0</v>
      </c>
      <c r="BF269" s="4">
        <f>269</f>
        <v>269</v>
      </c>
      <c r="BH269" s="4">
        <f t="shared" si="241"/>
        <v>0</v>
      </c>
      <c r="BI269" s="4">
        <f t="shared" si="242"/>
        <v>0</v>
      </c>
      <c r="BJ269" s="4">
        <f t="shared" si="243"/>
        <v>0</v>
      </c>
      <c r="BK269" s="4"/>
      <c r="BL269" s="4">
        <v>766</v>
      </c>
    </row>
    <row r="270" spans="1:64" ht="15" customHeight="1">
      <c r="A270" s="22" t="s">
        <v>621</v>
      </c>
      <c r="B270" s="9" t="s">
        <v>448</v>
      </c>
      <c r="C270" s="53" t="s">
        <v>711</v>
      </c>
      <c r="D270" s="53"/>
      <c r="E270" s="53"/>
      <c r="F270" s="53"/>
      <c r="G270" s="9" t="s">
        <v>232</v>
      </c>
      <c r="H270" s="4">
        <v>1</v>
      </c>
      <c r="I270" s="4">
        <v>0</v>
      </c>
      <c r="J270" s="4">
        <f t="shared" si="222"/>
        <v>0</v>
      </c>
      <c r="K270" s="4">
        <f t="shared" si="223"/>
        <v>0</v>
      </c>
      <c r="L270" s="4">
        <f t="shared" si="224"/>
        <v>0</v>
      </c>
      <c r="M270" s="17" t="s">
        <v>619</v>
      </c>
      <c r="Z270" s="4">
        <f t="shared" si="225"/>
        <v>0</v>
      </c>
      <c r="AB270" s="4">
        <f t="shared" si="226"/>
        <v>0</v>
      </c>
      <c r="AC270" s="4">
        <f t="shared" si="227"/>
        <v>0</v>
      </c>
      <c r="AD270" s="4">
        <f t="shared" si="228"/>
        <v>0</v>
      </c>
      <c r="AE270" s="4">
        <f t="shared" si="229"/>
        <v>0</v>
      </c>
      <c r="AF270" s="4">
        <f t="shared" si="230"/>
        <v>0</v>
      </c>
      <c r="AG270" s="4">
        <f t="shared" si="231"/>
        <v>0</v>
      </c>
      <c r="AH270" s="4">
        <f t="shared" si="232"/>
        <v>0</v>
      </c>
      <c r="AI270" s="30" t="s">
        <v>630</v>
      </c>
      <c r="AJ270" s="4">
        <f t="shared" si="233"/>
        <v>0</v>
      </c>
      <c r="AK270" s="4">
        <f t="shared" si="234"/>
        <v>0</v>
      </c>
      <c r="AL270" s="4">
        <f t="shared" si="235"/>
        <v>0</v>
      </c>
      <c r="AN270" s="4">
        <v>21</v>
      </c>
      <c r="AO270" s="4">
        <f>I270*1</f>
        <v>0</v>
      </c>
      <c r="AP270" s="4">
        <f>I270*(1-1)</f>
        <v>0</v>
      </c>
      <c r="AQ270" s="14" t="s">
        <v>907</v>
      </c>
      <c r="AV270" s="4">
        <f t="shared" si="236"/>
        <v>0</v>
      </c>
      <c r="AW270" s="4">
        <f t="shared" si="237"/>
        <v>0</v>
      </c>
      <c r="AX270" s="4">
        <f t="shared" si="238"/>
        <v>0</v>
      </c>
      <c r="AY270" s="14" t="s">
        <v>95</v>
      </c>
      <c r="AZ270" s="14" t="s">
        <v>493</v>
      </c>
      <c r="BA270" s="30" t="s">
        <v>694</v>
      </c>
      <c r="BC270" s="4">
        <f t="shared" si="239"/>
        <v>0</v>
      </c>
      <c r="BD270" s="4">
        <f t="shared" si="240"/>
        <v>0</v>
      </c>
      <c r="BE270" s="4">
        <v>0</v>
      </c>
      <c r="BF270" s="4">
        <f>270</f>
        <v>270</v>
      </c>
      <c r="BH270" s="4">
        <f t="shared" si="241"/>
        <v>0</v>
      </c>
      <c r="BI270" s="4">
        <f t="shared" si="242"/>
        <v>0</v>
      </c>
      <c r="BJ270" s="4">
        <f t="shared" si="243"/>
        <v>0</v>
      </c>
      <c r="BK270" s="4"/>
      <c r="BL270" s="4">
        <v>766</v>
      </c>
    </row>
    <row r="271" spans="1:64" ht="15" customHeight="1">
      <c r="A271" s="22" t="s">
        <v>699</v>
      </c>
      <c r="B271" s="9" t="s">
        <v>881</v>
      </c>
      <c r="C271" s="53" t="s">
        <v>807</v>
      </c>
      <c r="D271" s="53"/>
      <c r="E271" s="53"/>
      <c r="F271" s="53"/>
      <c r="G271" s="9" t="s">
        <v>232</v>
      </c>
      <c r="H271" s="4">
        <v>1</v>
      </c>
      <c r="I271" s="4">
        <v>0</v>
      </c>
      <c r="J271" s="4">
        <f t="shared" si="222"/>
        <v>0</v>
      </c>
      <c r="K271" s="4">
        <f t="shared" si="223"/>
        <v>0</v>
      </c>
      <c r="L271" s="4">
        <f t="shared" si="224"/>
        <v>0</v>
      </c>
      <c r="M271" s="17" t="s">
        <v>619</v>
      </c>
      <c r="Z271" s="4">
        <f t="shared" si="225"/>
        <v>0</v>
      </c>
      <c r="AB271" s="4">
        <f t="shared" si="226"/>
        <v>0</v>
      </c>
      <c r="AC271" s="4">
        <f t="shared" si="227"/>
        <v>0</v>
      </c>
      <c r="AD271" s="4">
        <f t="shared" si="228"/>
        <v>0</v>
      </c>
      <c r="AE271" s="4">
        <f t="shared" si="229"/>
        <v>0</v>
      </c>
      <c r="AF271" s="4">
        <f t="shared" si="230"/>
        <v>0</v>
      </c>
      <c r="AG271" s="4">
        <f t="shared" si="231"/>
        <v>0</v>
      </c>
      <c r="AH271" s="4">
        <f t="shared" si="232"/>
        <v>0</v>
      </c>
      <c r="AI271" s="30" t="s">
        <v>630</v>
      </c>
      <c r="AJ271" s="4">
        <f t="shared" si="233"/>
        <v>0</v>
      </c>
      <c r="AK271" s="4">
        <f t="shared" si="234"/>
        <v>0</v>
      </c>
      <c r="AL271" s="4">
        <f t="shared" si="235"/>
        <v>0</v>
      </c>
      <c r="AN271" s="4">
        <v>21</v>
      </c>
      <c r="AO271" s="4">
        <f>I271*0</f>
        <v>0</v>
      </c>
      <c r="AP271" s="4">
        <f>I271*(1-0)</f>
        <v>0</v>
      </c>
      <c r="AQ271" s="14" t="s">
        <v>907</v>
      </c>
      <c r="AV271" s="4">
        <f t="shared" si="236"/>
        <v>0</v>
      </c>
      <c r="AW271" s="4">
        <f t="shared" si="237"/>
        <v>0</v>
      </c>
      <c r="AX271" s="4">
        <f t="shared" si="238"/>
        <v>0</v>
      </c>
      <c r="AY271" s="14" t="s">
        <v>95</v>
      </c>
      <c r="AZ271" s="14" t="s">
        <v>493</v>
      </c>
      <c r="BA271" s="30" t="s">
        <v>694</v>
      </c>
      <c r="BC271" s="4">
        <f t="shared" si="239"/>
        <v>0</v>
      </c>
      <c r="BD271" s="4">
        <f t="shared" si="240"/>
        <v>0</v>
      </c>
      <c r="BE271" s="4">
        <v>0</v>
      </c>
      <c r="BF271" s="4">
        <f>271</f>
        <v>271</v>
      </c>
      <c r="BH271" s="4">
        <f t="shared" si="241"/>
        <v>0</v>
      </c>
      <c r="BI271" s="4">
        <f t="shared" si="242"/>
        <v>0</v>
      </c>
      <c r="BJ271" s="4">
        <f t="shared" si="243"/>
        <v>0</v>
      </c>
      <c r="BK271" s="4"/>
      <c r="BL271" s="4">
        <v>766</v>
      </c>
    </row>
    <row r="272" spans="1:64" ht="15" customHeight="1">
      <c r="A272" s="22" t="s">
        <v>221</v>
      </c>
      <c r="B272" s="9" t="s">
        <v>224</v>
      </c>
      <c r="C272" s="53" t="s">
        <v>305</v>
      </c>
      <c r="D272" s="53"/>
      <c r="E272" s="53"/>
      <c r="F272" s="53"/>
      <c r="G272" s="9" t="s">
        <v>232</v>
      </c>
      <c r="H272" s="4">
        <v>1</v>
      </c>
      <c r="I272" s="4">
        <v>0</v>
      </c>
      <c r="J272" s="4">
        <f t="shared" si="222"/>
        <v>0</v>
      </c>
      <c r="K272" s="4">
        <f t="shared" si="223"/>
        <v>0</v>
      </c>
      <c r="L272" s="4">
        <f t="shared" si="224"/>
        <v>0</v>
      </c>
      <c r="M272" s="17" t="s">
        <v>619</v>
      </c>
      <c r="Z272" s="4">
        <f t="shared" si="225"/>
        <v>0</v>
      </c>
      <c r="AB272" s="4">
        <f t="shared" si="226"/>
        <v>0</v>
      </c>
      <c r="AC272" s="4">
        <f t="shared" si="227"/>
        <v>0</v>
      </c>
      <c r="AD272" s="4">
        <f t="shared" si="228"/>
        <v>0</v>
      </c>
      <c r="AE272" s="4">
        <f t="shared" si="229"/>
        <v>0</v>
      </c>
      <c r="AF272" s="4">
        <f t="shared" si="230"/>
        <v>0</v>
      </c>
      <c r="AG272" s="4">
        <f t="shared" si="231"/>
        <v>0</v>
      </c>
      <c r="AH272" s="4">
        <f t="shared" si="232"/>
        <v>0</v>
      </c>
      <c r="AI272" s="30" t="s">
        <v>630</v>
      </c>
      <c r="AJ272" s="4">
        <f t="shared" si="233"/>
        <v>0</v>
      </c>
      <c r="AK272" s="4">
        <f t="shared" si="234"/>
        <v>0</v>
      </c>
      <c r="AL272" s="4">
        <f t="shared" si="235"/>
        <v>0</v>
      </c>
      <c r="AN272" s="4">
        <v>21</v>
      </c>
      <c r="AO272" s="4">
        <f>I272*0.0361512027491409</f>
        <v>0</v>
      </c>
      <c r="AP272" s="4">
        <f>I272*(1-0.0361512027491409)</f>
        <v>0</v>
      </c>
      <c r="AQ272" s="14" t="s">
        <v>907</v>
      </c>
      <c r="AV272" s="4">
        <f t="shared" si="236"/>
        <v>0</v>
      </c>
      <c r="AW272" s="4">
        <f t="shared" si="237"/>
        <v>0</v>
      </c>
      <c r="AX272" s="4">
        <f t="shared" si="238"/>
        <v>0</v>
      </c>
      <c r="AY272" s="14" t="s">
        <v>95</v>
      </c>
      <c r="AZ272" s="14" t="s">
        <v>493</v>
      </c>
      <c r="BA272" s="30" t="s">
        <v>694</v>
      </c>
      <c r="BC272" s="4">
        <f t="shared" si="239"/>
        <v>0</v>
      </c>
      <c r="BD272" s="4">
        <f t="shared" si="240"/>
        <v>0</v>
      </c>
      <c r="BE272" s="4">
        <v>0</v>
      </c>
      <c r="BF272" s="4">
        <f>272</f>
        <v>272</v>
      </c>
      <c r="BH272" s="4">
        <f t="shared" si="241"/>
        <v>0</v>
      </c>
      <c r="BI272" s="4">
        <f t="shared" si="242"/>
        <v>0</v>
      </c>
      <c r="BJ272" s="4">
        <f t="shared" si="243"/>
        <v>0</v>
      </c>
      <c r="BK272" s="4"/>
      <c r="BL272" s="4">
        <v>766</v>
      </c>
    </row>
    <row r="273" spans="1:64" ht="15" customHeight="1">
      <c r="A273" s="22" t="s">
        <v>1000</v>
      </c>
      <c r="B273" s="9" t="s">
        <v>644</v>
      </c>
      <c r="C273" s="53" t="s">
        <v>948</v>
      </c>
      <c r="D273" s="53"/>
      <c r="E273" s="53"/>
      <c r="F273" s="53"/>
      <c r="G273" s="9" t="s">
        <v>232</v>
      </c>
      <c r="H273" s="4">
        <v>1</v>
      </c>
      <c r="I273" s="4">
        <v>0</v>
      </c>
      <c r="J273" s="4">
        <f t="shared" si="222"/>
        <v>0</v>
      </c>
      <c r="K273" s="4">
        <f t="shared" si="223"/>
        <v>0</v>
      </c>
      <c r="L273" s="4">
        <f t="shared" si="224"/>
        <v>0</v>
      </c>
      <c r="M273" s="17" t="s">
        <v>619</v>
      </c>
      <c r="Z273" s="4">
        <f t="shared" si="225"/>
        <v>0</v>
      </c>
      <c r="AB273" s="4">
        <f t="shared" si="226"/>
        <v>0</v>
      </c>
      <c r="AC273" s="4">
        <f t="shared" si="227"/>
        <v>0</v>
      </c>
      <c r="AD273" s="4">
        <f t="shared" si="228"/>
        <v>0</v>
      </c>
      <c r="AE273" s="4">
        <f t="shared" si="229"/>
        <v>0</v>
      </c>
      <c r="AF273" s="4">
        <f t="shared" si="230"/>
        <v>0</v>
      </c>
      <c r="AG273" s="4">
        <f t="shared" si="231"/>
        <v>0</v>
      </c>
      <c r="AH273" s="4">
        <f t="shared" si="232"/>
        <v>0</v>
      </c>
      <c r="AI273" s="30" t="s">
        <v>630</v>
      </c>
      <c r="AJ273" s="4">
        <f t="shared" si="233"/>
        <v>0</v>
      </c>
      <c r="AK273" s="4">
        <f t="shared" si="234"/>
        <v>0</v>
      </c>
      <c r="AL273" s="4">
        <f t="shared" si="235"/>
        <v>0</v>
      </c>
      <c r="AN273" s="4">
        <v>21</v>
      </c>
      <c r="AO273" s="4">
        <f>I273*1</f>
        <v>0</v>
      </c>
      <c r="AP273" s="4">
        <f>I273*(1-1)</f>
        <v>0</v>
      </c>
      <c r="AQ273" s="14" t="s">
        <v>907</v>
      </c>
      <c r="AV273" s="4">
        <f t="shared" si="236"/>
        <v>0</v>
      </c>
      <c r="AW273" s="4">
        <f t="shared" si="237"/>
        <v>0</v>
      </c>
      <c r="AX273" s="4">
        <f t="shared" si="238"/>
        <v>0</v>
      </c>
      <c r="AY273" s="14" t="s">
        <v>95</v>
      </c>
      <c r="AZ273" s="14" t="s">
        <v>493</v>
      </c>
      <c r="BA273" s="30" t="s">
        <v>694</v>
      </c>
      <c r="BC273" s="4">
        <f t="shared" si="239"/>
        <v>0</v>
      </c>
      <c r="BD273" s="4">
        <f t="shared" si="240"/>
        <v>0</v>
      </c>
      <c r="BE273" s="4">
        <v>0</v>
      </c>
      <c r="BF273" s="4">
        <f>273</f>
        <v>273</v>
      </c>
      <c r="BH273" s="4">
        <f t="shared" si="241"/>
        <v>0</v>
      </c>
      <c r="BI273" s="4">
        <f t="shared" si="242"/>
        <v>0</v>
      </c>
      <c r="BJ273" s="4">
        <f t="shared" si="243"/>
        <v>0</v>
      </c>
      <c r="BK273" s="4"/>
      <c r="BL273" s="4">
        <v>766</v>
      </c>
    </row>
    <row r="274" spans="1:64" ht="15" customHeight="1">
      <c r="A274" s="22" t="s">
        <v>526</v>
      </c>
      <c r="B274" s="9" t="s">
        <v>476</v>
      </c>
      <c r="C274" s="53" t="s">
        <v>598</v>
      </c>
      <c r="D274" s="53"/>
      <c r="E274" s="53"/>
      <c r="F274" s="53"/>
      <c r="G274" s="9" t="s">
        <v>232</v>
      </c>
      <c r="H274" s="4">
        <v>3</v>
      </c>
      <c r="I274" s="4">
        <v>0</v>
      </c>
      <c r="J274" s="4">
        <f t="shared" si="222"/>
        <v>0</v>
      </c>
      <c r="K274" s="4">
        <f t="shared" si="223"/>
        <v>0</v>
      </c>
      <c r="L274" s="4">
        <f t="shared" si="224"/>
        <v>0</v>
      </c>
      <c r="M274" s="17" t="s">
        <v>619</v>
      </c>
      <c r="Z274" s="4">
        <f t="shared" si="225"/>
        <v>0</v>
      </c>
      <c r="AB274" s="4">
        <f t="shared" si="226"/>
        <v>0</v>
      </c>
      <c r="AC274" s="4">
        <f t="shared" si="227"/>
        <v>0</v>
      </c>
      <c r="AD274" s="4">
        <f t="shared" si="228"/>
        <v>0</v>
      </c>
      <c r="AE274" s="4">
        <f t="shared" si="229"/>
        <v>0</v>
      </c>
      <c r="AF274" s="4">
        <f t="shared" si="230"/>
        <v>0</v>
      </c>
      <c r="AG274" s="4">
        <f t="shared" si="231"/>
        <v>0</v>
      </c>
      <c r="AH274" s="4">
        <f t="shared" si="232"/>
        <v>0</v>
      </c>
      <c r="AI274" s="30" t="s">
        <v>630</v>
      </c>
      <c r="AJ274" s="4">
        <f t="shared" si="233"/>
        <v>0</v>
      </c>
      <c r="AK274" s="4">
        <f t="shared" si="234"/>
        <v>0</v>
      </c>
      <c r="AL274" s="4">
        <f t="shared" si="235"/>
        <v>0</v>
      </c>
      <c r="AN274" s="4">
        <v>21</v>
      </c>
      <c r="AO274" s="4">
        <f>I274*0.213476923076923</f>
        <v>0</v>
      </c>
      <c r="AP274" s="4">
        <f>I274*(1-0.213476923076923)</f>
        <v>0</v>
      </c>
      <c r="AQ274" s="14" t="s">
        <v>907</v>
      </c>
      <c r="AV274" s="4">
        <f t="shared" si="236"/>
        <v>0</v>
      </c>
      <c r="AW274" s="4">
        <f t="shared" si="237"/>
        <v>0</v>
      </c>
      <c r="AX274" s="4">
        <f t="shared" si="238"/>
        <v>0</v>
      </c>
      <c r="AY274" s="14" t="s">
        <v>95</v>
      </c>
      <c r="AZ274" s="14" t="s">
        <v>493</v>
      </c>
      <c r="BA274" s="30" t="s">
        <v>694</v>
      </c>
      <c r="BC274" s="4">
        <f t="shared" si="239"/>
        <v>0</v>
      </c>
      <c r="BD274" s="4">
        <f t="shared" si="240"/>
        <v>0</v>
      </c>
      <c r="BE274" s="4">
        <v>0</v>
      </c>
      <c r="BF274" s="4">
        <f>274</f>
        <v>274</v>
      </c>
      <c r="BH274" s="4">
        <f t="shared" si="241"/>
        <v>0</v>
      </c>
      <c r="BI274" s="4">
        <f t="shared" si="242"/>
        <v>0</v>
      </c>
      <c r="BJ274" s="4">
        <f t="shared" si="243"/>
        <v>0</v>
      </c>
      <c r="BK274" s="4"/>
      <c r="BL274" s="4">
        <v>766</v>
      </c>
    </row>
    <row r="275" spans="1:64" ht="15" customHeight="1">
      <c r="A275" s="22" t="s">
        <v>231</v>
      </c>
      <c r="B275" s="9" t="s">
        <v>529</v>
      </c>
      <c r="C275" s="53" t="s">
        <v>28</v>
      </c>
      <c r="D275" s="53"/>
      <c r="E275" s="53"/>
      <c r="F275" s="53"/>
      <c r="G275" s="9" t="s">
        <v>232</v>
      </c>
      <c r="H275" s="4">
        <v>3</v>
      </c>
      <c r="I275" s="4">
        <v>0</v>
      </c>
      <c r="J275" s="4">
        <f t="shared" si="222"/>
        <v>0</v>
      </c>
      <c r="K275" s="4">
        <f t="shared" si="223"/>
        <v>0</v>
      </c>
      <c r="L275" s="4">
        <f t="shared" si="224"/>
        <v>0</v>
      </c>
      <c r="M275" s="17" t="s">
        <v>619</v>
      </c>
      <c r="Z275" s="4">
        <f t="shared" si="225"/>
        <v>0</v>
      </c>
      <c r="AB275" s="4">
        <f t="shared" si="226"/>
        <v>0</v>
      </c>
      <c r="AC275" s="4">
        <f t="shared" si="227"/>
        <v>0</v>
      </c>
      <c r="AD275" s="4">
        <f t="shared" si="228"/>
        <v>0</v>
      </c>
      <c r="AE275" s="4">
        <f t="shared" si="229"/>
        <v>0</v>
      </c>
      <c r="AF275" s="4">
        <f t="shared" si="230"/>
        <v>0</v>
      </c>
      <c r="AG275" s="4">
        <f t="shared" si="231"/>
        <v>0</v>
      </c>
      <c r="AH275" s="4">
        <f t="shared" si="232"/>
        <v>0</v>
      </c>
      <c r="AI275" s="30" t="s">
        <v>630</v>
      </c>
      <c r="AJ275" s="4">
        <f t="shared" si="233"/>
        <v>0</v>
      </c>
      <c r="AK275" s="4">
        <f t="shared" si="234"/>
        <v>0</v>
      </c>
      <c r="AL275" s="4">
        <f t="shared" si="235"/>
        <v>0</v>
      </c>
      <c r="AN275" s="4">
        <v>21</v>
      </c>
      <c r="AO275" s="4">
        <f>I275*1</f>
        <v>0</v>
      </c>
      <c r="AP275" s="4">
        <f>I275*(1-1)</f>
        <v>0</v>
      </c>
      <c r="AQ275" s="14" t="s">
        <v>907</v>
      </c>
      <c r="AV275" s="4">
        <f t="shared" si="236"/>
        <v>0</v>
      </c>
      <c r="AW275" s="4">
        <f t="shared" si="237"/>
        <v>0</v>
      </c>
      <c r="AX275" s="4">
        <f t="shared" si="238"/>
        <v>0</v>
      </c>
      <c r="AY275" s="14" t="s">
        <v>95</v>
      </c>
      <c r="AZ275" s="14" t="s">
        <v>493</v>
      </c>
      <c r="BA275" s="30" t="s">
        <v>694</v>
      </c>
      <c r="BC275" s="4">
        <f t="shared" si="239"/>
        <v>0</v>
      </c>
      <c r="BD275" s="4">
        <f t="shared" si="240"/>
        <v>0</v>
      </c>
      <c r="BE275" s="4">
        <v>0</v>
      </c>
      <c r="BF275" s="4">
        <f>275</f>
        <v>275</v>
      </c>
      <c r="BH275" s="4">
        <f t="shared" si="241"/>
        <v>0</v>
      </c>
      <c r="BI275" s="4">
        <f t="shared" si="242"/>
        <v>0</v>
      </c>
      <c r="BJ275" s="4">
        <f t="shared" si="243"/>
        <v>0</v>
      </c>
      <c r="BK275" s="4"/>
      <c r="BL275" s="4">
        <v>766</v>
      </c>
    </row>
    <row r="276" spans="1:64" ht="15" customHeight="1">
      <c r="A276" s="22" t="s">
        <v>686</v>
      </c>
      <c r="B276" s="9" t="s">
        <v>716</v>
      </c>
      <c r="C276" s="53" t="s">
        <v>251</v>
      </c>
      <c r="D276" s="53"/>
      <c r="E276" s="53"/>
      <c r="F276" s="53"/>
      <c r="G276" s="9" t="s">
        <v>232</v>
      </c>
      <c r="H276" s="4">
        <v>3</v>
      </c>
      <c r="I276" s="4">
        <v>0</v>
      </c>
      <c r="J276" s="4">
        <f t="shared" si="222"/>
        <v>0</v>
      </c>
      <c r="K276" s="4">
        <f t="shared" si="223"/>
        <v>0</v>
      </c>
      <c r="L276" s="4">
        <f t="shared" si="224"/>
        <v>0</v>
      </c>
      <c r="M276" s="17" t="s">
        <v>619</v>
      </c>
      <c r="Z276" s="4">
        <f t="shared" si="225"/>
        <v>0</v>
      </c>
      <c r="AB276" s="4">
        <f t="shared" si="226"/>
        <v>0</v>
      </c>
      <c r="AC276" s="4">
        <f t="shared" si="227"/>
        <v>0</v>
      </c>
      <c r="AD276" s="4">
        <f t="shared" si="228"/>
        <v>0</v>
      </c>
      <c r="AE276" s="4">
        <f t="shared" si="229"/>
        <v>0</v>
      </c>
      <c r="AF276" s="4">
        <f t="shared" si="230"/>
        <v>0</v>
      </c>
      <c r="AG276" s="4">
        <f t="shared" si="231"/>
        <v>0</v>
      </c>
      <c r="AH276" s="4">
        <f t="shared" si="232"/>
        <v>0</v>
      </c>
      <c r="AI276" s="30" t="s">
        <v>630</v>
      </c>
      <c r="AJ276" s="4">
        <f t="shared" si="233"/>
        <v>0</v>
      </c>
      <c r="AK276" s="4">
        <f t="shared" si="234"/>
        <v>0</v>
      </c>
      <c r="AL276" s="4">
        <f t="shared" si="235"/>
        <v>0</v>
      </c>
      <c r="AN276" s="4">
        <v>21</v>
      </c>
      <c r="AO276" s="4">
        <f>I276*0</f>
        <v>0</v>
      </c>
      <c r="AP276" s="4">
        <f>I276*(1-0)</f>
        <v>0</v>
      </c>
      <c r="AQ276" s="14" t="s">
        <v>907</v>
      </c>
      <c r="AV276" s="4">
        <f t="shared" si="236"/>
        <v>0</v>
      </c>
      <c r="AW276" s="4">
        <f t="shared" si="237"/>
        <v>0</v>
      </c>
      <c r="AX276" s="4">
        <f t="shared" si="238"/>
        <v>0</v>
      </c>
      <c r="AY276" s="14" t="s">
        <v>95</v>
      </c>
      <c r="AZ276" s="14" t="s">
        <v>493</v>
      </c>
      <c r="BA276" s="30" t="s">
        <v>694</v>
      </c>
      <c r="BC276" s="4">
        <f t="shared" si="239"/>
        <v>0</v>
      </c>
      <c r="BD276" s="4">
        <f t="shared" si="240"/>
        <v>0</v>
      </c>
      <c r="BE276" s="4">
        <v>0</v>
      </c>
      <c r="BF276" s="4">
        <f>276</f>
        <v>276</v>
      </c>
      <c r="BH276" s="4">
        <f t="shared" si="241"/>
        <v>0</v>
      </c>
      <c r="BI276" s="4">
        <f t="shared" si="242"/>
        <v>0</v>
      </c>
      <c r="BJ276" s="4">
        <f t="shared" si="243"/>
        <v>0</v>
      </c>
      <c r="BK276" s="4"/>
      <c r="BL276" s="4">
        <v>766</v>
      </c>
    </row>
    <row r="277" spans="1:64" ht="15" customHeight="1">
      <c r="A277" s="22" t="s">
        <v>466</v>
      </c>
      <c r="B277" s="9" t="s">
        <v>103</v>
      </c>
      <c r="C277" s="53" t="s">
        <v>804</v>
      </c>
      <c r="D277" s="53"/>
      <c r="E277" s="53"/>
      <c r="F277" s="53"/>
      <c r="G277" s="9" t="s">
        <v>232</v>
      </c>
      <c r="H277" s="4">
        <v>3</v>
      </c>
      <c r="I277" s="4">
        <v>0</v>
      </c>
      <c r="J277" s="4">
        <f t="shared" si="222"/>
        <v>0</v>
      </c>
      <c r="K277" s="4">
        <f t="shared" si="223"/>
        <v>0</v>
      </c>
      <c r="L277" s="4">
        <f t="shared" si="224"/>
        <v>0</v>
      </c>
      <c r="M277" s="17" t="s">
        <v>619</v>
      </c>
      <c r="Z277" s="4">
        <f t="shared" si="225"/>
        <v>0</v>
      </c>
      <c r="AB277" s="4">
        <f t="shared" si="226"/>
        <v>0</v>
      </c>
      <c r="AC277" s="4">
        <f t="shared" si="227"/>
        <v>0</v>
      </c>
      <c r="AD277" s="4">
        <f t="shared" si="228"/>
        <v>0</v>
      </c>
      <c r="AE277" s="4">
        <f t="shared" si="229"/>
        <v>0</v>
      </c>
      <c r="AF277" s="4">
        <f t="shared" si="230"/>
        <v>0</v>
      </c>
      <c r="AG277" s="4">
        <f t="shared" si="231"/>
        <v>0</v>
      </c>
      <c r="AH277" s="4">
        <f t="shared" si="232"/>
        <v>0</v>
      </c>
      <c r="AI277" s="30" t="s">
        <v>630</v>
      </c>
      <c r="AJ277" s="4">
        <f t="shared" si="233"/>
        <v>0</v>
      </c>
      <c r="AK277" s="4">
        <f t="shared" si="234"/>
        <v>0</v>
      </c>
      <c r="AL277" s="4">
        <f t="shared" si="235"/>
        <v>0</v>
      </c>
      <c r="AN277" s="4">
        <v>21</v>
      </c>
      <c r="AO277" s="4">
        <f>I277*1</f>
        <v>0</v>
      </c>
      <c r="AP277" s="4">
        <f>I277*(1-1)</f>
        <v>0</v>
      </c>
      <c r="AQ277" s="14" t="s">
        <v>907</v>
      </c>
      <c r="AV277" s="4">
        <f t="shared" si="236"/>
        <v>0</v>
      </c>
      <c r="AW277" s="4">
        <f t="shared" si="237"/>
        <v>0</v>
      </c>
      <c r="AX277" s="4">
        <f t="shared" si="238"/>
        <v>0</v>
      </c>
      <c r="AY277" s="14" t="s">
        <v>95</v>
      </c>
      <c r="AZ277" s="14" t="s">
        <v>493</v>
      </c>
      <c r="BA277" s="30" t="s">
        <v>694</v>
      </c>
      <c r="BC277" s="4">
        <f t="shared" si="239"/>
        <v>0</v>
      </c>
      <c r="BD277" s="4">
        <f t="shared" si="240"/>
        <v>0</v>
      </c>
      <c r="BE277" s="4">
        <v>0</v>
      </c>
      <c r="BF277" s="4">
        <f>277</f>
        <v>277</v>
      </c>
      <c r="BH277" s="4">
        <f t="shared" si="241"/>
        <v>0</v>
      </c>
      <c r="BI277" s="4">
        <f t="shared" si="242"/>
        <v>0</v>
      </c>
      <c r="BJ277" s="4">
        <f t="shared" si="243"/>
        <v>0</v>
      </c>
      <c r="BK277" s="4"/>
      <c r="BL277" s="4">
        <v>766</v>
      </c>
    </row>
    <row r="278" spans="1:64" ht="15" customHeight="1">
      <c r="A278" s="22" t="s">
        <v>5</v>
      </c>
      <c r="B278" s="9" t="s">
        <v>579</v>
      </c>
      <c r="C278" s="53" t="s">
        <v>888</v>
      </c>
      <c r="D278" s="53"/>
      <c r="E278" s="53"/>
      <c r="F278" s="53"/>
      <c r="G278" s="9" t="s">
        <v>232</v>
      </c>
      <c r="H278" s="4">
        <v>3</v>
      </c>
      <c r="I278" s="4">
        <v>0</v>
      </c>
      <c r="J278" s="4">
        <f t="shared" si="222"/>
        <v>0</v>
      </c>
      <c r="K278" s="4">
        <f t="shared" si="223"/>
        <v>0</v>
      </c>
      <c r="L278" s="4">
        <f t="shared" si="224"/>
        <v>0</v>
      </c>
      <c r="M278" s="17" t="s">
        <v>619</v>
      </c>
      <c r="Z278" s="4">
        <f t="shared" si="225"/>
        <v>0</v>
      </c>
      <c r="AB278" s="4">
        <f t="shared" si="226"/>
        <v>0</v>
      </c>
      <c r="AC278" s="4">
        <f t="shared" si="227"/>
        <v>0</v>
      </c>
      <c r="AD278" s="4">
        <f t="shared" si="228"/>
        <v>0</v>
      </c>
      <c r="AE278" s="4">
        <f t="shared" si="229"/>
        <v>0</v>
      </c>
      <c r="AF278" s="4">
        <f t="shared" si="230"/>
        <v>0</v>
      </c>
      <c r="AG278" s="4">
        <f t="shared" si="231"/>
        <v>0</v>
      </c>
      <c r="AH278" s="4">
        <f t="shared" si="232"/>
        <v>0</v>
      </c>
      <c r="AI278" s="30" t="s">
        <v>630</v>
      </c>
      <c r="AJ278" s="4">
        <f t="shared" si="233"/>
        <v>0</v>
      </c>
      <c r="AK278" s="4">
        <f t="shared" si="234"/>
        <v>0</v>
      </c>
      <c r="AL278" s="4">
        <f t="shared" si="235"/>
        <v>0</v>
      </c>
      <c r="AN278" s="4">
        <v>21</v>
      </c>
      <c r="AO278" s="4">
        <f>I278*0.0388191881918819</f>
        <v>0</v>
      </c>
      <c r="AP278" s="4">
        <f>I278*(1-0.0388191881918819)</f>
        <v>0</v>
      </c>
      <c r="AQ278" s="14" t="s">
        <v>907</v>
      </c>
      <c r="AV278" s="4">
        <f t="shared" si="236"/>
        <v>0</v>
      </c>
      <c r="AW278" s="4">
        <f t="shared" si="237"/>
        <v>0</v>
      </c>
      <c r="AX278" s="4">
        <f t="shared" si="238"/>
        <v>0</v>
      </c>
      <c r="AY278" s="14" t="s">
        <v>95</v>
      </c>
      <c r="AZ278" s="14" t="s">
        <v>493</v>
      </c>
      <c r="BA278" s="30" t="s">
        <v>694</v>
      </c>
      <c r="BC278" s="4">
        <f t="shared" si="239"/>
        <v>0</v>
      </c>
      <c r="BD278" s="4">
        <f t="shared" si="240"/>
        <v>0</v>
      </c>
      <c r="BE278" s="4">
        <v>0</v>
      </c>
      <c r="BF278" s="4">
        <f>278</f>
        <v>278</v>
      </c>
      <c r="BH278" s="4">
        <f t="shared" si="241"/>
        <v>0</v>
      </c>
      <c r="BI278" s="4">
        <f t="shared" si="242"/>
        <v>0</v>
      </c>
      <c r="BJ278" s="4">
        <f t="shared" si="243"/>
        <v>0</v>
      </c>
      <c r="BK278" s="4"/>
      <c r="BL278" s="4">
        <v>766</v>
      </c>
    </row>
    <row r="279" spans="1:64" ht="15" customHeight="1">
      <c r="A279" s="22" t="s">
        <v>377</v>
      </c>
      <c r="B279" s="9" t="s">
        <v>463</v>
      </c>
      <c r="C279" s="53" t="s">
        <v>89</v>
      </c>
      <c r="D279" s="53"/>
      <c r="E279" s="53"/>
      <c r="F279" s="53"/>
      <c r="G279" s="9" t="s">
        <v>232</v>
      </c>
      <c r="H279" s="4">
        <v>2</v>
      </c>
      <c r="I279" s="4">
        <v>0</v>
      </c>
      <c r="J279" s="4">
        <f t="shared" si="222"/>
        <v>0</v>
      </c>
      <c r="K279" s="4">
        <f t="shared" si="223"/>
        <v>0</v>
      </c>
      <c r="L279" s="4">
        <f t="shared" si="224"/>
        <v>0</v>
      </c>
      <c r="M279" s="17" t="s">
        <v>619</v>
      </c>
      <c r="Z279" s="4">
        <f t="shared" si="225"/>
        <v>0</v>
      </c>
      <c r="AB279" s="4">
        <f t="shared" si="226"/>
        <v>0</v>
      </c>
      <c r="AC279" s="4">
        <f t="shared" si="227"/>
        <v>0</v>
      </c>
      <c r="AD279" s="4">
        <f t="shared" si="228"/>
        <v>0</v>
      </c>
      <c r="AE279" s="4">
        <f t="shared" si="229"/>
        <v>0</v>
      </c>
      <c r="AF279" s="4">
        <f t="shared" si="230"/>
        <v>0</v>
      </c>
      <c r="AG279" s="4">
        <f t="shared" si="231"/>
        <v>0</v>
      </c>
      <c r="AH279" s="4">
        <f t="shared" si="232"/>
        <v>0</v>
      </c>
      <c r="AI279" s="30" t="s">
        <v>630</v>
      </c>
      <c r="AJ279" s="4">
        <f t="shared" si="233"/>
        <v>0</v>
      </c>
      <c r="AK279" s="4">
        <f t="shared" si="234"/>
        <v>0</v>
      </c>
      <c r="AL279" s="4">
        <f t="shared" si="235"/>
        <v>0</v>
      </c>
      <c r="AN279" s="4">
        <v>21</v>
      </c>
      <c r="AO279" s="4">
        <f>I279*1</f>
        <v>0</v>
      </c>
      <c r="AP279" s="4">
        <f>I279*(1-1)</f>
        <v>0</v>
      </c>
      <c r="AQ279" s="14" t="s">
        <v>907</v>
      </c>
      <c r="AV279" s="4">
        <f t="shared" si="236"/>
        <v>0</v>
      </c>
      <c r="AW279" s="4">
        <f t="shared" si="237"/>
        <v>0</v>
      </c>
      <c r="AX279" s="4">
        <f t="shared" si="238"/>
        <v>0</v>
      </c>
      <c r="AY279" s="14" t="s">
        <v>95</v>
      </c>
      <c r="AZ279" s="14" t="s">
        <v>493</v>
      </c>
      <c r="BA279" s="30" t="s">
        <v>694</v>
      </c>
      <c r="BC279" s="4">
        <f t="shared" si="239"/>
        <v>0</v>
      </c>
      <c r="BD279" s="4">
        <f t="shared" si="240"/>
        <v>0</v>
      </c>
      <c r="BE279" s="4">
        <v>0</v>
      </c>
      <c r="BF279" s="4">
        <f>279</f>
        <v>279</v>
      </c>
      <c r="BH279" s="4">
        <f t="shared" si="241"/>
        <v>0</v>
      </c>
      <c r="BI279" s="4">
        <f t="shared" si="242"/>
        <v>0</v>
      </c>
      <c r="BJ279" s="4">
        <f t="shared" si="243"/>
        <v>0</v>
      </c>
      <c r="BK279" s="4"/>
      <c r="BL279" s="4">
        <v>766</v>
      </c>
    </row>
    <row r="280" spans="1:64" ht="15" customHeight="1">
      <c r="A280" s="22" t="s">
        <v>309</v>
      </c>
      <c r="B280" s="9" t="s">
        <v>291</v>
      </c>
      <c r="C280" s="53" t="s">
        <v>344</v>
      </c>
      <c r="D280" s="53"/>
      <c r="E280" s="53"/>
      <c r="F280" s="53"/>
      <c r="G280" s="9" t="s">
        <v>232</v>
      </c>
      <c r="H280" s="4">
        <v>1</v>
      </c>
      <c r="I280" s="4">
        <v>0</v>
      </c>
      <c r="J280" s="4">
        <f t="shared" si="222"/>
        <v>0</v>
      </c>
      <c r="K280" s="4">
        <f t="shared" si="223"/>
        <v>0</v>
      </c>
      <c r="L280" s="4">
        <f t="shared" si="224"/>
        <v>0</v>
      </c>
      <c r="M280" s="17" t="s">
        <v>619</v>
      </c>
      <c r="Z280" s="4">
        <f t="shared" si="225"/>
        <v>0</v>
      </c>
      <c r="AB280" s="4">
        <f t="shared" si="226"/>
        <v>0</v>
      </c>
      <c r="AC280" s="4">
        <f t="shared" si="227"/>
        <v>0</v>
      </c>
      <c r="AD280" s="4">
        <f t="shared" si="228"/>
        <v>0</v>
      </c>
      <c r="AE280" s="4">
        <f t="shared" si="229"/>
        <v>0</v>
      </c>
      <c r="AF280" s="4">
        <f t="shared" si="230"/>
        <v>0</v>
      </c>
      <c r="AG280" s="4">
        <f t="shared" si="231"/>
        <v>0</v>
      </c>
      <c r="AH280" s="4">
        <f t="shared" si="232"/>
        <v>0</v>
      </c>
      <c r="AI280" s="30" t="s">
        <v>630</v>
      </c>
      <c r="AJ280" s="4">
        <f t="shared" si="233"/>
        <v>0</v>
      </c>
      <c r="AK280" s="4">
        <f t="shared" si="234"/>
        <v>0</v>
      </c>
      <c r="AL280" s="4">
        <f t="shared" si="235"/>
        <v>0</v>
      </c>
      <c r="AN280" s="4">
        <v>21</v>
      </c>
      <c r="AO280" s="4">
        <f>I280*1</f>
        <v>0</v>
      </c>
      <c r="AP280" s="4">
        <f>I280*(1-1)</f>
        <v>0</v>
      </c>
      <c r="AQ280" s="14" t="s">
        <v>907</v>
      </c>
      <c r="AV280" s="4">
        <f t="shared" si="236"/>
        <v>0</v>
      </c>
      <c r="AW280" s="4">
        <f t="shared" si="237"/>
        <v>0</v>
      </c>
      <c r="AX280" s="4">
        <f t="shared" si="238"/>
        <v>0</v>
      </c>
      <c r="AY280" s="14" t="s">
        <v>95</v>
      </c>
      <c r="AZ280" s="14" t="s">
        <v>493</v>
      </c>
      <c r="BA280" s="30" t="s">
        <v>694</v>
      </c>
      <c r="BC280" s="4">
        <f t="shared" si="239"/>
        <v>0</v>
      </c>
      <c r="BD280" s="4">
        <f t="shared" si="240"/>
        <v>0</v>
      </c>
      <c r="BE280" s="4">
        <v>0</v>
      </c>
      <c r="BF280" s="4">
        <f>280</f>
        <v>280</v>
      </c>
      <c r="BH280" s="4">
        <f t="shared" si="241"/>
        <v>0</v>
      </c>
      <c r="BI280" s="4">
        <f t="shared" si="242"/>
        <v>0</v>
      </c>
      <c r="BJ280" s="4">
        <f t="shared" si="243"/>
        <v>0</v>
      </c>
      <c r="BK280" s="4"/>
      <c r="BL280" s="4">
        <v>766</v>
      </c>
    </row>
    <row r="281" spans="1:64" ht="15" customHeight="1">
      <c r="A281" s="22" t="s">
        <v>954</v>
      </c>
      <c r="B281" s="9" t="s">
        <v>881</v>
      </c>
      <c r="C281" s="53" t="s">
        <v>807</v>
      </c>
      <c r="D281" s="53"/>
      <c r="E281" s="53"/>
      <c r="F281" s="53"/>
      <c r="G281" s="9" t="s">
        <v>232</v>
      </c>
      <c r="H281" s="4">
        <v>3</v>
      </c>
      <c r="I281" s="4">
        <v>0</v>
      </c>
      <c r="J281" s="4">
        <f t="shared" si="222"/>
        <v>0</v>
      </c>
      <c r="K281" s="4">
        <f t="shared" si="223"/>
        <v>0</v>
      </c>
      <c r="L281" s="4">
        <f t="shared" si="224"/>
        <v>0</v>
      </c>
      <c r="M281" s="17" t="s">
        <v>619</v>
      </c>
      <c r="Z281" s="4">
        <f t="shared" si="225"/>
        <v>0</v>
      </c>
      <c r="AB281" s="4">
        <f t="shared" si="226"/>
        <v>0</v>
      </c>
      <c r="AC281" s="4">
        <f t="shared" si="227"/>
        <v>0</v>
      </c>
      <c r="AD281" s="4">
        <f t="shared" si="228"/>
        <v>0</v>
      </c>
      <c r="AE281" s="4">
        <f t="shared" si="229"/>
        <v>0</v>
      </c>
      <c r="AF281" s="4">
        <f t="shared" si="230"/>
        <v>0</v>
      </c>
      <c r="AG281" s="4">
        <f t="shared" si="231"/>
        <v>0</v>
      </c>
      <c r="AH281" s="4">
        <f t="shared" si="232"/>
        <v>0</v>
      </c>
      <c r="AI281" s="30" t="s">
        <v>630</v>
      </c>
      <c r="AJ281" s="4">
        <f t="shared" si="233"/>
        <v>0</v>
      </c>
      <c r="AK281" s="4">
        <f t="shared" si="234"/>
        <v>0</v>
      </c>
      <c r="AL281" s="4">
        <f t="shared" si="235"/>
        <v>0</v>
      </c>
      <c r="AN281" s="4">
        <v>21</v>
      </c>
      <c r="AO281" s="4">
        <f>I281*0</f>
        <v>0</v>
      </c>
      <c r="AP281" s="4">
        <f>I281*(1-0)</f>
        <v>0</v>
      </c>
      <c r="AQ281" s="14" t="s">
        <v>907</v>
      </c>
      <c r="AV281" s="4">
        <f t="shared" si="236"/>
        <v>0</v>
      </c>
      <c r="AW281" s="4">
        <f t="shared" si="237"/>
        <v>0</v>
      </c>
      <c r="AX281" s="4">
        <f t="shared" si="238"/>
        <v>0</v>
      </c>
      <c r="AY281" s="14" t="s">
        <v>95</v>
      </c>
      <c r="AZ281" s="14" t="s">
        <v>493</v>
      </c>
      <c r="BA281" s="30" t="s">
        <v>694</v>
      </c>
      <c r="BC281" s="4">
        <f t="shared" si="239"/>
        <v>0</v>
      </c>
      <c r="BD281" s="4">
        <f t="shared" si="240"/>
        <v>0</v>
      </c>
      <c r="BE281" s="4">
        <v>0</v>
      </c>
      <c r="BF281" s="4">
        <f>281</f>
        <v>281</v>
      </c>
      <c r="BH281" s="4">
        <f t="shared" si="241"/>
        <v>0</v>
      </c>
      <c r="BI281" s="4">
        <f t="shared" si="242"/>
        <v>0</v>
      </c>
      <c r="BJ281" s="4">
        <f t="shared" si="243"/>
        <v>0</v>
      </c>
      <c r="BK281" s="4"/>
      <c r="BL281" s="4">
        <v>766</v>
      </c>
    </row>
    <row r="282" spans="1:64" ht="15" customHeight="1">
      <c r="A282" s="22" t="s">
        <v>524</v>
      </c>
      <c r="B282" s="9" t="s">
        <v>789</v>
      </c>
      <c r="C282" s="53" t="s">
        <v>742</v>
      </c>
      <c r="D282" s="53"/>
      <c r="E282" s="53"/>
      <c r="F282" s="53"/>
      <c r="G282" s="9" t="s">
        <v>232</v>
      </c>
      <c r="H282" s="4">
        <v>1</v>
      </c>
      <c r="I282" s="4">
        <v>0</v>
      </c>
      <c r="J282" s="4">
        <f t="shared" si="222"/>
        <v>0</v>
      </c>
      <c r="K282" s="4">
        <f t="shared" si="223"/>
        <v>0</v>
      </c>
      <c r="L282" s="4">
        <f t="shared" si="224"/>
        <v>0</v>
      </c>
      <c r="M282" s="17" t="s">
        <v>619</v>
      </c>
      <c r="Z282" s="4">
        <f t="shared" si="225"/>
        <v>0</v>
      </c>
      <c r="AB282" s="4">
        <f t="shared" si="226"/>
        <v>0</v>
      </c>
      <c r="AC282" s="4">
        <f t="shared" si="227"/>
        <v>0</v>
      </c>
      <c r="AD282" s="4">
        <f t="shared" si="228"/>
        <v>0</v>
      </c>
      <c r="AE282" s="4">
        <f t="shared" si="229"/>
        <v>0</v>
      </c>
      <c r="AF282" s="4">
        <f t="shared" si="230"/>
        <v>0</v>
      </c>
      <c r="AG282" s="4">
        <f t="shared" si="231"/>
        <v>0</v>
      </c>
      <c r="AH282" s="4">
        <f t="shared" si="232"/>
        <v>0</v>
      </c>
      <c r="AI282" s="30" t="s">
        <v>630</v>
      </c>
      <c r="AJ282" s="4">
        <f t="shared" si="233"/>
        <v>0</v>
      </c>
      <c r="AK282" s="4">
        <f t="shared" si="234"/>
        <v>0</v>
      </c>
      <c r="AL282" s="4">
        <f t="shared" si="235"/>
        <v>0</v>
      </c>
      <c r="AN282" s="4">
        <v>21</v>
      </c>
      <c r="AO282" s="4">
        <f>I282*0.150990566037736</f>
        <v>0</v>
      </c>
      <c r="AP282" s="4">
        <f>I282*(1-0.150990566037736)</f>
        <v>0</v>
      </c>
      <c r="AQ282" s="14" t="s">
        <v>907</v>
      </c>
      <c r="AV282" s="4">
        <f t="shared" si="236"/>
        <v>0</v>
      </c>
      <c r="AW282" s="4">
        <f t="shared" si="237"/>
        <v>0</v>
      </c>
      <c r="AX282" s="4">
        <f t="shared" si="238"/>
        <v>0</v>
      </c>
      <c r="AY282" s="14" t="s">
        <v>95</v>
      </c>
      <c r="AZ282" s="14" t="s">
        <v>493</v>
      </c>
      <c r="BA282" s="30" t="s">
        <v>694</v>
      </c>
      <c r="BC282" s="4">
        <f t="shared" si="239"/>
        <v>0</v>
      </c>
      <c r="BD282" s="4">
        <f t="shared" si="240"/>
        <v>0</v>
      </c>
      <c r="BE282" s="4">
        <v>0</v>
      </c>
      <c r="BF282" s="4">
        <f>282</f>
        <v>282</v>
      </c>
      <c r="BH282" s="4">
        <f t="shared" si="241"/>
        <v>0</v>
      </c>
      <c r="BI282" s="4">
        <f t="shared" si="242"/>
        <v>0</v>
      </c>
      <c r="BJ282" s="4">
        <f t="shared" si="243"/>
        <v>0</v>
      </c>
      <c r="BK282" s="4"/>
      <c r="BL282" s="4">
        <v>766</v>
      </c>
    </row>
    <row r="283" spans="1:64" ht="15" customHeight="1">
      <c r="A283" s="22" t="s">
        <v>497</v>
      </c>
      <c r="B283" s="9" t="s">
        <v>382</v>
      </c>
      <c r="C283" s="53" t="s">
        <v>1015</v>
      </c>
      <c r="D283" s="53"/>
      <c r="E283" s="53"/>
      <c r="F283" s="53"/>
      <c r="G283" s="9" t="s">
        <v>232</v>
      </c>
      <c r="H283" s="4">
        <v>1</v>
      </c>
      <c r="I283" s="4">
        <v>0</v>
      </c>
      <c r="J283" s="4">
        <f t="shared" si="222"/>
        <v>0</v>
      </c>
      <c r="K283" s="4">
        <f t="shared" si="223"/>
        <v>0</v>
      </c>
      <c r="L283" s="4">
        <f t="shared" si="224"/>
        <v>0</v>
      </c>
      <c r="M283" s="17" t="s">
        <v>619</v>
      </c>
      <c r="Z283" s="4">
        <f t="shared" si="225"/>
        <v>0</v>
      </c>
      <c r="AB283" s="4">
        <f t="shared" si="226"/>
        <v>0</v>
      </c>
      <c r="AC283" s="4">
        <f t="shared" si="227"/>
        <v>0</v>
      </c>
      <c r="AD283" s="4">
        <f t="shared" si="228"/>
        <v>0</v>
      </c>
      <c r="AE283" s="4">
        <f t="shared" si="229"/>
        <v>0</v>
      </c>
      <c r="AF283" s="4">
        <f t="shared" si="230"/>
        <v>0</v>
      </c>
      <c r="AG283" s="4">
        <f t="shared" si="231"/>
        <v>0</v>
      </c>
      <c r="AH283" s="4">
        <f t="shared" si="232"/>
        <v>0</v>
      </c>
      <c r="AI283" s="30" t="s">
        <v>630</v>
      </c>
      <c r="AJ283" s="4">
        <f t="shared" si="233"/>
        <v>0</v>
      </c>
      <c r="AK283" s="4">
        <f t="shared" si="234"/>
        <v>0</v>
      </c>
      <c r="AL283" s="4">
        <f t="shared" si="235"/>
        <v>0</v>
      </c>
      <c r="AN283" s="4">
        <v>21</v>
      </c>
      <c r="AO283" s="4">
        <f>I283*1</f>
        <v>0</v>
      </c>
      <c r="AP283" s="4">
        <f>I283*(1-1)</f>
        <v>0</v>
      </c>
      <c r="AQ283" s="14" t="s">
        <v>907</v>
      </c>
      <c r="AV283" s="4">
        <f t="shared" si="236"/>
        <v>0</v>
      </c>
      <c r="AW283" s="4">
        <f t="shared" si="237"/>
        <v>0</v>
      </c>
      <c r="AX283" s="4">
        <f t="shared" si="238"/>
        <v>0</v>
      </c>
      <c r="AY283" s="14" t="s">
        <v>95</v>
      </c>
      <c r="AZ283" s="14" t="s">
        <v>493</v>
      </c>
      <c r="BA283" s="30" t="s">
        <v>694</v>
      </c>
      <c r="BC283" s="4">
        <f t="shared" si="239"/>
        <v>0</v>
      </c>
      <c r="BD283" s="4">
        <f t="shared" si="240"/>
        <v>0</v>
      </c>
      <c r="BE283" s="4">
        <v>0</v>
      </c>
      <c r="BF283" s="4">
        <f>283</f>
        <v>283</v>
      </c>
      <c r="BH283" s="4">
        <f t="shared" si="241"/>
        <v>0</v>
      </c>
      <c r="BI283" s="4">
        <f t="shared" si="242"/>
        <v>0</v>
      </c>
      <c r="BJ283" s="4">
        <f t="shared" si="243"/>
        <v>0</v>
      </c>
      <c r="BK283" s="4"/>
      <c r="BL283" s="4">
        <v>766</v>
      </c>
    </row>
    <row r="284" spans="1:64" ht="15" customHeight="1">
      <c r="A284" s="22" t="s">
        <v>767</v>
      </c>
      <c r="B284" s="9" t="s">
        <v>789</v>
      </c>
      <c r="C284" s="53" t="s">
        <v>267</v>
      </c>
      <c r="D284" s="53"/>
      <c r="E284" s="53"/>
      <c r="F284" s="53"/>
      <c r="G284" s="9" t="s">
        <v>232</v>
      </c>
      <c r="H284" s="4">
        <v>2</v>
      </c>
      <c r="I284" s="4">
        <v>0</v>
      </c>
      <c r="J284" s="4">
        <f t="shared" si="222"/>
        <v>0</v>
      </c>
      <c r="K284" s="4">
        <f t="shared" si="223"/>
        <v>0</v>
      </c>
      <c r="L284" s="4">
        <f t="shared" si="224"/>
        <v>0</v>
      </c>
      <c r="M284" s="17" t="s">
        <v>619</v>
      </c>
      <c r="Z284" s="4">
        <f t="shared" si="225"/>
        <v>0</v>
      </c>
      <c r="AB284" s="4">
        <f t="shared" si="226"/>
        <v>0</v>
      </c>
      <c r="AC284" s="4">
        <f t="shared" si="227"/>
        <v>0</v>
      </c>
      <c r="AD284" s="4">
        <f t="shared" si="228"/>
        <v>0</v>
      </c>
      <c r="AE284" s="4">
        <f t="shared" si="229"/>
        <v>0</v>
      </c>
      <c r="AF284" s="4">
        <f t="shared" si="230"/>
        <v>0</v>
      </c>
      <c r="AG284" s="4">
        <f t="shared" si="231"/>
        <v>0</v>
      </c>
      <c r="AH284" s="4">
        <f t="shared" si="232"/>
        <v>0</v>
      </c>
      <c r="AI284" s="30" t="s">
        <v>630</v>
      </c>
      <c r="AJ284" s="4">
        <f t="shared" si="233"/>
        <v>0</v>
      </c>
      <c r="AK284" s="4">
        <f t="shared" si="234"/>
        <v>0</v>
      </c>
      <c r="AL284" s="4">
        <f t="shared" si="235"/>
        <v>0</v>
      </c>
      <c r="AN284" s="4">
        <v>21</v>
      </c>
      <c r="AO284" s="4">
        <f>I284*0.150990566037736</f>
        <v>0</v>
      </c>
      <c r="AP284" s="4">
        <f>I284*(1-0.150990566037736)</f>
        <v>0</v>
      </c>
      <c r="AQ284" s="14" t="s">
        <v>907</v>
      </c>
      <c r="AV284" s="4">
        <f t="shared" si="236"/>
        <v>0</v>
      </c>
      <c r="AW284" s="4">
        <f t="shared" si="237"/>
        <v>0</v>
      </c>
      <c r="AX284" s="4">
        <f t="shared" si="238"/>
        <v>0</v>
      </c>
      <c r="AY284" s="14" t="s">
        <v>95</v>
      </c>
      <c r="AZ284" s="14" t="s">
        <v>493</v>
      </c>
      <c r="BA284" s="30" t="s">
        <v>694</v>
      </c>
      <c r="BC284" s="4">
        <f t="shared" si="239"/>
        <v>0</v>
      </c>
      <c r="BD284" s="4">
        <f t="shared" si="240"/>
        <v>0</v>
      </c>
      <c r="BE284" s="4">
        <v>0</v>
      </c>
      <c r="BF284" s="4">
        <f>284</f>
        <v>284</v>
      </c>
      <c r="BH284" s="4">
        <f t="shared" si="241"/>
        <v>0</v>
      </c>
      <c r="BI284" s="4">
        <f t="shared" si="242"/>
        <v>0</v>
      </c>
      <c r="BJ284" s="4">
        <f t="shared" si="243"/>
        <v>0</v>
      </c>
      <c r="BK284" s="4"/>
      <c r="BL284" s="4">
        <v>766</v>
      </c>
    </row>
    <row r="285" spans="1:64" ht="15" customHeight="1">
      <c r="A285" s="22" t="s">
        <v>838</v>
      </c>
      <c r="B285" s="9" t="s">
        <v>254</v>
      </c>
      <c r="C285" s="53" t="s">
        <v>63</v>
      </c>
      <c r="D285" s="53"/>
      <c r="E285" s="53"/>
      <c r="F285" s="53"/>
      <c r="G285" s="9" t="s">
        <v>232</v>
      </c>
      <c r="H285" s="4">
        <v>1</v>
      </c>
      <c r="I285" s="4">
        <v>0</v>
      </c>
      <c r="J285" s="4">
        <f t="shared" si="222"/>
        <v>0</v>
      </c>
      <c r="K285" s="4">
        <f t="shared" si="223"/>
        <v>0</v>
      </c>
      <c r="L285" s="4">
        <f t="shared" si="224"/>
        <v>0</v>
      </c>
      <c r="M285" s="17" t="s">
        <v>619</v>
      </c>
      <c r="Z285" s="4">
        <f t="shared" si="225"/>
        <v>0</v>
      </c>
      <c r="AB285" s="4">
        <f t="shared" si="226"/>
        <v>0</v>
      </c>
      <c r="AC285" s="4">
        <f t="shared" si="227"/>
        <v>0</v>
      </c>
      <c r="AD285" s="4">
        <f t="shared" si="228"/>
        <v>0</v>
      </c>
      <c r="AE285" s="4">
        <f t="shared" si="229"/>
        <v>0</v>
      </c>
      <c r="AF285" s="4">
        <f t="shared" si="230"/>
        <v>0</v>
      </c>
      <c r="AG285" s="4">
        <f t="shared" si="231"/>
        <v>0</v>
      </c>
      <c r="AH285" s="4">
        <f t="shared" si="232"/>
        <v>0</v>
      </c>
      <c r="AI285" s="30" t="s">
        <v>630</v>
      </c>
      <c r="AJ285" s="4">
        <f t="shared" si="233"/>
        <v>0</v>
      </c>
      <c r="AK285" s="4">
        <f t="shared" si="234"/>
        <v>0</v>
      </c>
      <c r="AL285" s="4">
        <f t="shared" si="235"/>
        <v>0</v>
      </c>
      <c r="AN285" s="4">
        <v>21</v>
      </c>
      <c r="AO285" s="4">
        <f>I285*1</f>
        <v>0</v>
      </c>
      <c r="AP285" s="4">
        <f>I285*(1-1)</f>
        <v>0</v>
      </c>
      <c r="AQ285" s="14" t="s">
        <v>907</v>
      </c>
      <c r="AV285" s="4">
        <f t="shared" si="236"/>
        <v>0</v>
      </c>
      <c r="AW285" s="4">
        <f t="shared" si="237"/>
        <v>0</v>
      </c>
      <c r="AX285" s="4">
        <f t="shared" si="238"/>
        <v>0</v>
      </c>
      <c r="AY285" s="14" t="s">
        <v>95</v>
      </c>
      <c r="AZ285" s="14" t="s">
        <v>493</v>
      </c>
      <c r="BA285" s="30" t="s">
        <v>694</v>
      </c>
      <c r="BC285" s="4">
        <f t="shared" si="239"/>
        <v>0</v>
      </c>
      <c r="BD285" s="4">
        <f t="shared" si="240"/>
        <v>0</v>
      </c>
      <c r="BE285" s="4">
        <v>0</v>
      </c>
      <c r="BF285" s="4">
        <f>285</f>
        <v>285</v>
      </c>
      <c r="BH285" s="4">
        <f t="shared" si="241"/>
        <v>0</v>
      </c>
      <c r="BI285" s="4">
        <f t="shared" si="242"/>
        <v>0</v>
      </c>
      <c r="BJ285" s="4">
        <f t="shared" si="243"/>
        <v>0</v>
      </c>
      <c r="BK285" s="4"/>
      <c r="BL285" s="4">
        <v>766</v>
      </c>
    </row>
    <row r="286" spans="1:64" ht="15" customHeight="1">
      <c r="A286" s="22" t="s">
        <v>906</v>
      </c>
      <c r="B286" s="9" t="s">
        <v>254</v>
      </c>
      <c r="C286" s="53" t="s">
        <v>396</v>
      </c>
      <c r="D286" s="53"/>
      <c r="E286" s="53"/>
      <c r="F286" s="53"/>
      <c r="G286" s="9" t="s">
        <v>232</v>
      </c>
      <c r="H286" s="4">
        <v>1</v>
      </c>
      <c r="I286" s="4">
        <v>0</v>
      </c>
      <c r="J286" s="4">
        <f t="shared" si="222"/>
        <v>0</v>
      </c>
      <c r="K286" s="4">
        <f t="shared" si="223"/>
        <v>0</v>
      </c>
      <c r="L286" s="4">
        <f t="shared" si="224"/>
        <v>0</v>
      </c>
      <c r="M286" s="17" t="s">
        <v>619</v>
      </c>
      <c r="Z286" s="4">
        <f t="shared" si="225"/>
        <v>0</v>
      </c>
      <c r="AB286" s="4">
        <f t="shared" si="226"/>
        <v>0</v>
      </c>
      <c r="AC286" s="4">
        <f t="shared" si="227"/>
        <v>0</v>
      </c>
      <c r="AD286" s="4">
        <f t="shared" si="228"/>
        <v>0</v>
      </c>
      <c r="AE286" s="4">
        <f t="shared" si="229"/>
        <v>0</v>
      </c>
      <c r="AF286" s="4">
        <f t="shared" si="230"/>
        <v>0</v>
      </c>
      <c r="AG286" s="4">
        <f t="shared" si="231"/>
        <v>0</v>
      </c>
      <c r="AH286" s="4">
        <f t="shared" si="232"/>
        <v>0</v>
      </c>
      <c r="AI286" s="30" t="s">
        <v>630</v>
      </c>
      <c r="AJ286" s="4">
        <f t="shared" si="233"/>
        <v>0</v>
      </c>
      <c r="AK286" s="4">
        <f t="shared" si="234"/>
        <v>0</v>
      </c>
      <c r="AL286" s="4">
        <f t="shared" si="235"/>
        <v>0</v>
      </c>
      <c r="AN286" s="4">
        <v>21</v>
      </c>
      <c r="AO286" s="4">
        <f>I286*1</f>
        <v>0</v>
      </c>
      <c r="AP286" s="4">
        <f>I286*(1-1)</f>
        <v>0</v>
      </c>
      <c r="AQ286" s="14" t="s">
        <v>907</v>
      </c>
      <c r="AV286" s="4">
        <f t="shared" si="236"/>
        <v>0</v>
      </c>
      <c r="AW286" s="4">
        <f t="shared" si="237"/>
        <v>0</v>
      </c>
      <c r="AX286" s="4">
        <f t="shared" si="238"/>
        <v>0</v>
      </c>
      <c r="AY286" s="14" t="s">
        <v>95</v>
      </c>
      <c r="AZ286" s="14" t="s">
        <v>493</v>
      </c>
      <c r="BA286" s="30" t="s">
        <v>694</v>
      </c>
      <c r="BC286" s="4">
        <f t="shared" si="239"/>
        <v>0</v>
      </c>
      <c r="BD286" s="4">
        <f t="shared" si="240"/>
        <v>0</v>
      </c>
      <c r="BE286" s="4">
        <v>0</v>
      </c>
      <c r="BF286" s="4">
        <f>286</f>
        <v>286</v>
      </c>
      <c r="BH286" s="4">
        <f t="shared" si="241"/>
        <v>0</v>
      </c>
      <c r="BI286" s="4">
        <f t="shared" si="242"/>
        <v>0</v>
      </c>
      <c r="BJ286" s="4">
        <f t="shared" si="243"/>
        <v>0</v>
      </c>
      <c r="BK286" s="4"/>
      <c r="BL286" s="4">
        <v>766</v>
      </c>
    </row>
    <row r="287" spans="1:64" ht="15" customHeight="1">
      <c r="A287" s="22" t="s">
        <v>614</v>
      </c>
      <c r="B287" s="9" t="s">
        <v>768</v>
      </c>
      <c r="C287" s="53" t="s">
        <v>726</v>
      </c>
      <c r="D287" s="53"/>
      <c r="E287" s="53"/>
      <c r="F287" s="53"/>
      <c r="G287" s="9" t="s">
        <v>429</v>
      </c>
      <c r="H287" s="4">
        <v>0.311</v>
      </c>
      <c r="I287" s="4">
        <v>0</v>
      </c>
      <c r="J287" s="4">
        <f t="shared" si="222"/>
        <v>0</v>
      </c>
      <c r="K287" s="4">
        <f t="shared" si="223"/>
        <v>0</v>
      </c>
      <c r="L287" s="4">
        <f t="shared" si="224"/>
        <v>0</v>
      </c>
      <c r="M287" s="17" t="s">
        <v>619</v>
      </c>
      <c r="Z287" s="4">
        <f t="shared" si="225"/>
        <v>0</v>
      </c>
      <c r="AB287" s="4">
        <f t="shared" si="226"/>
        <v>0</v>
      </c>
      <c r="AC287" s="4">
        <f t="shared" si="227"/>
        <v>0</v>
      </c>
      <c r="AD287" s="4">
        <f t="shared" si="228"/>
        <v>0</v>
      </c>
      <c r="AE287" s="4">
        <f t="shared" si="229"/>
        <v>0</v>
      </c>
      <c r="AF287" s="4">
        <f t="shared" si="230"/>
        <v>0</v>
      </c>
      <c r="AG287" s="4">
        <f t="shared" si="231"/>
        <v>0</v>
      </c>
      <c r="AH287" s="4">
        <f t="shared" si="232"/>
        <v>0</v>
      </c>
      <c r="AI287" s="30" t="s">
        <v>630</v>
      </c>
      <c r="AJ287" s="4">
        <f t="shared" si="233"/>
        <v>0</v>
      </c>
      <c r="AK287" s="4">
        <f t="shared" si="234"/>
        <v>0</v>
      </c>
      <c r="AL287" s="4">
        <f t="shared" si="235"/>
        <v>0</v>
      </c>
      <c r="AN287" s="4">
        <v>21</v>
      </c>
      <c r="AO287" s="4">
        <f>I287*0</f>
        <v>0</v>
      </c>
      <c r="AP287" s="4">
        <f>I287*(1-0)</f>
        <v>0</v>
      </c>
      <c r="AQ287" s="14" t="s">
        <v>488</v>
      </c>
      <c r="AV287" s="4">
        <f t="shared" si="236"/>
        <v>0</v>
      </c>
      <c r="AW287" s="4">
        <f t="shared" si="237"/>
        <v>0</v>
      </c>
      <c r="AX287" s="4">
        <f t="shared" si="238"/>
        <v>0</v>
      </c>
      <c r="AY287" s="14" t="s">
        <v>95</v>
      </c>
      <c r="AZ287" s="14" t="s">
        <v>493</v>
      </c>
      <c r="BA287" s="30" t="s">
        <v>694</v>
      </c>
      <c r="BC287" s="4">
        <f t="shared" si="239"/>
        <v>0</v>
      </c>
      <c r="BD287" s="4">
        <f t="shared" si="240"/>
        <v>0</v>
      </c>
      <c r="BE287" s="4">
        <v>0</v>
      </c>
      <c r="BF287" s="4">
        <f>287</f>
        <v>287</v>
      </c>
      <c r="BH287" s="4">
        <f t="shared" si="241"/>
        <v>0</v>
      </c>
      <c r="BI287" s="4">
        <f t="shared" si="242"/>
        <v>0</v>
      </c>
      <c r="BJ287" s="4">
        <f t="shared" si="243"/>
        <v>0</v>
      </c>
      <c r="BK287" s="4"/>
      <c r="BL287" s="4">
        <v>766</v>
      </c>
    </row>
    <row r="288" spans="1:64" ht="15" customHeight="1">
      <c r="A288" s="12" t="s">
        <v>630</v>
      </c>
      <c r="B288" s="32" t="s">
        <v>422</v>
      </c>
      <c r="C288" s="61" t="s">
        <v>283</v>
      </c>
      <c r="D288" s="61"/>
      <c r="E288" s="61"/>
      <c r="F288" s="61"/>
      <c r="G288" s="45" t="s">
        <v>839</v>
      </c>
      <c r="H288" s="45" t="s">
        <v>839</v>
      </c>
      <c r="I288" s="45" t="s">
        <v>839</v>
      </c>
      <c r="J288" s="49">
        <f>SUM(J289:J296)</f>
        <v>0</v>
      </c>
      <c r="K288" s="49">
        <f>SUM(K289:K296)</f>
        <v>0</v>
      </c>
      <c r="L288" s="49">
        <f>SUM(L289:L296)</f>
        <v>0</v>
      </c>
      <c r="M288" s="29" t="s">
        <v>630</v>
      </c>
      <c r="AI288" s="30" t="s">
        <v>630</v>
      </c>
      <c r="AS288" s="49">
        <f>SUM(AJ289:AJ296)</f>
        <v>0</v>
      </c>
      <c r="AT288" s="49">
        <f>SUM(AK289:AK296)</f>
        <v>0</v>
      </c>
      <c r="AU288" s="49">
        <f>SUM(AL289:AL296)</f>
        <v>0</v>
      </c>
    </row>
    <row r="289" spans="1:64" ht="15" customHeight="1">
      <c r="A289" s="22" t="s">
        <v>809</v>
      </c>
      <c r="B289" s="9" t="s">
        <v>917</v>
      </c>
      <c r="C289" s="53" t="s">
        <v>233</v>
      </c>
      <c r="D289" s="53"/>
      <c r="E289" s="53"/>
      <c r="F289" s="53"/>
      <c r="G289" s="9" t="s">
        <v>750</v>
      </c>
      <c r="H289" s="4">
        <v>6.15</v>
      </c>
      <c r="I289" s="4">
        <v>0</v>
      </c>
      <c r="J289" s="4">
        <f>H289*AO289</f>
        <v>0</v>
      </c>
      <c r="K289" s="4">
        <f>H289*AP289</f>
        <v>0</v>
      </c>
      <c r="L289" s="4">
        <f>H289*I289</f>
        <v>0</v>
      </c>
      <c r="M289" s="17" t="s">
        <v>619</v>
      </c>
      <c r="Z289" s="4">
        <f>IF(AQ289="5",BJ289,0)</f>
        <v>0</v>
      </c>
      <c r="AB289" s="4">
        <f>IF(AQ289="1",BH289,0)</f>
        <v>0</v>
      </c>
      <c r="AC289" s="4">
        <f>IF(AQ289="1",BI289,0)</f>
        <v>0</v>
      </c>
      <c r="AD289" s="4">
        <f>IF(AQ289="7",BH289,0)</f>
        <v>0</v>
      </c>
      <c r="AE289" s="4">
        <f>IF(AQ289="7",BI289,0)</f>
        <v>0</v>
      </c>
      <c r="AF289" s="4">
        <f>IF(AQ289="2",BH289,0)</f>
        <v>0</v>
      </c>
      <c r="AG289" s="4">
        <f>IF(AQ289="2",BI289,0)</f>
        <v>0</v>
      </c>
      <c r="AH289" s="4">
        <f>IF(AQ289="0",BJ289,0)</f>
        <v>0</v>
      </c>
      <c r="AI289" s="30" t="s">
        <v>630</v>
      </c>
      <c r="AJ289" s="4">
        <f>IF(AN289=0,L289,0)</f>
        <v>0</v>
      </c>
      <c r="AK289" s="4">
        <f>IF(AN289=15,L289,0)</f>
        <v>0</v>
      </c>
      <c r="AL289" s="4">
        <f>IF(AN289=21,L289,0)</f>
        <v>0</v>
      </c>
      <c r="AN289" s="4">
        <v>21</v>
      </c>
      <c r="AO289" s="4">
        <f>I289*0.849036261485199</f>
        <v>0</v>
      </c>
      <c r="AP289" s="4">
        <f>I289*(1-0.849036261485199)</f>
        <v>0</v>
      </c>
      <c r="AQ289" s="14" t="s">
        <v>907</v>
      </c>
      <c r="AV289" s="4">
        <f>AW289+AX289</f>
        <v>0</v>
      </c>
      <c r="AW289" s="4">
        <f>H289*AO289</f>
        <v>0</v>
      </c>
      <c r="AX289" s="4">
        <f>H289*AP289</f>
        <v>0</v>
      </c>
      <c r="AY289" s="14" t="s">
        <v>262</v>
      </c>
      <c r="AZ289" s="14" t="s">
        <v>493</v>
      </c>
      <c r="BA289" s="30" t="s">
        <v>694</v>
      </c>
      <c r="BC289" s="4">
        <f>AW289+AX289</f>
        <v>0</v>
      </c>
      <c r="BD289" s="4">
        <f>I289/(100-BE289)*100</f>
        <v>0</v>
      </c>
      <c r="BE289" s="4">
        <v>0</v>
      </c>
      <c r="BF289" s="4">
        <f>289</f>
        <v>289</v>
      </c>
      <c r="BH289" s="4">
        <f>H289*AO289</f>
        <v>0</v>
      </c>
      <c r="BI289" s="4">
        <f>H289*AP289</f>
        <v>0</v>
      </c>
      <c r="BJ289" s="4">
        <f>H289*I289</f>
        <v>0</v>
      </c>
      <c r="BK289" s="4"/>
      <c r="BL289" s="4">
        <v>767</v>
      </c>
    </row>
    <row r="290" spans="1:64" ht="15" customHeight="1">
      <c r="A290" s="22" t="s">
        <v>13</v>
      </c>
      <c r="B290" s="9" t="s">
        <v>722</v>
      </c>
      <c r="C290" s="53" t="s">
        <v>1014</v>
      </c>
      <c r="D290" s="53"/>
      <c r="E290" s="53"/>
      <c r="F290" s="53"/>
      <c r="G290" s="9" t="s">
        <v>695</v>
      </c>
      <c r="H290" s="4">
        <v>1</v>
      </c>
      <c r="I290" s="4">
        <v>0</v>
      </c>
      <c r="J290" s="4">
        <f>H290*AO290</f>
        <v>0</v>
      </c>
      <c r="K290" s="4">
        <f>H290*AP290</f>
        <v>0</v>
      </c>
      <c r="L290" s="4">
        <f>H290*I290</f>
        <v>0</v>
      </c>
      <c r="M290" s="17" t="s">
        <v>630</v>
      </c>
      <c r="Z290" s="4">
        <f>IF(AQ290="5",BJ290,0)</f>
        <v>0</v>
      </c>
      <c r="AB290" s="4">
        <f>IF(AQ290="1",BH290,0)</f>
        <v>0</v>
      </c>
      <c r="AC290" s="4">
        <f>IF(AQ290="1",BI290,0)</f>
        <v>0</v>
      </c>
      <c r="AD290" s="4">
        <f>IF(AQ290="7",BH290,0)</f>
        <v>0</v>
      </c>
      <c r="AE290" s="4">
        <f>IF(AQ290="7",BI290,0)</f>
        <v>0</v>
      </c>
      <c r="AF290" s="4">
        <f>IF(AQ290="2",BH290,0)</f>
        <v>0</v>
      </c>
      <c r="AG290" s="4">
        <f>IF(AQ290="2",BI290,0)</f>
        <v>0</v>
      </c>
      <c r="AH290" s="4">
        <f>IF(AQ290="0",BJ290,0)</f>
        <v>0</v>
      </c>
      <c r="AI290" s="30" t="s">
        <v>630</v>
      </c>
      <c r="AJ290" s="4">
        <f>IF(AN290=0,L290,0)</f>
        <v>0</v>
      </c>
      <c r="AK290" s="4">
        <f>IF(AN290=15,L290,0)</f>
        <v>0</v>
      </c>
      <c r="AL290" s="4">
        <f>IF(AN290=21,L290,0)</f>
        <v>0</v>
      </c>
      <c r="AN290" s="4">
        <v>21</v>
      </c>
      <c r="AO290" s="4">
        <f>I290*0.819148289897333</f>
        <v>0</v>
      </c>
      <c r="AP290" s="4">
        <f>I290*(1-0.819148289897333)</f>
        <v>0</v>
      </c>
      <c r="AQ290" s="14" t="s">
        <v>907</v>
      </c>
      <c r="AV290" s="4">
        <f>AW290+AX290</f>
        <v>0</v>
      </c>
      <c r="AW290" s="4">
        <f>H290*AO290</f>
        <v>0</v>
      </c>
      <c r="AX290" s="4">
        <f>H290*AP290</f>
        <v>0</v>
      </c>
      <c r="AY290" s="14" t="s">
        <v>262</v>
      </c>
      <c r="AZ290" s="14" t="s">
        <v>493</v>
      </c>
      <c r="BA290" s="30" t="s">
        <v>694</v>
      </c>
      <c r="BC290" s="4">
        <f>AW290+AX290</f>
        <v>0</v>
      </c>
      <c r="BD290" s="4">
        <f>I290/(100-BE290)*100</f>
        <v>0</v>
      </c>
      <c r="BE290" s="4">
        <v>0</v>
      </c>
      <c r="BF290" s="4">
        <f>290</f>
        <v>290</v>
      </c>
      <c r="BH290" s="4">
        <f>H290*AO290</f>
        <v>0</v>
      </c>
      <c r="BI290" s="4">
        <f>H290*AP290</f>
        <v>0</v>
      </c>
      <c r="BJ290" s="4">
        <f>H290*I290</f>
        <v>0</v>
      </c>
      <c r="BK290" s="4"/>
      <c r="BL290" s="4">
        <v>767</v>
      </c>
    </row>
    <row r="291" spans="1:64" ht="13.5" customHeight="1">
      <c r="A291" s="13"/>
      <c r="B291" s="18" t="s">
        <v>473</v>
      </c>
      <c r="C291" s="54" t="s">
        <v>335</v>
      </c>
      <c r="D291" s="55"/>
      <c r="E291" s="55"/>
      <c r="F291" s="55"/>
      <c r="G291" s="55"/>
      <c r="H291" s="55"/>
      <c r="I291" s="55"/>
      <c r="J291" s="55"/>
      <c r="K291" s="55"/>
      <c r="L291" s="55"/>
      <c r="M291" s="56"/>
    </row>
    <row r="292" spans="1:64" ht="15" customHeight="1">
      <c r="A292" s="22" t="s">
        <v>960</v>
      </c>
      <c r="B292" s="9" t="s">
        <v>144</v>
      </c>
      <c r="C292" s="53" t="s">
        <v>151</v>
      </c>
      <c r="D292" s="53"/>
      <c r="E292" s="53"/>
      <c r="F292" s="53"/>
      <c r="G292" s="9" t="s">
        <v>854</v>
      </c>
      <c r="H292" s="4">
        <v>92</v>
      </c>
      <c r="I292" s="4">
        <v>0</v>
      </c>
      <c r="J292" s="4">
        <f>H292*AO292</f>
        <v>0</v>
      </c>
      <c r="K292" s="4">
        <f>H292*AP292</f>
        <v>0</v>
      </c>
      <c r="L292" s="4">
        <f>H292*I292</f>
        <v>0</v>
      </c>
      <c r="M292" s="17" t="s">
        <v>619</v>
      </c>
      <c r="Z292" s="4">
        <f>IF(AQ292="5",BJ292,0)</f>
        <v>0</v>
      </c>
      <c r="AB292" s="4">
        <f>IF(AQ292="1",BH292,0)</f>
        <v>0</v>
      </c>
      <c r="AC292" s="4">
        <f>IF(AQ292="1",BI292,0)</f>
        <v>0</v>
      </c>
      <c r="AD292" s="4">
        <f>IF(AQ292="7",BH292,0)</f>
        <v>0</v>
      </c>
      <c r="AE292" s="4">
        <f>IF(AQ292="7",BI292,0)</f>
        <v>0</v>
      </c>
      <c r="AF292" s="4">
        <f>IF(AQ292="2",BH292,0)</f>
        <v>0</v>
      </c>
      <c r="AG292" s="4">
        <f>IF(AQ292="2",BI292,0)</f>
        <v>0</v>
      </c>
      <c r="AH292" s="4">
        <f>IF(AQ292="0",BJ292,0)</f>
        <v>0</v>
      </c>
      <c r="AI292" s="30" t="s">
        <v>630</v>
      </c>
      <c r="AJ292" s="4">
        <f>IF(AN292=0,L292,0)</f>
        <v>0</v>
      </c>
      <c r="AK292" s="4">
        <f>IF(AN292=15,L292,0)</f>
        <v>0</v>
      </c>
      <c r="AL292" s="4">
        <f>IF(AN292=21,L292,0)</f>
        <v>0</v>
      </c>
      <c r="AN292" s="4">
        <v>21</v>
      </c>
      <c r="AO292" s="4">
        <f>I292*0.572843278393121</f>
        <v>0</v>
      </c>
      <c r="AP292" s="4">
        <f>I292*(1-0.572843278393121)</f>
        <v>0</v>
      </c>
      <c r="AQ292" s="14" t="s">
        <v>907</v>
      </c>
      <c r="AV292" s="4">
        <f>AW292+AX292</f>
        <v>0</v>
      </c>
      <c r="AW292" s="4">
        <f>H292*AO292</f>
        <v>0</v>
      </c>
      <c r="AX292" s="4">
        <f>H292*AP292</f>
        <v>0</v>
      </c>
      <c r="AY292" s="14" t="s">
        <v>262</v>
      </c>
      <c r="AZ292" s="14" t="s">
        <v>493</v>
      </c>
      <c r="BA292" s="30" t="s">
        <v>694</v>
      </c>
      <c r="BC292" s="4">
        <f>AW292+AX292</f>
        <v>0</v>
      </c>
      <c r="BD292" s="4">
        <f>I292/(100-BE292)*100</f>
        <v>0</v>
      </c>
      <c r="BE292" s="4">
        <v>0</v>
      </c>
      <c r="BF292" s="4">
        <f>292</f>
        <v>292</v>
      </c>
      <c r="BH292" s="4">
        <f>H292*AO292</f>
        <v>0</v>
      </c>
      <c r="BI292" s="4">
        <f>H292*AP292</f>
        <v>0</v>
      </c>
      <c r="BJ292" s="4">
        <f>H292*I292</f>
        <v>0</v>
      </c>
      <c r="BK292" s="4"/>
      <c r="BL292" s="4">
        <v>767</v>
      </c>
    </row>
    <row r="293" spans="1:64" ht="13.5" customHeight="1">
      <c r="A293" s="13"/>
      <c r="B293" s="18" t="s">
        <v>473</v>
      </c>
      <c r="C293" s="54" t="s">
        <v>757</v>
      </c>
      <c r="D293" s="55"/>
      <c r="E293" s="55"/>
      <c r="F293" s="55"/>
      <c r="G293" s="55"/>
      <c r="H293" s="55"/>
      <c r="I293" s="55"/>
      <c r="J293" s="55"/>
      <c r="K293" s="55"/>
      <c r="L293" s="55"/>
      <c r="M293" s="56"/>
    </row>
    <row r="294" spans="1:64" ht="15" customHeight="1">
      <c r="A294" s="22" t="s">
        <v>685</v>
      </c>
      <c r="B294" s="9" t="s">
        <v>494</v>
      </c>
      <c r="C294" s="53" t="s">
        <v>1003</v>
      </c>
      <c r="D294" s="53"/>
      <c r="E294" s="53"/>
      <c r="F294" s="53"/>
      <c r="G294" s="9" t="s">
        <v>636</v>
      </c>
      <c r="H294" s="4">
        <v>1</v>
      </c>
      <c r="I294" s="4">
        <v>0</v>
      </c>
      <c r="J294" s="4">
        <f>H294*AO294</f>
        <v>0</v>
      </c>
      <c r="K294" s="4">
        <f>H294*AP294</f>
        <v>0</v>
      </c>
      <c r="L294" s="4">
        <f>H294*I294</f>
        <v>0</v>
      </c>
      <c r="M294" s="17" t="s">
        <v>630</v>
      </c>
      <c r="Z294" s="4">
        <f>IF(AQ294="5",BJ294,0)</f>
        <v>0</v>
      </c>
      <c r="AB294" s="4">
        <f>IF(AQ294="1",BH294,0)</f>
        <v>0</v>
      </c>
      <c r="AC294" s="4">
        <f>IF(AQ294="1",BI294,0)</f>
        <v>0</v>
      </c>
      <c r="AD294" s="4">
        <f>IF(AQ294="7",BH294,0)</f>
        <v>0</v>
      </c>
      <c r="AE294" s="4">
        <f>IF(AQ294="7",BI294,0)</f>
        <v>0</v>
      </c>
      <c r="AF294" s="4">
        <f>IF(AQ294="2",BH294,0)</f>
        <v>0</v>
      </c>
      <c r="AG294" s="4">
        <f>IF(AQ294="2",BI294,0)</f>
        <v>0</v>
      </c>
      <c r="AH294" s="4">
        <f>IF(AQ294="0",BJ294,0)</f>
        <v>0</v>
      </c>
      <c r="AI294" s="30" t="s">
        <v>630</v>
      </c>
      <c r="AJ294" s="4">
        <f>IF(AN294=0,L294,0)</f>
        <v>0</v>
      </c>
      <c r="AK294" s="4">
        <f>IF(AN294=15,L294,0)</f>
        <v>0</v>
      </c>
      <c r="AL294" s="4">
        <f>IF(AN294=21,L294,0)</f>
        <v>0</v>
      </c>
      <c r="AN294" s="4">
        <v>21</v>
      </c>
      <c r="AO294" s="4">
        <f>I294*0.75</f>
        <v>0</v>
      </c>
      <c r="AP294" s="4">
        <f>I294*(1-0.75)</f>
        <v>0</v>
      </c>
      <c r="AQ294" s="14" t="s">
        <v>907</v>
      </c>
      <c r="AV294" s="4">
        <f>AW294+AX294</f>
        <v>0</v>
      </c>
      <c r="AW294" s="4">
        <f>H294*AO294</f>
        <v>0</v>
      </c>
      <c r="AX294" s="4">
        <f>H294*AP294</f>
        <v>0</v>
      </c>
      <c r="AY294" s="14" t="s">
        <v>262</v>
      </c>
      <c r="AZ294" s="14" t="s">
        <v>493</v>
      </c>
      <c r="BA294" s="30" t="s">
        <v>694</v>
      </c>
      <c r="BC294" s="4">
        <f>AW294+AX294</f>
        <v>0</v>
      </c>
      <c r="BD294" s="4">
        <f>I294/(100-BE294)*100</f>
        <v>0</v>
      </c>
      <c r="BE294" s="4">
        <v>0</v>
      </c>
      <c r="BF294" s="4">
        <f>294</f>
        <v>294</v>
      </c>
      <c r="BH294" s="4">
        <f>H294*AO294</f>
        <v>0</v>
      </c>
      <c r="BI294" s="4">
        <f>H294*AP294</f>
        <v>0</v>
      </c>
      <c r="BJ294" s="4">
        <f>H294*I294</f>
        <v>0</v>
      </c>
      <c r="BK294" s="4"/>
      <c r="BL294" s="4">
        <v>767</v>
      </c>
    </row>
    <row r="295" spans="1:64" ht="13.5" customHeight="1">
      <c r="A295" s="13"/>
      <c r="B295" s="18" t="s">
        <v>473</v>
      </c>
      <c r="C295" s="54" t="s">
        <v>499</v>
      </c>
      <c r="D295" s="55"/>
      <c r="E295" s="55"/>
      <c r="F295" s="55"/>
      <c r="G295" s="55"/>
      <c r="H295" s="55"/>
      <c r="I295" s="55"/>
      <c r="J295" s="55"/>
      <c r="K295" s="55"/>
      <c r="L295" s="55"/>
      <c r="M295" s="56"/>
    </row>
    <row r="296" spans="1:64" ht="15" customHeight="1">
      <c r="A296" s="22" t="s">
        <v>537</v>
      </c>
      <c r="B296" s="9" t="s">
        <v>50</v>
      </c>
      <c r="C296" s="53" t="s">
        <v>595</v>
      </c>
      <c r="D296" s="53"/>
      <c r="E296" s="53"/>
      <c r="F296" s="53"/>
      <c r="G296" s="9" t="s">
        <v>429</v>
      </c>
      <c r="H296" s="4">
        <v>0.17599999999999999</v>
      </c>
      <c r="I296" s="4">
        <v>0</v>
      </c>
      <c r="J296" s="4">
        <f>H296*AO296</f>
        <v>0</v>
      </c>
      <c r="K296" s="4">
        <f>H296*AP296</f>
        <v>0</v>
      </c>
      <c r="L296" s="4">
        <f>H296*I296</f>
        <v>0</v>
      </c>
      <c r="M296" s="17" t="s">
        <v>619</v>
      </c>
      <c r="Z296" s="4">
        <f>IF(AQ296="5",BJ296,0)</f>
        <v>0</v>
      </c>
      <c r="AB296" s="4">
        <f>IF(AQ296="1",BH296,0)</f>
        <v>0</v>
      </c>
      <c r="AC296" s="4">
        <f>IF(AQ296="1",BI296,0)</f>
        <v>0</v>
      </c>
      <c r="AD296" s="4">
        <f>IF(AQ296="7",BH296,0)</f>
        <v>0</v>
      </c>
      <c r="AE296" s="4">
        <f>IF(AQ296="7",BI296,0)</f>
        <v>0</v>
      </c>
      <c r="AF296" s="4">
        <f>IF(AQ296="2",BH296,0)</f>
        <v>0</v>
      </c>
      <c r="AG296" s="4">
        <f>IF(AQ296="2",BI296,0)</f>
        <v>0</v>
      </c>
      <c r="AH296" s="4">
        <f>IF(AQ296="0",BJ296,0)</f>
        <v>0</v>
      </c>
      <c r="AI296" s="30" t="s">
        <v>630</v>
      </c>
      <c r="AJ296" s="4">
        <f>IF(AN296=0,L296,0)</f>
        <v>0</v>
      </c>
      <c r="AK296" s="4">
        <f>IF(AN296=15,L296,0)</f>
        <v>0</v>
      </c>
      <c r="AL296" s="4">
        <f>IF(AN296=21,L296,0)</f>
        <v>0</v>
      </c>
      <c r="AN296" s="4">
        <v>21</v>
      </c>
      <c r="AO296" s="4">
        <f>I296*0</f>
        <v>0</v>
      </c>
      <c r="AP296" s="4">
        <f>I296*(1-0)</f>
        <v>0</v>
      </c>
      <c r="AQ296" s="14" t="s">
        <v>488</v>
      </c>
      <c r="AV296" s="4">
        <f>AW296+AX296</f>
        <v>0</v>
      </c>
      <c r="AW296" s="4">
        <f>H296*AO296</f>
        <v>0</v>
      </c>
      <c r="AX296" s="4">
        <f>H296*AP296</f>
        <v>0</v>
      </c>
      <c r="AY296" s="14" t="s">
        <v>262</v>
      </c>
      <c r="AZ296" s="14" t="s">
        <v>493</v>
      </c>
      <c r="BA296" s="30" t="s">
        <v>694</v>
      </c>
      <c r="BC296" s="4">
        <f>AW296+AX296</f>
        <v>0</v>
      </c>
      <c r="BD296" s="4">
        <f>I296/(100-BE296)*100</f>
        <v>0</v>
      </c>
      <c r="BE296" s="4">
        <v>0</v>
      </c>
      <c r="BF296" s="4">
        <f>296</f>
        <v>296</v>
      </c>
      <c r="BH296" s="4">
        <f>H296*AO296</f>
        <v>0</v>
      </c>
      <c r="BI296" s="4">
        <f>H296*AP296</f>
        <v>0</v>
      </c>
      <c r="BJ296" s="4">
        <f>H296*I296</f>
        <v>0</v>
      </c>
      <c r="BK296" s="4"/>
      <c r="BL296" s="4">
        <v>767</v>
      </c>
    </row>
    <row r="297" spans="1:64" ht="15" customHeight="1">
      <c r="A297" s="12" t="s">
        <v>630</v>
      </c>
      <c r="B297" s="32" t="s">
        <v>983</v>
      </c>
      <c r="C297" s="61" t="s">
        <v>794</v>
      </c>
      <c r="D297" s="61"/>
      <c r="E297" s="61"/>
      <c r="F297" s="61"/>
      <c r="G297" s="45" t="s">
        <v>839</v>
      </c>
      <c r="H297" s="45" t="s">
        <v>839</v>
      </c>
      <c r="I297" s="45" t="s">
        <v>839</v>
      </c>
      <c r="J297" s="49">
        <f>SUM(J298:J314)</f>
        <v>0</v>
      </c>
      <c r="K297" s="49">
        <f>SUM(K298:K314)</f>
        <v>0</v>
      </c>
      <c r="L297" s="49">
        <f>SUM(L298:L314)</f>
        <v>0</v>
      </c>
      <c r="M297" s="29" t="s">
        <v>630</v>
      </c>
      <c r="AI297" s="30" t="s">
        <v>630</v>
      </c>
      <c r="AS297" s="49">
        <f>SUM(AJ298:AJ314)</f>
        <v>0</v>
      </c>
      <c r="AT297" s="49">
        <f>SUM(AK298:AK314)</f>
        <v>0</v>
      </c>
      <c r="AU297" s="49">
        <f>SUM(AL298:AL314)</f>
        <v>0</v>
      </c>
    </row>
    <row r="298" spans="1:64" ht="15" customHeight="1">
      <c r="A298" s="22" t="s">
        <v>929</v>
      </c>
      <c r="B298" s="9" t="s">
        <v>451</v>
      </c>
      <c r="C298" s="53" t="s">
        <v>24</v>
      </c>
      <c r="D298" s="53"/>
      <c r="E298" s="53"/>
      <c r="F298" s="53"/>
      <c r="G298" s="9" t="s">
        <v>891</v>
      </c>
      <c r="H298" s="4">
        <v>16.3</v>
      </c>
      <c r="I298" s="4">
        <v>0</v>
      </c>
      <c r="J298" s="4">
        <f>H298*AO298</f>
        <v>0</v>
      </c>
      <c r="K298" s="4">
        <f>H298*AP298</f>
        <v>0</v>
      </c>
      <c r="L298" s="4">
        <f>H298*I298</f>
        <v>0</v>
      </c>
      <c r="M298" s="17" t="s">
        <v>619</v>
      </c>
      <c r="Z298" s="4">
        <f>IF(AQ298="5",BJ298,0)</f>
        <v>0</v>
      </c>
      <c r="AB298" s="4">
        <f>IF(AQ298="1",BH298,0)</f>
        <v>0</v>
      </c>
      <c r="AC298" s="4">
        <f>IF(AQ298="1",BI298,0)</f>
        <v>0</v>
      </c>
      <c r="AD298" s="4">
        <f>IF(AQ298="7",BH298,0)</f>
        <v>0</v>
      </c>
      <c r="AE298" s="4">
        <f>IF(AQ298="7",BI298,0)</f>
        <v>0</v>
      </c>
      <c r="AF298" s="4">
        <f>IF(AQ298="2",BH298,0)</f>
        <v>0</v>
      </c>
      <c r="AG298" s="4">
        <f>IF(AQ298="2",BI298,0)</f>
        <v>0</v>
      </c>
      <c r="AH298" s="4">
        <f>IF(AQ298="0",BJ298,0)</f>
        <v>0</v>
      </c>
      <c r="AI298" s="30" t="s">
        <v>630</v>
      </c>
      <c r="AJ298" s="4">
        <f>IF(AN298=0,L298,0)</f>
        <v>0</v>
      </c>
      <c r="AK298" s="4">
        <f>IF(AN298=15,L298,0)</f>
        <v>0</v>
      </c>
      <c r="AL298" s="4">
        <f>IF(AN298=21,L298,0)</f>
        <v>0</v>
      </c>
      <c r="AN298" s="4">
        <v>21</v>
      </c>
      <c r="AO298" s="4">
        <f>I298*0.43643123130456</f>
        <v>0</v>
      </c>
      <c r="AP298" s="4">
        <f>I298*(1-0.43643123130456)</f>
        <v>0</v>
      </c>
      <c r="AQ298" s="14" t="s">
        <v>907</v>
      </c>
      <c r="AV298" s="4">
        <f>AW298+AX298</f>
        <v>0</v>
      </c>
      <c r="AW298" s="4">
        <f>H298*AO298</f>
        <v>0</v>
      </c>
      <c r="AX298" s="4">
        <f>H298*AP298</f>
        <v>0</v>
      </c>
      <c r="AY298" s="14" t="s">
        <v>927</v>
      </c>
      <c r="AZ298" s="14" t="s">
        <v>223</v>
      </c>
      <c r="BA298" s="30" t="s">
        <v>694</v>
      </c>
      <c r="BC298" s="4">
        <f>AW298+AX298</f>
        <v>0</v>
      </c>
      <c r="BD298" s="4">
        <f>I298/(100-BE298)*100</f>
        <v>0</v>
      </c>
      <c r="BE298" s="4">
        <v>0</v>
      </c>
      <c r="BF298" s="4">
        <f>298</f>
        <v>298</v>
      </c>
      <c r="BH298" s="4">
        <f>H298*AO298</f>
        <v>0</v>
      </c>
      <c r="BI298" s="4">
        <f>H298*AP298</f>
        <v>0</v>
      </c>
      <c r="BJ298" s="4">
        <f>H298*I298</f>
        <v>0</v>
      </c>
      <c r="BK298" s="4"/>
      <c r="BL298" s="4">
        <v>771</v>
      </c>
    </row>
    <row r="299" spans="1:64" ht="13.5" customHeight="1">
      <c r="A299" s="13"/>
      <c r="B299" s="18" t="s">
        <v>473</v>
      </c>
      <c r="C299" s="54" t="s">
        <v>430</v>
      </c>
      <c r="D299" s="55"/>
      <c r="E299" s="55"/>
      <c r="F299" s="55"/>
      <c r="G299" s="55"/>
      <c r="H299" s="55"/>
      <c r="I299" s="55"/>
      <c r="J299" s="55"/>
      <c r="K299" s="55"/>
      <c r="L299" s="55"/>
      <c r="M299" s="56"/>
    </row>
    <row r="300" spans="1:64" ht="15" customHeight="1">
      <c r="A300" s="22" t="s">
        <v>735</v>
      </c>
      <c r="B300" s="9" t="s">
        <v>97</v>
      </c>
      <c r="C300" s="53" t="s">
        <v>538</v>
      </c>
      <c r="D300" s="53"/>
      <c r="E300" s="53"/>
      <c r="F300" s="53"/>
      <c r="G300" s="9" t="s">
        <v>750</v>
      </c>
      <c r="H300" s="4">
        <v>15.8</v>
      </c>
      <c r="I300" s="4">
        <v>0</v>
      </c>
      <c r="J300" s="4">
        <f>H300*AO300</f>
        <v>0</v>
      </c>
      <c r="K300" s="4">
        <f>H300*AP300</f>
        <v>0</v>
      </c>
      <c r="L300" s="4">
        <f>H300*I300</f>
        <v>0</v>
      </c>
      <c r="M300" s="17" t="s">
        <v>619</v>
      </c>
      <c r="Z300" s="4">
        <f>IF(AQ300="5",BJ300,0)</f>
        <v>0</v>
      </c>
      <c r="AB300" s="4">
        <f>IF(AQ300="1",BH300,0)</f>
        <v>0</v>
      </c>
      <c r="AC300" s="4">
        <f>IF(AQ300="1",BI300,0)</f>
        <v>0</v>
      </c>
      <c r="AD300" s="4">
        <f>IF(AQ300="7",BH300,0)</f>
        <v>0</v>
      </c>
      <c r="AE300" s="4">
        <f>IF(AQ300="7",BI300,0)</f>
        <v>0</v>
      </c>
      <c r="AF300" s="4">
        <f>IF(AQ300="2",BH300,0)</f>
        <v>0</v>
      </c>
      <c r="AG300" s="4">
        <f>IF(AQ300="2",BI300,0)</f>
        <v>0</v>
      </c>
      <c r="AH300" s="4">
        <f>IF(AQ300="0",BJ300,0)</f>
        <v>0</v>
      </c>
      <c r="AI300" s="30" t="s">
        <v>630</v>
      </c>
      <c r="AJ300" s="4">
        <f>IF(AN300=0,L300,0)</f>
        <v>0</v>
      </c>
      <c r="AK300" s="4">
        <f>IF(AN300=15,L300,0)</f>
        <v>0</v>
      </c>
      <c r="AL300" s="4">
        <f>IF(AN300=21,L300,0)</f>
        <v>0</v>
      </c>
      <c r="AN300" s="4">
        <v>21</v>
      </c>
      <c r="AO300" s="4">
        <f>I300*0.0712258064516129</f>
        <v>0</v>
      </c>
      <c r="AP300" s="4">
        <f>I300*(1-0.0712258064516129)</f>
        <v>0</v>
      </c>
      <c r="AQ300" s="14" t="s">
        <v>907</v>
      </c>
      <c r="AV300" s="4">
        <f>AW300+AX300</f>
        <v>0</v>
      </c>
      <c r="AW300" s="4">
        <f>H300*AO300</f>
        <v>0</v>
      </c>
      <c r="AX300" s="4">
        <f>H300*AP300</f>
        <v>0</v>
      </c>
      <c r="AY300" s="14" t="s">
        <v>927</v>
      </c>
      <c r="AZ300" s="14" t="s">
        <v>223</v>
      </c>
      <c r="BA300" s="30" t="s">
        <v>694</v>
      </c>
      <c r="BC300" s="4">
        <f>AW300+AX300</f>
        <v>0</v>
      </c>
      <c r="BD300" s="4">
        <f>I300/(100-BE300)*100</f>
        <v>0</v>
      </c>
      <c r="BE300" s="4">
        <v>0</v>
      </c>
      <c r="BF300" s="4">
        <f>300</f>
        <v>300</v>
      </c>
      <c r="BH300" s="4">
        <f>H300*AO300</f>
        <v>0</v>
      </c>
      <c r="BI300" s="4">
        <f>H300*AP300</f>
        <v>0</v>
      </c>
      <c r="BJ300" s="4">
        <f>H300*I300</f>
        <v>0</v>
      </c>
      <c r="BK300" s="4"/>
      <c r="BL300" s="4">
        <v>771</v>
      </c>
    </row>
    <row r="301" spans="1:64" ht="15" customHeight="1">
      <c r="A301" s="22" t="s">
        <v>885</v>
      </c>
      <c r="B301" s="9" t="s">
        <v>259</v>
      </c>
      <c r="C301" s="53" t="s">
        <v>44</v>
      </c>
      <c r="D301" s="53"/>
      <c r="E301" s="53"/>
      <c r="F301" s="53"/>
      <c r="G301" s="9" t="s">
        <v>232</v>
      </c>
      <c r="H301" s="4">
        <v>80</v>
      </c>
      <c r="I301" s="4">
        <v>0</v>
      </c>
      <c r="J301" s="4">
        <f>H301*AO301</f>
        <v>0</v>
      </c>
      <c r="K301" s="4">
        <f>H301*AP301</f>
        <v>0</v>
      </c>
      <c r="L301" s="4">
        <f>H301*I301</f>
        <v>0</v>
      </c>
      <c r="M301" s="17" t="s">
        <v>619</v>
      </c>
      <c r="Z301" s="4">
        <f>IF(AQ301="5",BJ301,0)</f>
        <v>0</v>
      </c>
      <c r="AB301" s="4">
        <f>IF(AQ301="1",BH301,0)</f>
        <v>0</v>
      </c>
      <c r="AC301" s="4">
        <f>IF(AQ301="1",BI301,0)</f>
        <v>0</v>
      </c>
      <c r="AD301" s="4">
        <f>IF(AQ301="7",BH301,0)</f>
        <v>0</v>
      </c>
      <c r="AE301" s="4">
        <f>IF(AQ301="7",BI301,0)</f>
        <v>0</v>
      </c>
      <c r="AF301" s="4">
        <f>IF(AQ301="2",BH301,0)</f>
        <v>0</v>
      </c>
      <c r="AG301" s="4">
        <f>IF(AQ301="2",BI301,0)</f>
        <v>0</v>
      </c>
      <c r="AH301" s="4">
        <f>IF(AQ301="0",BJ301,0)</f>
        <v>0</v>
      </c>
      <c r="AI301" s="30" t="s">
        <v>630</v>
      </c>
      <c r="AJ301" s="4">
        <f>IF(AN301=0,L301,0)</f>
        <v>0</v>
      </c>
      <c r="AK301" s="4">
        <f>IF(AN301=15,L301,0)</f>
        <v>0</v>
      </c>
      <c r="AL301" s="4">
        <f>IF(AN301=21,L301,0)</f>
        <v>0</v>
      </c>
      <c r="AN301" s="4">
        <v>21</v>
      </c>
      <c r="AO301" s="4">
        <f>I301*1</f>
        <v>0</v>
      </c>
      <c r="AP301" s="4">
        <f>I301*(1-1)</f>
        <v>0</v>
      </c>
      <c r="AQ301" s="14" t="s">
        <v>907</v>
      </c>
      <c r="AV301" s="4">
        <f>AW301+AX301</f>
        <v>0</v>
      </c>
      <c r="AW301" s="4">
        <f>H301*AO301</f>
        <v>0</v>
      </c>
      <c r="AX301" s="4">
        <f>H301*AP301</f>
        <v>0</v>
      </c>
      <c r="AY301" s="14" t="s">
        <v>927</v>
      </c>
      <c r="AZ301" s="14" t="s">
        <v>223</v>
      </c>
      <c r="BA301" s="30" t="s">
        <v>694</v>
      </c>
      <c r="BC301" s="4">
        <f>AW301+AX301</f>
        <v>0</v>
      </c>
      <c r="BD301" s="4">
        <f>I301/(100-BE301)*100</f>
        <v>0</v>
      </c>
      <c r="BE301" s="4">
        <v>0</v>
      </c>
      <c r="BF301" s="4">
        <f>301</f>
        <v>301</v>
      </c>
      <c r="BH301" s="4">
        <f>H301*AO301</f>
        <v>0</v>
      </c>
      <c r="BI301" s="4">
        <f>H301*AP301</f>
        <v>0</v>
      </c>
      <c r="BJ301" s="4">
        <f>H301*I301</f>
        <v>0</v>
      </c>
      <c r="BK301" s="4"/>
      <c r="BL301" s="4">
        <v>771</v>
      </c>
    </row>
    <row r="302" spans="1:64" ht="15" customHeight="1">
      <c r="A302" s="22" t="s">
        <v>156</v>
      </c>
      <c r="B302" s="9" t="s">
        <v>771</v>
      </c>
      <c r="C302" s="53" t="s">
        <v>354</v>
      </c>
      <c r="D302" s="53"/>
      <c r="E302" s="53"/>
      <c r="F302" s="53"/>
      <c r="G302" s="9" t="s">
        <v>232</v>
      </c>
      <c r="H302" s="4">
        <v>4</v>
      </c>
      <c r="I302" s="4">
        <v>0</v>
      </c>
      <c r="J302" s="4">
        <f>H302*AO302</f>
        <v>0</v>
      </c>
      <c r="K302" s="4">
        <f>H302*AP302</f>
        <v>0</v>
      </c>
      <c r="L302" s="4">
        <f>H302*I302</f>
        <v>0</v>
      </c>
      <c r="M302" s="17" t="s">
        <v>619</v>
      </c>
      <c r="Z302" s="4">
        <f>IF(AQ302="5",BJ302,0)</f>
        <v>0</v>
      </c>
      <c r="AB302" s="4">
        <f>IF(AQ302="1",BH302,0)</f>
        <v>0</v>
      </c>
      <c r="AC302" s="4">
        <f>IF(AQ302="1",BI302,0)</f>
        <v>0</v>
      </c>
      <c r="AD302" s="4">
        <f>IF(AQ302="7",BH302,0)</f>
        <v>0</v>
      </c>
      <c r="AE302" s="4">
        <f>IF(AQ302="7",BI302,0)</f>
        <v>0</v>
      </c>
      <c r="AF302" s="4">
        <f>IF(AQ302="2",BH302,0)</f>
        <v>0</v>
      </c>
      <c r="AG302" s="4">
        <f>IF(AQ302="2",BI302,0)</f>
        <v>0</v>
      </c>
      <c r="AH302" s="4">
        <f>IF(AQ302="0",BJ302,0)</f>
        <v>0</v>
      </c>
      <c r="AI302" s="30" t="s">
        <v>630</v>
      </c>
      <c r="AJ302" s="4">
        <f>IF(AN302=0,L302,0)</f>
        <v>0</v>
      </c>
      <c r="AK302" s="4">
        <f>IF(AN302=15,L302,0)</f>
        <v>0</v>
      </c>
      <c r="AL302" s="4">
        <f>IF(AN302=21,L302,0)</f>
        <v>0</v>
      </c>
      <c r="AN302" s="4">
        <v>21</v>
      </c>
      <c r="AO302" s="4">
        <f>I302*1</f>
        <v>0</v>
      </c>
      <c r="AP302" s="4">
        <f>I302*(1-1)</f>
        <v>0</v>
      </c>
      <c r="AQ302" s="14" t="s">
        <v>907</v>
      </c>
      <c r="AV302" s="4">
        <f>AW302+AX302</f>
        <v>0</v>
      </c>
      <c r="AW302" s="4">
        <f>H302*AO302</f>
        <v>0</v>
      </c>
      <c r="AX302" s="4">
        <f>H302*AP302</f>
        <v>0</v>
      </c>
      <c r="AY302" s="14" t="s">
        <v>927</v>
      </c>
      <c r="AZ302" s="14" t="s">
        <v>223</v>
      </c>
      <c r="BA302" s="30" t="s">
        <v>694</v>
      </c>
      <c r="BC302" s="4">
        <f>AW302+AX302</f>
        <v>0</v>
      </c>
      <c r="BD302" s="4">
        <f>I302/(100-BE302)*100</f>
        <v>0</v>
      </c>
      <c r="BE302" s="4">
        <v>0</v>
      </c>
      <c r="BF302" s="4">
        <f>302</f>
        <v>302</v>
      </c>
      <c r="BH302" s="4">
        <f>H302*AO302</f>
        <v>0</v>
      </c>
      <c r="BI302" s="4">
        <f>H302*AP302</f>
        <v>0</v>
      </c>
      <c r="BJ302" s="4">
        <f>H302*I302</f>
        <v>0</v>
      </c>
      <c r="BK302" s="4"/>
      <c r="BL302" s="4">
        <v>771</v>
      </c>
    </row>
    <row r="303" spans="1:64" ht="15" customHeight="1">
      <c r="A303" s="22" t="s">
        <v>754</v>
      </c>
      <c r="B303" s="9" t="s">
        <v>914</v>
      </c>
      <c r="C303" s="53" t="s">
        <v>311</v>
      </c>
      <c r="D303" s="53"/>
      <c r="E303" s="53"/>
      <c r="F303" s="53"/>
      <c r="G303" s="9" t="s">
        <v>891</v>
      </c>
      <c r="H303" s="4">
        <v>28.8</v>
      </c>
      <c r="I303" s="4">
        <v>0</v>
      </c>
      <c r="J303" s="4">
        <f>H303*AO303</f>
        <v>0</v>
      </c>
      <c r="K303" s="4">
        <f>H303*AP303</f>
        <v>0</v>
      </c>
      <c r="L303" s="4">
        <f>H303*I303</f>
        <v>0</v>
      </c>
      <c r="M303" s="17" t="s">
        <v>619</v>
      </c>
      <c r="Z303" s="4">
        <f>IF(AQ303="5",BJ303,0)</f>
        <v>0</v>
      </c>
      <c r="AB303" s="4">
        <f>IF(AQ303="1",BH303,0)</f>
        <v>0</v>
      </c>
      <c r="AC303" s="4">
        <f>IF(AQ303="1",BI303,0)</f>
        <v>0</v>
      </c>
      <c r="AD303" s="4">
        <f>IF(AQ303="7",BH303,0)</f>
        <v>0</v>
      </c>
      <c r="AE303" s="4">
        <f>IF(AQ303="7",BI303,0)</f>
        <v>0</v>
      </c>
      <c r="AF303" s="4">
        <f>IF(AQ303="2",BH303,0)</f>
        <v>0</v>
      </c>
      <c r="AG303" s="4">
        <f>IF(AQ303="2",BI303,0)</f>
        <v>0</v>
      </c>
      <c r="AH303" s="4">
        <f>IF(AQ303="0",BJ303,0)</f>
        <v>0</v>
      </c>
      <c r="AI303" s="30" t="s">
        <v>630</v>
      </c>
      <c r="AJ303" s="4">
        <f>IF(AN303=0,L303,0)</f>
        <v>0</v>
      </c>
      <c r="AK303" s="4">
        <f>IF(AN303=15,L303,0)</f>
        <v>0</v>
      </c>
      <c r="AL303" s="4">
        <f>IF(AN303=21,L303,0)</f>
        <v>0</v>
      </c>
      <c r="AN303" s="4">
        <v>21</v>
      </c>
      <c r="AO303" s="4">
        <f>I303*0.228943560057887</f>
        <v>0</v>
      </c>
      <c r="AP303" s="4">
        <f>I303*(1-0.228943560057887)</f>
        <v>0</v>
      </c>
      <c r="AQ303" s="14" t="s">
        <v>907</v>
      </c>
      <c r="AV303" s="4">
        <f>AW303+AX303</f>
        <v>0</v>
      </c>
      <c r="AW303" s="4">
        <f>H303*AO303</f>
        <v>0</v>
      </c>
      <c r="AX303" s="4">
        <f>H303*AP303</f>
        <v>0</v>
      </c>
      <c r="AY303" s="14" t="s">
        <v>927</v>
      </c>
      <c r="AZ303" s="14" t="s">
        <v>223</v>
      </c>
      <c r="BA303" s="30" t="s">
        <v>694</v>
      </c>
      <c r="BC303" s="4">
        <f>AW303+AX303</f>
        <v>0</v>
      </c>
      <c r="BD303" s="4">
        <f>I303/(100-BE303)*100</f>
        <v>0</v>
      </c>
      <c r="BE303" s="4">
        <v>0</v>
      </c>
      <c r="BF303" s="4">
        <f>303</f>
        <v>303</v>
      </c>
      <c r="BH303" s="4">
        <f>H303*AO303</f>
        <v>0</v>
      </c>
      <c r="BI303" s="4">
        <f>H303*AP303</f>
        <v>0</v>
      </c>
      <c r="BJ303" s="4">
        <f>H303*I303</f>
        <v>0</v>
      </c>
      <c r="BK303" s="4"/>
      <c r="BL303" s="4">
        <v>771</v>
      </c>
    </row>
    <row r="304" spans="1:64" ht="13.5" customHeight="1">
      <c r="A304" s="13"/>
      <c r="B304" s="18" t="s">
        <v>473</v>
      </c>
      <c r="C304" s="54" t="s">
        <v>898</v>
      </c>
      <c r="D304" s="55"/>
      <c r="E304" s="55"/>
      <c r="F304" s="55"/>
      <c r="G304" s="55"/>
      <c r="H304" s="55"/>
      <c r="I304" s="55"/>
      <c r="J304" s="55"/>
      <c r="K304" s="55"/>
      <c r="L304" s="55"/>
      <c r="M304" s="56"/>
    </row>
    <row r="305" spans="1:64" ht="15" customHeight="1">
      <c r="A305" s="22" t="s">
        <v>1006</v>
      </c>
      <c r="B305" s="9" t="s">
        <v>715</v>
      </c>
      <c r="C305" s="53" t="s">
        <v>295</v>
      </c>
      <c r="D305" s="53"/>
      <c r="E305" s="53"/>
      <c r="F305" s="53"/>
      <c r="G305" s="9" t="s">
        <v>891</v>
      </c>
      <c r="H305" s="4">
        <v>31.68</v>
      </c>
      <c r="I305" s="4">
        <v>0</v>
      </c>
      <c r="J305" s="4">
        <f>H305*AO305</f>
        <v>0</v>
      </c>
      <c r="K305" s="4">
        <f>H305*AP305</f>
        <v>0</v>
      </c>
      <c r="L305" s="4">
        <f>H305*I305</f>
        <v>0</v>
      </c>
      <c r="M305" s="17" t="s">
        <v>619</v>
      </c>
      <c r="Z305" s="4">
        <f>IF(AQ305="5",BJ305,0)</f>
        <v>0</v>
      </c>
      <c r="AB305" s="4">
        <f>IF(AQ305="1",BH305,0)</f>
        <v>0</v>
      </c>
      <c r="AC305" s="4">
        <f>IF(AQ305="1",BI305,0)</f>
        <v>0</v>
      </c>
      <c r="AD305" s="4">
        <f>IF(AQ305="7",BH305,0)</f>
        <v>0</v>
      </c>
      <c r="AE305" s="4">
        <f>IF(AQ305="7",BI305,0)</f>
        <v>0</v>
      </c>
      <c r="AF305" s="4">
        <f>IF(AQ305="2",BH305,0)</f>
        <v>0</v>
      </c>
      <c r="AG305" s="4">
        <f>IF(AQ305="2",BI305,0)</f>
        <v>0</v>
      </c>
      <c r="AH305" s="4">
        <f>IF(AQ305="0",BJ305,0)</f>
        <v>0</v>
      </c>
      <c r="AI305" s="30" t="s">
        <v>630</v>
      </c>
      <c r="AJ305" s="4">
        <f>IF(AN305=0,L305,0)</f>
        <v>0</v>
      </c>
      <c r="AK305" s="4">
        <f>IF(AN305=15,L305,0)</f>
        <v>0</v>
      </c>
      <c r="AL305" s="4">
        <f>IF(AN305=21,L305,0)</f>
        <v>0</v>
      </c>
      <c r="AN305" s="4">
        <v>21</v>
      </c>
      <c r="AO305" s="4">
        <f>I305*1</f>
        <v>0</v>
      </c>
      <c r="AP305" s="4">
        <f>I305*(1-1)</f>
        <v>0</v>
      </c>
      <c r="AQ305" s="14" t="s">
        <v>907</v>
      </c>
      <c r="AV305" s="4">
        <f>AW305+AX305</f>
        <v>0</v>
      </c>
      <c r="AW305" s="4">
        <f>H305*AO305</f>
        <v>0</v>
      </c>
      <c r="AX305" s="4">
        <f>H305*AP305</f>
        <v>0</v>
      </c>
      <c r="AY305" s="14" t="s">
        <v>927</v>
      </c>
      <c r="AZ305" s="14" t="s">
        <v>223</v>
      </c>
      <c r="BA305" s="30" t="s">
        <v>694</v>
      </c>
      <c r="BC305" s="4">
        <f>AW305+AX305</f>
        <v>0</v>
      </c>
      <c r="BD305" s="4">
        <f>I305/(100-BE305)*100</f>
        <v>0</v>
      </c>
      <c r="BE305" s="4">
        <v>0</v>
      </c>
      <c r="BF305" s="4">
        <f>305</f>
        <v>305</v>
      </c>
      <c r="BH305" s="4">
        <f>H305*AO305</f>
        <v>0</v>
      </c>
      <c r="BI305" s="4">
        <f>H305*AP305</f>
        <v>0</v>
      </c>
      <c r="BJ305" s="4">
        <f>H305*I305</f>
        <v>0</v>
      </c>
      <c r="BK305" s="4"/>
      <c r="BL305" s="4">
        <v>771</v>
      </c>
    </row>
    <row r="306" spans="1:64" ht="15" customHeight="1">
      <c r="A306" s="22" t="s">
        <v>237</v>
      </c>
      <c r="B306" s="9" t="s">
        <v>210</v>
      </c>
      <c r="C306" s="53" t="s">
        <v>868</v>
      </c>
      <c r="D306" s="53"/>
      <c r="E306" s="53"/>
      <c r="F306" s="53"/>
      <c r="G306" s="9" t="s">
        <v>750</v>
      </c>
      <c r="H306" s="4">
        <v>91.38</v>
      </c>
      <c r="I306" s="4">
        <v>0</v>
      </c>
      <c r="J306" s="4">
        <f>H306*AO306</f>
        <v>0</v>
      </c>
      <c r="K306" s="4">
        <f>H306*AP306</f>
        <v>0</v>
      </c>
      <c r="L306" s="4">
        <f>H306*I306</f>
        <v>0</v>
      </c>
      <c r="M306" s="17" t="s">
        <v>619</v>
      </c>
      <c r="Z306" s="4">
        <f>IF(AQ306="5",BJ306,0)</f>
        <v>0</v>
      </c>
      <c r="AB306" s="4">
        <f>IF(AQ306="1",BH306,0)</f>
        <v>0</v>
      </c>
      <c r="AC306" s="4">
        <f>IF(AQ306="1",BI306,0)</f>
        <v>0</v>
      </c>
      <c r="AD306" s="4">
        <f>IF(AQ306="7",BH306,0)</f>
        <v>0</v>
      </c>
      <c r="AE306" s="4">
        <f>IF(AQ306="7",BI306,0)</f>
        <v>0</v>
      </c>
      <c r="AF306" s="4">
        <f>IF(AQ306="2",BH306,0)</f>
        <v>0</v>
      </c>
      <c r="AG306" s="4">
        <f>IF(AQ306="2",BI306,0)</f>
        <v>0</v>
      </c>
      <c r="AH306" s="4">
        <f>IF(AQ306="0",BJ306,0)</f>
        <v>0</v>
      </c>
      <c r="AI306" s="30" t="s">
        <v>630</v>
      </c>
      <c r="AJ306" s="4">
        <f>IF(AN306=0,L306,0)</f>
        <v>0</v>
      </c>
      <c r="AK306" s="4">
        <f>IF(AN306=15,L306,0)</f>
        <v>0</v>
      </c>
      <c r="AL306" s="4">
        <f>IF(AN306=21,L306,0)</f>
        <v>0</v>
      </c>
      <c r="AN306" s="4">
        <v>21</v>
      </c>
      <c r="AO306" s="4">
        <f>I306*0.551764705882353</f>
        <v>0</v>
      </c>
      <c r="AP306" s="4">
        <f>I306*(1-0.551764705882353)</f>
        <v>0</v>
      </c>
      <c r="AQ306" s="14" t="s">
        <v>907</v>
      </c>
      <c r="AV306" s="4">
        <f>AW306+AX306</f>
        <v>0</v>
      </c>
      <c r="AW306" s="4">
        <f>H306*AO306</f>
        <v>0</v>
      </c>
      <c r="AX306" s="4">
        <f>H306*AP306</f>
        <v>0</v>
      </c>
      <c r="AY306" s="14" t="s">
        <v>927</v>
      </c>
      <c r="AZ306" s="14" t="s">
        <v>223</v>
      </c>
      <c r="BA306" s="30" t="s">
        <v>694</v>
      </c>
      <c r="BC306" s="4">
        <f>AW306+AX306</f>
        <v>0</v>
      </c>
      <c r="BD306" s="4">
        <f>I306/(100-BE306)*100</f>
        <v>0</v>
      </c>
      <c r="BE306" s="4">
        <v>0</v>
      </c>
      <c r="BF306" s="4">
        <f>306</f>
        <v>306</v>
      </c>
      <c r="BH306" s="4">
        <f>H306*AO306</f>
        <v>0</v>
      </c>
      <c r="BI306" s="4">
        <f>H306*AP306</f>
        <v>0</v>
      </c>
      <c r="BJ306" s="4">
        <f>H306*I306</f>
        <v>0</v>
      </c>
      <c r="BK306" s="4"/>
      <c r="BL306" s="4">
        <v>771</v>
      </c>
    </row>
    <row r="307" spans="1:64" ht="15" customHeight="1">
      <c r="A307" s="22" t="s">
        <v>345</v>
      </c>
      <c r="B307" s="9" t="s">
        <v>280</v>
      </c>
      <c r="C307" s="53" t="s">
        <v>849</v>
      </c>
      <c r="D307" s="53"/>
      <c r="E307" s="53"/>
      <c r="F307" s="53"/>
      <c r="G307" s="9" t="s">
        <v>891</v>
      </c>
      <c r="H307" s="4">
        <v>28.8</v>
      </c>
      <c r="I307" s="4">
        <v>0</v>
      </c>
      <c r="J307" s="4">
        <f>H307*AO307</f>
        <v>0</v>
      </c>
      <c r="K307" s="4">
        <f>H307*AP307</f>
        <v>0</v>
      </c>
      <c r="L307" s="4">
        <f>H307*I307</f>
        <v>0</v>
      </c>
      <c r="M307" s="17" t="s">
        <v>619</v>
      </c>
      <c r="Z307" s="4">
        <f>IF(AQ307="5",BJ307,0)</f>
        <v>0</v>
      </c>
      <c r="AB307" s="4">
        <f>IF(AQ307="1",BH307,0)</f>
        <v>0</v>
      </c>
      <c r="AC307" s="4">
        <f>IF(AQ307="1",BI307,0)</f>
        <v>0</v>
      </c>
      <c r="AD307" s="4">
        <f>IF(AQ307="7",BH307,0)</f>
        <v>0</v>
      </c>
      <c r="AE307" s="4">
        <f>IF(AQ307="7",BI307,0)</f>
        <v>0</v>
      </c>
      <c r="AF307" s="4">
        <f>IF(AQ307="2",BH307,0)</f>
        <v>0</v>
      </c>
      <c r="AG307" s="4">
        <f>IF(AQ307="2",BI307,0)</f>
        <v>0</v>
      </c>
      <c r="AH307" s="4">
        <f>IF(AQ307="0",BJ307,0)</f>
        <v>0</v>
      </c>
      <c r="AI307" s="30" t="s">
        <v>630</v>
      </c>
      <c r="AJ307" s="4">
        <f>IF(AN307=0,L307,0)</f>
        <v>0</v>
      </c>
      <c r="AK307" s="4">
        <f>IF(AN307=15,L307,0)</f>
        <v>0</v>
      </c>
      <c r="AL307" s="4">
        <f>IF(AN307=21,L307,0)</f>
        <v>0</v>
      </c>
      <c r="AN307" s="4">
        <v>21</v>
      </c>
      <c r="AO307" s="4">
        <f>I307*1.00004367765888</f>
        <v>0</v>
      </c>
      <c r="AP307" s="4">
        <f>I307*(1-1.00004367765888)</f>
        <v>0</v>
      </c>
      <c r="AQ307" s="14" t="s">
        <v>907</v>
      </c>
      <c r="AV307" s="4">
        <f>AW307+AX307</f>
        <v>0</v>
      </c>
      <c r="AW307" s="4">
        <f>H307*AO307</f>
        <v>0</v>
      </c>
      <c r="AX307" s="4">
        <f>H307*AP307</f>
        <v>0</v>
      </c>
      <c r="AY307" s="14" t="s">
        <v>927</v>
      </c>
      <c r="AZ307" s="14" t="s">
        <v>223</v>
      </c>
      <c r="BA307" s="30" t="s">
        <v>694</v>
      </c>
      <c r="BC307" s="4">
        <f>AW307+AX307</f>
        <v>0</v>
      </c>
      <c r="BD307" s="4">
        <f>I307/(100-BE307)*100</f>
        <v>0</v>
      </c>
      <c r="BE307" s="4">
        <v>0</v>
      </c>
      <c r="BF307" s="4">
        <f>307</f>
        <v>307</v>
      </c>
      <c r="BH307" s="4">
        <f>H307*AO307</f>
        <v>0</v>
      </c>
      <c r="BI307" s="4">
        <f>H307*AP307</f>
        <v>0</v>
      </c>
      <c r="BJ307" s="4">
        <f>H307*I307</f>
        <v>0</v>
      </c>
      <c r="BK307" s="4"/>
      <c r="BL307" s="4">
        <v>771</v>
      </c>
    </row>
    <row r="308" spans="1:64" ht="15" customHeight="1">
      <c r="A308" s="22" t="s">
        <v>320</v>
      </c>
      <c r="B308" s="9" t="s">
        <v>419</v>
      </c>
      <c r="C308" s="53" t="s">
        <v>311</v>
      </c>
      <c r="D308" s="53"/>
      <c r="E308" s="53"/>
      <c r="F308" s="53"/>
      <c r="G308" s="9" t="s">
        <v>891</v>
      </c>
      <c r="H308" s="4">
        <v>141.96</v>
      </c>
      <c r="I308" s="4">
        <v>0</v>
      </c>
      <c r="J308" s="4">
        <f>H308*AO308</f>
        <v>0</v>
      </c>
      <c r="K308" s="4">
        <f>H308*AP308</f>
        <v>0</v>
      </c>
      <c r="L308" s="4">
        <f>H308*I308</f>
        <v>0</v>
      </c>
      <c r="M308" s="17" t="s">
        <v>619</v>
      </c>
      <c r="Z308" s="4">
        <f>IF(AQ308="5",BJ308,0)</f>
        <v>0</v>
      </c>
      <c r="AB308" s="4">
        <f>IF(AQ308="1",BH308,0)</f>
        <v>0</v>
      </c>
      <c r="AC308" s="4">
        <f>IF(AQ308="1",BI308,0)</f>
        <v>0</v>
      </c>
      <c r="AD308" s="4">
        <f>IF(AQ308="7",BH308,0)</f>
        <v>0</v>
      </c>
      <c r="AE308" s="4">
        <f>IF(AQ308="7",BI308,0)</f>
        <v>0</v>
      </c>
      <c r="AF308" s="4">
        <f>IF(AQ308="2",BH308,0)</f>
        <v>0</v>
      </c>
      <c r="AG308" s="4">
        <f>IF(AQ308="2",BI308,0)</f>
        <v>0</v>
      </c>
      <c r="AH308" s="4">
        <f>IF(AQ308="0",BJ308,0)</f>
        <v>0</v>
      </c>
      <c r="AI308" s="30" t="s">
        <v>630</v>
      </c>
      <c r="AJ308" s="4">
        <f>IF(AN308=0,L308,0)</f>
        <v>0</v>
      </c>
      <c r="AK308" s="4">
        <f>IF(AN308=15,L308,0)</f>
        <v>0</v>
      </c>
      <c r="AL308" s="4">
        <f>IF(AN308=21,L308,0)</f>
        <v>0</v>
      </c>
      <c r="AN308" s="4">
        <v>21</v>
      </c>
      <c r="AO308" s="4">
        <f>I308*0.338658385093168</f>
        <v>0</v>
      </c>
      <c r="AP308" s="4">
        <f>I308*(1-0.338658385093168)</f>
        <v>0</v>
      </c>
      <c r="AQ308" s="14" t="s">
        <v>907</v>
      </c>
      <c r="AV308" s="4">
        <f>AW308+AX308</f>
        <v>0</v>
      </c>
      <c r="AW308" s="4">
        <f>H308*AO308</f>
        <v>0</v>
      </c>
      <c r="AX308" s="4">
        <f>H308*AP308</f>
        <v>0</v>
      </c>
      <c r="AY308" s="14" t="s">
        <v>927</v>
      </c>
      <c r="AZ308" s="14" t="s">
        <v>223</v>
      </c>
      <c r="BA308" s="30" t="s">
        <v>694</v>
      </c>
      <c r="BC308" s="4">
        <f>AW308+AX308</f>
        <v>0</v>
      </c>
      <c r="BD308" s="4">
        <f>I308/(100-BE308)*100</f>
        <v>0</v>
      </c>
      <c r="BE308" s="4">
        <v>0</v>
      </c>
      <c r="BF308" s="4">
        <f>308</f>
        <v>308</v>
      </c>
      <c r="BH308" s="4">
        <f>H308*AO308</f>
        <v>0</v>
      </c>
      <c r="BI308" s="4">
        <f>H308*AP308</f>
        <v>0</v>
      </c>
      <c r="BJ308" s="4">
        <f>H308*I308</f>
        <v>0</v>
      </c>
      <c r="BK308" s="4"/>
      <c r="BL308" s="4">
        <v>771</v>
      </c>
    </row>
    <row r="309" spans="1:64" ht="13.5" customHeight="1">
      <c r="A309" s="13"/>
      <c r="B309" s="18" t="s">
        <v>473</v>
      </c>
      <c r="C309" s="54" t="s">
        <v>844</v>
      </c>
      <c r="D309" s="55"/>
      <c r="E309" s="55"/>
      <c r="F309" s="55"/>
      <c r="G309" s="55"/>
      <c r="H309" s="55"/>
      <c r="I309" s="55"/>
      <c r="J309" s="55"/>
      <c r="K309" s="55"/>
      <c r="L309" s="55"/>
      <c r="M309" s="56"/>
    </row>
    <row r="310" spans="1:64" ht="15" customHeight="1">
      <c r="A310" s="22" t="s">
        <v>597</v>
      </c>
      <c r="B310" s="9" t="s">
        <v>996</v>
      </c>
      <c r="C310" s="53" t="s">
        <v>229</v>
      </c>
      <c r="D310" s="53"/>
      <c r="E310" s="53"/>
      <c r="F310" s="53"/>
      <c r="G310" s="9" t="s">
        <v>891</v>
      </c>
      <c r="H310" s="4">
        <v>249.96</v>
      </c>
      <c r="I310" s="4">
        <v>0</v>
      </c>
      <c r="J310" s="4">
        <f>H310*AO310</f>
        <v>0</v>
      </c>
      <c r="K310" s="4">
        <f>H310*AP310</f>
        <v>0</v>
      </c>
      <c r="L310" s="4">
        <f>H310*I310</f>
        <v>0</v>
      </c>
      <c r="M310" s="17" t="s">
        <v>619</v>
      </c>
      <c r="Z310" s="4">
        <f>IF(AQ310="5",BJ310,0)</f>
        <v>0</v>
      </c>
      <c r="AB310" s="4">
        <f>IF(AQ310="1",BH310,0)</f>
        <v>0</v>
      </c>
      <c r="AC310" s="4">
        <f>IF(AQ310="1",BI310,0)</f>
        <v>0</v>
      </c>
      <c r="AD310" s="4">
        <f>IF(AQ310="7",BH310,0)</f>
        <v>0</v>
      </c>
      <c r="AE310" s="4">
        <f>IF(AQ310="7",BI310,0)</f>
        <v>0</v>
      </c>
      <c r="AF310" s="4">
        <f>IF(AQ310="2",BH310,0)</f>
        <v>0</v>
      </c>
      <c r="AG310" s="4">
        <f>IF(AQ310="2",BI310,0)</f>
        <v>0</v>
      </c>
      <c r="AH310" s="4">
        <f>IF(AQ310="0",BJ310,0)</f>
        <v>0</v>
      </c>
      <c r="AI310" s="30" t="s">
        <v>630</v>
      </c>
      <c r="AJ310" s="4">
        <f>IF(AN310=0,L310,0)</f>
        <v>0</v>
      </c>
      <c r="AK310" s="4">
        <f>IF(AN310=15,L310,0)</f>
        <v>0</v>
      </c>
      <c r="AL310" s="4">
        <f>IF(AN310=21,L310,0)</f>
        <v>0</v>
      </c>
      <c r="AN310" s="4">
        <v>21</v>
      </c>
      <c r="AO310" s="4">
        <f>I310*0</f>
        <v>0</v>
      </c>
      <c r="AP310" s="4">
        <f>I310*(1-0)</f>
        <v>0</v>
      </c>
      <c r="AQ310" s="14" t="s">
        <v>907</v>
      </c>
      <c r="AV310" s="4">
        <f>AW310+AX310</f>
        <v>0</v>
      </c>
      <c r="AW310" s="4">
        <f>H310*AO310</f>
        <v>0</v>
      </c>
      <c r="AX310" s="4">
        <f>H310*AP310</f>
        <v>0</v>
      </c>
      <c r="AY310" s="14" t="s">
        <v>927</v>
      </c>
      <c r="AZ310" s="14" t="s">
        <v>223</v>
      </c>
      <c r="BA310" s="30" t="s">
        <v>694</v>
      </c>
      <c r="BC310" s="4">
        <f>AW310+AX310</f>
        <v>0</v>
      </c>
      <c r="BD310" s="4">
        <f>I310/(100-BE310)*100</f>
        <v>0</v>
      </c>
      <c r="BE310" s="4">
        <v>0</v>
      </c>
      <c r="BF310" s="4">
        <f>310</f>
        <v>310</v>
      </c>
      <c r="BH310" s="4">
        <f>H310*AO310</f>
        <v>0</v>
      </c>
      <c r="BI310" s="4">
        <f>H310*AP310</f>
        <v>0</v>
      </c>
      <c r="BJ310" s="4">
        <f>H310*I310</f>
        <v>0</v>
      </c>
      <c r="BK310" s="4"/>
      <c r="BL310" s="4">
        <v>771</v>
      </c>
    </row>
    <row r="311" spans="1:64" ht="15" customHeight="1">
      <c r="A311" s="22" t="s">
        <v>147</v>
      </c>
      <c r="B311" s="9" t="s">
        <v>84</v>
      </c>
      <c r="C311" s="53" t="s">
        <v>410</v>
      </c>
      <c r="D311" s="53"/>
      <c r="E311" s="53"/>
      <c r="F311" s="53"/>
      <c r="G311" s="9" t="s">
        <v>891</v>
      </c>
      <c r="H311" s="4">
        <v>156.15600000000001</v>
      </c>
      <c r="I311" s="4">
        <v>0</v>
      </c>
      <c r="J311" s="4">
        <f>H311*AO311</f>
        <v>0</v>
      </c>
      <c r="K311" s="4">
        <f>H311*AP311</f>
        <v>0</v>
      </c>
      <c r="L311" s="4">
        <f>H311*I311</f>
        <v>0</v>
      </c>
      <c r="M311" s="17" t="s">
        <v>619</v>
      </c>
      <c r="Z311" s="4">
        <f>IF(AQ311="5",BJ311,0)</f>
        <v>0</v>
      </c>
      <c r="AB311" s="4">
        <f>IF(AQ311="1",BH311,0)</f>
        <v>0</v>
      </c>
      <c r="AC311" s="4">
        <f>IF(AQ311="1",BI311,0)</f>
        <v>0</v>
      </c>
      <c r="AD311" s="4">
        <f>IF(AQ311="7",BH311,0)</f>
        <v>0</v>
      </c>
      <c r="AE311" s="4">
        <f>IF(AQ311="7",BI311,0)</f>
        <v>0</v>
      </c>
      <c r="AF311" s="4">
        <f>IF(AQ311="2",BH311,0)</f>
        <v>0</v>
      </c>
      <c r="AG311" s="4">
        <f>IF(AQ311="2",BI311,0)</f>
        <v>0</v>
      </c>
      <c r="AH311" s="4">
        <f>IF(AQ311="0",BJ311,0)</f>
        <v>0</v>
      </c>
      <c r="AI311" s="30" t="s">
        <v>630</v>
      </c>
      <c r="AJ311" s="4">
        <f>IF(AN311=0,L311,0)</f>
        <v>0</v>
      </c>
      <c r="AK311" s="4">
        <f>IF(AN311=15,L311,0)</f>
        <v>0</v>
      </c>
      <c r="AL311" s="4">
        <f>IF(AN311=21,L311,0)</f>
        <v>0</v>
      </c>
      <c r="AN311" s="4">
        <v>21</v>
      </c>
      <c r="AO311" s="4">
        <f>I311*1</f>
        <v>0</v>
      </c>
      <c r="AP311" s="4">
        <f>I311*(1-1)</f>
        <v>0</v>
      </c>
      <c r="AQ311" s="14" t="s">
        <v>907</v>
      </c>
      <c r="AV311" s="4">
        <f>AW311+AX311</f>
        <v>0</v>
      </c>
      <c r="AW311" s="4">
        <f>H311*AO311</f>
        <v>0</v>
      </c>
      <c r="AX311" s="4">
        <f>H311*AP311</f>
        <v>0</v>
      </c>
      <c r="AY311" s="14" t="s">
        <v>927</v>
      </c>
      <c r="AZ311" s="14" t="s">
        <v>223</v>
      </c>
      <c r="BA311" s="30" t="s">
        <v>694</v>
      </c>
      <c r="BC311" s="4">
        <f>AW311+AX311</f>
        <v>0</v>
      </c>
      <c r="BD311" s="4">
        <f>I311/(100-BE311)*100</f>
        <v>0</v>
      </c>
      <c r="BE311" s="4">
        <v>0</v>
      </c>
      <c r="BF311" s="4">
        <f>311</f>
        <v>311</v>
      </c>
      <c r="BH311" s="4">
        <f>H311*AO311</f>
        <v>0</v>
      </c>
      <c r="BI311" s="4">
        <f>H311*AP311</f>
        <v>0</v>
      </c>
      <c r="BJ311" s="4">
        <f>H311*I311</f>
        <v>0</v>
      </c>
      <c r="BK311" s="4"/>
      <c r="BL311" s="4">
        <v>771</v>
      </c>
    </row>
    <row r="312" spans="1:64" ht="15" customHeight="1">
      <c r="A312" s="22" t="s">
        <v>340</v>
      </c>
      <c r="B312" s="9" t="s">
        <v>280</v>
      </c>
      <c r="C312" s="53" t="s">
        <v>849</v>
      </c>
      <c r="D312" s="53"/>
      <c r="E312" s="53"/>
      <c r="F312" s="53"/>
      <c r="G312" s="9" t="s">
        <v>891</v>
      </c>
      <c r="H312" s="4">
        <v>141.96</v>
      </c>
      <c r="I312" s="4">
        <v>0</v>
      </c>
      <c r="J312" s="4">
        <f>H312*AO312</f>
        <v>0</v>
      </c>
      <c r="K312" s="4">
        <f>H312*AP312</f>
        <v>0</v>
      </c>
      <c r="L312" s="4">
        <f>H312*I312</f>
        <v>0</v>
      </c>
      <c r="M312" s="17" t="s">
        <v>619</v>
      </c>
      <c r="Z312" s="4">
        <f>IF(AQ312="5",BJ312,0)</f>
        <v>0</v>
      </c>
      <c r="AB312" s="4">
        <f>IF(AQ312="1",BH312,0)</f>
        <v>0</v>
      </c>
      <c r="AC312" s="4">
        <f>IF(AQ312="1",BI312,0)</f>
        <v>0</v>
      </c>
      <c r="AD312" s="4">
        <f>IF(AQ312="7",BH312,0)</f>
        <v>0</v>
      </c>
      <c r="AE312" s="4">
        <f>IF(AQ312="7",BI312,0)</f>
        <v>0</v>
      </c>
      <c r="AF312" s="4">
        <f>IF(AQ312="2",BH312,0)</f>
        <v>0</v>
      </c>
      <c r="AG312" s="4">
        <f>IF(AQ312="2",BI312,0)</f>
        <v>0</v>
      </c>
      <c r="AH312" s="4">
        <f>IF(AQ312="0",BJ312,0)</f>
        <v>0</v>
      </c>
      <c r="AI312" s="30" t="s">
        <v>630</v>
      </c>
      <c r="AJ312" s="4">
        <f>IF(AN312=0,L312,0)</f>
        <v>0</v>
      </c>
      <c r="AK312" s="4">
        <f>IF(AN312=15,L312,0)</f>
        <v>0</v>
      </c>
      <c r="AL312" s="4">
        <f>IF(AN312=21,L312,0)</f>
        <v>0</v>
      </c>
      <c r="AN312" s="4">
        <v>21</v>
      </c>
      <c r="AO312" s="4">
        <f>I312*0.999984051036683</f>
        <v>0</v>
      </c>
      <c r="AP312" s="4">
        <f>I312*(1-0.999984051036683)</f>
        <v>0</v>
      </c>
      <c r="AQ312" s="14" t="s">
        <v>907</v>
      </c>
      <c r="AV312" s="4">
        <f>AW312+AX312</f>
        <v>0</v>
      </c>
      <c r="AW312" s="4">
        <f>H312*AO312</f>
        <v>0</v>
      </c>
      <c r="AX312" s="4">
        <f>H312*AP312</f>
        <v>0</v>
      </c>
      <c r="AY312" s="14" t="s">
        <v>927</v>
      </c>
      <c r="AZ312" s="14" t="s">
        <v>223</v>
      </c>
      <c r="BA312" s="30" t="s">
        <v>694</v>
      </c>
      <c r="BC312" s="4">
        <f>AW312+AX312</f>
        <v>0</v>
      </c>
      <c r="BD312" s="4">
        <f>I312/(100-BE312)*100</f>
        <v>0</v>
      </c>
      <c r="BE312" s="4">
        <v>0</v>
      </c>
      <c r="BF312" s="4">
        <f>312</f>
        <v>312</v>
      </c>
      <c r="BH312" s="4">
        <f>H312*AO312</f>
        <v>0</v>
      </c>
      <c r="BI312" s="4">
        <f>H312*AP312</f>
        <v>0</v>
      </c>
      <c r="BJ312" s="4">
        <f>H312*I312</f>
        <v>0</v>
      </c>
      <c r="BK312" s="4"/>
      <c r="BL312" s="4">
        <v>771</v>
      </c>
    </row>
    <row r="313" spans="1:64" ht="15" customHeight="1">
      <c r="A313" s="22" t="s">
        <v>755</v>
      </c>
      <c r="B313" s="9" t="s">
        <v>278</v>
      </c>
      <c r="C313" s="53" t="s">
        <v>608</v>
      </c>
      <c r="D313" s="53"/>
      <c r="E313" s="53"/>
      <c r="F313" s="53"/>
      <c r="G313" s="9" t="s">
        <v>891</v>
      </c>
      <c r="H313" s="4">
        <v>7.5</v>
      </c>
      <c r="I313" s="4">
        <v>0</v>
      </c>
      <c r="J313" s="4">
        <f>H313*AO313</f>
        <v>0</v>
      </c>
      <c r="K313" s="4">
        <f>H313*AP313</f>
        <v>0</v>
      </c>
      <c r="L313" s="4">
        <f>H313*I313</f>
        <v>0</v>
      </c>
      <c r="M313" s="17" t="s">
        <v>619</v>
      </c>
      <c r="Z313" s="4">
        <f>IF(AQ313="5",BJ313,0)</f>
        <v>0</v>
      </c>
      <c r="AB313" s="4">
        <f>IF(AQ313="1",BH313,0)</f>
        <v>0</v>
      </c>
      <c r="AC313" s="4">
        <f>IF(AQ313="1",BI313,0)</f>
        <v>0</v>
      </c>
      <c r="AD313" s="4">
        <f>IF(AQ313="7",BH313,0)</f>
        <v>0</v>
      </c>
      <c r="AE313" s="4">
        <f>IF(AQ313="7",BI313,0)</f>
        <v>0</v>
      </c>
      <c r="AF313" s="4">
        <f>IF(AQ313="2",BH313,0)</f>
        <v>0</v>
      </c>
      <c r="AG313" s="4">
        <f>IF(AQ313="2",BI313,0)</f>
        <v>0</v>
      </c>
      <c r="AH313" s="4">
        <f>IF(AQ313="0",BJ313,0)</f>
        <v>0</v>
      </c>
      <c r="AI313" s="30" t="s">
        <v>630</v>
      </c>
      <c r="AJ313" s="4">
        <f>IF(AN313=0,L313,0)</f>
        <v>0</v>
      </c>
      <c r="AK313" s="4">
        <f>IF(AN313=15,L313,0)</f>
        <v>0</v>
      </c>
      <c r="AL313" s="4">
        <f>IF(AN313=21,L313,0)</f>
        <v>0</v>
      </c>
      <c r="AN313" s="4">
        <v>21</v>
      </c>
      <c r="AO313" s="4">
        <f>I313*0</f>
        <v>0</v>
      </c>
      <c r="AP313" s="4">
        <f>I313*(1-0)</f>
        <v>0</v>
      </c>
      <c r="AQ313" s="14" t="s">
        <v>907</v>
      </c>
      <c r="AV313" s="4">
        <f>AW313+AX313</f>
        <v>0</v>
      </c>
      <c r="AW313" s="4">
        <f>H313*AO313</f>
        <v>0</v>
      </c>
      <c r="AX313" s="4">
        <f>H313*AP313</f>
        <v>0</v>
      </c>
      <c r="AY313" s="14" t="s">
        <v>927</v>
      </c>
      <c r="AZ313" s="14" t="s">
        <v>223</v>
      </c>
      <c r="BA313" s="30" t="s">
        <v>694</v>
      </c>
      <c r="BC313" s="4">
        <f>AW313+AX313</f>
        <v>0</v>
      </c>
      <c r="BD313" s="4">
        <f>I313/(100-BE313)*100</f>
        <v>0</v>
      </c>
      <c r="BE313" s="4">
        <v>0</v>
      </c>
      <c r="BF313" s="4">
        <f>313</f>
        <v>313</v>
      </c>
      <c r="BH313" s="4">
        <f>H313*AO313</f>
        <v>0</v>
      </c>
      <c r="BI313" s="4">
        <f>H313*AP313</f>
        <v>0</v>
      </c>
      <c r="BJ313" s="4">
        <f>H313*I313</f>
        <v>0</v>
      </c>
      <c r="BK313" s="4"/>
      <c r="BL313" s="4">
        <v>771</v>
      </c>
    </row>
    <row r="314" spans="1:64" ht="15" customHeight="1">
      <c r="A314" s="22" t="s">
        <v>14</v>
      </c>
      <c r="B314" s="9" t="s">
        <v>286</v>
      </c>
      <c r="C314" s="53" t="s">
        <v>700</v>
      </c>
      <c r="D314" s="53"/>
      <c r="E314" s="53"/>
      <c r="F314" s="53"/>
      <c r="G314" s="9" t="s">
        <v>429</v>
      </c>
      <c r="H314" s="4">
        <v>4.7750000000000004</v>
      </c>
      <c r="I314" s="4">
        <v>0</v>
      </c>
      <c r="J314" s="4">
        <f>H314*AO314</f>
        <v>0</v>
      </c>
      <c r="K314" s="4">
        <f>H314*AP314</f>
        <v>0</v>
      </c>
      <c r="L314" s="4">
        <f>H314*I314</f>
        <v>0</v>
      </c>
      <c r="M314" s="17" t="s">
        <v>619</v>
      </c>
      <c r="Z314" s="4">
        <f>IF(AQ314="5",BJ314,0)</f>
        <v>0</v>
      </c>
      <c r="AB314" s="4">
        <f>IF(AQ314="1",BH314,0)</f>
        <v>0</v>
      </c>
      <c r="AC314" s="4">
        <f>IF(AQ314="1",BI314,0)</f>
        <v>0</v>
      </c>
      <c r="AD314" s="4">
        <f>IF(AQ314="7",BH314,0)</f>
        <v>0</v>
      </c>
      <c r="AE314" s="4">
        <f>IF(AQ314="7",BI314,0)</f>
        <v>0</v>
      </c>
      <c r="AF314" s="4">
        <f>IF(AQ314="2",BH314,0)</f>
        <v>0</v>
      </c>
      <c r="AG314" s="4">
        <f>IF(AQ314="2",BI314,0)</f>
        <v>0</v>
      </c>
      <c r="AH314" s="4">
        <f>IF(AQ314="0",BJ314,0)</f>
        <v>0</v>
      </c>
      <c r="AI314" s="30" t="s">
        <v>630</v>
      </c>
      <c r="AJ314" s="4">
        <f>IF(AN314=0,L314,0)</f>
        <v>0</v>
      </c>
      <c r="AK314" s="4">
        <f>IF(AN314=15,L314,0)</f>
        <v>0</v>
      </c>
      <c r="AL314" s="4">
        <f>IF(AN314=21,L314,0)</f>
        <v>0</v>
      </c>
      <c r="AN314" s="4">
        <v>21</v>
      </c>
      <c r="AO314" s="4">
        <f>I314*0</f>
        <v>0</v>
      </c>
      <c r="AP314" s="4">
        <f>I314*(1-0)</f>
        <v>0</v>
      </c>
      <c r="AQ314" s="14" t="s">
        <v>488</v>
      </c>
      <c r="AV314" s="4">
        <f>AW314+AX314</f>
        <v>0</v>
      </c>
      <c r="AW314" s="4">
        <f>H314*AO314</f>
        <v>0</v>
      </c>
      <c r="AX314" s="4">
        <f>H314*AP314</f>
        <v>0</v>
      </c>
      <c r="AY314" s="14" t="s">
        <v>927</v>
      </c>
      <c r="AZ314" s="14" t="s">
        <v>223</v>
      </c>
      <c r="BA314" s="30" t="s">
        <v>694</v>
      </c>
      <c r="BC314" s="4">
        <f>AW314+AX314</f>
        <v>0</v>
      </c>
      <c r="BD314" s="4">
        <f>I314/(100-BE314)*100</f>
        <v>0</v>
      </c>
      <c r="BE314" s="4">
        <v>0</v>
      </c>
      <c r="BF314" s="4">
        <f>314</f>
        <v>314</v>
      </c>
      <c r="BH314" s="4">
        <f>H314*AO314</f>
        <v>0</v>
      </c>
      <c r="BI314" s="4">
        <f>H314*AP314</f>
        <v>0</v>
      </c>
      <c r="BJ314" s="4">
        <f>H314*I314</f>
        <v>0</v>
      </c>
      <c r="BK314" s="4"/>
      <c r="BL314" s="4">
        <v>771</v>
      </c>
    </row>
    <row r="315" spans="1:64" ht="15" customHeight="1">
      <c r="A315" s="12" t="s">
        <v>630</v>
      </c>
      <c r="B315" s="32" t="s">
        <v>732</v>
      </c>
      <c r="C315" s="61" t="s">
        <v>404</v>
      </c>
      <c r="D315" s="61"/>
      <c r="E315" s="61"/>
      <c r="F315" s="61"/>
      <c r="G315" s="45" t="s">
        <v>839</v>
      </c>
      <c r="H315" s="45" t="s">
        <v>839</v>
      </c>
      <c r="I315" s="45" t="s">
        <v>839</v>
      </c>
      <c r="J315" s="49">
        <f>SUM(J316:J324)</f>
        <v>0</v>
      </c>
      <c r="K315" s="49">
        <f>SUM(K316:K324)</f>
        <v>0</v>
      </c>
      <c r="L315" s="49">
        <f>SUM(L316:L324)</f>
        <v>0</v>
      </c>
      <c r="M315" s="29" t="s">
        <v>630</v>
      </c>
      <c r="AI315" s="30" t="s">
        <v>630</v>
      </c>
      <c r="AS315" s="49">
        <f>SUM(AJ316:AJ324)</f>
        <v>0</v>
      </c>
      <c r="AT315" s="49">
        <f>SUM(AK316:AK324)</f>
        <v>0</v>
      </c>
      <c r="AU315" s="49">
        <f>SUM(AL316:AL324)</f>
        <v>0</v>
      </c>
    </row>
    <row r="316" spans="1:64" ht="15" customHeight="1">
      <c r="A316" s="22" t="s">
        <v>398</v>
      </c>
      <c r="B316" s="9" t="s">
        <v>247</v>
      </c>
      <c r="C316" s="53" t="s">
        <v>508</v>
      </c>
      <c r="D316" s="53"/>
      <c r="E316" s="53"/>
      <c r="F316" s="53"/>
      <c r="G316" s="9" t="s">
        <v>891</v>
      </c>
      <c r="H316" s="4">
        <v>182.773</v>
      </c>
      <c r="I316" s="4">
        <v>0</v>
      </c>
      <c r="J316" s="4">
        <f>H316*AO316</f>
        <v>0</v>
      </c>
      <c r="K316" s="4">
        <f>H316*AP316</f>
        <v>0</v>
      </c>
      <c r="L316" s="4">
        <f>H316*I316</f>
        <v>0</v>
      </c>
      <c r="M316" s="17" t="s">
        <v>619</v>
      </c>
      <c r="Z316" s="4">
        <f>IF(AQ316="5",BJ316,0)</f>
        <v>0</v>
      </c>
      <c r="AB316" s="4">
        <f>IF(AQ316="1",BH316,0)</f>
        <v>0</v>
      </c>
      <c r="AC316" s="4">
        <f>IF(AQ316="1",BI316,0)</f>
        <v>0</v>
      </c>
      <c r="AD316" s="4">
        <f>IF(AQ316="7",BH316,0)</f>
        <v>0</v>
      </c>
      <c r="AE316" s="4">
        <f>IF(AQ316="7",BI316,0)</f>
        <v>0</v>
      </c>
      <c r="AF316" s="4">
        <f>IF(AQ316="2",BH316,0)</f>
        <v>0</v>
      </c>
      <c r="AG316" s="4">
        <f>IF(AQ316="2",BI316,0)</f>
        <v>0</v>
      </c>
      <c r="AH316" s="4">
        <f>IF(AQ316="0",BJ316,0)</f>
        <v>0</v>
      </c>
      <c r="AI316" s="30" t="s">
        <v>630</v>
      </c>
      <c r="AJ316" s="4">
        <f>IF(AN316=0,L316,0)</f>
        <v>0</v>
      </c>
      <c r="AK316" s="4">
        <f>IF(AN316=15,L316,0)</f>
        <v>0</v>
      </c>
      <c r="AL316" s="4">
        <f>IF(AN316=21,L316,0)</f>
        <v>0</v>
      </c>
      <c r="AN316" s="4">
        <v>21</v>
      </c>
      <c r="AO316" s="4">
        <f>I316*0.408351111745601</f>
        <v>0</v>
      </c>
      <c r="AP316" s="4">
        <f>I316*(1-0.408351111745601)</f>
        <v>0</v>
      </c>
      <c r="AQ316" s="14" t="s">
        <v>907</v>
      </c>
      <c r="AV316" s="4">
        <f>AW316+AX316</f>
        <v>0</v>
      </c>
      <c r="AW316" s="4">
        <f>H316*AO316</f>
        <v>0</v>
      </c>
      <c r="AX316" s="4">
        <f>H316*AP316</f>
        <v>0</v>
      </c>
      <c r="AY316" s="14" t="s">
        <v>418</v>
      </c>
      <c r="AZ316" s="14" t="s">
        <v>409</v>
      </c>
      <c r="BA316" s="30" t="s">
        <v>694</v>
      </c>
      <c r="BC316" s="4">
        <f>AW316+AX316</f>
        <v>0</v>
      </c>
      <c r="BD316" s="4">
        <f>I316/(100-BE316)*100</f>
        <v>0</v>
      </c>
      <c r="BE316" s="4">
        <v>0</v>
      </c>
      <c r="BF316" s="4">
        <f>316</f>
        <v>316</v>
      </c>
      <c r="BH316" s="4">
        <f>H316*AO316</f>
        <v>0</v>
      </c>
      <c r="BI316" s="4">
        <f>H316*AP316</f>
        <v>0</v>
      </c>
      <c r="BJ316" s="4">
        <f>H316*I316</f>
        <v>0</v>
      </c>
      <c r="BK316" s="4"/>
      <c r="BL316" s="4">
        <v>781</v>
      </c>
    </row>
    <row r="317" spans="1:64" ht="13.5" customHeight="1">
      <c r="A317" s="13"/>
      <c r="B317" s="18" t="s">
        <v>473</v>
      </c>
      <c r="C317" s="54" t="s">
        <v>392</v>
      </c>
      <c r="D317" s="55"/>
      <c r="E317" s="55"/>
      <c r="F317" s="55"/>
      <c r="G317" s="55"/>
      <c r="H317" s="55"/>
      <c r="I317" s="55"/>
      <c r="J317" s="55"/>
      <c r="K317" s="55"/>
      <c r="L317" s="55"/>
      <c r="M317" s="56"/>
    </row>
    <row r="318" spans="1:64" ht="15" customHeight="1">
      <c r="A318" s="22" t="s">
        <v>29</v>
      </c>
      <c r="B318" s="9" t="s">
        <v>886</v>
      </c>
      <c r="C318" s="53" t="s">
        <v>205</v>
      </c>
      <c r="D318" s="53"/>
      <c r="E318" s="53"/>
      <c r="F318" s="53"/>
      <c r="G318" s="9" t="s">
        <v>891</v>
      </c>
      <c r="H318" s="4">
        <v>182.773</v>
      </c>
      <c r="I318" s="4">
        <v>0</v>
      </c>
      <c r="J318" s="4">
        <f t="shared" ref="J318:J324" si="244">H318*AO318</f>
        <v>0</v>
      </c>
      <c r="K318" s="4">
        <f t="shared" ref="K318:K324" si="245">H318*AP318</f>
        <v>0</v>
      </c>
      <c r="L318" s="4">
        <f t="shared" ref="L318:L324" si="246">H318*I318</f>
        <v>0</v>
      </c>
      <c r="M318" s="17" t="s">
        <v>619</v>
      </c>
      <c r="Z318" s="4">
        <f t="shared" ref="Z318:Z324" si="247">IF(AQ318="5",BJ318,0)</f>
        <v>0</v>
      </c>
      <c r="AB318" s="4">
        <f t="shared" ref="AB318:AB324" si="248">IF(AQ318="1",BH318,0)</f>
        <v>0</v>
      </c>
      <c r="AC318" s="4">
        <f t="shared" ref="AC318:AC324" si="249">IF(AQ318="1",BI318,0)</f>
        <v>0</v>
      </c>
      <c r="AD318" s="4">
        <f t="shared" ref="AD318:AD324" si="250">IF(AQ318="7",BH318,0)</f>
        <v>0</v>
      </c>
      <c r="AE318" s="4">
        <f t="shared" ref="AE318:AE324" si="251">IF(AQ318="7",BI318,0)</f>
        <v>0</v>
      </c>
      <c r="AF318" s="4">
        <f t="shared" ref="AF318:AF324" si="252">IF(AQ318="2",BH318,0)</f>
        <v>0</v>
      </c>
      <c r="AG318" s="4">
        <f t="shared" ref="AG318:AG324" si="253">IF(AQ318="2",BI318,0)</f>
        <v>0</v>
      </c>
      <c r="AH318" s="4">
        <f t="shared" ref="AH318:AH324" si="254">IF(AQ318="0",BJ318,0)</f>
        <v>0</v>
      </c>
      <c r="AI318" s="30" t="s">
        <v>630</v>
      </c>
      <c r="AJ318" s="4">
        <f t="shared" ref="AJ318:AJ324" si="255">IF(AN318=0,L318,0)</f>
        <v>0</v>
      </c>
      <c r="AK318" s="4">
        <f t="shared" ref="AK318:AK324" si="256">IF(AN318=15,L318,0)</f>
        <v>0</v>
      </c>
      <c r="AL318" s="4">
        <f t="shared" ref="AL318:AL324" si="257">IF(AN318=21,L318,0)</f>
        <v>0</v>
      </c>
      <c r="AN318" s="4">
        <v>21</v>
      </c>
      <c r="AO318" s="4">
        <f>I318*0.158201317600552</f>
        <v>0</v>
      </c>
      <c r="AP318" s="4">
        <f>I318*(1-0.158201317600552)</f>
        <v>0</v>
      </c>
      <c r="AQ318" s="14" t="s">
        <v>907</v>
      </c>
      <c r="AV318" s="4">
        <f t="shared" ref="AV318:AV324" si="258">AW318+AX318</f>
        <v>0</v>
      </c>
      <c r="AW318" s="4">
        <f t="shared" ref="AW318:AW324" si="259">H318*AO318</f>
        <v>0</v>
      </c>
      <c r="AX318" s="4">
        <f t="shared" ref="AX318:AX324" si="260">H318*AP318</f>
        <v>0</v>
      </c>
      <c r="AY318" s="14" t="s">
        <v>418</v>
      </c>
      <c r="AZ318" s="14" t="s">
        <v>409</v>
      </c>
      <c r="BA318" s="30" t="s">
        <v>694</v>
      </c>
      <c r="BC318" s="4">
        <f t="shared" ref="BC318:BC324" si="261">AW318+AX318</f>
        <v>0</v>
      </c>
      <c r="BD318" s="4">
        <f t="shared" ref="BD318:BD324" si="262">I318/(100-BE318)*100</f>
        <v>0</v>
      </c>
      <c r="BE318" s="4">
        <v>0</v>
      </c>
      <c r="BF318" s="4">
        <f>318</f>
        <v>318</v>
      </c>
      <c r="BH318" s="4">
        <f t="shared" ref="BH318:BH324" si="263">H318*AO318</f>
        <v>0</v>
      </c>
      <c r="BI318" s="4">
        <f t="shared" ref="BI318:BI324" si="264">H318*AP318</f>
        <v>0</v>
      </c>
      <c r="BJ318" s="4">
        <f t="shared" ref="BJ318:BJ324" si="265">H318*I318</f>
        <v>0</v>
      </c>
      <c r="BK318" s="4"/>
      <c r="BL318" s="4">
        <v>781</v>
      </c>
    </row>
    <row r="319" spans="1:64" ht="15" customHeight="1">
      <c r="A319" s="22" t="s">
        <v>171</v>
      </c>
      <c r="B319" s="9" t="s">
        <v>424</v>
      </c>
      <c r="C319" s="53" t="s">
        <v>812</v>
      </c>
      <c r="D319" s="53"/>
      <c r="E319" s="53"/>
      <c r="F319" s="53"/>
      <c r="G319" s="9" t="s">
        <v>891</v>
      </c>
      <c r="H319" s="4">
        <v>201.05</v>
      </c>
      <c r="I319" s="4">
        <v>0</v>
      </c>
      <c r="J319" s="4">
        <f t="shared" si="244"/>
        <v>0</v>
      </c>
      <c r="K319" s="4">
        <f t="shared" si="245"/>
        <v>0</v>
      </c>
      <c r="L319" s="4">
        <f t="shared" si="246"/>
        <v>0</v>
      </c>
      <c r="M319" s="17" t="s">
        <v>619</v>
      </c>
      <c r="Z319" s="4">
        <f t="shared" si="247"/>
        <v>0</v>
      </c>
      <c r="AB319" s="4">
        <f t="shared" si="248"/>
        <v>0</v>
      </c>
      <c r="AC319" s="4">
        <f t="shared" si="249"/>
        <v>0</v>
      </c>
      <c r="AD319" s="4">
        <f t="shared" si="250"/>
        <v>0</v>
      </c>
      <c r="AE319" s="4">
        <f t="shared" si="251"/>
        <v>0</v>
      </c>
      <c r="AF319" s="4">
        <f t="shared" si="252"/>
        <v>0</v>
      </c>
      <c r="AG319" s="4">
        <f t="shared" si="253"/>
        <v>0</v>
      </c>
      <c r="AH319" s="4">
        <f t="shared" si="254"/>
        <v>0</v>
      </c>
      <c r="AI319" s="30" t="s">
        <v>630</v>
      </c>
      <c r="AJ319" s="4">
        <f t="shared" si="255"/>
        <v>0</v>
      </c>
      <c r="AK319" s="4">
        <f t="shared" si="256"/>
        <v>0</v>
      </c>
      <c r="AL319" s="4">
        <f t="shared" si="257"/>
        <v>0</v>
      </c>
      <c r="AN319" s="4">
        <v>21</v>
      </c>
      <c r="AO319" s="4">
        <f>I319*1</f>
        <v>0</v>
      </c>
      <c r="AP319" s="4">
        <f>I319*(1-1)</f>
        <v>0</v>
      </c>
      <c r="AQ319" s="14" t="s">
        <v>907</v>
      </c>
      <c r="AV319" s="4">
        <f t="shared" si="258"/>
        <v>0</v>
      </c>
      <c r="AW319" s="4">
        <f t="shared" si="259"/>
        <v>0</v>
      </c>
      <c r="AX319" s="4">
        <f t="shared" si="260"/>
        <v>0</v>
      </c>
      <c r="AY319" s="14" t="s">
        <v>418</v>
      </c>
      <c r="AZ319" s="14" t="s">
        <v>409</v>
      </c>
      <c r="BA319" s="30" t="s">
        <v>694</v>
      </c>
      <c r="BC319" s="4">
        <f t="shared" si="261"/>
        <v>0</v>
      </c>
      <c r="BD319" s="4">
        <f t="shared" si="262"/>
        <v>0</v>
      </c>
      <c r="BE319" s="4">
        <v>0</v>
      </c>
      <c r="BF319" s="4">
        <f>319</f>
        <v>319</v>
      </c>
      <c r="BH319" s="4">
        <f t="shared" si="263"/>
        <v>0</v>
      </c>
      <c r="BI319" s="4">
        <f t="shared" si="264"/>
        <v>0</v>
      </c>
      <c r="BJ319" s="4">
        <f t="shared" si="265"/>
        <v>0</v>
      </c>
      <c r="BK319" s="4"/>
      <c r="BL319" s="4">
        <v>781</v>
      </c>
    </row>
    <row r="320" spans="1:64" ht="15" customHeight="1">
      <c r="A320" s="22" t="s">
        <v>213</v>
      </c>
      <c r="B320" s="9" t="s">
        <v>136</v>
      </c>
      <c r="C320" s="53" t="s">
        <v>523</v>
      </c>
      <c r="D320" s="53"/>
      <c r="E320" s="53"/>
      <c r="F320" s="53"/>
      <c r="G320" s="9" t="s">
        <v>891</v>
      </c>
      <c r="H320" s="4">
        <v>182.773</v>
      </c>
      <c r="I320" s="4">
        <v>0</v>
      </c>
      <c r="J320" s="4">
        <f t="shared" si="244"/>
        <v>0</v>
      </c>
      <c r="K320" s="4">
        <f t="shared" si="245"/>
        <v>0</v>
      </c>
      <c r="L320" s="4">
        <f t="shared" si="246"/>
        <v>0</v>
      </c>
      <c r="M320" s="17" t="s">
        <v>619</v>
      </c>
      <c r="Z320" s="4">
        <f t="shared" si="247"/>
        <v>0</v>
      </c>
      <c r="AB320" s="4">
        <f t="shared" si="248"/>
        <v>0</v>
      </c>
      <c r="AC320" s="4">
        <f t="shared" si="249"/>
        <v>0</v>
      </c>
      <c r="AD320" s="4">
        <f t="shared" si="250"/>
        <v>0</v>
      </c>
      <c r="AE320" s="4">
        <f t="shared" si="251"/>
        <v>0</v>
      </c>
      <c r="AF320" s="4">
        <f t="shared" si="252"/>
        <v>0</v>
      </c>
      <c r="AG320" s="4">
        <f t="shared" si="253"/>
        <v>0</v>
      </c>
      <c r="AH320" s="4">
        <f t="shared" si="254"/>
        <v>0</v>
      </c>
      <c r="AI320" s="30" t="s">
        <v>630</v>
      </c>
      <c r="AJ320" s="4">
        <f t="shared" si="255"/>
        <v>0</v>
      </c>
      <c r="AK320" s="4">
        <f t="shared" si="256"/>
        <v>0</v>
      </c>
      <c r="AL320" s="4">
        <f t="shared" si="257"/>
        <v>0</v>
      </c>
      <c r="AN320" s="4">
        <v>21</v>
      </c>
      <c r="AO320" s="4">
        <f>I320*1.00000102904767</f>
        <v>0</v>
      </c>
      <c r="AP320" s="4">
        <f>I320*(1-1.00000102904767)</f>
        <v>0</v>
      </c>
      <c r="AQ320" s="14" t="s">
        <v>907</v>
      </c>
      <c r="AV320" s="4">
        <f t="shared" si="258"/>
        <v>0</v>
      </c>
      <c r="AW320" s="4">
        <f t="shared" si="259"/>
        <v>0</v>
      </c>
      <c r="AX320" s="4">
        <f t="shared" si="260"/>
        <v>0</v>
      </c>
      <c r="AY320" s="14" t="s">
        <v>418</v>
      </c>
      <c r="AZ320" s="14" t="s">
        <v>409</v>
      </c>
      <c r="BA320" s="30" t="s">
        <v>694</v>
      </c>
      <c r="BC320" s="4">
        <f t="shared" si="261"/>
        <v>0</v>
      </c>
      <c r="BD320" s="4">
        <f t="shared" si="262"/>
        <v>0</v>
      </c>
      <c r="BE320" s="4">
        <v>0</v>
      </c>
      <c r="BF320" s="4">
        <f>320</f>
        <v>320</v>
      </c>
      <c r="BH320" s="4">
        <f t="shared" si="263"/>
        <v>0</v>
      </c>
      <c r="BI320" s="4">
        <f t="shared" si="264"/>
        <v>0</v>
      </c>
      <c r="BJ320" s="4">
        <f t="shared" si="265"/>
        <v>0</v>
      </c>
      <c r="BK320" s="4"/>
      <c r="BL320" s="4">
        <v>781</v>
      </c>
    </row>
    <row r="321" spans="1:64" ht="15" customHeight="1">
      <c r="A321" s="22" t="s">
        <v>166</v>
      </c>
      <c r="B321" s="9" t="s">
        <v>806</v>
      </c>
      <c r="C321" s="53" t="s">
        <v>240</v>
      </c>
      <c r="D321" s="53"/>
      <c r="E321" s="53"/>
      <c r="F321" s="53"/>
      <c r="G321" s="9" t="s">
        <v>232</v>
      </c>
      <c r="H321" s="4">
        <v>2</v>
      </c>
      <c r="I321" s="4">
        <v>0</v>
      </c>
      <c r="J321" s="4">
        <f t="shared" si="244"/>
        <v>0</v>
      </c>
      <c r="K321" s="4">
        <f t="shared" si="245"/>
        <v>0</v>
      </c>
      <c r="L321" s="4">
        <f t="shared" si="246"/>
        <v>0</v>
      </c>
      <c r="M321" s="17" t="s">
        <v>619</v>
      </c>
      <c r="Z321" s="4">
        <f t="shared" si="247"/>
        <v>0</v>
      </c>
      <c r="AB321" s="4">
        <f t="shared" si="248"/>
        <v>0</v>
      </c>
      <c r="AC321" s="4">
        <f t="shared" si="249"/>
        <v>0</v>
      </c>
      <c r="AD321" s="4">
        <f t="shared" si="250"/>
        <v>0</v>
      </c>
      <c r="AE321" s="4">
        <f t="shared" si="251"/>
        <v>0</v>
      </c>
      <c r="AF321" s="4">
        <f t="shared" si="252"/>
        <v>0</v>
      </c>
      <c r="AG321" s="4">
        <f t="shared" si="253"/>
        <v>0</v>
      </c>
      <c r="AH321" s="4">
        <f t="shared" si="254"/>
        <v>0</v>
      </c>
      <c r="AI321" s="30" t="s">
        <v>630</v>
      </c>
      <c r="AJ321" s="4">
        <f t="shared" si="255"/>
        <v>0</v>
      </c>
      <c r="AK321" s="4">
        <f t="shared" si="256"/>
        <v>0</v>
      </c>
      <c r="AL321" s="4">
        <f t="shared" si="257"/>
        <v>0</v>
      </c>
      <c r="AN321" s="4">
        <v>21</v>
      </c>
      <c r="AO321" s="4">
        <f>I321*0.0599686028257457</f>
        <v>0</v>
      </c>
      <c r="AP321" s="4">
        <f>I321*(1-0.0599686028257457)</f>
        <v>0</v>
      </c>
      <c r="AQ321" s="14" t="s">
        <v>907</v>
      </c>
      <c r="AV321" s="4">
        <f t="shared" si="258"/>
        <v>0</v>
      </c>
      <c r="AW321" s="4">
        <f t="shared" si="259"/>
        <v>0</v>
      </c>
      <c r="AX321" s="4">
        <f t="shared" si="260"/>
        <v>0</v>
      </c>
      <c r="AY321" s="14" t="s">
        <v>418</v>
      </c>
      <c r="AZ321" s="14" t="s">
        <v>409</v>
      </c>
      <c r="BA321" s="30" t="s">
        <v>694</v>
      </c>
      <c r="BC321" s="4">
        <f t="shared" si="261"/>
        <v>0</v>
      </c>
      <c r="BD321" s="4">
        <f t="shared" si="262"/>
        <v>0</v>
      </c>
      <c r="BE321" s="4">
        <v>0</v>
      </c>
      <c r="BF321" s="4">
        <f>321</f>
        <v>321</v>
      </c>
      <c r="BH321" s="4">
        <f t="shared" si="263"/>
        <v>0</v>
      </c>
      <c r="BI321" s="4">
        <f t="shared" si="264"/>
        <v>0</v>
      </c>
      <c r="BJ321" s="4">
        <f t="shared" si="265"/>
        <v>0</v>
      </c>
      <c r="BK321" s="4"/>
      <c r="BL321" s="4">
        <v>781</v>
      </c>
    </row>
    <row r="322" spans="1:64" ht="15" customHeight="1">
      <c r="A322" s="22" t="s">
        <v>281</v>
      </c>
      <c r="B322" s="9" t="s">
        <v>248</v>
      </c>
      <c r="C322" s="53" t="s">
        <v>458</v>
      </c>
      <c r="D322" s="53"/>
      <c r="E322" s="53"/>
      <c r="F322" s="53"/>
      <c r="G322" s="9" t="s">
        <v>750</v>
      </c>
      <c r="H322" s="4">
        <v>91.4</v>
      </c>
      <c r="I322" s="4">
        <v>0</v>
      </c>
      <c r="J322" s="4">
        <f t="shared" si="244"/>
        <v>0</v>
      </c>
      <c r="K322" s="4">
        <f t="shared" si="245"/>
        <v>0</v>
      </c>
      <c r="L322" s="4">
        <f t="shared" si="246"/>
        <v>0</v>
      </c>
      <c r="M322" s="17" t="s">
        <v>619</v>
      </c>
      <c r="Z322" s="4">
        <f t="shared" si="247"/>
        <v>0</v>
      </c>
      <c r="AB322" s="4">
        <f t="shared" si="248"/>
        <v>0</v>
      </c>
      <c r="AC322" s="4">
        <f t="shared" si="249"/>
        <v>0</v>
      </c>
      <c r="AD322" s="4">
        <f t="shared" si="250"/>
        <v>0</v>
      </c>
      <c r="AE322" s="4">
        <f t="shared" si="251"/>
        <v>0</v>
      </c>
      <c r="AF322" s="4">
        <f t="shared" si="252"/>
        <v>0</v>
      </c>
      <c r="AG322" s="4">
        <f t="shared" si="253"/>
        <v>0</v>
      </c>
      <c r="AH322" s="4">
        <f t="shared" si="254"/>
        <v>0</v>
      </c>
      <c r="AI322" s="30" t="s">
        <v>630</v>
      </c>
      <c r="AJ322" s="4">
        <f t="shared" si="255"/>
        <v>0</v>
      </c>
      <c r="AK322" s="4">
        <f t="shared" si="256"/>
        <v>0</v>
      </c>
      <c r="AL322" s="4">
        <f t="shared" si="257"/>
        <v>0</v>
      </c>
      <c r="AN322" s="4">
        <v>21</v>
      </c>
      <c r="AO322" s="4">
        <f>I322*0.762903811252269</f>
        <v>0</v>
      </c>
      <c r="AP322" s="4">
        <f>I322*(1-0.762903811252269)</f>
        <v>0</v>
      </c>
      <c r="AQ322" s="14" t="s">
        <v>907</v>
      </c>
      <c r="AV322" s="4">
        <f t="shared" si="258"/>
        <v>0</v>
      </c>
      <c r="AW322" s="4">
        <f t="shared" si="259"/>
        <v>0</v>
      </c>
      <c r="AX322" s="4">
        <f t="shared" si="260"/>
        <v>0</v>
      </c>
      <c r="AY322" s="14" t="s">
        <v>418</v>
      </c>
      <c r="AZ322" s="14" t="s">
        <v>409</v>
      </c>
      <c r="BA322" s="30" t="s">
        <v>694</v>
      </c>
      <c r="BC322" s="4">
        <f t="shared" si="261"/>
        <v>0</v>
      </c>
      <c r="BD322" s="4">
        <f t="shared" si="262"/>
        <v>0</v>
      </c>
      <c r="BE322" s="4">
        <v>0</v>
      </c>
      <c r="BF322" s="4">
        <f>322</f>
        <v>322</v>
      </c>
      <c r="BH322" s="4">
        <f t="shared" si="263"/>
        <v>0</v>
      </c>
      <c r="BI322" s="4">
        <f t="shared" si="264"/>
        <v>0</v>
      </c>
      <c r="BJ322" s="4">
        <f t="shared" si="265"/>
        <v>0</v>
      </c>
      <c r="BK322" s="4"/>
      <c r="BL322" s="4">
        <v>781</v>
      </c>
    </row>
    <row r="323" spans="1:64" ht="15" customHeight="1">
      <c r="A323" s="22" t="s">
        <v>472</v>
      </c>
      <c r="B323" s="9" t="s">
        <v>131</v>
      </c>
      <c r="C323" s="53" t="s">
        <v>315</v>
      </c>
      <c r="D323" s="53"/>
      <c r="E323" s="53"/>
      <c r="F323" s="53"/>
      <c r="G323" s="9" t="s">
        <v>750</v>
      </c>
      <c r="H323" s="4">
        <v>9.9</v>
      </c>
      <c r="I323" s="4">
        <v>0</v>
      </c>
      <c r="J323" s="4">
        <f t="shared" si="244"/>
        <v>0</v>
      </c>
      <c r="K323" s="4">
        <f t="shared" si="245"/>
        <v>0</v>
      </c>
      <c r="L323" s="4">
        <f t="shared" si="246"/>
        <v>0</v>
      </c>
      <c r="M323" s="17" t="s">
        <v>619</v>
      </c>
      <c r="Z323" s="4">
        <f t="shared" si="247"/>
        <v>0</v>
      </c>
      <c r="AB323" s="4">
        <f t="shared" si="248"/>
        <v>0</v>
      </c>
      <c r="AC323" s="4">
        <f t="shared" si="249"/>
        <v>0</v>
      </c>
      <c r="AD323" s="4">
        <f t="shared" si="250"/>
        <v>0</v>
      </c>
      <c r="AE323" s="4">
        <f t="shared" si="251"/>
        <v>0</v>
      </c>
      <c r="AF323" s="4">
        <f t="shared" si="252"/>
        <v>0</v>
      </c>
      <c r="AG323" s="4">
        <f t="shared" si="253"/>
        <v>0</v>
      </c>
      <c r="AH323" s="4">
        <f t="shared" si="254"/>
        <v>0</v>
      </c>
      <c r="AI323" s="30" t="s">
        <v>630</v>
      </c>
      <c r="AJ323" s="4">
        <f t="shared" si="255"/>
        <v>0</v>
      </c>
      <c r="AK323" s="4">
        <f t="shared" si="256"/>
        <v>0</v>
      </c>
      <c r="AL323" s="4">
        <f t="shared" si="257"/>
        <v>0</v>
      </c>
      <c r="AN323" s="4">
        <v>21</v>
      </c>
      <c r="AO323" s="4">
        <f>I323*0.405476475967889</f>
        <v>0</v>
      </c>
      <c r="AP323" s="4">
        <f>I323*(1-0.405476475967889)</f>
        <v>0</v>
      </c>
      <c r="AQ323" s="14" t="s">
        <v>907</v>
      </c>
      <c r="AV323" s="4">
        <f t="shared" si="258"/>
        <v>0</v>
      </c>
      <c r="AW323" s="4">
        <f t="shared" si="259"/>
        <v>0</v>
      </c>
      <c r="AX323" s="4">
        <f t="shared" si="260"/>
        <v>0</v>
      </c>
      <c r="AY323" s="14" t="s">
        <v>418</v>
      </c>
      <c r="AZ323" s="14" t="s">
        <v>409</v>
      </c>
      <c r="BA323" s="30" t="s">
        <v>694</v>
      </c>
      <c r="BC323" s="4">
        <f t="shared" si="261"/>
        <v>0</v>
      </c>
      <c r="BD323" s="4">
        <f t="shared" si="262"/>
        <v>0</v>
      </c>
      <c r="BE323" s="4">
        <v>0</v>
      </c>
      <c r="BF323" s="4">
        <f>323</f>
        <v>323</v>
      </c>
      <c r="BH323" s="4">
        <f t="shared" si="263"/>
        <v>0</v>
      </c>
      <c r="BI323" s="4">
        <f t="shared" si="264"/>
        <v>0</v>
      </c>
      <c r="BJ323" s="4">
        <f t="shared" si="265"/>
        <v>0</v>
      </c>
      <c r="BK323" s="4"/>
      <c r="BL323" s="4">
        <v>781</v>
      </c>
    </row>
    <row r="324" spans="1:64" ht="15" customHeight="1">
      <c r="A324" s="22" t="s">
        <v>671</v>
      </c>
      <c r="B324" s="9" t="s">
        <v>41</v>
      </c>
      <c r="C324" s="53" t="s">
        <v>42</v>
      </c>
      <c r="D324" s="53"/>
      <c r="E324" s="53"/>
      <c r="F324" s="53"/>
      <c r="G324" s="9" t="s">
        <v>429</v>
      </c>
      <c r="H324" s="4">
        <v>3.746</v>
      </c>
      <c r="I324" s="4">
        <v>0</v>
      </c>
      <c r="J324" s="4">
        <f t="shared" si="244"/>
        <v>0</v>
      </c>
      <c r="K324" s="4">
        <f t="shared" si="245"/>
        <v>0</v>
      </c>
      <c r="L324" s="4">
        <f t="shared" si="246"/>
        <v>0</v>
      </c>
      <c r="M324" s="17" t="s">
        <v>619</v>
      </c>
      <c r="Z324" s="4">
        <f t="shared" si="247"/>
        <v>0</v>
      </c>
      <c r="AB324" s="4">
        <f t="shared" si="248"/>
        <v>0</v>
      </c>
      <c r="AC324" s="4">
        <f t="shared" si="249"/>
        <v>0</v>
      </c>
      <c r="AD324" s="4">
        <f t="shared" si="250"/>
        <v>0</v>
      </c>
      <c r="AE324" s="4">
        <f t="shared" si="251"/>
        <v>0</v>
      </c>
      <c r="AF324" s="4">
        <f t="shared" si="252"/>
        <v>0</v>
      </c>
      <c r="AG324" s="4">
        <f t="shared" si="253"/>
        <v>0</v>
      </c>
      <c r="AH324" s="4">
        <f t="shared" si="254"/>
        <v>0</v>
      </c>
      <c r="AI324" s="30" t="s">
        <v>630</v>
      </c>
      <c r="AJ324" s="4">
        <f t="shared" si="255"/>
        <v>0</v>
      </c>
      <c r="AK324" s="4">
        <f t="shared" si="256"/>
        <v>0</v>
      </c>
      <c r="AL324" s="4">
        <f t="shared" si="257"/>
        <v>0</v>
      </c>
      <c r="AN324" s="4">
        <v>21</v>
      </c>
      <c r="AO324" s="4">
        <f>I324*0</f>
        <v>0</v>
      </c>
      <c r="AP324" s="4">
        <f>I324*(1-0)</f>
        <v>0</v>
      </c>
      <c r="AQ324" s="14" t="s">
        <v>488</v>
      </c>
      <c r="AV324" s="4">
        <f t="shared" si="258"/>
        <v>0</v>
      </c>
      <c r="AW324" s="4">
        <f t="shared" si="259"/>
        <v>0</v>
      </c>
      <c r="AX324" s="4">
        <f t="shared" si="260"/>
        <v>0</v>
      </c>
      <c r="AY324" s="14" t="s">
        <v>418</v>
      </c>
      <c r="AZ324" s="14" t="s">
        <v>409</v>
      </c>
      <c r="BA324" s="30" t="s">
        <v>694</v>
      </c>
      <c r="BC324" s="4">
        <f t="shared" si="261"/>
        <v>0</v>
      </c>
      <c r="BD324" s="4">
        <f t="shared" si="262"/>
        <v>0</v>
      </c>
      <c r="BE324" s="4">
        <v>0</v>
      </c>
      <c r="BF324" s="4">
        <f>324</f>
        <v>324</v>
      </c>
      <c r="BH324" s="4">
        <f t="shared" si="263"/>
        <v>0</v>
      </c>
      <c r="BI324" s="4">
        <f t="shared" si="264"/>
        <v>0</v>
      </c>
      <c r="BJ324" s="4">
        <f t="shared" si="265"/>
        <v>0</v>
      </c>
      <c r="BK324" s="4"/>
      <c r="BL324" s="4">
        <v>781</v>
      </c>
    </row>
    <row r="325" spans="1:64" ht="15" customHeight="1">
      <c r="A325" s="12" t="s">
        <v>630</v>
      </c>
      <c r="B325" s="32" t="s">
        <v>528</v>
      </c>
      <c r="C325" s="61" t="s">
        <v>721</v>
      </c>
      <c r="D325" s="61"/>
      <c r="E325" s="61"/>
      <c r="F325" s="61"/>
      <c r="G325" s="45" t="s">
        <v>839</v>
      </c>
      <c r="H325" s="45" t="s">
        <v>839</v>
      </c>
      <c r="I325" s="45" t="s">
        <v>839</v>
      </c>
      <c r="J325" s="49">
        <f>SUM(J326:J332)</f>
        <v>0</v>
      </c>
      <c r="K325" s="49">
        <f>SUM(K326:K332)</f>
        <v>0</v>
      </c>
      <c r="L325" s="49">
        <f>SUM(L326:L332)</f>
        <v>0</v>
      </c>
      <c r="M325" s="29" t="s">
        <v>630</v>
      </c>
      <c r="AI325" s="30" t="s">
        <v>630</v>
      </c>
      <c r="AS325" s="49">
        <f>SUM(AJ326:AJ332)</f>
        <v>0</v>
      </c>
      <c r="AT325" s="49">
        <f>SUM(AK326:AK332)</f>
        <v>0</v>
      </c>
      <c r="AU325" s="49">
        <f>SUM(AL326:AL332)</f>
        <v>0</v>
      </c>
    </row>
    <row r="326" spans="1:64" ht="15" customHeight="1">
      <c r="A326" s="22" t="s">
        <v>111</v>
      </c>
      <c r="B326" s="9" t="s">
        <v>318</v>
      </c>
      <c r="C326" s="53" t="s">
        <v>492</v>
      </c>
      <c r="D326" s="53"/>
      <c r="E326" s="53"/>
      <c r="F326" s="53"/>
      <c r="G326" s="9" t="s">
        <v>750</v>
      </c>
      <c r="H326" s="4">
        <v>34</v>
      </c>
      <c r="I326" s="4">
        <v>0</v>
      </c>
      <c r="J326" s="4">
        <f>H326*AO326</f>
        <v>0</v>
      </c>
      <c r="K326" s="4">
        <f>H326*AP326</f>
        <v>0</v>
      </c>
      <c r="L326" s="4">
        <f>H326*I326</f>
        <v>0</v>
      </c>
      <c r="M326" s="17" t="s">
        <v>619</v>
      </c>
      <c r="Z326" s="4">
        <f>IF(AQ326="5",BJ326,0)</f>
        <v>0</v>
      </c>
      <c r="AB326" s="4">
        <f>IF(AQ326="1",BH326,0)</f>
        <v>0</v>
      </c>
      <c r="AC326" s="4">
        <f>IF(AQ326="1",BI326,0)</f>
        <v>0</v>
      </c>
      <c r="AD326" s="4">
        <f>IF(AQ326="7",BH326,0)</f>
        <v>0</v>
      </c>
      <c r="AE326" s="4">
        <f>IF(AQ326="7",BI326,0)</f>
        <v>0</v>
      </c>
      <c r="AF326" s="4">
        <f>IF(AQ326="2",BH326,0)</f>
        <v>0</v>
      </c>
      <c r="AG326" s="4">
        <f>IF(AQ326="2",BI326,0)</f>
        <v>0</v>
      </c>
      <c r="AH326" s="4">
        <f>IF(AQ326="0",BJ326,0)</f>
        <v>0</v>
      </c>
      <c r="AI326" s="30" t="s">
        <v>630</v>
      </c>
      <c r="AJ326" s="4">
        <f>IF(AN326=0,L326,0)</f>
        <v>0</v>
      </c>
      <c r="AK326" s="4">
        <f>IF(AN326=15,L326,0)</f>
        <v>0</v>
      </c>
      <c r="AL326" s="4">
        <f>IF(AN326=21,L326,0)</f>
        <v>0</v>
      </c>
      <c r="AN326" s="4">
        <v>21</v>
      </c>
      <c r="AO326" s="4">
        <f>I326*0.105747126436782</f>
        <v>0</v>
      </c>
      <c r="AP326" s="4">
        <f>I326*(1-0.105747126436782)</f>
        <v>0</v>
      </c>
      <c r="AQ326" s="14" t="s">
        <v>907</v>
      </c>
      <c r="AV326" s="4">
        <f>AW326+AX326</f>
        <v>0</v>
      </c>
      <c r="AW326" s="4">
        <f>H326*AO326</f>
        <v>0</v>
      </c>
      <c r="AX326" s="4">
        <f>H326*AP326</f>
        <v>0</v>
      </c>
      <c r="AY326" s="14" t="s">
        <v>217</v>
      </c>
      <c r="AZ326" s="14" t="s">
        <v>409</v>
      </c>
      <c r="BA326" s="30" t="s">
        <v>694</v>
      </c>
      <c r="BC326" s="4">
        <f>AW326+AX326</f>
        <v>0</v>
      </c>
      <c r="BD326" s="4">
        <f>I326/(100-BE326)*100</f>
        <v>0</v>
      </c>
      <c r="BE326" s="4">
        <v>0</v>
      </c>
      <c r="BF326" s="4">
        <f>326</f>
        <v>326</v>
      </c>
      <c r="BH326" s="4">
        <f>H326*AO326</f>
        <v>0</v>
      </c>
      <c r="BI326" s="4">
        <f>H326*AP326</f>
        <v>0</v>
      </c>
      <c r="BJ326" s="4">
        <f>H326*I326</f>
        <v>0</v>
      </c>
      <c r="BK326" s="4"/>
      <c r="BL326" s="4">
        <v>783</v>
      </c>
    </row>
    <row r="327" spans="1:64" ht="15" customHeight="1">
      <c r="A327" s="22" t="s">
        <v>909</v>
      </c>
      <c r="B327" s="9" t="s">
        <v>861</v>
      </c>
      <c r="C327" s="53" t="s">
        <v>945</v>
      </c>
      <c r="D327" s="53"/>
      <c r="E327" s="53"/>
      <c r="F327" s="53"/>
      <c r="G327" s="9" t="s">
        <v>750</v>
      </c>
      <c r="H327" s="4">
        <v>34</v>
      </c>
      <c r="I327" s="4">
        <v>0</v>
      </c>
      <c r="J327" s="4">
        <f>H327*AO327</f>
        <v>0</v>
      </c>
      <c r="K327" s="4">
        <f>H327*AP327</f>
        <v>0</v>
      </c>
      <c r="L327" s="4">
        <f>H327*I327</f>
        <v>0</v>
      </c>
      <c r="M327" s="17" t="s">
        <v>619</v>
      </c>
      <c r="Z327" s="4">
        <f>IF(AQ327="5",BJ327,0)</f>
        <v>0</v>
      </c>
      <c r="AB327" s="4">
        <f>IF(AQ327="1",BH327,0)</f>
        <v>0</v>
      </c>
      <c r="AC327" s="4">
        <f>IF(AQ327="1",BI327,0)</f>
        <v>0</v>
      </c>
      <c r="AD327" s="4">
        <f>IF(AQ327="7",BH327,0)</f>
        <v>0</v>
      </c>
      <c r="AE327" s="4">
        <f>IF(AQ327="7",BI327,0)</f>
        <v>0</v>
      </c>
      <c r="AF327" s="4">
        <f>IF(AQ327="2",BH327,0)</f>
        <v>0</v>
      </c>
      <c r="AG327" s="4">
        <f>IF(AQ327="2",BI327,0)</f>
        <v>0</v>
      </c>
      <c r="AH327" s="4">
        <f>IF(AQ327="0",BJ327,0)</f>
        <v>0</v>
      </c>
      <c r="AI327" s="30" t="s">
        <v>630</v>
      </c>
      <c r="AJ327" s="4">
        <f>IF(AN327=0,L327,0)</f>
        <v>0</v>
      </c>
      <c r="AK327" s="4">
        <f>IF(AN327=15,L327,0)</f>
        <v>0</v>
      </c>
      <c r="AL327" s="4">
        <f>IF(AN327=21,L327,0)</f>
        <v>0</v>
      </c>
      <c r="AN327" s="4">
        <v>21</v>
      </c>
      <c r="AO327" s="4">
        <f>I327*0.230328867235079</f>
        <v>0</v>
      </c>
      <c r="AP327" s="4">
        <f>I327*(1-0.230328867235079)</f>
        <v>0</v>
      </c>
      <c r="AQ327" s="14" t="s">
        <v>907</v>
      </c>
      <c r="AV327" s="4">
        <f>AW327+AX327</f>
        <v>0</v>
      </c>
      <c r="AW327" s="4">
        <f>H327*AO327</f>
        <v>0</v>
      </c>
      <c r="AX327" s="4">
        <f>H327*AP327</f>
        <v>0</v>
      </c>
      <c r="AY327" s="14" t="s">
        <v>217</v>
      </c>
      <c r="AZ327" s="14" t="s">
        <v>409</v>
      </c>
      <c r="BA327" s="30" t="s">
        <v>694</v>
      </c>
      <c r="BC327" s="4">
        <f>AW327+AX327</f>
        <v>0</v>
      </c>
      <c r="BD327" s="4">
        <f>I327/(100-BE327)*100</f>
        <v>0</v>
      </c>
      <c r="BE327" s="4">
        <v>0</v>
      </c>
      <c r="BF327" s="4">
        <f>327</f>
        <v>327</v>
      </c>
      <c r="BH327" s="4">
        <f>H327*AO327</f>
        <v>0</v>
      </c>
      <c r="BI327" s="4">
        <f>H327*AP327</f>
        <v>0</v>
      </c>
      <c r="BJ327" s="4">
        <f>H327*I327</f>
        <v>0</v>
      </c>
      <c r="BK327" s="4"/>
      <c r="BL327" s="4">
        <v>783</v>
      </c>
    </row>
    <row r="328" spans="1:64" ht="15" customHeight="1">
      <c r="A328" s="22" t="s">
        <v>43</v>
      </c>
      <c r="B328" s="9" t="s">
        <v>355</v>
      </c>
      <c r="C328" s="53" t="s">
        <v>601</v>
      </c>
      <c r="D328" s="53"/>
      <c r="E328" s="53"/>
      <c r="F328" s="53"/>
      <c r="G328" s="9" t="s">
        <v>891</v>
      </c>
      <c r="H328" s="4">
        <v>46.87</v>
      </c>
      <c r="I328" s="4">
        <v>0</v>
      </c>
      <c r="J328" s="4">
        <f>H328*AO328</f>
        <v>0</v>
      </c>
      <c r="K328" s="4">
        <f>H328*AP328</f>
        <v>0</v>
      </c>
      <c r="L328" s="4">
        <f>H328*I328</f>
        <v>0</v>
      </c>
      <c r="M328" s="17" t="s">
        <v>619</v>
      </c>
      <c r="Z328" s="4">
        <f>IF(AQ328="5",BJ328,0)</f>
        <v>0</v>
      </c>
      <c r="AB328" s="4">
        <f>IF(AQ328="1",BH328,0)</f>
        <v>0</v>
      </c>
      <c r="AC328" s="4">
        <f>IF(AQ328="1",BI328,0)</f>
        <v>0</v>
      </c>
      <c r="AD328" s="4">
        <f>IF(AQ328="7",BH328,0)</f>
        <v>0</v>
      </c>
      <c r="AE328" s="4">
        <f>IF(AQ328="7",BI328,0)</f>
        <v>0</v>
      </c>
      <c r="AF328" s="4">
        <f>IF(AQ328="2",BH328,0)</f>
        <v>0</v>
      </c>
      <c r="AG328" s="4">
        <f>IF(AQ328="2",BI328,0)</f>
        <v>0</v>
      </c>
      <c r="AH328" s="4">
        <f>IF(AQ328="0",BJ328,0)</f>
        <v>0</v>
      </c>
      <c r="AI328" s="30" t="s">
        <v>630</v>
      </c>
      <c r="AJ328" s="4">
        <f>IF(AN328=0,L328,0)</f>
        <v>0</v>
      </c>
      <c r="AK328" s="4">
        <f>IF(AN328=15,L328,0)</f>
        <v>0</v>
      </c>
      <c r="AL328" s="4">
        <f>IF(AN328=21,L328,0)</f>
        <v>0</v>
      </c>
      <c r="AN328" s="4">
        <v>21</v>
      </c>
      <c r="AO328" s="4">
        <f>I328*0.141500552760185</f>
        <v>0</v>
      </c>
      <c r="AP328" s="4">
        <f>I328*(1-0.141500552760185)</f>
        <v>0</v>
      </c>
      <c r="AQ328" s="14" t="s">
        <v>907</v>
      </c>
      <c r="AV328" s="4">
        <f>AW328+AX328</f>
        <v>0</v>
      </c>
      <c r="AW328" s="4">
        <f>H328*AO328</f>
        <v>0</v>
      </c>
      <c r="AX328" s="4">
        <f>H328*AP328</f>
        <v>0</v>
      </c>
      <c r="AY328" s="14" t="s">
        <v>217</v>
      </c>
      <c r="AZ328" s="14" t="s">
        <v>409</v>
      </c>
      <c r="BA328" s="30" t="s">
        <v>694</v>
      </c>
      <c r="BC328" s="4">
        <f>AW328+AX328</f>
        <v>0</v>
      </c>
      <c r="BD328" s="4">
        <f>I328/(100-BE328)*100</f>
        <v>0</v>
      </c>
      <c r="BE328" s="4">
        <v>0</v>
      </c>
      <c r="BF328" s="4">
        <f>328</f>
        <v>328</v>
      </c>
      <c r="BH328" s="4">
        <f>H328*AO328</f>
        <v>0</v>
      </c>
      <c r="BI328" s="4">
        <f>H328*AP328</f>
        <v>0</v>
      </c>
      <c r="BJ328" s="4">
        <f>H328*I328</f>
        <v>0</v>
      </c>
      <c r="BK328" s="4"/>
      <c r="BL328" s="4">
        <v>783</v>
      </c>
    </row>
    <row r="329" spans="1:64" ht="13.5" customHeight="1">
      <c r="A329" s="13"/>
      <c r="B329" s="18" t="s">
        <v>473</v>
      </c>
      <c r="C329" s="54" t="s">
        <v>684</v>
      </c>
      <c r="D329" s="55"/>
      <c r="E329" s="55"/>
      <c r="F329" s="55"/>
      <c r="G329" s="55"/>
      <c r="H329" s="55"/>
      <c r="I329" s="55"/>
      <c r="J329" s="55"/>
      <c r="K329" s="55"/>
      <c r="L329" s="55"/>
      <c r="M329" s="56"/>
    </row>
    <row r="330" spans="1:64" ht="15" customHeight="1">
      <c r="A330" s="22" t="s">
        <v>516</v>
      </c>
      <c r="B330" s="9" t="s">
        <v>805</v>
      </c>
      <c r="C330" s="53" t="s">
        <v>706</v>
      </c>
      <c r="D330" s="53"/>
      <c r="E330" s="53"/>
      <c r="F330" s="53"/>
      <c r="G330" s="9" t="s">
        <v>891</v>
      </c>
      <c r="H330" s="4">
        <v>46.87</v>
      </c>
      <c r="I330" s="4">
        <v>0</v>
      </c>
      <c r="J330" s="4">
        <f>H330*AO330</f>
        <v>0</v>
      </c>
      <c r="K330" s="4">
        <f>H330*AP330</f>
        <v>0</v>
      </c>
      <c r="L330" s="4">
        <f>H330*I330</f>
        <v>0</v>
      </c>
      <c r="M330" s="17" t="s">
        <v>619</v>
      </c>
      <c r="Z330" s="4">
        <f>IF(AQ330="5",BJ330,0)</f>
        <v>0</v>
      </c>
      <c r="AB330" s="4">
        <f>IF(AQ330="1",BH330,0)</f>
        <v>0</v>
      </c>
      <c r="AC330" s="4">
        <f>IF(AQ330="1",BI330,0)</f>
        <v>0</v>
      </c>
      <c r="AD330" s="4">
        <f>IF(AQ330="7",BH330,0)</f>
        <v>0</v>
      </c>
      <c r="AE330" s="4">
        <f>IF(AQ330="7",BI330,0)</f>
        <v>0</v>
      </c>
      <c r="AF330" s="4">
        <f>IF(AQ330="2",BH330,0)</f>
        <v>0</v>
      </c>
      <c r="AG330" s="4">
        <f>IF(AQ330="2",BI330,0)</f>
        <v>0</v>
      </c>
      <c r="AH330" s="4">
        <f>IF(AQ330="0",BJ330,0)</f>
        <v>0</v>
      </c>
      <c r="AI330" s="30" t="s">
        <v>630</v>
      </c>
      <c r="AJ330" s="4">
        <f>IF(AN330=0,L330,0)</f>
        <v>0</v>
      </c>
      <c r="AK330" s="4">
        <f>IF(AN330=15,L330,0)</f>
        <v>0</v>
      </c>
      <c r="AL330" s="4">
        <f>IF(AN330=21,L330,0)</f>
        <v>0</v>
      </c>
      <c r="AN330" s="4">
        <v>21</v>
      </c>
      <c r="AO330" s="4">
        <f>I330*0.457321575810094</f>
        <v>0</v>
      </c>
      <c r="AP330" s="4">
        <f>I330*(1-0.457321575810094)</f>
        <v>0</v>
      </c>
      <c r="AQ330" s="14" t="s">
        <v>907</v>
      </c>
      <c r="AV330" s="4">
        <f>AW330+AX330</f>
        <v>0</v>
      </c>
      <c r="AW330" s="4">
        <f>H330*AO330</f>
        <v>0</v>
      </c>
      <c r="AX330" s="4">
        <f>H330*AP330</f>
        <v>0</v>
      </c>
      <c r="AY330" s="14" t="s">
        <v>217</v>
      </c>
      <c r="AZ330" s="14" t="s">
        <v>409</v>
      </c>
      <c r="BA330" s="30" t="s">
        <v>694</v>
      </c>
      <c r="BC330" s="4">
        <f>AW330+AX330</f>
        <v>0</v>
      </c>
      <c r="BD330" s="4">
        <f>I330/(100-BE330)*100</f>
        <v>0</v>
      </c>
      <c r="BE330" s="4">
        <v>0</v>
      </c>
      <c r="BF330" s="4">
        <f>330</f>
        <v>330</v>
      </c>
      <c r="BH330" s="4">
        <f>H330*AO330</f>
        <v>0</v>
      </c>
      <c r="BI330" s="4">
        <f>H330*AP330</f>
        <v>0</v>
      </c>
      <c r="BJ330" s="4">
        <f>H330*I330</f>
        <v>0</v>
      </c>
      <c r="BK330" s="4"/>
      <c r="BL330" s="4">
        <v>783</v>
      </c>
    </row>
    <row r="331" spans="1:64" ht="15" customHeight="1">
      <c r="A331" s="22" t="s">
        <v>981</v>
      </c>
      <c r="B331" s="9" t="s">
        <v>618</v>
      </c>
      <c r="C331" s="53" t="s">
        <v>559</v>
      </c>
      <c r="D331" s="53"/>
      <c r="E331" s="53"/>
      <c r="F331" s="53"/>
      <c r="G331" s="9" t="s">
        <v>750</v>
      </c>
      <c r="H331" s="4">
        <v>20</v>
      </c>
      <c r="I331" s="4">
        <v>0</v>
      </c>
      <c r="J331" s="4">
        <f>H331*AO331</f>
        <v>0</v>
      </c>
      <c r="K331" s="4">
        <f>H331*AP331</f>
        <v>0</v>
      </c>
      <c r="L331" s="4">
        <f>H331*I331</f>
        <v>0</v>
      </c>
      <c r="M331" s="17" t="s">
        <v>619</v>
      </c>
      <c r="Z331" s="4">
        <f>IF(AQ331="5",BJ331,0)</f>
        <v>0</v>
      </c>
      <c r="AB331" s="4">
        <f>IF(AQ331="1",BH331,0)</f>
        <v>0</v>
      </c>
      <c r="AC331" s="4">
        <f>IF(AQ331="1",BI331,0)</f>
        <v>0</v>
      </c>
      <c r="AD331" s="4">
        <f>IF(AQ331="7",BH331,0)</f>
        <v>0</v>
      </c>
      <c r="AE331" s="4">
        <f>IF(AQ331="7",BI331,0)</f>
        <v>0</v>
      </c>
      <c r="AF331" s="4">
        <f>IF(AQ331="2",BH331,0)</f>
        <v>0</v>
      </c>
      <c r="AG331" s="4">
        <f>IF(AQ331="2",BI331,0)</f>
        <v>0</v>
      </c>
      <c r="AH331" s="4">
        <f>IF(AQ331="0",BJ331,0)</f>
        <v>0</v>
      </c>
      <c r="AI331" s="30" t="s">
        <v>630</v>
      </c>
      <c r="AJ331" s="4">
        <f>IF(AN331=0,L331,0)</f>
        <v>0</v>
      </c>
      <c r="AK331" s="4">
        <f>IF(AN331=15,L331,0)</f>
        <v>0</v>
      </c>
      <c r="AL331" s="4">
        <f>IF(AN331=21,L331,0)</f>
        <v>0</v>
      </c>
      <c r="AN331" s="4">
        <v>21</v>
      </c>
      <c r="AO331" s="4">
        <f>I331*0.0808435852372584</f>
        <v>0</v>
      </c>
      <c r="AP331" s="4">
        <f>I331*(1-0.0808435852372584)</f>
        <v>0</v>
      </c>
      <c r="AQ331" s="14" t="s">
        <v>907</v>
      </c>
      <c r="AV331" s="4">
        <f>AW331+AX331</f>
        <v>0</v>
      </c>
      <c r="AW331" s="4">
        <f>H331*AO331</f>
        <v>0</v>
      </c>
      <c r="AX331" s="4">
        <f>H331*AP331</f>
        <v>0</v>
      </c>
      <c r="AY331" s="14" t="s">
        <v>217</v>
      </c>
      <c r="AZ331" s="14" t="s">
        <v>409</v>
      </c>
      <c r="BA331" s="30" t="s">
        <v>694</v>
      </c>
      <c r="BC331" s="4">
        <f>AW331+AX331</f>
        <v>0</v>
      </c>
      <c r="BD331" s="4">
        <f>I331/(100-BE331)*100</f>
        <v>0</v>
      </c>
      <c r="BE331" s="4">
        <v>0</v>
      </c>
      <c r="BF331" s="4">
        <f>331</f>
        <v>331</v>
      </c>
      <c r="BH331" s="4">
        <f>H331*AO331</f>
        <v>0</v>
      </c>
      <c r="BI331" s="4">
        <f>H331*AP331</f>
        <v>0</v>
      </c>
      <c r="BJ331" s="4">
        <f>H331*I331</f>
        <v>0</v>
      </c>
      <c r="BK331" s="4"/>
      <c r="BL331" s="4">
        <v>783</v>
      </c>
    </row>
    <row r="332" spans="1:64" ht="15" customHeight="1">
      <c r="A332" s="22" t="s">
        <v>762</v>
      </c>
      <c r="B332" s="9" t="s">
        <v>363</v>
      </c>
      <c r="C332" s="53" t="s">
        <v>783</v>
      </c>
      <c r="D332" s="53"/>
      <c r="E332" s="53"/>
      <c r="F332" s="53"/>
      <c r="G332" s="9" t="s">
        <v>750</v>
      </c>
      <c r="H332" s="4">
        <v>20</v>
      </c>
      <c r="I332" s="4">
        <v>0</v>
      </c>
      <c r="J332" s="4">
        <f>H332*AO332</f>
        <v>0</v>
      </c>
      <c r="K332" s="4">
        <f>H332*AP332</f>
        <v>0</v>
      </c>
      <c r="L332" s="4">
        <f>H332*I332</f>
        <v>0</v>
      </c>
      <c r="M332" s="17" t="s">
        <v>619</v>
      </c>
      <c r="Z332" s="4">
        <f>IF(AQ332="5",BJ332,0)</f>
        <v>0</v>
      </c>
      <c r="AB332" s="4">
        <f>IF(AQ332="1",BH332,0)</f>
        <v>0</v>
      </c>
      <c r="AC332" s="4">
        <f>IF(AQ332="1",BI332,0)</f>
        <v>0</v>
      </c>
      <c r="AD332" s="4">
        <f>IF(AQ332="7",BH332,0)</f>
        <v>0</v>
      </c>
      <c r="AE332" s="4">
        <f>IF(AQ332="7",BI332,0)</f>
        <v>0</v>
      </c>
      <c r="AF332" s="4">
        <f>IF(AQ332="2",BH332,0)</f>
        <v>0</v>
      </c>
      <c r="AG332" s="4">
        <f>IF(AQ332="2",BI332,0)</f>
        <v>0</v>
      </c>
      <c r="AH332" s="4">
        <f>IF(AQ332="0",BJ332,0)</f>
        <v>0</v>
      </c>
      <c r="AI332" s="30" t="s">
        <v>630</v>
      </c>
      <c r="AJ332" s="4">
        <f>IF(AN332=0,L332,0)</f>
        <v>0</v>
      </c>
      <c r="AK332" s="4">
        <f>IF(AN332=15,L332,0)</f>
        <v>0</v>
      </c>
      <c r="AL332" s="4">
        <f>IF(AN332=21,L332,0)</f>
        <v>0</v>
      </c>
      <c r="AN332" s="4">
        <v>21</v>
      </c>
      <c r="AO332" s="4">
        <f>I332*0.245666235446313</f>
        <v>0</v>
      </c>
      <c r="AP332" s="4">
        <f>I332*(1-0.245666235446313)</f>
        <v>0</v>
      </c>
      <c r="AQ332" s="14" t="s">
        <v>907</v>
      </c>
      <c r="AV332" s="4">
        <f>AW332+AX332</f>
        <v>0</v>
      </c>
      <c r="AW332" s="4">
        <f>H332*AO332</f>
        <v>0</v>
      </c>
      <c r="AX332" s="4">
        <f>H332*AP332</f>
        <v>0</v>
      </c>
      <c r="AY332" s="14" t="s">
        <v>217</v>
      </c>
      <c r="AZ332" s="14" t="s">
        <v>409</v>
      </c>
      <c r="BA332" s="30" t="s">
        <v>694</v>
      </c>
      <c r="BC332" s="4">
        <f>AW332+AX332</f>
        <v>0</v>
      </c>
      <c r="BD332" s="4">
        <f>I332/(100-BE332)*100</f>
        <v>0</v>
      </c>
      <c r="BE332" s="4">
        <v>0</v>
      </c>
      <c r="BF332" s="4">
        <f>332</f>
        <v>332</v>
      </c>
      <c r="BH332" s="4">
        <f>H332*AO332</f>
        <v>0</v>
      </c>
      <c r="BI332" s="4">
        <f>H332*AP332</f>
        <v>0</v>
      </c>
      <c r="BJ332" s="4">
        <f>H332*I332</f>
        <v>0</v>
      </c>
      <c r="BK332" s="4"/>
      <c r="BL332" s="4">
        <v>783</v>
      </c>
    </row>
    <row r="333" spans="1:64" ht="15" customHeight="1">
      <c r="A333" s="12" t="s">
        <v>630</v>
      </c>
      <c r="B333" s="32" t="s">
        <v>513</v>
      </c>
      <c r="C333" s="61" t="s">
        <v>16</v>
      </c>
      <c r="D333" s="61"/>
      <c r="E333" s="61"/>
      <c r="F333" s="61"/>
      <c r="G333" s="45" t="s">
        <v>839</v>
      </c>
      <c r="H333" s="45" t="s">
        <v>839</v>
      </c>
      <c r="I333" s="45" t="s">
        <v>839</v>
      </c>
      <c r="J333" s="49">
        <f>SUM(J334:J336)</f>
        <v>0</v>
      </c>
      <c r="K333" s="49">
        <f>SUM(K334:K336)</f>
        <v>0</v>
      </c>
      <c r="L333" s="49">
        <f>SUM(L334:L336)</f>
        <v>0</v>
      </c>
      <c r="M333" s="29" t="s">
        <v>630</v>
      </c>
      <c r="AI333" s="30" t="s">
        <v>630</v>
      </c>
      <c r="AS333" s="49">
        <f>SUM(AJ334:AJ336)</f>
        <v>0</v>
      </c>
      <c r="AT333" s="49">
        <f>SUM(AK334:AK336)</f>
        <v>0</v>
      </c>
      <c r="AU333" s="49">
        <f>SUM(AL334:AL336)</f>
        <v>0</v>
      </c>
    </row>
    <row r="334" spans="1:64" ht="15" customHeight="1">
      <c r="A334" s="22" t="s">
        <v>589</v>
      </c>
      <c r="B334" s="9" t="s">
        <v>304</v>
      </c>
      <c r="C334" s="53" t="s">
        <v>110</v>
      </c>
      <c r="D334" s="53"/>
      <c r="E334" s="53"/>
      <c r="F334" s="53"/>
      <c r="G334" s="9" t="s">
        <v>891</v>
      </c>
      <c r="H334" s="4">
        <v>784.77</v>
      </c>
      <c r="I334" s="4">
        <v>0</v>
      </c>
      <c r="J334" s="4">
        <f>H334*AO334</f>
        <v>0</v>
      </c>
      <c r="K334" s="4">
        <f>H334*AP334</f>
        <v>0</v>
      </c>
      <c r="L334" s="4">
        <f>H334*I334</f>
        <v>0</v>
      </c>
      <c r="M334" s="17" t="s">
        <v>619</v>
      </c>
      <c r="Z334" s="4">
        <f>IF(AQ334="5",BJ334,0)</f>
        <v>0</v>
      </c>
      <c r="AB334" s="4">
        <f>IF(AQ334="1",BH334,0)</f>
        <v>0</v>
      </c>
      <c r="AC334" s="4">
        <f>IF(AQ334="1",BI334,0)</f>
        <v>0</v>
      </c>
      <c r="AD334" s="4">
        <f>IF(AQ334="7",BH334,0)</f>
        <v>0</v>
      </c>
      <c r="AE334" s="4">
        <f>IF(AQ334="7",BI334,0)</f>
        <v>0</v>
      </c>
      <c r="AF334" s="4">
        <f>IF(AQ334="2",BH334,0)</f>
        <v>0</v>
      </c>
      <c r="AG334" s="4">
        <f>IF(AQ334="2",BI334,0)</f>
        <v>0</v>
      </c>
      <c r="AH334" s="4">
        <f>IF(AQ334="0",BJ334,0)</f>
        <v>0</v>
      </c>
      <c r="AI334" s="30" t="s">
        <v>630</v>
      </c>
      <c r="AJ334" s="4">
        <f>IF(AN334=0,L334,0)</f>
        <v>0</v>
      </c>
      <c r="AK334" s="4">
        <f>IF(AN334=15,L334,0)</f>
        <v>0</v>
      </c>
      <c r="AL334" s="4">
        <f>IF(AN334=21,L334,0)</f>
        <v>0</v>
      </c>
      <c r="AN334" s="4">
        <v>21</v>
      </c>
      <c r="AO334" s="4">
        <f>I334*0.240343886552439</f>
        <v>0</v>
      </c>
      <c r="AP334" s="4">
        <f>I334*(1-0.240343886552439)</f>
        <v>0</v>
      </c>
      <c r="AQ334" s="14" t="s">
        <v>907</v>
      </c>
      <c r="AV334" s="4">
        <f>AW334+AX334</f>
        <v>0</v>
      </c>
      <c r="AW334" s="4">
        <f>H334*AO334</f>
        <v>0</v>
      </c>
      <c r="AX334" s="4">
        <f>H334*AP334</f>
        <v>0</v>
      </c>
      <c r="AY334" s="14" t="s">
        <v>799</v>
      </c>
      <c r="AZ334" s="14" t="s">
        <v>409</v>
      </c>
      <c r="BA334" s="30" t="s">
        <v>694</v>
      </c>
      <c r="BC334" s="4">
        <f>AW334+AX334</f>
        <v>0</v>
      </c>
      <c r="BD334" s="4">
        <f>I334/(100-BE334)*100</f>
        <v>0</v>
      </c>
      <c r="BE334" s="4">
        <v>0</v>
      </c>
      <c r="BF334" s="4">
        <f>334</f>
        <v>334</v>
      </c>
      <c r="BH334" s="4">
        <f>H334*AO334</f>
        <v>0</v>
      </c>
      <c r="BI334" s="4">
        <f>H334*AP334</f>
        <v>0</v>
      </c>
      <c r="BJ334" s="4">
        <f>H334*I334</f>
        <v>0</v>
      </c>
      <c r="BK334" s="4"/>
      <c r="BL334" s="4">
        <v>784</v>
      </c>
    </row>
    <row r="335" spans="1:64" ht="15" customHeight="1">
      <c r="A335" s="22" t="s">
        <v>143</v>
      </c>
      <c r="B335" s="9" t="s">
        <v>990</v>
      </c>
      <c r="C335" s="53" t="s">
        <v>770</v>
      </c>
      <c r="D335" s="53"/>
      <c r="E335" s="53"/>
      <c r="F335" s="53"/>
      <c r="G335" s="9" t="s">
        <v>891</v>
      </c>
      <c r="H335" s="4">
        <v>784.77</v>
      </c>
      <c r="I335" s="4">
        <v>0</v>
      </c>
      <c r="J335" s="4">
        <f>H335*AO335</f>
        <v>0</v>
      </c>
      <c r="K335" s="4">
        <f>H335*AP335</f>
        <v>0</v>
      </c>
      <c r="L335" s="4">
        <f>H335*I335</f>
        <v>0</v>
      </c>
      <c r="M335" s="17" t="s">
        <v>619</v>
      </c>
      <c r="Z335" s="4">
        <f>IF(AQ335="5",BJ335,0)</f>
        <v>0</v>
      </c>
      <c r="AB335" s="4">
        <f>IF(AQ335="1",BH335,0)</f>
        <v>0</v>
      </c>
      <c r="AC335" s="4">
        <f>IF(AQ335="1",BI335,0)</f>
        <v>0</v>
      </c>
      <c r="AD335" s="4">
        <f>IF(AQ335="7",BH335,0)</f>
        <v>0</v>
      </c>
      <c r="AE335" s="4">
        <f>IF(AQ335="7",BI335,0)</f>
        <v>0</v>
      </c>
      <c r="AF335" s="4">
        <f>IF(AQ335="2",BH335,0)</f>
        <v>0</v>
      </c>
      <c r="AG335" s="4">
        <f>IF(AQ335="2",BI335,0)</f>
        <v>0</v>
      </c>
      <c r="AH335" s="4">
        <f>IF(AQ335="0",BJ335,0)</f>
        <v>0</v>
      </c>
      <c r="AI335" s="30" t="s">
        <v>630</v>
      </c>
      <c r="AJ335" s="4">
        <f>IF(AN335=0,L335,0)</f>
        <v>0</v>
      </c>
      <c r="AK335" s="4">
        <f>IF(AN335=15,L335,0)</f>
        <v>0</v>
      </c>
      <c r="AL335" s="4">
        <f>IF(AN335=21,L335,0)</f>
        <v>0</v>
      </c>
      <c r="AN335" s="4">
        <v>21</v>
      </c>
      <c r="AO335" s="4">
        <f>I335*0.107877800244608</f>
        <v>0</v>
      </c>
      <c r="AP335" s="4">
        <f>I335*(1-0.107877800244608)</f>
        <v>0</v>
      </c>
      <c r="AQ335" s="14" t="s">
        <v>907</v>
      </c>
      <c r="AV335" s="4">
        <f>AW335+AX335</f>
        <v>0</v>
      </c>
      <c r="AW335" s="4">
        <f>H335*AO335</f>
        <v>0</v>
      </c>
      <c r="AX335" s="4">
        <f>H335*AP335</f>
        <v>0</v>
      </c>
      <c r="AY335" s="14" t="s">
        <v>799</v>
      </c>
      <c r="AZ335" s="14" t="s">
        <v>409</v>
      </c>
      <c r="BA335" s="30" t="s">
        <v>694</v>
      </c>
      <c r="BC335" s="4">
        <f>AW335+AX335</f>
        <v>0</v>
      </c>
      <c r="BD335" s="4">
        <f>I335/(100-BE335)*100</f>
        <v>0</v>
      </c>
      <c r="BE335" s="4">
        <v>0</v>
      </c>
      <c r="BF335" s="4">
        <f>335</f>
        <v>335</v>
      </c>
      <c r="BH335" s="4">
        <f>H335*AO335</f>
        <v>0</v>
      </c>
      <c r="BI335" s="4">
        <f>H335*AP335</f>
        <v>0</v>
      </c>
      <c r="BJ335" s="4">
        <f>H335*I335</f>
        <v>0</v>
      </c>
      <c r="BK335" s="4"/>
      <c r="BL335" s="4">
        <v>784</v>
      </c>
    </row>
    <row r="336" spans="1:64" ht="15" customHeight="1">
      <c r="A336" s="22" t="s">
        <v>444</v>
      </c>
      <c r="B336" s="9" t="s">
        <v>204</v>
      </c>
      <c r="C336" s="53" t="s">
        <v>271</v>
      </c>
      <c r="D336" s="53"/>
      <c r="E336" s="53"/>
      <c r="F336" s="53"/>
      <c r="G336" s="9" t="s">
        <v>891</v>
      </c>
      <c r="H336" s="4">
        <v>105.548</v>
      </c>
      <c r="I336" s="4">
        <v>0</v>
      </c>
      <c r="J336" s="4">
        <f>H336*AO336</f>
        <v>0</v>
      </c>
      <c r="K336" s="4">
        <f>H336*AP336</f>
        <v>0</v>
      </c>
      <c r="L336" s="4">
        <f>H336*I336</f>
        <v>0</v>
      </c>
      <c r="M336" s="17" t="s">
        <v>619</v>
      </c>
      <c r="Z336" s="4">
        <f>IF(AQ336="5",BJ336,0)</f>
        <v>0</v>
      </c>
      <c r="AB336" s="4">
        <f>IF(AQ336="1",BH336,0)</f>
        <v>0</v>
      </c>
      <c r="AC336" s="4">
        <f>IF(AQ336="1",BI336,0)</f>
        <v>0</v>
      </c>
      <c r="AD336" s="4">
        <f>IF(AQ336="7",BH336,0)</f>
        <v>0</v>
      </c>
      <c r="AE336" s="4">
        <f>IF(AQ336="7",BI336,0)</f>
        <v>0</v>
      </c>
      <c r="AF336" s="4">
        <f>IF(AQ336="2",BH336,0)</f>
        <v>0</v>
      </c>
      <c r="AG336" s="4">
        <f>IF(AQ336="2",BI336,0)</f>
        <v>0</v>
      </c>
      <c r="AH336" s="4">
        <f>IF(AQ336="0",BJ336,0)</f>
        <v>0</v>
      </c>
      <c r="AI336" s="30" t="s">
        <v>630</v>
      </c>
      <c r="AJ336" s="4">
        <f>IF(AN336=0,L336,0)</f>
        <v>0</v>
      </c>
      <c r="AK336" s="4">
        <f>IF(AN336=15,L336,0)</f>
        <v>0</v>
      </c>
      <c r="AL336" s="4">
        <f>IF(AN336=21,L336,0)</f>
        <v>0</v>
      </c>
      <c r="AN336" s="4">
        <v>21</v>
      </c>
      <c r="AO336" s="4">
        <f>I336*0.0706859109068024</f>
        <v>0</v>
      </c>
      <c r="AP336" s="4">
        <f>I336*(1-0.0706859109068024)</f>
        <v>0</v>
      </c>
      <c r="AQ336" s="14" t="s">
        <v>907</v>
      </c>
      <c r="AV336" s="4">
        <f>AW336+AX336</f>
        <v>0</v>
      </c>
      <c r="AW336" s="4">
        <f>H336*AO336</f>
        <v>0</v>
      </c>
      <c r="AX336" s="4">
        <f>H336*AP336</f>
        <v>0</v>
      </c>
      <c r="AY336" s="14" t="s">
        <v>799</v>
      </c>
      <c r="AZ336" s="14" t="s">
        <v>409</v>
      </c>
      <c r="BA336" s="30" t="s">
        <v>694</v>
      </c>
      <c r="BC336" s="4">
        <f>AW336+AX336</f>
        <v>0</v>
      </c>
      <c r="BD336" s="4">
        <f>I336/(100-BE336)*100</f>
        <v>0</v>
      </c>
      <c r="BE336" s="4">
        <v>0</v>
      </c>
      <c r="BF336" s="4">
        <f>336</f>
        <v>336</v>
      </c>
      <c r="BH336" s="4">
        <f>H336*AO336</f>
        <v>0</v>
      </c>
      <c r="BI336" s="4">
        <f>H336*AP336</f>
        <v>0</v>
      </c>
      <c r="BJ336" s="4">
        <f>H336*I336</f>
        <v>0</v>
      </c>
      <c r="BK336" s="4"/>
      <c r="BL336" s="4">
        <v>784</v>
      </c>
    </row>
    <row r="337" spans="1:64" ht="13.5" customHeight="1">
      <c r="A337" s="13"/>
      <c r="B337" s="18" t="s">
        <v>473</v>
      </c>
      <c r="C337" s="54" t="s">
        <v>826</v>
      </c>
      <c r="D337" s="55"/>
      <c r="E337" s="55"/>
      <c r="F337" s="55"/>
      <c r="G337" s="55"/>
      <c r="H337" s="55"/>
      <c r="I337" s="55"/>
      <c r="J337" s="55"/>
      <c r="K337" s="55"/>
      <c r="L337" s="55"/>
      <c r="M337" s="56"/>
    </row>
    <row r="338" spans="1:64" ht="15" customHeight="1">
      <c r="A338" s="12" t="s">
        <v>630</v>
      </c>
      <c r="B338" s="32" t="s">
        <v>70</v>
      </c>
      <c r="C338" s="61" t="s">
        <v>751</v>
      </c>
      <c r="D338" s="61"/>
      <c r="E338" s="61"/>
      <c r="F338" s="61"/>
      <c r="G338" s="45" t="s">
        <v>839</v>
      </c>
      <c r="H338" s="45" t="s">
        <v>839</v>
      </c>
      <c r="I338" s="45" t="s">
        <v>839</v>
      </c>
      <c r="J338" s="49">
        <f>SUM(J339:J379)</f>
        <v>0</v>
      </c>
      <c r="K338" s="49">
        <f>SUM(K339:K379)</f>
        <v>0</v>
      </c>
      <c r="L338" s="49">
        <f>SUM(L339:L379)</f>
        <v>0</v>
      </c>
      <c r="M338" s="29" t="s">
        <v>630</v>
      </c>
      <c r="AI338" s="30" t="s">
        <v>630</v>
      </c>
      <c r="AS338" s="49">
        <f>SUM(AJ339:AJ379)</f>
        <v>0</v>
      </c>
      <c r="AT338" s="49">
        <f>SUM(AK339:AK379)</f>
        <v>0</v>
      </c>
      <c r="AU338" s="49">
        <f>SUM(AL339:AL379)</f>
        <v>0</v>
      </c>
    </row>
    <row r="339" spans="1:64" ht="15" customHeight="1">
      <c r="A339" s="22" t="s">
        <v>994</v>
      </c>
      <c r="B339" s="9" t="s">
        <v>542</v>
      </c>
      <c r="C339" s="53" t="s">
        <v>449</v>
      </c>
      <c r="D339" s="53"/>
      <c r="E339" s="53"/>
      <c r="F339" s="53"/>
      <c r="G339" s="9" t="s">
        <v>695</v>
      </c>
      <c r="H339" s="4">
        <v>1</v>
      </c>
      <c r="I339" s="4">
        <v>0</v>
      </c>
      <c r="J339" s="4">
        <f>H339*AO339</f>
        <v>0</v>
      </c>
      <c r="K339" s="4">
        <f>H339*AP339</f>
        <v>0</v>
      </c>
      <c r="L339" s="4">
        <f>H339*I339</f>
        <v>0</v>
      </c>
      <c r="M339" s="17" t="s">
        <v>630</v>
      </c>
      <c r="Z339" s="4">
        <f>IF(AQ339="5",BJ339,0)</f>
        <v>0</v>
      </c>
      <c r="AB339" s="4">
        <f>IF(AQ339="1",BH339,0)</f>
        <v>0</v>
      </c>
      <c r="AC339" s="4">
        <f>IF(AQ339="1",BI339,0)</f>
        <v>0</v>
      </c>
      <c r="AD339" s="4">
        <f>IF(AQ339="7",BH339,0)</f>
        <v>0</v>
      </c>
      <c r="AE339" s="4">
        <f>IF(AQ339="7",BI339,0)</f>
        <v>0</v>
      </c>
      <c r="AF339" s="4">
        <f>IF(AQ339="2",BH339,0)</f>
        <v>0</v>
      </c>
      <c r="AG339" s="4">
        <f>IF(AQ339="2",BI339,0)</f>
        <v>0</v>
      </c>
      <c r="AH339" s="4">
        <f>IF(AQ339="0",BJ339,0)</f>
        <v>0</v>
      </c>
      <c r="AI339" s="30" t="s">
        <v>630</v>
      </c>
      <c r="AJ339" s="4">
        <f>IF(AN339=0,L339,0)</f>
        <v>0</v>
      </c>
      <c r="AK339" s="4">
        <f>IF(AN339=15,L339,0)</f>
        <v>0</v>
      </c>
      <c r="AL339" s="4">
        <f>IF(AN339=21,L339,0)</f>
        <v>0</v>
      </c>
      <c r="AN339" s="4">
        <v>21</v>
      </c>
      <c r="AO339" s="4">
        <f>I339*0.975</f>
        <v>0</v>
      </c>
      <c r="AP339" s="4">
        <f>I339*(1-0.975)</f>
        <v>0</v>
      </c>
      <c r="AQ339" s="14" t="s">
        <v>907</v>
      </c>
      <c r="AV339" s="4">
        <f>AW339+AX339</f>
        <v>0</v>
      </c>
      <c r="AW339" s="4">
        <f>H339*AO339</f>
        <v>0</v>
      </c>
      <c r="AX339" s="4">
        <f>H339*AP339</f>
        <v>0</v>
      </c>
      <c r="AY339" s="14" t="s">
        <v>550</v>
      </c>
      <c r="AZ339" s="14" t="s">
        <v>362</v>
      </c>
      <c r="BA339" s="30" t="s">
        <v>694</v>
      </c>
      <c r="BC339" s="4">
        <f>AW339+AX339</f>
        <v>0</v>
      </c>
      <c r="BD339" s="4">
        <f>I339/(100-BE339)*100</f>
        <v>0</v>
      </c>
      <c r="BE339" s="4">
        <v>0</v>
      </c>
      <c r="BF339" s="4">
        <f>339</f>
        <v>339</v>
      </c>
      <c r="BH339" s="4">
        <f>H339*AO339</f>
        <v>0</v>
      </c>
      <c r="BI339" s="4">
        <f>H339*AP339</f>
        <v>0</v>
      </c>
      <c r="BJ339" s="4">
        <f>H339*I339</f>
        <v>0</v>
      </c>
      <c r="BK339" s="4"/>
      <c r="BL339" s="4">
        <v>791</v>
      </c>
    </row>
    <row r="340" spans="1:64" ht="13.5" customHeight="1">
      <c r="A340" s="13"/>
      <c r="B340" s="18" t="s">
        <v>473</v>
      </c>
      <c r="C340" s="54" t="s">
        <v>499</v>
      </c>
      <c r="D340" s="55"/>
      <c r="E340" s="55"/>
      <c r="F340" s="55"/>
      <c r="G340" s="55"/>
      <c r="H340" s="55"/>
      <c r="I340" s="55"/>
      <c r="J340" s="55"/>
      <c r="K340" s="55"/>
      <c r="L340" s="55"/>
      <c r="M340" s="56"/>
    </row>
    <row r="341" spans="1:64" ht="15" customHeight="1">
      <c r="A341" s="22" t="s">
        <v>963</v>
      </c>
      <c r="B341" s="9" t="s">
        <v>542</v>
      </c>
      <c r="C341" s="53" t="s">
        <v>845</v>
      </c>
      <c r="D341" s="53"/>
      <c r="E341" s="53"/>
      <c r="F341" s="53"/>
      <c r="G341" s="9" t="s">
        <v>695</v>
      </c>
      <c r="H341" s="4">
        <v>1</v>
      </c>
      <c r="I341" s="4">
        <v>0</v>
      </c>
      <c r="J341" s="4">
        <f>H341*AO341</f>
        <v>0</v>
      </c>
      <c r="K341" s="4">
        <f>H341*AP341</f>
        <v>0</v>
      </c>
      <c r="L341" s="4">
        <f>H341*I341</f>
        <v>0</v>
      </c>
      <c r="M341" s="17" t="s">
        <v>630</v>
      </c>
      <c r="Z341" s="4">
        <f>IF(AQ341="5",BJ341,0)</f>
        <v>0</v>
      </c>
      <c r="AB341" s="4">
        <f>IF(AQ341="1",BH341,0)</f>
        <v>0</v>
      </c>
      <c r="AC341" s="4">
        <f>IF(AQ341="1",BI341,0)</f>
        <v>0</v>
      </c>
      <c r="AD341" s="4">
        <f>IF(AQ341="7",BH341,0)</f>
        <v>0</v>
      </c>
      <c r="AE341" s="4">
        <f>IF(AQ341="7",BI341,0)</f>
        <v>0</v>
      </c>
      <c r="AF341" s="4">
        <f>IF(AQ341="2",BH341,0)</f>
        <v>0</v>
      </c>
      <c r="AG341" s="4">
        <f>IF(AQ341="2",BI341,0)</f>
        <v>0</v>
      </c>
      <c r="AH341" s="4">
        <f>IF(AQ341="0",BJ341,0)</f>
        <v>0</v>
      </c>
      <c r="AI341" s="30" t="s">
        <v>630</v>
      </c>
      <c r="AJ341" s="4">
        <f>IF(AN341=0,L341,0)</f>
        <v>0</v>
      </c>
      <c r="AK341" s="4">
        <f>IF(AN341=15,L341,0)</f>
        <v>0</v>
      </c>
      <c r="AL341" s="4">
        <f>IF(AN341=21,L341,0)</f>
        <v>0</v>
      </c>
      <c r="AN341" s="4">
        <v>21</v>
      </c>
      <c r="AO341" s="4">
        <f>I341*0.9375</f>
        <v>0</v>
      </c>
      <c r="AP341" s="4">
        <f>I341*(1-0.9375)</f>
        <v>0</v>
      </c>
      <c r="AQ341" s="14" t="s">
        <v>907</v>
      </c>
      <c r="AV341" s="4">
        <f>AW341+AX341</f>
        <v>0</v>
      </c>
      <c r="AW341" s="4">
        <f>H341*AO341</f>
        <v>0</v>
      </c>
      <c r="AX341" s="4">
        <f>H341*AP341</f>
        <v>0</v>
      </c>
      <c r="AY341" s="14" t="s">
        <v>550</v>
      </c>
      <c r="AZ341" s="14" t="s">
        <v>362</v>
      </c>
      <c r="BA341" s="30" t="s">
        <v>694</v>
      </c>
      <c r="BC341" s="4">
        <f>AW341+AX341</f>
        <v>0</v>
      </c>
      <c r="BD341" s="4">
        <f>I341/(100-BE341)*100</f>
        <v>0</v>
      </c>
      <c r="BE341" s="4">
        <v>0</v>
      </c>
      <c r="BF341" s="4">
        <f>341</f>
        <v>341</v>
      </c>
      <c r="BH341" s="4">
        <f>H341*AO341</f>
        <v>0</v>
      </c>
      <c r="BI341" s="4">
        <f>H341*AP341</f>
        <v>0</v>
      </c>
      <c r="BJ341" s="4">
        <f>H341*I341</f>
        <v>0</v>
      </c>
      <c r="BK341" s="4"/>
      <c r="BL341" s="4">
        <v>791</v>
      </c>
    </row>
    <row r="342" spans="1:64" ht="13.5" customHeight="1">
      <c r="A342" s="13"/>
      <c r="B342" s="18" t="s">
        <v>473</v>
      </c>
      <c r="C342" s="54" t="s">
        <v>499</v>
      </c>
      <c r="D342" s="55"/>
      <c r="E342" s="55"/>
      <c r="F342" s="55"/>
      <c r="G342" s="55"/>
      <c r="H342" s="55"/>
      <c r="I342" s="55"/>
      <c r="J342" s="55"/>
      <c r="K342" s="55"/>
      <c r="L342" s="55"/>
      <c r="M342" s="56"/>
    </row>
    <row r="343" spans="1:64" ht="15" customHeight="1">
      <c r="A343" s="22" t="s">
        <v>437</v>
      </c>
      <c r="B343" s="9" t="s">
        <v>542</v>
      </c>
      <c r="C343" s="53" t="s">
        <v>357</v>
      </c>
      <c r="D343" s="53"/>
      <c r="E343" s="53"/>
      <c r="F343" s="53"/>
      <c r="G343" s="9" t="s">
        <v>695</v>
      </c>
      <c r="H343" s="4">
        <v>1</v>
      </c>
      <c r="I343" s="4">
        <v>0</v>
      </c>
      <c r="J343" s="4">
        <f>H343*AO343</f>
        <v>0</v>
      </c>
      <c r="K343" s="4">
        <f>H343*AP343</f>
        <v>0</v>
      </c>
      <c r="L343" s="4">
        <f>H343*I343</f>
        <v>0</v>
      </c>
      <c r="M343" s="17" t="s">
        <v>630</v>
      </c>
      <c r="Z343" s="4">
        <f>IF(AQ343="5",BJ343,0)</f>
        <v>0</v>
      </c>
      <c r="AB343" s="4">
        <f>IF(AQ343="1",BH343,0)</f>
        <v>0</v>
      </c>
      <c r="AC343" s="4">
        <f>IF(AQ343="1",BI343,0)</f>
        <v>0</v>
      </c>
      <c r="AD343" s="4">
        <f>IF(AQ343="7",BH343,0)</f>
        <v>0</v>
      </c>
      <c r="AE343" s="4">
        <f>IF(AQ343="7",BI343,0)</f>
        <v>0</v>
      </c>
      <c r="AF343" s="4">
        <f>IF(AQ343="2",BH343,0)</f>
        <v>0</v>
      </c>
      <c r="AG343" s="4">
        <f>IF(AQ343="2",BI343,0)</f>
        <v>0</v>
      </c>
      <c r="AH343" s="4">
        <f>IF(AQ343="0",BJ343,0)</f>
        <v>0</v>
      </c>
      <c r="AI343" s="30" t="s">
        <v>630</v>
      </c>
      <c r="AJ343" s="4">
        <f>IF(AN343=0,L343,0)</f>
        <v>0</v>
      </c>
      <c r="AK343" s="4">
        <f>IF(AN343=15,L343,0)</f>
        <v>0</v>
      </c>
      <c r="AL343" s="4">
        <f>IF(AN343=21,L343,0)</f>
        <v>0</v>
      </c>
      <c r="AN343" s="4">
        <v>21</v>
      </c>
      <c r="AO343" s="4">
        <f>I343*0.982456140350877</f>
        <v>0</v>
      </c>
      <c r="AP343" s="4">
        <f>I343*(1-0.982456140350877)</f>
        <v>0</v>
      </c>
      <c r="AQ343" s="14" t="s">
        <v>907</v>
      </c>
      <c r="AV343" s="4">
        <f>AW343+AX343</f>
        <v>0</v>
      </c>
      <c r="AW343" s="4">
        <f>H343*AO343</f>
        <v>0</v>
      </c>
      <c r="AX343" s="4">
        <f>H343*AP343</f>
        <v>0</v>
      </c>
      <c r="AY343" s="14" t="s">
        <v>550</v>
      </c>
      <c r="AZ343" s="14" t="s">
        <v>362</v>
      </c>
      <c r="BA343" s="30" t="s">
        <v>694</v>
      </c>
      <c r="BC343" s="4">
        <f>AW343+AX343</f>
        <v>0</v>
      </c>
      <c r="BD343" s="4">
        <f>I343/(100-BE343)*100</f>
        <v>0</v>
      </c>
      <c r="BE343" s="4">
        <v>0</v>
      </c>
      <c r="BF343" s="4">
        <f>343</f>
        <v>343</v>
      </c>
      <c r="BH343" s="4">
        <f>H343*AO343</f>
        <v>0</v>
      </c>
      <c r="BI343" s="4">
        <f>H343*AP343</f>
        <v>0</v>
      </c>
      <c r="BJ343" s="4">
        <f>H343*I343</f>
        <v>0</v>
      </c>
      <c r="BK343" s="4"/>
      <c r="BL343" s="4">
        <v>791</v>
      </c>
    </row>
    <row r="344" spans="1:64" ht="13.5" customHeight="1">
      <c r="A344" s="13"/>
      <c r="B344" s="18" t="s">
        <v>473</v>
      </c>
      <c r="C344" s="54" t="s">
        <v>499</v>
      </c>
      <c r="D344" s="55"/>
      <c r="E344" s="55"/>
      <c r="F344" s="55"/>
      <c r="G344" s="55"/>
      <c r="H344" s="55"/>
      <c r="I344" s="55"/>
      <c r="J344" s="55"/>
      <c r="K344" s="55"/>
      <c r="L344" s="55"/>
      <c r="M344" s="56"/>
    </row>
    <row r="345" spans="1:64" ht="15" customHeight="1">
      <c r="A345" s="22" t="s">
        <v>957</v>
      </c>
      <c r="B345" s="9" t="s">
        <v>542</v>
      </c>
      <c r="C345" s="53" t="s">
        <v>139</v>
      </c>
      <c r="D345" s="53"/>
      <c r="E345" s="53"/>
      <c r="F345" s="53"/>
      <c r="G345" s="9" t="s">
        <v>695</v>
      </c>
      <c r="H345" s="4">
        <v>2</v>
      </c>
      <c r="I345" s="4">
        <v>0</v>
      </c>
      <c r="J345" s="4">
        <f>H345*AO345</f>
        <v>0</v>
      </c>
      <c r="K345" s="4">
        <f>H345*AP345</f>
        <v>0</v>
      </c>
      <c r="L345" s="4">
        <f>H345*I345</f>
        <v>0</v>
      </c>
      <c r="M345" s="17" t="s">
        <v>630</v>
      </c>
      <c r="Z345" s="4">
        <f>IF(AQ345="5",BJ345,0)</f>
        <v>0</v>
      </c>
      <c r="AB345" s="4">
        <f>IF(AQ345="1",BH345,0)</f>
        <v>0</v>
      </c>
      <c r="AC345" s="4">
        <f>IF(AQ345="1",BI345,0)</f>
        <v>0</v>
      </c>
      <c r="AD345" s="4">
        <f>IF(AQ345="7",BH345,0)</f>
        <v>0</v>
      </c>
      <c r="AE345" s="4">
        <f>IF(AQ345="7",BI345,0)</f>
        <v>0</v>
      </c>
      <c r="AF345" s="4">
        <f>IF(AQ345="2",BH345,0)</f>
        <v>0</v>
      </c>
      <c r="AG345" s="4">
        <f>IF(AQ345="2",BI345,0)</f>
        <v>0</v>
      </c>
      <c r="AH345" s="4">
        <f>IF(AQ345="0",BJ345,0)</f>
        <v>0</v>
      </c>
      <c r="AI345" s="30" t="s">
        <v>630</v>
      </c>
      <c r="AJ345" s="4">
        <f>IF(AN345=0,L345,0)</f>
        <v>0</v>
      </c>
      <c r="AK345" s="4">
        <f>IF(AN345=15,L345,0)</f>
        <v>0</v>
      </c>
      <c r="AL345" s="4">
        <f>IF(AN345=21,L345,0)</f>
        <v>0</v>
      </c>
      <c r="AN345" s="4">
        <v>21</v>
      </c>
      <c r="AO345" s="4">
        <f>I345*0.984756097560976</f>
        <v>0</v>
      </c>
      <c r="AP345" s="4">
        <f>I345*(1-0.984756097560976)</f>
        <v>0</v>
      </c>
      <c r="AQ345" s="14" t="s">
        <v>907</v>
      </c>
      <c r="AV345" s="4">
        <f>AW345+AX345</f>
        <v>0</v>
      </c>
      <c r="AW345" s="4">
        <f>H345*AO345</f>
        <v>0</v>
      </c>
      <c r="AX345" s="4">
        <f>H345*AP345</f>
        <v>0</v>
      </c>
      <c r="AY345" s="14" t="s">
        <v>550</v>
      </c>
      <c r="AZ345" s="14" t="s">
        <v>362</v>
      </c>
      <c r="BA345" s="30" t="s">
        <v>694</v>
      </c>
      <c r="BC345" s="4">
        <f>AW345+AX345</f>
        <v>0</v>
      </c>
      <c r="BD345" s="4">
        <f>I345/(100-BE345)*100</f>
        <v>0</v>
      </c>
      <c r="BE345" s="4">
        <v>0</v>
      </c>
      <c r="BF345" s="4">
        <f>345</f>
        <v>345</v>
      </c>
      <c r="BH345" s="4">
        <f>H345*AO345</f>
        <v>0</v>
      </c>
      <c r="BI345" s="4">
        <f>H345*AP345</f>
        <v>0</v>
      </c>
      <c r="BJ345" s="4">
        <f>H345*I345</f>
        <v>0</v>
      </c>
      <c r="BK345" s="4"/>
      <c r="BL345" s="4">
        <v>791</v>
      </c>
    </row>
    <row r="346" spans="1:64" ht="13.5" customHeight="1">
      <c r="A346" s="13"/>
      <c r="B346" s="18" t="s">
        <v>473</v>
      </c>
      <c r="C346" s="54" t="s">
        <v>499</v>
      </c>
      <c r="D346" s="55"/>
      <c r="E346" s="55"/>
      <c r="F346" s="55"/>
      <c r="G346" s="55"/>
      <c r="H346" s="55"/>
      <c r="I346" s="55"/>
      <c r="J346" s="55"/>
      <c r="K346" s="55"/>
      <c r="L346" s="55"/>
      <c r="M346" s="56"/>
    </row>
    <row r="347" spans="1:64" ht="15" customHeight="1">
      <c r="A347" s="22" t="s">
        <v>501</v>
      </c>
      <c r="B347" s="9" t="s">
        <v>542</v>
      </c>
      <c r="C347" s="53" t="s">
        <v>290</v>
      </c>
      <c r="D347" s="53"/>
      <c r="E347" s="53"/>
      <c r="F347" s="53"/>
      <c r="G347" s="9" t="s">
        <v>695</v>
      </c>
      <c r="H347" s="4">
        <v>1</v>
      </c>
      <c r="I347" s="4">
        <v>0</v>
      </c>
      <c r="J347" s="4">
        <f>H347*AO347</f>
        <v>0</v>
      </c>
      <c r="K347" s="4">
        <f>H347*AP347</f>
        <v>0</v>
      </c>
      <c r="L347" s="4">
        <f>H347*I347</f>
        <v>0</v>
      </c>
      <c r="M347" s="17" t="s">
        <v>630</v>
      </c>
      <c r="Z347" s="4">
        <f>IF(AQ347="5",BJ347,0)</f>
        <v>0</v>
      </c>
      <c r="AB347" s="4">
        <f>IF(AQ347="1",BH347,0)</f>
        <v>0</v>
      </c>
      <c r="AC347" s="4">
        <f>IF(AQ347="1",BI347,0)</f>
        <v>0</v>
      </c>
      <c r="AD347" s="4">
        <f>IF(AQ347="7",BH347,0)</f>
        <v>0</v>
      </c>
      <c r="AE347" s="4">
        <f>IF(AQ347="7",BI347,0)</f>
        <v>0</v>
      </c>
      <c r="AF347" s="4">
        <f>IF(AQ347="2",BH347,0)</f>
        <v>0</v>
      </c>
      <c r="AG347" s="4">
        <f>IF(AQ347="2",BI347,0)</f>
        <v>0</v>
      </c>
      <c r="AH347" s="4">
        <f>IF(AQ347="0",BJ347,0)</f>
        <v>0</v>
      </c>
      <c r="AI347" s="30" t="s">
        <v>630</v>
      </c>
      <c r="AJ347" s="4">
        <f>IF(AN347=0,L347,0)</f>
        <v>0</v>
      </c>
      <c r="AK347" s="4">
        <f>IF(AN347=15,L347,0)</f>
        <v>0</v>
      </c>
      <c r="AL347" s="4">
        <f>IF(AN347=21,L347,0)</f>
        <v>0</v>
      </c>
      <c r="AN347" s="4">
        <v>21</v>
      </c>
      <c r="AO347" s="4">
        <f>I347*0.974747474747475</f>
        <v>0</v>
      </c>
      <c r="AP347" s="4">
        <f>I347*(1-0.974747474747475)</f>
        <v>0</v>
      </c>
      <c r="AQ347" s="14" t="s">
        <v>907</v>
      </c>
      <c r="AV347" s="4">
        <f>AW347+AX347</f>
        <v>0</v>
      </c>
      <c r="AW347" s="4">
        <f>H347*AO347</f>
        <v>0</v>
      </c>
      <c r="AX347" s="4">
        <f>H347*AP347</f>
        <v>0</v>
      </c>
      <c r="AY347" s="14" t="s">
        <v>550</v>
      </c>
      <c r="AZ347" s="14" t="s">
        <v>362</v>
      </c>
      <c r="BA347" s="30" t="s">
        <v>694</v>
      </c>
      <c r="BC347" s="4">
        <f>AW347+AX347</f>
        <v>0</v>
      </c>
      <c r="BD347" s="4">
        <f>I347/(100-BE347)*100</f>
        <v>0</v>
      </c>
      <c r="BE347" s="4">
        <v>0</v>
      </c>
      <c r="BF347" s="4">
        <f>347</f>
        <v>347</v>
      </c>
      <c r="BH347" s="4">
        <f>H347*AO347</f>
        <v>0</v>
      </c>
      <c r="BI347" s="4">
        <f>H347*AP347</f>
        <v>0</v>
      </c>
      <c r="BJ347" s="4">
        <f>H347*I347</f>
        <v>0</v>
      </c>
      <c r="BK347" s="4"/>
      <c r="BL347" s="4">
        <v>791</v>
      </c>
    </row>
    <row r="348" spans="1:64" ht="13.5" customHeight="1">
      <c r="A348" s="13"/>
      <c r="B348" s="18" t="s">
        <v>473</v>
      </c>
      <c r="C348" s="54" t="s">
        <v>499</v>
      </c>
      <c r="D348" s="55"/>
      <c r="E348" s="55"/>
      <c r="F348" s="55"/>
      <c r="G348" s="55"/>
      <c r="H348" s="55"/>
      <c r="I348" s="55"/>
      <c r="J348" s="55"/>
      <c r="K348" s="55"/>
      <c r="L348" s="55"/>
      <c r="M348" s="56"/>
    </row>
    <row r="349" spans="1:64" ht="15" customHeight="1">
      <c r="A349" s="22" t="s">
        <v>682</v>
      </c>
      <c r="B349" s="9" t="s">
        <v>542</v>
      </c>
      <c r="C349" s="53" t="s">
        <v>698</v>
      </c>
      <c r="D349" s="53"/>
      <c r="E349" s="53"/>
      <c r="F349" s="53"/>
      <c r="G349" s="9" t="s">
        <v>695</v>
      </c>
      <c r="H349" s="4">
        <v>1</v>
      </c>
      <c r="I349" s="4">
        <v>0</v>
      </c>
      <c r="J349" s="4">
        <f>H349*AO349</f>
        <v>0</v>
      </c>
      <c r="K349" s="4">
        <f>H349*AP349</f>
        <v>0</v>
      </c>
      <c r="L349" s="4">
        <f>H349*I349</f>
        <v>0</v>
      </c>
      <c r="M349" s="17" t="s">
        <v>630</v>
      </c>
      <c r="Z349" s="4">
        <f>IF(AQ349="5",BJ349,0)</f>
        <v>0</v>
      </c>
      <c r="AB349" s="4">
        <f>IF(AQ349="1",BH349,0)</f>
        <v>0</v>
      </c>
      <c r="AC349" s="4">
        <f>IF(AQ349="1",BI349,0)</f>
        <v>0</v>
      </c>
      <c r="AD349" s="4">
        <f>IF(AQ349="7",BH349,0)</f>
        <v>0</v>
      </c>
      <c r="AE349" s="4">
        <f>IF(AQ349="7",BI349,0)</f>
        <v>0</v>
      </c>
      <c r="AF349" s="4">
        <f>IF(AQ349="2",BH349,0)</f>
        <v>0</v>
      </c>
      <c r="AG349" s="4">
        <f>IF(AQ349="2",BI349,0)</f>
        <v>0</v>
      </c>
      <c r="AH349" s="4">
        <f>IF(AQ349="0",BJ349,0)</f>
        <v>0</v>
      </c>
      <c r="AI349" s="30" t="s">
        <v>630</v>
      </c>
      <c r="AJ349" s="4">
        <f>IF(AN349=0,L349,0)</f>
        <v>0</v>
      </c>
      <c r="AK349" s="4">
        <f>IF(AN349=15,L349,0)</f>
        <v>0</v>
      </c>
      <c r="AL349" s="4">
        <f>IF(AN349=21,L349,0)</f>
        <v>0</v>
      </c>
      <c r="AN349" s="4">
        <v>21</v>
      </c>
      <c r="AO349" s="4">
        <f>I349*0.977272727272727</f>
        <v>0</v>
      </c>
      <c r="AP349" s="4">
        <f>I349*(1-0.977272727272727)</f>
        <v>0</v>
      </c>
      <c r="AQ349" s="14" t="s">
        <v>907</v>
      </c>
      <c r="AV349" s="4">
        <f>AW349+AX349</f>
        <v>0</v>
      </c>
      <c r="AW349" s="4">
        <f>H349*AO349</f>
        <v>0</v>
      </c>
      <c r="AX349" s="4">
        <f>H349*AP349</f>
        <v>0</v>
      </c>
      <c r="AY349" s="14" t="s">
        <v>550</v>
      </c>
      <c r="AZ349" s="14" t="s">
        <v>362</v>
      </c>
      <c r="BA349" s="30" t="s">
        <v>694</v>
      </c>
      <c r="BC349" s="4">
        <f>AW349+AX349</f>
        <v>0</v>
      </c>
      <c r="BD349" s="4">
        <f>I349/(100-BE349)*100</f>
        <v>0</v>
      </c>
      <c r="BE349" s="4">
        <v>0</v>
      </c>
      <c r="BF349" s="4">
        <f>349</f>
        <v>349</v>
      </c>
      <c r="BH349" s="4">
        <f>H349*AO349</f>
        <v>0</v>
      </c>
      <c r="BI349" s="4">
        <f>H349*AP349</f>
        <v>0</v>
      </c>
      <c r="BJ349" s="4">
        <f>H349*I349</f>
        <v>0</v>
      </c>
      <c r="BK349" s="4"/>
      <c r="BL349" s="4">
        <v>791</v>
      </c>
    </row>
    <row r="350" spans="1:64" ht="13.5" customHeight="1">
      <c r="A350" s="13"/>
      <c r="B350" s="18" t="s">
        <v>473</v>
      </c>
      <c r="C350" s="54" t="s">
        <v>499</v>
      </c>
      <c r="D350" s="55"/>
      <c r="E350" s="55"/>
      <c r="F350" s="55"/>
      <c r="G350" s="55"/>
      <c r="H350" s="55"/>
      <c r="I350" s="55"/>
      <c r="J350" s="55"/>
      <c r="K350" s="55"/>
      <c r="L350" s="55"/>
      <c r="M350" s="56"/>
    </row>
    <row r="351" spans="1:64" ht="15" customHeight="1">
      <c r="A351" s="22" t="s">
        <v>427</v>
      </c>
      <c r="B351" s="9" t="s">
        <v>542</v>
      </c>
      <c r="C351" s="53" t="s">
        <v>496</v>
      </c>
      <c r="D351" s="53"/>
      <c r="E351" s="53"/>
      <c r="F351" s="53"/>
      <c r="G351" s="9" t="s">
        <v>695</v>
      </c>
      <c r="H351" s="4">
        <v>1</v>
      </c>
      <c r="I351" s="4">
        <v>0</v>
      </c>
      <c r="J351" s="4">
        <f>H351*AO351</f>
        <v>0</v>
      </c>
      <c r="K351" s="4">
        <f>H351*AP351</f>
        <v>0</v>
      </c>
      <c r="L351" s="4">
        <f>H351*I351</f>
        <v>0</v>
      </c>
      <c r="M351" s="17" t="s">
        <v>630</v>
      </c>
      <c r="Z351" s="4">
        <f>IF(AQ351="5",BJ351,0)</f>
        <v>0</v>
      </c>
      <c r="AB351" s="4">
        <f>IF(AQ351="1",BH351,0)</f>
        <v>0</v>
      </c>
      <c r="AC351" s="4">
        <f>IF(AQ351="1",BI351,0)</f>
        <v>0</v>
      </c>
      <c r="AD351" s="4">
        <f>IF(AQ351="7",BH351,0)</f>
        <v>0</v>
      </c>
      <c r="AE351" s="4">
        <f>IF(AQ351="7",BI351,0)</f>
        <v>0</v>
      </c>
      <c r="AF351" s="4">
        <f>IF(AQ351="2",BH351,0)</f>
        <v>0</v>
      </c>
      <c r="AG351" s="4">
        <f>IF(AQ351="2",BI351,0)</f>
        <v>0</v>
      </c>
      <c r="AH351" s="4">
        <f>IF(AQ351="0",BJ351,0)</f>
        <v>0</v>
      </c>
      <c r="AI351" s="30" t="s">
        <v>630</v>
      </c>
      <c r="AJ351" s="4">
        <f>IF(AN351=0,L351,0)</f>
        <v>0</v>
      </c>
      <c r="AK351" s="4">
        <f>IF(AN351=15,L351,0)</f>
        <v>0</v>
      </c>
      <c r="AL351" s="4">
        <f>IF(AN351=21,L351,0)</f>
        <v>0</v>
      </c>
      <c r="AN351" s="4">
        <v>21</v>
      </c>
      <c r="AO351" s="4">
        <f>I351*0.981132075471698</f>
        <v>0</v>
      </c>
      <c r="AP351" s="4">
        <f>I351*(1-0.981132075471698)</f>
        <v>0</v>
      </c>
      <c r="AQ351" s="14" t="s">
        <v>907</v>
      </c>
      <c r="AV351" s="4">
        <f>AW351+AX351</f>
        <v>0</v>
      </c>
      <c r="AW351" s="4">
        <f>H351*AO351</f>
        <v>0</v>
      </c>
      <c r="AX351" s="4">
        <f>H351*AP351</f>
        <v>0</v>
      </c>
      <c r="AY351" s="14" t="s">
        <v>550</v>
      </c>
      <c r="AZ351" s="14" t="s">
        <v>362</v>
      </c>
      <c r="BA351" s="30" t="s">
        <v>694</v>
      </c>
      <c r="BC351" s="4">
        <f>AW351+AX351</f>
        <v>0</v>
      </c>
      <c r="BD351" s="4">
        <f>I351/(100-BE351)*100</f>
        <v>0</v>
      </c>
      <c r="BE351" s="4">
        <v>0</v>
      </c>
      <c r="BF351" s="4">
        <f>351</f>
        <v>351</v>
      </c>
      <c r="BH351" s="4">
        <f>H351*AO351</f>
        <v>0</v>
      </c>
      <c r="BI351" s="4">
        <f>H351*AP351</f>
        <v>0</v>
      </c>
      <c r="BJ351" s="4">
        <f>H351*I351</f>
        <v>0</v>
      </c>
      <c r="BK351" s="4"/>
      <c r="BL351" s="4">
        <v>791</v>
      </c>
    </row>
    <row r="352" spans="1:64" ht="13.5" customHeight="1">
      <c r="A352" s="13"/>
      <c r="B352" s="18" t="s">
        <v>473</v>
      </c>
      <c r="C352" s="54" t="s">
        <v>499</v>
      </c>
      <c r="D352" s="55"/>
      <c r="E352" s="55"/>
      <c r="F352" s="55"/>
      <c r="G352" s="55"/>
      <c r="H352" s="55"/>
      <c r="I352" s="55"/>
      <c r="J352" s="55"/>
      <c r="K352" s="55"/>
      <c r="L352" s="55"/>
      <c r="M352" s="56"/>
    </row>
    <row r="353" spans="1:64" ht="15" customHeight="1">
      <c r="A353" s="22" t="s">
        <v>899</v>
      </c>
      <c r="B353" s="9" t="s">
        <v>542</v>
      </c>
      <c r="C353" s="53" t="s">
        <v>117</v>
      </c>
      <c r="D353" s="53"/>
      <c r="E353" s="53"/>
      <c r="F353" s="53"/>
      <c r="G353" s="9" t="s">
        <v>695</v>
      </c>
      <c r="H353" s="4">
        <v>1</v>
      </c>
      <c r="I353" s="4">
        <v>0</v>
      </c>
      <c r="J353" s="4">
        <f>H353*AO353</f>
        <v>0</v>
      </c>
      <c r="K353" s="4">
        <f>H353*AP353</f>
        <v>0</v>
      </c>
      <c r="L353" s="4">
        <f>H353*I353</f>
        <v>0</v>
      </c>
      <c r="M353" s="17" t="s">
        <v>630</v>
      </c>
      <c r="Z353" s="4">
        <f>IF(AQ353="5",BJ353,0)</f>
        <v>0</v>
      </c>
      <c r="AB353" s="4">
        <f>IF(AQ353="1",BH353,0)</f>
        <v>0</v>
      </c>
      <c r="AC353" s="4">
        <f>IF(AQ353="1",BI353,0)</f>
        <v>0</v>
      </c>
      <c r="AD353" s="4">
        <f>IF(AQ353="7",BH353,0)</f>
        <v>0</v>
      </c>
      <c r="AE353" s="4">
        <f>IF(AQ353="7",BI353,0)</f>
        <v>0</v>
      </c>
      <c r="AF353" s="4">
        <f>IF(AQ353="2",BH353,0)</f>
        <v>0</v>
      </c>
      <c r="AG353" s="4">
        <f>IF(AQ353="2",BI353,0)</f>
        <v>0</v>
      </c>
      <c r="AH353" s="4">
        <f>IF(AQ353="0",BJ353,0)</f>
        <v>0</v>
      </c>
      <c r="AI353" s="30" t="s">
        <v>630</v>
      </c>
      <c r="AJ353" s="4">
        <f>IF(AN353=0,L353,0)</f>
        <v>0</v>
      </c>
      <c r="AK353" s="4">
        <f>IF(AN353=15,L353,0)</f>
        <v>0</v>
      </c>
      <c r="AL353" s="4">
        <f>IF(AN353=21,L353,0)</f>
        <v>0</v>
      </c>
      <c r="AN353" s="4">
        <v>21</v>
      </c>
      <c r="AO353" s="4">
        <f>I353*0.958333333333333</f>
        <v>0</v>
      </c>
      <c r="AP353" s="4">
        <f>I353*(1-0.958333333333333)</f>
        <v>0</v>
      </c>
      <c r="AQ353" s="14" t="s">
        <v>907</v>
      </c>
      <c r="AV353" s="4">
        <f>AW353+AX353</f>
        <v>0</v>
      </c>
      <c r="AW353" s="4">
        <f>H353*AO353</f>
        <v>0</v>
      </c>
      <c r="AX353" s="4">
        <f>H353*AP353</f>
        <v>0</v>
      </c>
      <c r="AY353" s="14" t="s">
        <v>550</v>
      </c>
      <c r="AZ353" s="14" t="s">
        <v>362</v>
      </c>
      <c r="BA353" s="30" t="s">
        <v>694</v>
      </c>
      <c r="BC353" s="4">
        <f>AW353+AX353</f>
        <v>0</v>
      </c>
      <c r="BD353" s="4">
        <f>I353/(100-BE353)*100</f>
        <v>0</v>
      </c>
      <c r="BE353" s="4">
        <v>0</v>
      </c>
      <c r="BF353" s="4">
        <f>353</f>
        <v>353</v>
      </c>
      <c r="BH353" s="4">
        <f>H353*AO353</f>
        <v>0</v>
      </c>
      <c r="BI353" s="4">
        <f>H353*AP353</f>
        <v>0</v>
      </c>
      <c r="BJ353" s="4">
        <f>H353*I353</f>
        <v>0</v>
      </c>
      <c r="BK353" s="4"/>
      <c r="BL353" s="4">
        <v>791</v>
      </c>
    </row>
    <row r="354" spans="1:64" ht="13.5" customHeight="1">
      <c r="A354" s="13"/>
      <c r="B354" s="18" t="s">
        <v>473</v>
      </c>
      <c r="C354" s="54" t="s">
        <v>499</v>
      </c>
      <c r="D354" s="55"/>
      <c r="E354" s="55"/>
      <c r="F354" s="55"/>
      <c r="G354" s="55"/>
      <c r="H354" s="55"/>
      <c r="I354" s="55"/>
      <c r="J354" s="55"/>
      <c r="K354" s="55"/>
      <c r="L354" s="55"/>
      <c r="M354" s="56"/>
    </row>
    <row r="355" spans="1:64" ht="15" customHeight="1">
      <c r="A355" s="22" t="s">
        <v>375</v>
      </c>
      <c r="B355" s="9" t="s">
        <v>542</v>
      </c>
      <c r="C355" s="53" t="s">
        <v>468</v>
      </c>
      <c r="D355" s="53"/>
      <c r="E355" s="53"/>
      <c r="F355" s="53"/>
      <c r="G355" s="9" t="s">
        <v>695</v>
      </c>
      <c r="H355" s="4">
        <v>2</v>
      </c>
      <c r="I355" s="4">
        <v>0</v>
      </c>
      <c r="J355" s="4">
        <f>H355*AO355</f>
        <v>0</v>
      </c>
      <c r="K355" s="4">
        <f>H355*AP355</f>
        <v>0</v>
      </c>
      <c r="L355" s="4">
        <f>H355*I355</f>
        <v>0</v>
      </c>
      <c r="M355" s="17" t="s">
        <v>630</v>
      </c>
      <c r="Z355" s="4">
        <f>IF(AQ355="5",BJ355,0)</f>
        <v>0</v>
      </c>
      <c r="AB355" s="4">
        <f>IF(AQ355="1",BH355,0)</f>
        <v>0</v>
      </c>
      <c r="AC355" s="4">
        <f>IF(AQ355="1",BI355,0)</f>
        <v>0</v>
      </c>
      <c r="AD355" s="4">
        <f>IF(AQ355="7",BH355,0)</f>
        <v>0</v>
      </c>
      <c r="AE355" s="4">
        <f>IF(AQ355="7",BI355,0)</f>
        <v>0</v>
      </c>
      <c r="AF355" s="4">
        <f>IF(AQ355="2",BH355,0)</f>
        <v>0</v>
      </c>
      <c r="AG355" s="4">
        <f>IF(AQ355="2",BI355,0)</f>
        <v>0</v>
      </c>
      <c r="AH355" s="4">
        <f>IF(AQ355="0",BJ355,0)</f>
        <v>0</v>
      </c>
      <c r="AI355" s="30" t="s">
        <v>630</v>
      </c>
      <c r="AJ355" s="4">
        <f>IF(AN355=0,L355,0)</f>
        <v>0</v>
      </c>
      <c r="AK355" s="4">
        <f>IF(AN355=15,L355,0)</f>
        <v>0</v>
      </c>
      <c r="AL355" s="4">
        <f>IF(AN355=21,L355,0)</f>
        <v>0</v>
      </c>
      <c r="AN355" s="4">
        <v>21</v>
      </c>
      <c r="AO355" s="4">
        <f>I355*0.994475138121547</f>
        <v>0</v>
      </c>
      <c r="AP355" s="4">
        <f>I355*(1-0.994475138121547)</f>
        <v>0</v>
      </c>
      <c r="AQ355" s="14" t="s">
        <v>907</v>
      </c>
      <c r="AV355" s="4">
        <f>AW355+AX355</f>
        <v>0</v>
      </c>
      <c r="AW355" s="4">
        <f>H355*AO355</f>
        <v>0</v>
      </c>
      <c r="AX355" s="4">
        <f>H355*AP355</f>
        <v>0</v>
      </c>
      <c r="AY355" s="14" t="s">
        <v>550</v>
      </c>
      <c r="AZ355" s="14" t="s">
        <v>362</v>
      </c>
      <c r="BA355" s="30" t="s">
        <v>694</v>
      </c>
      <c r="BC355" s="4">
        <f>AW355+AX355</f>
        <v>0</v>
      </c>
      <c r="BD355" s="4">
        <f>I355/(100-BE355)*100</f>
        <v>0</v>
      </c>
      <c r="BE355" s="4">
        <v>0</v>
      </c>
      <c r="BF355" s="4">
        <f>355</f>
        <v>355</v>
      </c>
      <c r="BH355" s="4">
        <f>H355*AO355</f>
        <v>0</v>
      </c>
      <c r="BI355" s="4">
        <f>H355*AP355</f>
        <v>0</v>
      </c>
      <c r="BJ355" s="4">
        <f>H355*I355</f>
        <v>0</v>
      </c>
      <c r="BK355" s="4"/>
      <c r="BL355" s="4">
        <v>791</v>
      </c>
    </row>
    <row r="356" spans="1:64" ht="13.5" customHeight="1">
      <c r="A356" s="13"/>
      <c r="B356" s="18" t="s">
        <v>473</v>
      </c>
      <c r="C356" s="54" t="s">
        <v>499</v>
      </c>
      <c r="D356" s="55"/>
      <c r="E356" s="55"/>
      <c r="F356" s="55"/>
      <c r="G356" s="55"/>
      <c r="H356" s="55"/>
      <c r="I356" s="55"/>
      <c r="J356" s="55"/>
      <c r="K356" s="55"/>
      <c r="L356" s="55"/>
      <c r="M356" s="56"/>
    </row>
    <row r="357" spans="1:64" ht="15" customHeight="1">
      <c r="A357" s="22" t="s">
        <v>123</v>
      </c>
      <c r="B357" s="9" t="s">
        <v>542</v>
      </c>
      <c r="C357" s="53" t="s">
        <v>773</v>
      </c>
      <c r="D357" s="53"/>
      <c r="E357" s="53"/>
      <c r="F357" s="53"/>
      <c r="G357" s="9" t="s">
        <v>695</v>
      </c>
      <c r="H357" s="4">
        <v>1</v>
      </c>
      <c r="I357" s="4">
        <v>0</v>
      </c>
      <c r="J357" s="4">
        <f>H357*AO357</f>
        <v>0</v>
      </c>
      <c r="K357" s="4">
        <f>H357*AP357</f>
        <v>0</v>
      </c>
      <c r="L357" s="4">
        <f>H357*I357</f>
        <v>0</v>
      </c>
      <c r="M357" s="17" t="s">
        <v>630</v>
      </c>
      <c r="Z357" s="4">
        <f>IF(AQ357="5",BJ357,0)</f>
        <v>0</v>
      </c>
      <c r="AB357" s="4">
        <f>IF(AQ357="1",BH357,0)</f>
        <v>0</v>
      </c>
      <c r="AC357" s="4">
        <f>IF(AQ357="1",BI357,0)</f>
        <v>0</v>
      </c>
      <c r="AD357" s="4">
        <f>IF(AQ357="7",BH357,0)</f>
        <v>0</v>
      </c>
      <c r="AE357" s="4">
        <f>IF(AQ357="7",BI357,0)</f>
        <v>0</v>
      </c>
      <c r="AF357" s="4">
        <f>IF(AQ357="2",BH357,0)</f>
        <v>0</v>
      </c>
      <c r="AG357" s="4">
        <f>IF(AQ357="2",BI357,0)</f>
        <v>0</v>
      </c>
      <c r="AH357" s="4">
        <f>IF(AQ357="0",BJ357,0)</f>
        <v>0</v>
      </c>
      <c r="AI357" s="30" t="s">
        <v>630</v>
      </c>
      <c r="AJ357" s="4">
        <f>IF(AN357=0,L357,0)</f>
        <v>0</v>
      </c>
      <c r="AK357" s="4">
        <f>IF(AN357=15,L357,0)</f>
        <v>0</v>
      </c>
      <c r="AL357" s="4">
        <f>IF(AN357=21,L357,0)</f>
        <v>0</v>
      </c>
      <c r="AN357" s="4">
        <v>21</v>
      </c>
      <c r="AO357" s="4">
        <f>I357*0.993710691823899</f>
        <v>0</v>
      </c>
      <c r="AP357" s="4">
        <f>I357*(1-0.993710691823899)</f>
        <v>0</v>
      </c>
      <c r="AQ357" s="14" t="s">
        <v>907</v>
      </c>
      <c r="AV357" s="4">
        <f>AW357+AX357</f>
        <v>0</v>
      </c>
      <c r="AW357" s="4">
        <f>H357*AO357</f>
        <v>0</v>
      </c>
      <c r="AX357" s="4">
        <f>H357*AP357</f>
        <v>0</v>
      </c>
      <c r="AY357" s="14" t="s">
        <v>550</v>
      </c>
      <c r="AZ357" s="14" t="s">
        <v>362</v>
      </c>
      <c r="BA357" s="30" t="s">
        <v>694</v>
      </c>
      <c r="BC357" s="4">
        <f>AW357+AX357</f>
        <v>0</v>
      </c>
      <c r="BD357" s="4">
        <f>I357/(100-BE357)*100</f>
        <v>0</v>
      </c>
      <c r="BE357" s="4">
        <v>0</v>
      </c>
      <c r="BF357" s="4">
        <f>357</f>
        <v>357</v>
      </c>
      <c r="BH357" s="4">
        <f>H357*AO357</f>
        <v>0</v>
      </c>
      <c r="BI357" s="4">
        <f>H357*AP357</f>
        <v>0</v>
      </c>
      <c r="BJ357" s="4">
        <f>H357*I357</f>
        <v>0</v>
      </c>
      <c r="BK357" s="4"/>
      <c r="BL357" s="4">
        <v>791</v>
      </c>
    </row>
    <row r="358" spans="1:64" ht="13.5" customHeight="1">
      <c r="A358" s="13"/>
      <c r="B358" s="18" t="s">
        <v>473</v>
      </c>
      <c r="C358" s="54" t="s">
        <v>499</v>
      </c>
      <c r="D358" s="55"/>
      <c r="E358" s="55"/>
      <c r="F358" s="55"/>
      <c r="G358" s="55"/>
      <c r="H358" s="55"/>
      <c r="I358" s="55"/>
      <c r="J358" s="55"/>
      <c r="K358" s="55"/>
      <c r="L358" s="55"/>
      <c r="M358" s="56"/>
    </row>
    <row r="359" spans="1:64" ht="15" customHeight="1">
      <c r="A359" s="22" t="s">
        <v>257</v>
      </c>
      <c r="B359" s="9" t="s">
        <v>542</v>
      </c>
      <c r="C359" s="53" t="s">
        <v>634</v>
      </c>
      <c r="D359" s="53"/>
      <c r="E359" s="53"/>
      <c r="F359" s="53"/>
      <c r="G359" s="9" t="s">
        <v>695</v>
      </c>
      <c r="H359" s="4">
        <v>1</v>
      </c>
      <c r="I359" s="4">
        <v>0</v>
      </c>
      <c r="J359" s="4">
        <f>H359*AO359</f>
        <v>0</v>
      </c>
      <c r="K359" s="4">
        <f>H359*AP359</f>
        <v>0</v>
      </c>
      <c r="L359" s="4">
        <f>H359*I359</f>
        <v>0</v>
      </c>
      <c r="M359" s="17" t="s">
        <v>630</v>
      </c>
      <c r="Z359" s="4">
        <f>IF(AQ359="5",BJ359,0)</f>
        <v>0</v>
      </c>
      <c r="AB359" s="4">
        <f>IF(AQ359="1",BH359,0)</f>
        <v>0</v>
      </c>
      <c r="AC359" s="4">
        <f>IF(AQ359="1",BI359,0)</f>
        <v>0</v>
      </c>
      <c r="AD359" s="4">
        <f>IF(AQ359="7",BH359,0)</f>
        <v>0</v>
      </c>
      <c r="AE359" s="4">
        <f>IF(AQ359="7",BI359,0)</f>
        <v>0</v>
      </c>
      <c r="AF359" s="4">
        <f>IF(AQ359="2",BH359,0)</f>
        <v>0</v>
      </c>
      <c r="AG359" s="4">
        <f>IF(AQ359="2",BI359,0)</f>
        <v>0</v>
      </c>
      <c r="AH359" s="4">
        <f>IF(AQ359="0",BJ359,0)</f>
        <v>0</v>
      </c>
      <c r="AI359" s="30" t="s">
        <v>630</v>
      </c>
      <c r="AJ359" s="4">
        <f>IF(AN359=0,L359,0)</f>
        <v>0</v>
      </c>
      <c r="AK359" s="4">
        <f>IF(AN359=15,L359,0)</f>
        <v>0</v>
      </c>
      <c r="AL359" s="4">
        <f>IF(AN359=21,L359,0)</f>
        <v>0</v>
      </c>
      <c r="AN359" s="4">
        <v>21</v>
      </c>
      <c r="AO359" s="4">
        <f>I359*0.96969696969697</f>
        <v>0</v>
      </c>
      <c r="AP359" s="4">
        <f>I359*(1-0.96969696969697)</f>
        <v>0</v>
      </c>
      <c r="AQ359" s="14" t="s">
        <v>907</v>
      </c>
      <c r="AV359" s="4">
        <f>AW359+AX359</f>
        <v>0</v>
      </c>
      <c r="AW359" s="4">
        <f>H359*AO359</f>
        <v>0</v>
      </c>
      <c r="AX359" s="4">
        <f>H359*AP359</f>
        <v>0</v>
      </c>
      <c r="AY359" s="14" t="s">
        <v>550</v>
      </c>
      <c r="AZ359" s="14" t="s">
        <v>362</v>
      </c>
      <c r="BA359" s="30" t="s">
        <v>694</v>
      </c>
      <c r="BC359" s="4">
        <f>AW359+AX359</f>
        <v>0</v>
      </c>
      <c r="BD359" s="4">
        <f>I359/(100-BE359)*100</f>
        <v>0</v>
      </c>
      <c r="BE359" s="4">
        <v>0</v>
      </c>
      <c r="BF359" s="4">
        <f>359</f>
        <v>359</v>
      </c>
      <c r="BH359" s="4">
        <f>H359*AO359</f>
        <v>0</v>
      </c>
      <c r="BI359" s="4">
        <f>H359*AP359</f>
        <v>0</v>
      </c>
      <c r="BJ359" s="4">
        <f>H359*I359</f>
        <v>0</v>
      </c>
      <c r="BK359" s="4"/>
      <c r="BL359" s="4">
        <v>791</v>
      </c>
    </row>
    <row r="360" spans="1:64" ht="13.5" customHeight="1">
      <c r="A360" s="13"/>
      <c r="B360" s="18" t="s">
        <v>473</v>
      </c>
      <c r="C360" s="54" t="s">
        <v>499</v>
      </c>
      <c r="D360" s="55"/>
      <c r="E360" s="55"/>
      <c r="F360" s="55"/>
      <c r="G360" s="55"/>
      <c r="H360" s="55"/>
      <c r="I360" s="55"/>
      <c r="J360" s="55"/>
      <c r="K360" s="55"/>
      <c r="L360" s="55"/>
      <c r="M360" s="56"/>
    </row>
    <row r="361" spans="1:64" ht="15" customHeight="1">
      <c r="A361" s="22" t="s">
        <v>461</v>
      </c>
      <c r="B361" s="9" t="s">
        <v>542</v>
      </c>
      <c r="C361" s="53" t="s">
        <v>845</v>
      </c>
      <c r="D361" s="53"/>
      <c r="E361" s="53"/>
      <c r="F361" s="53"/>
      <c r="G361" s="9" t="s">
        <v>695</v>
      </c>
      <c r="H361" s="4">
        <v>1</v>
      </c>
      <c r="I361" s="4">
        <v>0</v>
      </c>
      <c r="J361" s="4">
        <f>H361*AO361</f>
        <v>0</v>
      </c>
      <c r="K361" s="4">
        <f>H361*AP361</f>
        <v>0</v>
      </c>
      <c r="L361" s="4">
        <f>H361*I361</f>
        <v>0</v>
      </c>
      <c r="M361" s="17" t="s">
        <v>630</v>
      </c>
      <c r="Z361" s="4">
        <f>IF(AQ361="5",BJ361,0)</f>
        <v>0</v>
      </c>
      <c r="AB361" s="4">
        <f>IF(AQ361="1",BH361,0)</f>
        <v>0</v>
      </c>
      <c r="AC361" s="4">
        <f>IF(AQ361="1",BI361,0)</f>
        <v>0</v>
      </c>
      <c r="AD361" s="4">
        <f>IF(AQ361="7",BH361,0)</f>
        <v>0</v>
      </c>
      <c r="AE361" s="4">
        <f>IF(AQ361="7",BI361,0)</f>
        <v>0</v>
      </c>
      <c r="AF361" s="4">
        <f>IF(AQ361="2",BH361,0)</f>
        <v>0</v>
      </c>
      <c r="AG361" s="4">
        <f>IF(AQ361="2",BI361,0)</f>
        <v>0</v>
      </c>
      <c r="AH361" s="4">
        <f>IF(AQ361="0",BJ361,0)</f>
        <v>0</v>
      </c>
      <c r="AI361" s="30" t="s">
        <v>630</v>
      </c>
      <c r="AJ361" s="4">
        <f>IF(AN361=0,L361,0)</f>
        <v>0</v>
      </c>
      <c r="AK361" s="4">
        <f>IF(AN361=15,L361,0)</f>
        <v>0</v>
      </c>
      <c r="AL361" s="4">
        <f>IF(AN361=21,L361,0)</f>
        <v>0</v>
      </c>
      <c r="AN361" s="4">
        <v>21</v>
      </c>
      <c r="AO361" s="4">
        <f>I361*0.9375</f>
        <v>0</v>
      </c>
      <c r="AP361" s="4">
        <f>I361*(1-0.9375)</f>
        <v>0</v>
      </c>
      <c r="AQ361" s="14" t="s">
        <v>907</v>
      </c>
      <c r="AV361" s="4">
        <f>AW361+AX361</f>
        <v>0</v>
      </c>
      <c r="AW361" s="4">
        <f>H361*AO361</f>
        <v>0</v>
      </c>
      <c r="AX361" s="4">
        <f>H361*AP361</f>
        <v>0</v>
      </c>
      <c r="AY361" s="14" t="s">
        <v>550</v>
      </c>
      <c r="AZ361" s="14" t="s">
        <v>362</v>
      </c>
      <c r="BA361" s="30" t="s">
        <v>694</v>
      </c>
      <c r="BC361" s="4">
        <f>AW361+AX361</f>
        <v>0</v>
      </c>
      <c r="BD361" s="4">
        <f>I361/(100-BE361)*100</f>
        <v>0</v>
      </c>
      <c r="BE361" s="4">
        <v>0</v>
      </c>
      <c r="BF361" s="4">
        <f>361</f>
        <v>361</v>
      </c>
      <c r="BH361" s="4">
        <f>H361*AO361</f>
        <v>0</v>
      </c>
      <c r="BI361" s="4">
        <f>H361*AP361</f>
        <v>0</v>
      </c>
      <c r="BJ361" s="4">
        <f>H361*I361</f>
        <v>0</v>
      </c>
      <c r="BK361" s="4"/>
      <c r="BL361" s="4">
        <v>791</v>
      </c>
    </row>
    <row r="362" spans="1:64" ht="13.5" customHeight="1">
      <c r="A362" s="13"/>
      <c r="B362" s="18" t="s">
        <v>473</v>
      </c>
      <c r="C362" s="54" t="s">
        <v>499</v>
      </c>
      <c r="D362" s="55"/>
      <c r="E362" s="55"/>
      <c r="F362" s="55"/>
      <c r="G362" s="55"/>
      <c r="H362" s="55"/>
      <c r="I362" s="55"/>
      <c r="J362" s="55"/>
      <c r="K362" s="55"/>
      <c r="L362" s="55"/>
      <c r="M362" s="56"/>
    </row>
    <row r="363" spans="1:64" ht="15" customHeight="1">
      <c r="A363" s="22" t="s">
        <v>572</v>
      </c>
      <c r="B363" s="9" t="s">
        <v>542</v>
      </c>
      <c r="C363" s="53" t="s">
        <v>178</v>
      </c>
      <c r="D363" s="53"/>
      <c r="E363" s="53"/>
      <c r="F363" s="53"/>
      <c r="G363" s="9" t="s">
        <v>695</v>
      </c>
      <c r="H363" s="4">
        <v>1</v>
      </c>
      <c r="I363" s="4">
        <v>0</v>
      </c>
      <c r="J363" s="4">
        <f>H363*AO363</f>
        <v>0</v>
      </c>
      <c r="K363" s="4">
        <f>H363*AP363</f>
        <v>0</v>
      </c>
      <c r="L363" s="4">
        <f>H363*I363</f>
        <v>0</v>
      </c>
      <c r="M363" s="17" t="s">
        <v>630</v>
      </c>
      <c r="Z363" s="4">
        <f>IF(AQ363="5",BJ363,0)</f>
        <v>0</v>
      </c>
      <c r="AB363" s="4">
        <f>IF(AQ363="1",BH363,0)</f>
        <v>0</v>
      </c>
      <c r="AC363" s="4">
        <f>IF(AQ363="1",BI363,0)</f>
        <v>0</v>
      </c>
      <c r="AD363" s="4">
        <f>IF(AQ363="7",BH363,0)</f>
        <v>0</v>
      </c>
      <c r="AE363" s="4">
        <f>IF(AQ363="7",BI363,0)</f>
        <v>0</v>
      </c>
      <c r="AF363" s="4">
        <f>IF(AQ363="2",BH363,0)</f>
        <v>0</v>
      </c>
      <c r="AG363" s="4">
        <f>IF(AQ363="2",BI363,0)</f>
        <v>0</v>
      </c>
      <c r="AH363" s="4">
        <f>IF(AQ363="0",BJ363,0)</f>
        <v>0</v>
      </c>
      <c r="AI363" s="30" t="s">
        <v>630</v>
      </c>
      <c r="AJ363" s="4">
        <f>IF(AN363=0,L363,0)</f>
        <v>0</v>
      </c>
      <c r="AK363" s="4">
        <f>IF(AN363=15,L363,0)</f>
        <v>0</v>
      </c>
      <c r="AL363" s="4">
        <f>IF(AN363=21,L363,0)</f>
        <v>0</v>
      </c>
      <c r="AN363" s="4">
        <v>21</v>
      </c>
      <c r="AO363" s="4">
        <f>I363*0.995850622406639</f>
        <v>0</v>
      </c>
      <c r="AP363" s="4">
        <f>I363*(1-0.995850622406639)</f>
        <v>0</v>
      </c>
      <c r="AQ363" s="14" t="s">
        <v>907</v>
      </c>
      <c r="AV363" s="4">
        <f>AW363+AX363</f>
        <v>0</v>
      </c>
      <c r="AW363" s="4">
        <f>H363*AO363</f>
        <v>0</v>
      </c>
      <c r="AX363" s="4">
        <f>H363*AP363</f>
        <v>0</v>
      </c>
      <c r="AY363" s="14" t="s">
        <v>550</v>
      </c>
      <c r="AZ363" s="14" t="s">
        <v>362</v>
      </c>
      <c r="BA363" s="30" t="s">
        <v>694</v>
      </c>
      <c r="BC363" s="4">
        <f>AW363+AX363</f>
        <v>0</v>
      </c>
      <c r="BD363" s="4">
        <f>I363/(100-BE363)*100</f>
        <v>0</v>
      </c>
      <c r="BE363" s="4">
        <v>0</v>
      </c>
      <c r="BF363" s="4">
        <f>363</f>
        <v>363</v>
      </c>
      <c r="BH363" s="4">
        <f>H363*AO363</f>
        <v>0</v>
      </c>
      <c r="BI363" s="4">
        <f>H363*AP363</f>
        <v>0</v>
      </c>
      <c r="BJ363" s="4">
        <f>H363*I363</f>
        <v>0</v>
      </c>
      <c r="BK363" s="4"/>
      <c r="BL363" s="4">
        <v>791</v>
      </c>
    </row>
    <row r="364" spans="1:64" ht="13.5" customHeight="1">
      <c r="A364" s="13"/>
      <c r="B364" s="18" t="s">
        <v>473</v>
      </c>
      <c r="C364" s="54" t="s">
        <v>499</v>
      </c>
      <c r="D364" s="55"/>
      <c r="E364" s="55"/>
      <c r="F364" s="55"/>
      <c r="G364" s="55"/>
      <c r="H364" s="55"/>
      <c r="I364" s="55"/>
      <c r="J364" s="55"/>
      <c r="K364" s="55"/>
      <c r="L364" s="55"/>
      <c r="M364" s="56"/>
    </row>
    <row r="365" spans="1:64" ht="15" customHeight="1">
      <c r="A365" s="22" t="s">
        <v>858</v>
      </c>
      <c r="B365" s="9" t="s">
        <v>542</v>
      </c>
      <c r="C365" s="53" t="s">
        <v>312</v>
      </c>
      <c r="D365" s="53"/>
      <c r="E365" s="53"/>
      <c r="F365" s="53"/>
      <c r="G365" s="9" t="s">
        <v>695</v>
      </c>
      <c r="H365" s="4">
        <v>1</v>
      </c>
      <c r="I365" s="4">
        <v>0</v>
      </c>
      <c r="J365" s="4">
        <f>H365*AO365</f>
        <v>0</v>
      </c>
      <c r="K365" s="4">
        <f>H365*AP365</f>
        <v>0</v>
      </c>
      <c r="L365" s="4">
        <f>H365*I365</f>
        <v>0</v>
      </c>
      <c r="M365" s="17" t="s">
        <v>630</v>
      </c>
      <c r="Z365" s="4">
        <f>IF(AQ365="5",BJ365,0)</f>
        <v>0</v>
      </c>
      <c r="AB365" s="4">
        <f>IF(AQ365="1",BH365,0)</f>
        <v>0</v>
      </c>
      <c r="AC365" s="4">
        <f>IF(AQ365="1",BI365,0)</f>
        <v>0</v>
      </c>
      <c r="AD365" s="4">
        <f>IF(AQ365="7",BH365,0)</f>
        <v>0</v>
      </c>
      <c r="AE365" s="4">
        <f>IF(AQ365="7",BI365,0)</f>
        <v>0</v>
      </c>
      <c r="AF365" s="4">
        <f>IF(AQ365="2",BH365,0)</f>
        <v>0</v>
      </c>
      <c r="AG365" s="4">
        <f>IF(AQ365="2",BI365,0)</f>
        <v>0</v>
      </c>
      <c r="AH365" s="4">
        <f>IF(AQ365="0",BJ365,0)</f>
        <v>0</v>
      </c>
      <c r="AI365" s="30" t="s">
        <v>630</v>
      </c>
      <c r="AJ365" s="4">
        <f>IF(AN365=0,L365,0)</f>
        <v>0</v>
      </c>
      <c r="AK365" s="4">
        <f>IF(AN365=15,L365,0)</f>
        <v>0</v>
      </c>
      <c r="AL365" s="4">
        <f>IF(AN365=21,L365,0)</f>
        <v>0</v>
      </c>
      <c r="AN365" s="4">
        <v>21</v>
      </c>
      <c r="AO365" s="4">
        <f>I365*0.983050847457627</f>
        <v>0</v>
      </c>
      <c r="AP365" s="4">
        <f>I365*(1-0.983050847457627)</f>
        <v>0</v>
      </c>
      <c r="AQ365" s="14" t="s">
        <v>907</v>
      </c>
      <c r="AV365" s="4">
        <f>AW365+AX365</f>
        <v>0</v>
      </c>
      <c r="AW365" s="4">
        <f>H365*AO365</f>
        <v>0</v>
      </c>
      <c r="AX365" s="4">
        <f>H365*AP365</f>
        <v>0</v>
      </c>
      <c r="AY365" s="14" t="s">
        <v>550</v>
      </c>
      <c r="AZ365" s="14" t="s">
        <v>362</v>
      </c>
      <c r="BA365" s="30" t="s">
        <v>694</v>
      </c>
      <c r="BC365" s="4">
        <f>AW365+AX365</f>
        <v>0</v>
      </c>
      <c r="BD365" s="4">
        <f>I365/(100-BE365)*100</f>
        <v>0</v>
      </c>
      <c r="BE365" s="4">
        <v>0</v>
      </c>
      <c r="BF365" s="4">
        <f>365</f>
        <v>365</v>
      </c>
      <c r="BH365" s="4">
        <f>H365*AO365</f>
        <v>0</v>
      </c>
      <c r="BI365" s="4">
        <f>H365*AP365</f>
        <v>0</v>
      </c>
      <c r="BJ365" s="4">
        <f>H365*I365</f>
        <v>0</v>
      </c>
      <c r="BK365" s="4"/>
      <c r="BL365" s="4">
        <v>791</v>
      </c>
    </row>
    <row r="366" spans="1:64" ht="13.5" customHeight="1">
      <c r="A366" s="13"/>
      <c r="B366" s="18" t="s">
        <v>473</v>
      </c>
      <c r="C366" s="54" t="s">
        <v>499</v>
      </c>
      <c r="D366" s="55"/>
      <c r="E366" s="55"/>
      <c r="F366" s="55"/>
      <c r="G366" s="55"/>
      <c r="H366" s="55"/>
      <c r="I366" s="55"/>
      <c r="J366" s="55"/>
      <c r="K366" s="55"/>
      <c r="L366" s="55"/>
      <c r="M366" s="56"/>
    </row>
    <row r="367" spans="1:64" ht="15" customHeight="1">
      <c r="A367" s="22" t="s">
        <v>200</v>
      </c>
      <c r="B367" s="9" t="s">
        <v>542</v>
      </c>
      <c r="C367" s="53" t="s">
        <v>1008</v>
      </c>
      <c r="D367" s="53"/>
      <c r="E367" s="53"/>
      <c r="F367" s="53"/>
      <c r="G367" s="9" t="s">
        <v>695</v>
      </c>
      <c r="H367" s="4">
        <v>1</v>
      </c>
      <c r="I367" s="4">
        <v>0</v>
      </c>
      <c r="J367" s="4">
        <f>H367*AO367</f>
        <v>0</v>
      </c>
      <c r="K367" s="4">
        <f>H367*AP367</f>
        <v>0</v>
      </c>
      <c r="L367" s="4">
        <f>H367*I367</f>
        <v>0</v>
      </c>
      <c r="M367" s="17" t="s">
        <v>630</v>
      </c>
      <c r="Z367" s="4">
        <f>IF(AQ367="5",BJ367,0)</f>
        <v>0</v>
      </c>
      <c r="AB367" s="4">
        <f>IF(AQ367="1",BH367,0)</f>
        <v>0</v>
      </c>
      <c r="AC367" s="4">
        <f>IF(AQ367="1",BI367,0)</f>
        <v>0</v>
      </c>
      <c r="AD367" s="4">
        <f>IF(AQ367="7",BH367,0)</f>
        <v>0</v>
      </c>
      <c r="AE367" s="4">
        <f>IF(AQ367="7",BI367,0)</f>
        <v>0</v>
      </c>
      <c r="AF367" s="4">
        <f>IF(AQ367="2",BH367,0)</f>
        <v>0</v>
      </c>
      <c r="AG367" s="4">
        <f>IF(AQ367="2",BI367,0)</f>
        <v>0</v>
      </c>
      <c r="AH367" s="4">
        <f>IF(AQ367="0",BJ367,0)</f>
        <v>0</v>
      </c>
      <c r="AI367" s="30" t="s">
        <v>630</v>
      </c>
      <c r="AJ367" s="4">
        <f>IF(AN367=0,L367,0)</f>
        <v>0</v>
      </c>
      <c r="AK367" s="4">
        <f>IF(AN367=15,L367,0)</f>
        <v>0</v>
      </c>
      <c r="AL367" s="4">
        <f>IF(AN367=21,L367,0)</f>
        <v>0</v>
      </c>
      <c r="AN367" s="4">
        <v>21</v>
      </c>
      <c r="AO367" s="4">
        <f>I367*0.99236641221374</f>
        <v>0</v>
      </c>
      <c r="AP367" s="4">
        <f>I367*(1-0.99236641221374)</f>
        <v>0</v>
      </c>
      <c r="AQ367" s="14" t="s">
        <v>907</v>
      </c>
      <c r="AV367" s="4">
        <f>AW367+AX367</f>
        <v>0</v>
      </c>
      <c r="AW367" s="4">
        <f>H367*AO367</f>
        <v>0</v>
      </c>
      <c r="AX367" s="4">
        <f>H367*AP367</f>
        <v>0</v>
      </c>
      <c r="AY367" s="14" t="s">
        <v>550</v>
      </c>
      <c r="AZ367" s="14" t="s">
        <v>362</v>
      </c>
      <c r="BA367" s="30" t="s">
        <v>694</v>
      </c>
      <c r="BC367" s="4">
        <f>AW367+AX367</f>
        <v>0</v>
      </c>
      <c r="BD367" s="4">
        <f>I367/(100-BE367)*100</f>
        <v>0</v>
      </c>
      <c r="BE367" s="4">
        <v>0</v>
      </c>
      <c r="BF367" s="4">
        <f>367</f>
        <v>367</v>
      </c>
      <c r="BH367" s="4">
        <f>H367*AO367</f>
        <v>0</v>
      </c>
      <c r="BI367" s="4">
        <f>H367*AP367</f>
        <v>0</v>
      </c>
      <c r="BJ367" s="4">
        <f>H367*I367</f>
        <v>0</v>
      </c>
      <c r="BK367" s="4"/>
      <c r="BL367" s="4">
        <v>791</v>
      </c>
    </row>
    <row r="368" spans="1:64" ht="13.5" customHeight="1">
      <c r="A368" s="13"/>
      <c r="B368" s="18" t="s">
        <v>473</v>
      </c>
      <c r="C368" s="54" t="s">
        <v>499</v>
      </c>
      <c r="D368" s="55"/>
      <c r="E368" s="55"/>
      <c r="F368" s="55"/>
      <c r="G368" s="55"/>
      <c r="H368" s="55"/>
      <c r="I368" s="55"/>
      <c r="J368" s="55"/>
      <c r="K368" s="55"/>
      <c r="L368" s="55"/>
      <c r="M368" s="56"/>
    </row>
    <row r="369" spans="1:64" ht="15" customHeight="1">
      <c r="A369" s="22" t="s">
        <v>876</v>
      </c>
      <c r="B369" s="9" t="s">
        <v>542</v>
      </c>
      <c r="C369" s="53" t="s">
        <v>843</v>
      </c>
      <c r="D369" s="53"/>
      <c r="E369" s="53"/>
      <c r="F369" s="53"/>
      <c r="G369" s="9" t="s">
        <v>695</v>
      </c>
      <c r="H369" s="4">
        <v>1</v>
      </c>
      <c r="I369" s="4">
        <v>0</v>
      </c>
      <c r="J369" s="4">
        <f>H369*AO369</f>
        <v>0</v>
      </c>
      <c r="K369" s="4">
        <f>H369*AP369</f>
        <v>0</v>
      </c>
      <c r="L369" s="4">
        <f>H369*I369</f>
        <v>0</v>
      </c>
      <c r="M369" s="17" t="s">
        <v>630</v>
      </c>
      <c r="Z369" s="4">
        <f>IF(AQ369="5",BJ369,0)</f>
        <v>0</v>
      </c>
      <c r="AB369" s="4">
        <f>IF(AQ369="1",BH369,0)</f>
        <v>0</v>
      </c>
      <c r="AC369" s="4">
        <f>IF(AQ369="1",BI369,0)</f>
        <v>0</v>
      </c>
      <c r="AD369" s="4">
        <f>IF(AQ369="7",BH369,0)</f>
        <v>0</v>
      </c>
      <c r="AE369" s="4">
        <f>IF(AQ369="7",BI369,0)</f>
        <v>0</v>
      </c>
      <c r="AF369" s="4">
        <f>IF(AQ369="2",BH369,0)</f>
        <v>0</v>
      </c>
      <c r="AG369" s="4">
        <f>IF(AQ369="2",BI369,0)</f>
        <v>0</v>
      </c>
      <c r="AH369" s="4">
        <f>IF(AQ369="0",BJ369,0)</f>
        <v>0</v>
      </c>
      <c r="AI369" s="30" t="s">
        <v>630</v>
      </c>
      <c r="AJ369" s="4">
        <f>IF(AN369=0,L369,0)</f>
        <v>0</v>
      </c>
      <c r="AK369" s="4">
        <f>IF(AN369=15,L369,0)</f>
        <v>0</v>
      </c>
      <c r="AL369" s="4">
        <f>IF(AN369=21,L369,0)</f>
        <v>0</v>
      </c>
      <c r="AN369" s="4">
        <v>21</v>
      </c>
      <c r="AO369" s="4">
        <f>I369*0.989010989010989</f>
        <v>0</v>
      </c>
      <c r="AP369" s="4">
        <f>I369*(1-0.989010989010989)</f>
        <v>0</v>
      </c>
      <c r="AQ369" s="14" t="s">
        <v>907</v>
      </c>
      <c r="AV369" s="4">
        <f>AW369+AX369</f>
        <v>0</v>
      </c>
      <c r="AW369" s="4">
        <f>H369*AO369</f>
        <v>0</v>
      </c>
      <c r="AX369" s="4">
        <f>H369*AP369</f>
        <v>0</v>
      </c>
      <c r="AY369" s="14" t="s">
        <v>550</v>
      </c>
      <c r="AZ369" s="14" t="s">
        <v>362</v>
      </c>
      <c r="BA369" s="30" t="s">
        <v>694</v>
      </c>
      <c r="BC369" s="4">
        <f>AW369+AX369</f>
        <v>0</v>
      </c>
      <c r="BD369" s="4">
        <f>I369/(100-BE369)*100</f>
        <v>0</v>
      </c>
      <c r="BE369" s="4">
        <v>0</v>
      </c>
      <c r="BF369" s="4">
        <f>369</f>
        <v>369</v>
      </c>
      <c r="BH369" s="4">
        <f>H369*AO369</f>
        <v>0</v>
      </c>
      <c r="BI369" s="4">
        <f>H369*AP369</f>
        <v>0</v>
      </c>
      <c r="BJ369" s="4">
        <f>H369*I369</f>
        <v>0</v>
      </c>
      <c r="BK369" s="4"/>
      <c r="BL369" s="4">
        <v>791</v>
      </c>
    </row>
    <row r="370" spans="1:64" ht="13.5" customHeight="1">
      <c r="A370" s="13"/>
      <c r="B370" s="18" t="s">
        <v>473</v>
      </c>
      <c r="C370" s="54" t="s">
        <v>499</v>
      </c>
      <c r="D370" s="55"/>
      <c r="E370" s="55"/>
      <c r="F370" s="55"/>
      <c r="G370" s="55"/>
      <c r="H370" s="55"/>
      <c r="I370" s="55"/>
      <c r="J370" s="55"/>
      <c r="K370" s="55"/>
      <c r="L370" s="55"/>
      <c r="M370" s="56"/>
    </row>
    <row r="371" spans="1:64" ht="15" customHeight="1">
      <c r="A371" s="22" t="s">
        <v>385</v>
      </c>
      <c r="B371" s="9" t="s">
        <v>542</v>
      </c>
      <c r="C371" s="53" t="s">
        <v>220</v>
      </c>
      <c r="D371" s="53"/>
      <c r="E371" s="53"/>
      <c r="F371" s="53"/>
      <c r="G371" s="9" t="s">
        <v>695</v>
      </c>
      <c r="H371" s="4">
        <v>1</v>
      </c>
      <c r="I371" s="4">
        <v>0</v>
      </c>
      <c r="J371" s="4">
        <f>H371*AO371</f>
        <v>0</v>
      </c>
      <c r="K371" s="4">
        <f>H371*AP371</f>
        <v>0</v>
      </c>
      <c r="L371" s="4">
        <f>H371*I371</f>
        <v>0</v>
      </c>
      <c r="M371" s="17" t="s">
        <v>630</v>
      </c>
      <c r="Z371" s="4">
        <f>IF(AQ371="5",BJ371,0)</f>
        <v>0</v>
      </c>
      <c r="AB371" s="4">
        <f>IF(AQ371="1",BH371,0)</f>
        <v>0</v>
      </c>
      <c r="AC371" s="4">
        <f>IF(AQ371="1",BI371,0)</f>
        <v>0</v>
      </c>
      <c r="AD371" s="4">
        <f>IF(AQ371="7",BH371,0)</f>
        <v>0</v>
      </c>
      <c r="AE371" s="4">
        <f>IF(AQ371="7",BI371,0)</f>
        <v>0</v>
      </c>
      <c r="AF371" s="4">
        <f>IF(AQ371="2",BH371,0)</f>
        <v>0</v>
      </c>
      <c r="AG371" s="4">
        <f>IF(AQ371="2",BI371,0)</f>
        <v>0</v>
      </c>
      <c r="AH371" s="4">
        <f>IF(AQ371="0",BJ371,0)</f>
        <v>0</v>
      </c>
      <c r="AI371" s="30" t="s">
        <v>630</v>
      </c>
      <c r="AJ371" s="4">
        <f>IF(AN371=0,L371,0)</f>
        <v>0</v>
      </c>
      <c r="AK371" s="4">
        <f>IF(AN371=15,L371,0)</f>
        <v>0</v>
      </c>
      <c r="AL371" s="4">
        <f>IF(AN371=21,L371,0)</f>
        <v>0</v>
      </c>
      <c r="AN371" s="4">
        <v>21</v>
      </c>
      <c r="AO371" s="4">
        <f>I371*0.993377483443709</f>
        <v>0</v>
      </c>
      <c r="AP371" s="4">
        <f>I371*(1-0.993377483443709)</f>
        <v>0</v>
      </c>
      <c r="AQ371" s="14" t="s">
        <v>907</v>
      </c>
      <c r="AV371" s="4">
        <f>AW371+AX371</f>
        <v>0</v>
      </c>
      <c r="AW371" s="4">
        <f>H371*AO371</f>
        <v>0</v>
      </c>
      <c r="AX371" s="4">
        <f>H371*AP371</f>
        <v>0</v>
      </c>
      <c r="AY371" s="14" t="s">
        <v>550</v>
      </c>
      <c r="AZ371" s="14" t="s">
        <v>362</v>
      </c>
      <c r="BA371" s="30" t="s">
        <v>694</v>
      </c>
      <c r="BC371" s="4">
        <f>AW371+AX371</f>
        <v>0</v>
      </c>
      <c r="BD371" s="4">
        <f>I371/(100-BE371)*100</f>
        <v>0</v>
      </c>
      <c r="BE371" s="4">
        <v>0</v>
      </c>
      <c r="BF371" s="4">
        <f>371</f>
        <v>371</v>
      </c>
      <c r="BH371" s="4">
        <f>H371*AO371</f>
        <v>0</v>
      </c>
      <c r="BI371" s="4">
        <f>H371*AP371</f>
        <v>0</v>
      </c>
      <c r="BJ371" s="4">
        <f>H371*I371</f>
        <v>0</v>
      </c>
      <c r="BK371" s="4"/>
      <c r="BL371" s="4">
        <v>791</v>
      </c>
    </row>
    <row r="372" spans="1:64" ht="13.5" customHeight="1">
      <c r="A372" s="13"/>
      <c r="B372" s="18" t="s">
        <v>473</v>
      </c>
      <c r="C372" s="54" t="s">
        <v>499</v>
      </c>
      <c r="D372" s="55"/>
      <c r="E372" s="55"/>
      <c r="F372" s="55"/>
      <c r="G372" s="55"/>
      <c r="H372" s="55"/>
      <c r="I372" s="55"/>
      <c r="J372" s="55"/>
      <c r="K372" s="55"/>
      <c r="L372" s="55"/>
      <c r="M372" s="56"/>
    </row>
    <row r="373" spans="1:64" ht="15" customHeight="1">
      <c r="A373" s="22" t="s">
        <v>6</v>
      </c>
      <c r="B373" s="9" t="s">
        <v>542</v>
      </c>
      <c r="C373" s="53" t="s">
        <v>635</v>
      </c>
      <c r="D373" s="53"/>
      <c r="E373" s="53"/>
      <c r="F373" s="53"/>
      <c r="G373" s="9" t="s">
        <v>695</v>
      </c>
      <c r="H373" s="4">
        <v>4</v>
      </c>
      <c r="I373" s="4">
        <v>0</v>
      </c>
      <c r="J373" s="4">
        <f>H373*AO373</f>
        <v>0</v>
      </c>
      <c r="K373" s="4">
        <f>H373*AP373</f>
        <v>0</v>
      </c>
      <c r="L373" s="4">
        <f>H373*I373</f>
        <v>0</v>
      </c>
      <c r="M373" s="17" t="s">
        <v>630</v>
      </c>
      <c r="Z373" s="4">
        <f>IF(AQ373="5",BJ373,0)</f>
        <v>0</v>
      </c>
      <c r="AB373" s="4">
        <f>IF(AQ373="1",BH373,0)</f>
        <v>0</v>
      </c>
      <c r="AC373" s="4">
        <f>IF(AQ373="1",BI373,0)</f>
        <v>0</v>
      </c>
      <c r="AD373" s="4">
        <f>IF(AQ373="7",BH373,0)</f>
        <v>0</v>
      </c>
      <c r="AE373" s="4">
        <f>IF(AQ373="7",BI373,0)</f>
        <v>0</v>
      </c>
      <c r="AF373" s="4">
        <f>IF(AQ373="2",BH373,0)</f>
        <v>0</v>
      </c>
      <c r="AG373" s="4">
        <f>IF(AQ373="2",BI373,0)</f>
        <v>0</v>
      </c>
      <c r="AH373" s="4">
        <f>IF(AQ373="0",BJ373,0)</f>
        <v>0</v>
      </c>
      <c r="AI373" s="30" t="s">
        <v>630</v>
      </c>
      <c r="AJ373" s="4">
        <f>IF(AN373=0,L373,0)</f>
        <v>0</v>
      </c>
      <c r="AK373" s="4">
        <f>IF(AN373=15,L373,0)</f>
        <v>0</v>
      </c>
      <c r="AL373" s="4">
        <f>IF(AN373=21,L373,0)</f>
        <v>0</v>
      </c>
      <c r="AN373" s="4">
        <v>21</v>
      </c>
      <c r="AO373" s="4">
        <f>I373*1</f>
        <v>0</v>
      </c>
      <c r="AP373" s="4">
        <f>I373*(1-1)</f>
        <v>0</v>
      </c>
      <c r="AQ373" s="14" t="s">
        <v>907</v>
      </c>
      <c r="AV373" s="4">
        <f>AW373+AX373</f>
        <v>0</v>
      </c>
      <c r="AW373" s="4">
        <f>H373*AO373</f>
        <v>0</v>
      </c>
      <c r="AX373" s="4">
        <f>H373*AP373</f>
        <v>0</v>
      </c>
      <c r="AY373" s="14" t="s">
        <v>550</v>
      </c>
      <c r="AZ373" s="14" t="s">
        <v>362</v>
      </c>
      <c r="BA373" s="30" t="s">
        <v>694</v>
      </c>
      <c r="BC373" s="4">
        <f>AW373+AX373</f>
        <v>0</v>
      </c>
      <c r="BD373" s="4">
        <f>I373/(100-BE373)*100</f>
        <v>0</v>
      </c>
      <c r="BE373" s="4">
        <v>0</v>
      </c>
      <c r="BF373" s="4">
        <f>373</f>
        <v>373</v>
      </c>
      <c r="BH373" s="4">
        <f>H373*AO373</f>
        <v>0</v>
      </c>
      <c r="BI373" s="4">
        <f>H373*AP373</f>
        <v>0</v>
      </c>
      <c r="BJ373" s="4">
        <f>H373*I373</f>
        <v>0</v>
      </c>
      <c r="BK373" s="4"/>
      <c r="BL373" s="4">
        <v>791</v>
      </c>
    </row>
    <row r="374" spans="1:64" ht="13.5" customHeight="1">
      <c r="A374" s="13"/>
      <c r="B374" s="18" t="s">
        <v>473</v>
      </c>
      <c r="C374" s="54" t="s">
        <v>45</v>
      </c>
      <c r="D374" s="55"/>
      <c r="E374" s="55"/>
      <c r="F374" s="55"/>
      <c r="G374" s="55"/>
      <c r="H374" s="55"/>
      <c r="I374" s="55"/>
      <c r="J374" s="55"/>
      <c r="K374" s="55"/>
      <c r="L374" s="55"/>
      <c r="M374" s="56"/>
    </row>
    <row r="375" spans="1:64" ht="15" customHeight="1">
      <c r="A375" s="22" t="s">
        <v>421</v>
      </c>
      <c r="B375" s="9" t="s">
        <v>542</v>
      </c>
      <c r="C375" s="53" t="s">
        <v>810</v>
      </c>
      <c r="D375" s="53"/>
      <c r="E375" s="53"/>
      <c r="F375" s="53"/>
      <c r="G375" s="9" t="s">
        <v>194</v>
      </c>
      <c r="H375" s="4">
        <v>20</v>
      </c>
      <c r="I375" s="4">
        <v>0</v>
      </c>
      <c r="J375" s="4">
        <f>H375*AO375</f>
        <v>0</v>
      </c>
      <c r="K375" s="4">
        <f>H375*AP375</f>
        <v>0</v>
      </c>
      <c r="L375" s="4">
        <f>H375*I375</f>
        <v>0</v>
      </c>
      <c r="M375" s="17" t="s">
        <v>630</v>
      </c>
      <c r="Z375" s="4">
        <f>IF(AQ375="5",BJ375,0)</f>
        <v>0</v>
      </c>
      <c r="AB375" s="4">
        <f>IF(AQ375="1",BH375,0)</f>
        <v>0</v>
      </c>
      <c r="AC375" s="4">
        <f>IF(AQ375="1",BI375,0)</f>
        <v>0</v>
      </c>
      <c r="AD375" s="4">
        <f>IF(AQ375="7",BH375,0)</f>
        <v>0</v>
      </c>
      <c r="AE375" s="4">
        <f>IF(AQ375="7",BI375,0)</f>
        <v>0</v>
      </c>
      <c r="AF375" s="4">
        <f>IF(AQ375="2",BH375,0)</f>
        <v>0</v>
      </c>
      <c r="AG375" s="4">
        <f>IF(AQ375="2",BI375,0)</f>
        <v>0</v>
      </c>
      <c r="AH375" s="4">
        <f>IF(AQ375="0",BJ375,0)</f>
        <v>0</v>
      </c>
      <c r="AI375" s="30" t="s">
        <v>630</v>
      </c>
      <c r="AJ375" s="4">
        <f>IF(AN375=0,L375,0)</f>
        <v>0</v>
      </c>
      <c r="AK375" s="4">
        <f>IF(AN375=15,L375,0)</f>
        <v>0</v>
      </c>
      <c r="AL375" s="4">
        <f>IF(AN375=21,L375,0)</f>
        <v>0</v>
      </c>
      <c r="AN375" s="4">
        <v>21</v>
      </c>
      <c r="AO375" s="4">
        <f>I375*1</f>
        <v>0</v>
      </c>
      <c r="AP375" s="4">
        <f>I375*(1-1)</f>
        <v>0</v>
      </c>
      <c r="AQ375" s="14" t="s">
        <v>907</v>
      </c>
      <c r="AV375" s="4">
        <f>AW375+AX375</f>
        <v>0</v>
      </c>
      <c r="AW375" s="4">
        <f>H375*AO375</f>
        <v>0</v>
      </c>
      <c r="AX375" s="4">
        <f>H375*AP375</f>
        <v>0</v>
      </c>
      <c r="AY375" s="14" t="s">
        <v>550</v>
      </c>
      <c r="AZ375" s="14" t="s">
        <v>362</v>
      </c>
      <c r="BA375" s="30" t="s">
        <v>694</v>
      </c>
      <c r="BC375" s="4">
        <f>AW375+AX375</f>
        <v>0</v>
      </c>
      <c r="BD375" s="4">
        <f>I375/(100-BE375)*100</f>
        <v>0</v>
      </c>
      <c r="BE375" s="4">
        <v>0</v>
      </c>
      <c r="BF375" s="4">
        <f>375</f>
        <v>375</v>
      </c>
      <c r="BH375" s="4">
        <f>H375*AO375</f>
        <v>0</v>
      </c>
      <c r="BI375" s="4">
        <f>H375*AP375</f>
        <v>0</v>
      </c>
      <c r="BJ375" s="4">
        <f>H375*I375</f>
        <v>0</v>
      </c>
      <c r="BK375" s="4"/>
      <c r="BL375" s="4">
        <v>791</v>
      </c>
    </row>
    <row r="376" spans="1:64" ht="13.5" customHeight="1">
      <c r="A376" s="13"/>
      <c r="B376" s="18" t="s">
        <v>473</v>
      </c>
      <c r="C376" s="54" t="s">
        <v>45</v>
      </c>
      <c r="D376" s="55"/>
      <c r="E376" s="55"/>
      <c r="F376" s="55"/>
      <c r="G376" s="55"/>
      <c r="H376" s="55"/>
      <c r="I376" s="55"/>
      <c r="J376" s="55"/>
      <c r="K376" s="55"/>
      <c r="L376" s="55"/>
      <c r="M376" s="56"/>
    </row>
    <row r="377" spans="1:64" ht="15" customHeight="1">
      <c r="A377" s="22" t="s">
        <v>201</v>
      </c>
      <c r="B377" s="9" t="s">
        <v>542</v>
      </c>
      <c r="C377" s="53" t="s">
        <v>941</v>
      </c>
      <c r="D377" s="53"/>
      <c r="E377" s="53"/>
      <c r="F377" s="53"/>
      <c r="G377" s="9" t="s">
        <v>695</v>
      </c>
      <c r="H377" s="4">
        <v>1</v>
      </c>
      <c r="I377" s="4">
        <v>0</v>
      </c>
      <c r="J377" s="4">
        <f>H377*AO377</f>
        <v>0</v>
      </c>
      <c r="K377" s="4">
        <f>H377*AP377</f>
        <v>0</v>
      </c>
      <c r="L377" s="4">
        <f>H377*I377</f>
        <v>0</v>
      </c>
      <c r="M377" s="17" t="s">
        <v>630</v>
      </c>
      <c r="Z377" s="4">
        <f>IF(AQ377="5",BJ377,0)</f>
        <v>0</v>
      </c>
      <c r="AB377" s="4">
        <f>IF(AQ377="1",BH377,0)</f>
        <v>0</v>
      </c>
      <c r="AC377" s="4">
        <f>IF(AQ377="1",BI377,0)</f>
        <v>0</v>
      </c>
      <c r="AD377" s="4">
        <f>IF(AQ377="7",BH377,0)</f>
        <v>0</v>
      </c>
      <c r="AE377" s="4">
        <f>IF(AQ377="7",BI377,0)</f>
        <v>0</v>
      </c>
      <c r="AF377" s="4">
        <f>IF(AQ377="2",BH377,0)</f>
        <v>0</v>
      </c>
      <c r="AG377" s="4">
        <f>IF(AQ377="2",BI377,0)</f>
        <v>0</v>
      </c>
      <c r="AH377" s="4">
        <f>IF(AQ377="0",BJ377,0)</f>
        <v>0</v>
      </c>
      <c r="AI377" s="30" t="s">
        <v>630</v>
      </c>
      <c r="AJ377" s="4">
        <f>IF(AN377=0,L377,0)</f>
        <v>0</v>
      </c>
      <c r="AK377" s="4">
        <f>IF(AN377=15,L377,0)</f>
        <v>0</v>
      </c>
      <c r="AL377" s="4">
        <f>IF(AN377=21,L377,0)</f>
        <v>0</v>
      </c>
      <c r="AN377" s="4">
        <v>21</v>
      </c>
      <c r="AO377" s="4">
        <f>I377*1</f>
        <v>0</v>
      </c>
      <c r="AP377" s="4">
        <f>I377*(1-1)</f>
        <v>0</v>
      </c>
      <c r="AQ377" s="14" t="s">
        <v>907</v>
      </c>
      <c r="AV377" s="4">
        <f>AW377+AX377</f>
        <v>0</v>
      </c>
      <c r="AW377" s="4">
        <f>H377*AO377</f>
        <v>0</v>
      </c>
      <c r="AX377" s="4">
        <f>H377*AP377</f>
        <v>0</v>
      </c>
      <c r="AY377" s="14" t="s">
        <v>550</v>
      </c>
      <c r="AZ377" s="14" t="s">
        <v>362</v>
      </c>
      <c r="BA377" s="30" t="s">
        <v>694</v>
      </c>
      <c r="BC377" s="4">
        <f>AW377+AX377</f>
        <v>0</v>
      </c>
      <c r="BD377" s="4">
        <f>I377/(100-BE377)*100</f>
        <v>0</v>
      </c>
      <c r="BE377" s="4">
        <v>0</v>
      </c>
      <c r="BF377" s="4">
        <f>377</f>
        <v>377</v>
      </c>
      <c r="BH377" s="4">
        <f>H377*AO377</f>
        <v>0</v>
      </c>
      <c r="BI377" s="4">
        <f>H377*AP377</f>
        <v>0</v>
      </c>
      <c r="BJ377" s="4">
        <f>H377*I377</f>
        <v>0</v>
      </c>
      <c r="BK377" s="4"/>
      <c r="BL377" s="4">
        <v>791</v>
      </c>
    </row>
    <row r="378" spans="1:64" ht="13.5" customHeight="1">
      <c r="A378" s="13"/>
      <c r="B378" s="18" t="s">
        <v>473</v>
      </c>
      <c r="C378" s="54" t="s">
        <v>45</v>
      </c>
      <c r="D378" s="55"/>
      <c r="E378" s="55"/>
      <c r="F378" s="55"/>
      <c r="G378" s="55"/>
      <c r="H378" s="55"/>
      <c r="I378" s="55"/>
      <c r="J378" s="55"/>
      <c r="K378" s="55"/>
      <c r="L378" s="55"/>
      <c r="M378" s="56"/>
    </row>
    <row r="379" spans="1:64" ht="15" customHeight="1">
      <c r="A379" s="22" t="s">
        <v>504</v>
      </c>
      <c r="B379" s="9" t="s">
        <v>542</v>
      </c>
      <c r="C379" s="53" t="s">
        <v>403</v>
      </c>
      <c r="D379" s="53"/>
      <c r="E379" s="53"/>
      <c r="F379" s="53"/>
      <c r="G379" s="9" t="s">
        <v>695</v>
      </c>
      <c r="H379" s="4">
        <v>1</v>
      </c>
      <c r="I379" s="4">
        <v>0</v>
      </c>
      <c r="J379" s="4">
        <f>H379*AO379</f>
        <v>0</v>
      </c>
      <c r="K379" s="4">
        <f>H379*AP379</f>
        <v>0</v>
      </c>
      <c r="L379" s="4">
        <f>H379*I379</f>
        <v>0</v>
      </c>
      <c r="M379" s="17" t="s">
        <v>630</v>
      </c>
      <c r="Z379" s="4">
        <f>IF(AQ379="5",BJ379,0)</f>
        <v>0</v>
      </c>
      <c r="AB379" s="4">
        <f>IF(AQ379="1",BH379,0)</f>
        <v>0</v>
      </c>
      <c r="AC379" s="4">
        <f>IF(AQ379="1",BI379,0)</f>
        <v>0</v>
      </c>
      <c r="AD379" s="4">
        <f>IF(AQ379="7",BH379,0)</f>
        <v>0</v>
      </c>
      <c r="AE379" s="4">
        <f>IF(AQ379="7",BI379,0)</f>
        <v>0</v>
      </c>
      <c r="AF379" s="4">
        <f>IF(AQ379="2",BH379,0)</f>
        <v>0</v>
      </c>
      <c r="AG379" s="4">
        <f>IF(AQ379="2",BI379,0)</f>
        <v>0</v>
      </c>
      <c r="AH379" s="4">
        <f>IF(AQ379="0",BJ379,0)</f>
        <v>0</v>
      </c>
      <c r="AI379" s="30" t="s">
        <v>630</v>
      </c>
      <c r="AJ379" s="4">
        <f>IF(AN379=0,L379,0)</f>
        <v>0</v>
      </c>
      <c r="AK379" s="4">
        <f>IF(AN379=15,L379,0)</f>
        <v>0</v>
      </c>
      <c r="AL379" s="4">
        <f>IF(AN379=21,L379,0)</f>
        <v>0</v>
      </c>
      <c r="AN379" s="4">
        <v>21</v>
      </c>
      <c r="AO379" s="4">
        <f>I379*0.961538461538462</f>
        <v>0</v>
      </c>
      <c r="AP379" s="4">
        <f>I379*(1-0.961538461538462)</f>
        <v>0</v>
      </c>
      <c r="AQ379" s="14" t="s">
        <v>907</v>
      </c>
      <c r="AV379" s="4">
        <f>AW379+AX379</f>
        <v>0</v>
      </c>
      <c r="AW379" s="4">
        <f>H379*AO379</f>
        <v>0</v>
      </c>
      <c r="AX379" s="4">
        <f>H379*AP379</f>
        <v>0</v>
      </c>
      <c r="AY379" s="14" t="s">
        <v>550</v>
      </c>
      <c r="AZ379" s="14" t="s">
        <v>362</v>
      </c>
      <c r="BA379" s="30" t="s">
        <v>694</v>
      </c>
      <c r="BC379" s="4">
        <f>AW379+AX379</f>
        <v>0</v>
      </c>
      <c r="BD379" s="4">
        <f>I379/(100-BE379)*100</f>
        <v>0</v>
      </c>
      <c r="BE379" s="4">
        <v>0</v>
      </c>
      <c r="BF379" s="4">
        <f>379</f>
        <v>379</v>
      </c>
      <c r="BH379" s="4">
        <f>H379*AO379</f>
        <v>0</v>
      </c>
      <c r="BI379" s="4">
        <f>H379*AP379</f>
        <v>0</v>
      </c>
      <c r="BJ379" s="4">
        <f>H379*I379</f>
        <v>0</v>
      </c>
      <c r="BK379" s="4"/>
      <c r="BL379" s="4">
        <v>791</v>
      </c>
    </row>
    <row r="380" spans="1:64" ht="13.5" customHeight="1">
      <c r="A380" s="40"/>
      <c r="B380" s="33" t="s">
        <v>473</v>
      </c>
      <c r="C380" s="57" t="s">
        <v>499</v>
      </c>
      <c r="D380" s="58"/>
      <c r="E380" s="58"/>
      <c r="F380" s="58"/>
      <c r="G380" s="58"/>
      <c r="H380" s="58"/>
      <c r="I380" s="58"/>
      <c r="J380" s="58"/>
      <c r="K380" s="58"/>
      <c r="L380" s="58"/>
      <c r="M380" s="59"/>
    </row>
    <row r="381" spans="1:64" ht="15" customHeight="1">
      <c r="J381" s="60" t="s">
        <v>719</v>
      </c>
      <c r="K381" s="60"/>
      <c r="L381" s="36">
        <f>ROUND(L12+L14+L17+L22+L32+L44+L52+L55+L58+L61+L74+L79+L89+L98+L101+L103+L105+L109+L111+L136+L152+L163+L166+L169+L177+L197+L238+L244+L249+L257+L266+L288+L297+L315+L325+L333+L338,1)</f>
        <v>0</v>
      </c>
    </row>
    <row r="382" spans="1:64" ht="15" customHeight="1">
      <c r="A382" s="7" t="s">
        <v>73</v>
      </c>
    </row>
    <row r="383" spans="1:64" ht="12.75" customHeight="1">
      <c r="A383" s="52" t="s">
        <v>630</v>
      </c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</row>
  </sheetData>
  <mergeCells count="399">
    <mergeCell ref="A1:M1"/>
    <mergeCell ref="A2:B3"/>
    <mergeCell ref="A4:B5"/>
    <mergeCell ref="A6:B7"/>
    <mergeCell ref="A8:B9"/>
    <mergeCell ref="E2:F3"/>
    <mergeCell ref="E4:F5"/>
    <mergeCell ref="E6:F7"/>
    <mergeCell ref="E8:F9"/>
    <mergeCell ref="I2:I3"/>
    <mergeCell ref="C4:D5"/>
    <mergeCell ref="C6:D7"/>
    <mergeCell ref="C8:D9"/>
    <mergeCell ref="G2:H3"/>
    <mergeCell ref="G4:H5"/>
    <mergeCell ref="G6:H7"/>
    <mergeCell ref="G8:H9"/>
    <mergeCell ref="J2:M3"/>
    <mergeCell ref="J4:M5"/>
    <mergeCell ref="J6:M7"/>
    <mergeCell ref="J8:M9"/>
    <mergeCell ref="C10:F10"/>
    <mergeCell ref="I4:I5"/>
    <mergeCell ref="I6:I7"/>
    <mergeCell ref="I8:I9"/>
    <mergeCell ref="C2:D3"/>
    <mergeCell ref="C11:F11"/>
    <mergeCell ref="J10:L10"/>
    <mergeCell ref="C12:F12"/>
    <mergeCell ref="C13:F13"/>
    <mergeCell ref="C14:F14"/>
    <mergeCell ref="C15:F15"/>
    <mergeCell ref="C16:M16"/>
    <mergeCell ref="C17:F17"/>
    <mergeCell ref="C18:F18"/>
    <mergeCell ref="C19:F19"/>
    <mergeCell ref="C20:F20"/>
    <mergeCell ref="C21:M21"/>
    <mergeCell ref="C22:F22"/>
    <mergeCell ref="C23:F23"/>
    <mergeCell ref="C24:F24"/>
    <mergeCell ref="C25:F25"/>
    <mergeCell ref="C26:F26"/>
    <mergeCell ref="C27:M27"/>
    <mergeCell ref="C28:F28"/>
    <mergeCell ref="C29:F29"/>
    <mergeCell ref="C30:F30"/>
    <mergeCell ref="C31:M31"/>
    <mergeCell ref="C32:F32"/>
    <mergeCell ref="C33:F33"/>
    <mergeCell ref="C34:M34"/>
    <mergeCell ref="C35:F35"/>
    <mergeCell ref="C36:F36"/>
    <mergeCell ref="C37:M37"/>
    <mergeCell ref="C38:F38"/>
    <mergeCell ref="C39:M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M54"/>
    <mergeCell ref="C55:F55"/>
    <mergeCell ref="C56:F56"/>
    <mergeCell ref="C57:F57"/>
    <mergeCell ref="C58:F58"/>
    <mergeCell ref="C59:F59"/>
    <mergeCell ref="C60:F60"/>
    <mergeCell ref="C61:F61"/>
    <mergeCell ref="C62:F62"/>
    <mergeCell ref="C63:M63"/>
    <mergeCell ref="C64:F64"/>
    <mergeCell ref="C65:M65"/>
    <mergeCell ref="C66:F66"/>
    <mergeCell ref="C67:M67"/>
    <mergeCell ref="C68:F68"/>
    <mergeCell ref="C69:M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M81"/>
    <mergeCell ref="C82:F82"/>
    <mergeCell ref="C83:F83"/>
    <mergeCell ref="C84:M84"/>
    <mergeCell ref="C85:F85"/>
    <mergeCell ref="C86:M86"/>
    <mergeCell ref="C87:F87"/>
    <mergeCell ref="C88:M88"/>
    <mergeCell ref="C89:F89"/>
    <mergeCell ref="C90:F90"/>
    <mergeCell ref="C91:M91"/>
    <mergeCell ref="C92:F92"/>
    <mergeCell ref="C93:M93"/>
    <mergeCell ref="C94:F94"/>
    <mergeCell ref="C95:F95"/>
    <mergeCell ref="C96:F96"/>
    <mergeCell ref="C97:M97"/>
    <mergeCell ref="C98:F98"/>
    <mergeCell ref="C99:F99"/>
    <mergeCell ref="C100:M100"/>
    <mergeCell ref="C101:F101"/>
    <mergeCell ref="C102:F102"/>
    <mergeCell ref="C103:F103"/>
    <mergeCell ref="C104:F104"/>
    <mergeCell ref="C105:F105"/>
    <mergeCell ref="C106:F106"/>
    <mergeCell ref="C107:F107"/>
    <mergeCell ref="C108:M108"/>
    <mergeCell ref="C109:F109"/>
    <mergeCell ref="C110:F110"/>
    <mergeCell ref="C111:F111"/>
    <mergeCell ref="C112:F112"/>
    <mergeCell ref="C113:M113"/>
    <mergeCell ref="C114:F114"/>
    <mergeCell ref="C115:F115"/>
    <mergeCell ref="C116:F116"/>
    <mergeCell ref="C117:F117"/>
    <mergeCell ref="C118:F118"/>
    <mergeCell ref="C119:F119"/>
    <mergeCell ref="C120:M120"/>
    <mergeCell ref="C121:F121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0:M130"/>
    <mergeCell ref="C131:F131"/>
    <mergeCell ref="C132:F132"/>
    <mergeCell ref="C133:M133"/>
    <mergeCell ref="C134:F134"/>
    <mergeCell ref="C135:M135"/>
    <mergeCell ref="C136:F136"/>
    <mergeCell ref="C137:F137"/>
    <mergeCell ref="C138:F138"/>
    <mergeCell ref="C139:F139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C148:F148"/>
    <mergeCell ref="C149:F149"/>
    <mergeCell ref="C150:F150"/>
    <mergeCell ref="C151:M151"/>
    <mergeCell ref="C152:F152"/>
    <mergeCell ref="C153:F153"/>
    <mergeCell ref="C154:F154"/>
    <mergeCell ref="C155:F155"/>
    <mergeCell ref="C156:M156"/>
    <mergeCell ref="C157:F157"/>
    <mergeCell ref="C158:F158"/>
    <mergeCell ref="C159:F159"/>
    <mergeCell ref="C160:F160"/>
    <mergeCell ref="C161:F161"/>
    <mergeCell ref="C162:F162"/>
    <mergeCell ref="C163:F163"/>
    <mergeCell ref="C164:F164"/>
    <mergeCell ref="C165:M165"/>
    <mergeCell ref="C166:F166"/>
    <mergeCell ref="C167:F167"/>
    <mergeCell ref="C168:M168"/>
    <mergeCell ref="C169:F169"/>
    <mergeCell ref="C170:F170"/>
    <mergeCell ref="C171:M171"/>
    <mergeCell ref="C172:F172"/>
    <mergeCell ref="C173:M173"/>
    <mergeCell ref="C174:F174"/>
    <mergeCell ref="C175:M175"/>
    <mergeCell ref="C176:F176"/>
    <mergeCell ref="C177:F177"/>
    <mergeCell ref="C178:F178"/>
    <mergeCell ref="C179:F179"/>
    <mergeCell ref="C180:F180"/>
    <mergeCell ref="C181:F181"/>
    <mergeCell ref="C182:F182"/>
    <mergeCell ref="C183:F183"/>
    <mergeCell ref="C184:F184"/>
    <mergeCell ref="C185:F185"/>
    <mergeCell ref="C186:F186"/>
    <mergeCell ref="C187:M187"/>
    <mergeCell ref="C188:F188"/>
    <mergeCell ref="C189:F189"/>
    <mergeCell ref="C190:F190"/>
    <mergeCell ref="C191:F191"/>
    <mergeCell ref="C192:F192"/>
    <mergeCell ref="C193:F193"/>
    <mergeCell ref="C194:F194"/>
    <mergeCell ref="C195:F195"/>
    <mergeCell ref="C196:F196"/>
    <mergeCell ref="C197:F197"/>
    <mergeCell ref="C198:F198"/>
    <mergeCell ref="C199:M199"/>
    <mergeCell ref="C200:F200"/>
    <mergeCell ref="C201:M201"/>
    <mergeCell ref="C202:F202"/>
    <mergeCell ref="C203:M203"/>
    <mergeCell ref="C204:F204"/>
    <mergeCell ref="C205:F205"/>
    <mergeCell ref="C206:F206"/>
    <mergeCell ref="C207:F207"/>
    <mergeCell ref="C208:F208"/>
    <mergeCell ref="C209:F209"/>
    <mergeCell ref="C210:F210"/>
    <mergeCell ref="C211:F211"/>
    <mergeCell ref="C212:F212"/>
    <mergeCell ref="C213:F213"/>
    <mergeCell ref="C214:F214"/>
    <mergeCell ref="C215:F215"/>
    <mergeCell ref="C216:F216"/>
    <mergeCell ref="C217:F217"/>
    <mergeCell ref="C218:F218"/>
    <mergeCell ref="C219:F219"/>
    <mergeCell ref="C220:F220"/>
    <mergeCell ref="C221:F221"/>
    <mergeCell ref="C222:F222"/>
    <mergeCell ref="C223:F223"/>
    <mergeCell ref="C224:F224"/>
    <mergeCell ref="C225:F225"/>
    <mergeCell ref="C226:F226"/>
    <mergeCell ref="C227:F227"/>
    <mergeCell ref="C228:F228"/>
    <mergeCell ref="C229:F229"/>
    <mergeCell ref="C230:F230"/>
    <mergeCell ref="C231:F231"/>
    <mergeCell ref="C232:F232"/>
    <mergeCell ref="C233:F233"/>
    <mergeCell ref="C234:F234"/>
    <mergeCell ref="C235:F235"/>
    <mergeCell ref="C236:F236"/>
    <mergeCell ref="C237:F237"/>
    <mergeCell ref="C238:F238"/>
    <mergeCell ref="C239:F239"/>
    <mergeCell ref="C240:F240"/>
    <mergeCell ref="C241:F241"/>
    <mergeCell ref="C242:M242"/>
    <mergeCell ref="C243:F243"/>
    <mergeCell ref="C244:F244"/>
    <mergeCell ref="C245:F245"/>
    <mergeCell ref="C246:F246"/>
    <mergeCell ref="C247:F247"/>
    <mergeCell ref="C248:F248"/>
    <mergeCell ref="C249:F249"/>
    <mergeCell ref="C250:F250"/>
    <mergeCell ref="C251:F251"/>
    <mergeCell ref="C252:F252"/>
    <mergeCell ref="C253:F253"/>
    <mergeCell ref="C254:F254"/>
    <mergeCell ref="C255:F255"/>
    <mergeCell ref="C256:F256"/>
    <mergeCell ref="C257:F257"/>
    <mergeCell ref="C258:F258"/>
    <mergeCell ref="C259:F259"/>
    <mergeCell ref="C260:F260"/>
    <mergeCell ref="C261:F261"/>
    <mergeCell ref="C262:F262"/>
    <mergeCell ref="C263:F263"/>
    <mergeCell ref="C264:F264"/>
    <mergeCell ref="C265:F265"/>
    <mergeCell ref="C266:F266"/>
    <mergeCell ref="C267:F267"/>
    <mergeCell ref="C268:F268"/>
    <mergeCell ref="C269:F269"/>
    <mergeCell ref="C270:F270"/>
    <mergeCell ref="C271:F271"/>
    <mergeCell ref="C272:F272"/>
    <mergeCell ref="C273:F273"/>
    <mergeCell ref="C274:F274"/>
    <mergeCell ref="C275:F275"/>
    <mergeCell ref="C276:F276"/>
    <mergeCell ref="C277:F277"/>
    <mergeCell ref="C278:F278"/>
    <mergeCell ref="C279:F279"/>
    <mergeCell ref="C280:F280"/>
    <mergeCell ref="C281:F281"/>
    <mergeCell ref="C282:F282"/>
    <mergeCell ref="C283:F283"/>
    <mergeCell ref="C284:F284"/>
    <mergeCell ref="C285:F285"/>
    <mergeCell ref="C286:F286"/>
    <mergeCell ref="C287:F287"/>
    <mergeCell ref="C288:F288"/>
    <mergeCell ref="C289:F289"/>
    <mergeCell ref="C290:F290"/>
    <mergeCell ref="C291:M291"/>
    <mergeCell ref="C292:F292"/>
    <mergeCell ref="C293:M293"/>
    <mergeCell ref="C294:F294"/>
    <mergeCell ref="C295:M295"/>
    <mergeCell ref="C296:F296"/>
    <mergeCell ref="C297:F297"/>
    <mergeCell ref="C298:F298"/>
    <mergeCell ref="C299:M299"/>
    <mergeCell ref="C300:F300"/>
    <mergeCell ref="C301:F301"/>
    <mergeCell ref="C302:F302"/>
    <mergeCell ref="C303:F303"/>
    <mergeCell ref="C304:M304"/>
    <mergeCell ref="C305:F305"/>
    <mergeCell ref="C306:F306"/>
    <mergeCell ref="C307:F307"/>
    <mergeCell ref="C308:F308"/>
    <mergeCell ref="C309:M309"/>
    <mergeCell ref="C310:F310"/>
    <mergeCell ref="C311:F311"/>
    <mergeCell ref="C312:F312"/>
    <mergeCell ref="C313:F313"/>
    <mergeCell ref="C314:F314"/>
    <mergeCell ref="C315:F315"/>
    <mergeCell ref="C316:F316"/>
    <mergeCell ref="C317:M317"/>
    <mergeCell ref="C318:F318"/>
    <mergeCell ref="C319:F319"/>
    <mergeCell ref="C320:F320"/>
    <mergeCell ref="C321:F321"/>
    <mergeCell ref="C322:F322"/>
    <mergeCell ref="C323:F323"/>
    <mergeCell ref="C324:F324"/>
    <mergeCell ref="C325:F325"/>
    <mergeCell ref="C326:F326"/>
    <mergeCell ref="C327:F327"/>
    <mergeCell ref="C328:F328"/>
    <mergeCell ref="C329:M329"/>
    <mergeCell ref="C330:F330"/>
    <mergeCell ref="C331:F331"/>
    <mergeCell ref="C332:F332"/>
    <mergeCell ref="C333:F333"/>
    <mergeCell ref="C334:F334"/>
    <mergeCell ref="C335:F335"/>
    <mergeCell ref="C336:F336"/>
    <mergeCell ref="C337:M337"/>
    <mergeCell ref="C338:F338"/>
    <mergeCell ref="C339:F339"/>
    <mergeCell ref="C340:M340"/>
    <mergeCell ref="C341:F341"/>
    <mergeCell ref="C342:M342"/>
    <mergeCell ref="C343:F343"/>
    <mergeCell ref="C344:M344"/>
    <mergeCell ref="C345:F345"/>
    <mergeCell ref="C346:M346"/>
    <mergeCell ref="C347:F347"/>
    <mergeCell ref="C348:M348"/>
    <mergeCell ref="C349:F349"/>
    <mergeCell ref="C350:M350"/>
    <mergeCell ref="C351:F351"/>
    <mergeCell ref="C352:M352"/>
    <mergeCell ref="C353:F353"/>
    <mergeCell ref="C354:M354"/>
    <mergeCell ref="C355:F355"/>
    <mergeCell ref="C356:M356"/>
    <mergeCell ref="C357:F357"/>
    <mergeCell ref="C358:M358"/>
    <mergeCell ref="C359:F359"/>
    <mergeCell ref="C360:M360"/>
    <mergeCell ref="C361:F361"/>
    <mergeCell ref="C362:M362"/>
    <mergeCell ref="C363:F363"/>
    <mergeCell ref="C364:M364"/>
    <mergeCell ref="C365:F365"/>
    <mergeCell ref="C366:M366"/>
    <mergeCell ref="C367:F367"/>
    <mergeCell ref="C368:M368"/>
    <mergeCell ref="C369:F369"/>
    <mergeCell ref="C370:M370"/>
    <mergeCell ref="C371:F371"/>
    <mergeCell ref="C372:M372"/>
    <mergeCell ref="C373:F373"/>
    <mergeCell ref="C374:M374"/>
    <mergeCell ref="C375:F375"/>
    <mergeCell ref="A383:M383"/>
    <mergeCell ref="C376:M376"/>
    <mergeCell ref="C377:F377"/>
    <mergeCell ref="C378:M378"/>
    <mergeCell ref="C379:F379"/>
    <mergeCell ref="C380:M380"/>
    <mergeCell ref="J381:K381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I48"/>
  <sheetViews>
    <sheetView showOutlineSymbols="0" workbookViewId="0">
      <pane ySplit="11" topLeftCell="A12" activePane="bottomLeft" state="frozenSplit"/>
      <selection activeCell="C47" sqref="C47:D47"/>
      <selection pane="bottomLeft"/>
    </sheetView>
  </sheetViews>
  <sheetFormatPr defaultColWidth="14.1640625" defaultRowHeight="15" customHeight="1"/>
  <cols>
    <col min="1" max="2" width="10" customWidth="1"/>
    <col min="3" max="3" width="83.33203125" customWidth="1"/>
    <col min="5" max="7" width="32.5" customWidth="1"/>
    <col min="8" max="9" width="0" hidden="1" customWidth="1"/>
  </cols>
  <sheetData>
    <row r="1" spans="1:9" ht="54.75" customHeight="1">
      <c r="A1" s="75" t="s">
        <v>753</v>
      </c>
      <c r="B1" s="75"/>
      <c r="C1" s="75"/>
      <c r="D1" s="75"/>
      <c r="E1" s="75"/>
      <c r="F1" s="75"/>
      <c r="G1" s="75"/>
    </row>
    <row r="2" spans="1:9" ht="15" customHeight="1">
      <c r="A2" s="76" t="s">
        <v>60</v>
      </c>
      <c r="B2" s="68"/>
      <c r="C2" s="73" t="str">
        <f>'Stavební rozpočet'!C2</f>
        <v>Rekonstrukce kuchyně</v>
      </c>
      <c r="D2" s="68" t="s">
        <v>3</v>
      </c>
      <c r="E2" s="68" t="s">
        <v>839</v>
      </c>
      <c r="F2" s="67" t="s">
        <v>766</v>
      </c>
      <c r="G2" s="79" t="str">
        <f>'Stavební rozpočet'!J2</f>
        <v>SPŠ stavební a Obchodní akademie</v>
      </c>
    </row>
    <row r="3" spans="1:9" ht="15" customHeight="1">
      <c r="A3" s="77"/>
      <c r="B3" s="53"/>
      <c r="C3" s="60"/>
      <c r="D3" s="53"/>
      <c r="E3" s="53"/>
      <c r="F3" s="53"/>
      <c r="G3" s="70"/>
    </row>
    <row r="4" spans="1:9" ht="15" customHeight="1">
      <c r="A4" s="78" t="s">
        <v>505</v>
      </c>
      <c r="B4" s="53"/>
      <c r="C4" s="52" t="str">
        <f>'Stavební rozpočet'!C4</f>
        <v>Střední průmyslová škola stavební a Obchodní akademie</v>
      </c>
      <c r="D4" s="53" t="s">
        <v>802</v>
      </c>
      <c r="E4" s="53" t="s">
        <v>839</v>
      </c>
      <c r="F4" s="52" t="s">
        <v>626</v>
      </c>
      <c r="G4" s="80" t="str">
        <f>'Stavební rozpočet'!J4</f>
        <v>iMK Kladno, s.r.o.Kladno</v>
      </c>
    </row>
    <row r="5" spans="1:9" ht="15" customHeight="1">
      <c r="A5" s="77"/>
      <c r="B5" s="53"/>
      <c r="C5" s="53"/>
      <c r="D5" s="53"/>
      <c r="E5" s="53"/>
      <c r="F5" s="53"/>
      <c r="G5" s="70"/>
    </row>
    <row r="6" spans="1:9" ht="15" customHeight="1">
      <c r="A6" s="78" t="s">
        <v>76</v>
      </c>
      <c r="B6" s="53"/>
      <c r="C6" s="52" t="str">
        <f>'Stavební rozpočet'!C6</f>
        <v>Cyrila Boudy 2954, Kladno, kat.úz.Kladno</v>
      </c>
      <c r="D6" s="53" t="s">
        <v>300</v>
      </c>
      <c r="E6" s="53" t="s">
        <v>839</v>
      </c>
      <c r="F6" s="52" t="s">
        <v>791</v>
      </c>
      <c r="G6" s="80" t="str">
        <f>'Stavební rozpočet'!J6</f>
        <v>Dle výběrového řízení</v>
      </c>
    </row>
    <row r="7" spans="1:9" ht="15" customHeight="1">
      <c r="A7" s="77"/>
      <c r="B7" s="53"/>
      <c r="C7" s="53"/>
      <c r="D7" s="53"/>
      <c r="E7" s="53"/>
      <c r="F7" s="53"/>
      <c r="G7" s="70"/>
    </row>
    <row r="8" spans="1:9" ht="15" customHeight="1">
      <c r="A8" s="78" t="s">
        <v>602</v>
      </c>
      <c r="B8" s="53"/>
      <c r="C8" s="52" t="str">
        <f>'Stavební rozpočet'!J8</f>
        <v> </v>
      </c>
      <c r="D8" s="53" t="s">
        <v>520</v>
      </c>
      <c r="E8" s="53" t="s">
        <v>250</v>
      </c>
      <c r="F8" s="53" t="s">
        <v>520</v>
      </c>
      <c r="G8" s="80" t="str">
        <f>'Stavební rozpočet'!G8</f>
        <v>31.05.2023</v>
      </c>
    </row>
    <row r="9" spans="1:9" ht="15" customHeight="1">
      <c r="A9" s="77"/>
      <c r="B9" s="53"/>
      <c r="C9" s="53"/>
      <c r="D9" s="81"/>
      <c r="E9" s="53"/>
      <c r="F9" s="53"/>
      <c r="G9" s="70"/>
    </row>
    <row r="10" spans="1:9" ht="15" customHeight="1">
      <c r="A10" s="3" t="s">
        <v>673</v>
      </c>
      <c r="B10" s="11" t="s">
        <v>306</v>
      </c>
      <c r="C10" s="6" t="s">
        <v>972</v>
      </c>
      <c r="E10" s="25" t="s">
        <v>465</v>
      </c>
      <c r="F10" s="23" t="s">
        <v>1012</v>
      </c>
      <c r="G10" s="23" t="s">
        <v>54</v>
      </c>
    </row>
    <row r="11" spans="1:9" ht="15" customHeight="1">
      <c r="A11" s="22" t="s">
        <v>630</v>
      </c>
      <c r="B11" s="9" t="s">
        <v>273</v>
      </c>
      <c r="C11" s="53" t="s">
        <v>4</v>
      </c>
      <c r="D11" s="53"/>
      <c r="E11" s="4">
        <f>'Stavební rozpočet'!J12</f>
        <v>0</v>
      </c>
      <c r="F11" s="4">
        <f>'Stavební rozpočet'!K12</f>
        <v>0</v>
      </c>
      <c r="G11" s="4">
        <f>'Stavební rozpočet'!L12</f>
        <v>0</v>
      </c>
      <c r="H11" s="14" t="s">
        <v>875</v>
      </c>
      <c r="I11" s="4">
        <f t="shared" ref="I11:I47" si="0">IF(H11="F",0,G11)</f>
        <v>0</v>
      </c>
    </row>
    <row r="12" spans="1:9" ht="15" customHeight="1">
      <c r="A12" s="22" t="s">
        <v>630</v>
      </c>
      <c r="B12" s="9" t="s">
        <v>79</v>
      </c>
      <c r="C12" s="53" t="s">
        <v>756</v>
      </c>
      <c r="D12" s="53"/>
      <c r="E12" s="4">
        <f>'Stavební rozpočet'!J14</f>
        <v>0</v>
      </c>
      <c r="F12" s="4">
        <f>'Stavební rozpočet'!K14</f>
        <v>0</v>
      </c>
      <c r="G12" s="4">
        <f>'Stavební rozpočet'!L14</f>
        <v>0</v>
      </c>
      <c r="H12" s="14" t="s">
        <v>875</v>
      </c>
      <c r="I12" s="4">
        <f t="shared" si="0"/>
        <v>0</v>
      </c>
    </row>
    <row r="13" spans="1:9" ht="15" customHeight="1">
      <c r="A13" s="22" t="s">
        <v>630</v>
      </c>
      <c r="B13" s="9" t="s">
        <v>633</v>
      </c>
      <c r="C13" s="53" t="s">
        <v>122</v>
      </c>
      <c r="D13" s="53"/>
      <c r="E13" s="4">
        <f>'Stavební rozpočet'!J17</f>
        <v>0</v>
      </c>
      <c r="F13" s="4">
        <f>'Stavební rozpočet'!K17</f>
        <v>0</v>
      </c>
      <c r="G13" s="4">
        <f>'Stavební rozpočet'!L17</f>
        <v>0</v>
      </c>
      <c r="H13" s="14" t="s">
        <v>875</v>
      </c>
      <c r="I13" s="4">
        <f t="shared" si="0"/>
        <v>0</v>
      </c>
    </row>
    <row r="14" spans="1:9" ht="15" customHeight="1">
      <c r="A14" s="22" t="s">
        <v>630</v>
      </c>
      <c r="B14" s="9" t="s">
        <v>887</v>
      </c>
      <c r="C14" s="53" t="s">
        <v>747</v>
      </c>
      <c r="D14" s="53"/>
      <c r="E14" s="4">
        <f>'Stavební rozpočet'!J22</f>
        <v>0</v>
      </c>
      <c r="F14" s="4">
        <f>'Stavební rozpočet'!K22</f>
        <v>0</v>
      </c>
      <c r="G14" s="4">
        <f>'Stavební rozpočet'!L22</f>
        <v>0</v>
      </c>
      <c r="H14" s="14" t="s">
        <v>875</v>
      </c>
      <c r="I14" s="4">
        <f t="shared" si="0"/>
        <v>0</v>
      </c>
    </row>
    <row r="15" spans="1:9" ht="15" customHeight="1">
      <c r="A15" s="22" t="s">
        <v>630</v>
      </c>
      <c r="B15" s="9" t="s">
        <v>546</v>
      </c>
      <c r="C15" s="53" t="s">
        <v>865</v>
      </c>
      <c r="D15" s="53"/>
      <c r="E15" s="4">
        <f>'Stavební rozpočet'!J32</f>
        <v>0</v>
      </c>
      <c r="F15" s="4">
        <f>'Stavební rozpočet'!K32</f>
        <v>0</v>
      </c>
      <c r="G15" s="4">
        <f>'Stavební rozpočet'!L32</f>
        <v>0</v>
      </c>
      <c r="H15" s="14" t="s">
        <v>875</v>
      </c>
      <c r="I15" s="4">
        <f t="shared" si="0"/>
        <v>0</v>
      </c>
    </row>
    <row r="16" spans="1:9" ht="15" customHeight="1">
      <c r="A16" s="22" t="s">
        <v>630</v>
      </c>
      <c r="B16" s="9" t="s">
        <v>998</v>
      </c>
      <c r="C16" s="53" t="s">
        <v>218</v>
      </c>
      <c r="D16" s="53"/>
      <c r="E16" s="4">
        <f>'Stavební rozpočet'!J44</f>
        <v>0</v>
      </c>
      <c r="F16" s="4">
        <f>'Stavební rozpočet'!K44</f>
        <v>0</v>
      </c>
      <c r="G16" s="4">
        <f>'Stavební rozpočet'!L44</f>
        <v>0</v>
      </c>
      <c r="H16" s="14" t="s">
        <v>875</v>
      </c>
      <c r="I16" s="4">
        <f t="shared" si="0"/>
        <v>0</v>
      </c>
    </row>
    <row r="17" spans="1:9" ht="15" customHeight="1">
      <c r="A17" s="22" t="s">
        <v>630</v>
      </c>
      <c r="B17" s="9" t="s">
        <v>893</v>
      </c>
      <c r="C17" s="53" t="s">
        <v>676</v>
      </c>
      <c r="D17" s="53"/>
      <c r="E17" s="4">
        <f>'Stavební rozpočet'!J52</f>
        <v>0</v>
      </c>
      <c r="F17" s="4">
        <f>'Stavební rozpočet'!K52</f>
        <v>0</v>
      </c>
      <c r="G17" s="4">
        <f>'Stavební rozpočet'!L52</f>
        <v>0</v>
      </c>
      <c r="H17" s="14" t="s">
        <v>875</v>
      </c>
      <c r="I17" s="4">
        <f t="shared" si="0"/>
        <v>0</v>
      </c>
    </row>
    <row r="18" spans="1:9" ht="15" customHeight="1">
      <c r="A18" s="22" t="s">
        <v>630</v>
      </c>
      <c r="B18" s="9" t="s">
        <v>578</v>
      </c>
      <c r="C18" s="53" t="s">
        <v>607</v>
      </c>
      <c r="D18" s="53"/>
      <c r="E18" s="4">
        <f>'Stavební rozpočet'!J55</f>
        <v>0</v>
      </c>
      <c r="F18" s="4">
        <f>'Stavební rozpočet'!K55</f>
        <v>0</v>
      </c>
      <c r="G18" s="4">
        <f>'Stavební rozpočet'!L55</f>
        <v>0</v>
      </c>
      <c r="H18" s="14" t="s">
        <v>875</v>
      </c>
      <c r="I18" s="4">
        <f t="shared" si="0"/>
        <v>0</v>
      </c>
    </row>
    <row r="19" spans="1:9" ht="15" customHeight="1">
      <c r="A19" s="22" t="s">
        <v>630</v>
      </c>
      <c r="B19" s="9" t="s">
        <v>426</v>
      </c>
      <c r="C19" s="53" t="s">
        <v>852</v>
      </c>
      <c r="D19" s="53"/>
      <c r="E19" s="4">
        <f>'Stavební rozpočet'!J58</f>
        <v>0</v>
      </c>
      <c r="F19" s="4">
        <f>'Stavební rozpočet'!K58</f>
        <v>0</v>
      </c>
      <c r="G19" s="4">
        <f>'Stavební rozpočet'!L58</f>
        <v>0</v>
      </c>
      <c r="H19" s="14" t="s">
        <v>875</v>
      </c>
      <c r="I19" s="4">
        <f t="shared" si="0"/>
        <v>0</v>
      </c>
    </row>
    <row r="20" spans="1:9" ht="15" customHeight="1">
      <c r="A20" s="22" t="s">
        <v>630</v>
      </c>
      <c r="B20" s="9" t="s">
        <v>657</v>
      </c>
      <c r="C20" s="53" t="s">
        <v>651</v>
      </c>
      <c r="D20" s="53"/>
      <c r="E20" s="4">
        <f>'Stavební rozpočet'!J61</f>
        <v>0</v>
      </c>
      <c r="F20" s="4">
        <f>'Stavební rozpočet'!K61</f>
        <v>0</v>
      </c>
      <c r="G20" s="4">
        <f>'Stavební rozpočet'!L61</f>
        <v>0</v>
      </c>
      <c r="H20" s="14" t="s">
        <v>875</v>
      </c>
      <c r="I20" s="4">
        <f t="shared" si="0"/>
        <v>0</v>
      </c>
    </row>
    <row r="21" spans="1:9" ht="15" customHeight="1">
      <c r="A21" s="22" t="s">
        <v>630</v>
      </c>
      <c r="B21" s="9" t="s">
        <v>212</v>
      </c>
      <c r="C21" s="53" t="s">
        <v>919</v>
      </c>
      <c r="D21" s="53"/>
      <c r="E21" s="4">
        <f>'Stavební rozpočet'!J74</f>
        <v>0</v>
      </c>
      <c r="F21" s="4">
        <f>'Stavební rozpočet'!K74</f>
        <v>0</v>
      </c>
      <c r="G21" s="4">
        <f>'Stavební rozpočet'!L74</f>
        <v>0</v>
      </c>
      <c r="H21" s="14" t="s">
        <v>875</v>
      </c>
      <c r="I21" s="4">
        <f t="shared" si="0"/>
        <v>0</v>
      </c>
    </row>
    <row r="22" spans="1:9" ht="15" customHeight="1">
      <c r="A22" s="22" t="s">
        <v>630</v>
      </c>
      <c r="B22" s="9" t="s">
        <v>455</v>
      </c>
      <c r="C22" s="53" t="s">
        <v>928</v>
      </c>
      <c r="D22" s="53"/>
      <c r="E22" s="4">
        <f>'Stavební rozpočet'!J79</f>
        <v>0</v>
      </c>
      <c r="F22" s="4">
        <f>'Stavební rozpočet'!K79</f>
        <v>0</v>
      </c>
      <c r="G22" s="4">
        <f>'Stavební rozpočet'!L79</f>
        <v>0</v>
      </c>
      <c r="H22" s="14" t="s">
        <v>875</v>
      </c>
      <c r="I22" s="4">
        <f t="shared" si="0"/>
        <v>0</v>
      </c>
    </row>
    <row r="23" spans="1:9" ht="15" customHeight="1">
      <c r="A23" s="22" t="s">
        <v>630</v>
      </c>
      <c r="B23" s="9" t="s">
        <v>962</v>
      </c>
      <c r="C23" s="53" t="s">
        <v>590</v>
      </c>
      <c r="D23" s="53"/>
      <c r="E23" s="4">
        <f>'Stavební rozpočet'!J89</f>
        <v>0</v>
      </c>
      <c r="F23" s="4">
        <f>'Stavební rozpočet'!K89</f>
        <v>0</v>
      </c>
      <c r="G23" s="4">
        <f>'Stavební rozpočet'!L89</f>
        <v>0</v>
      </c>
      <c r="H23" s="14" t="s">
        <v>875</v>
      </c>
      <c r="I23" s="4">
        <f t="shared" si="0"/>
        <v>0</v>
      </c>
    </row>
    <row r="24" spans="1:9" ht="15" customHeight="1">
      <c r="A24" s="22" t="s">
        <v>630</v>
      </c>
      <c r="B24" s="9" t="s">
        <v>32</v>
      </c>
      <c r="C24" s="53" t="s">
        <v>338</v>
      </c>
      <c r="D24" s="53"/>
      <c r="E24" s="4">
        <f>'Stavební rozpočet'!J98</f>
        <v>0</v>
      </c>
      <c r="F24" s="4">
        <f>'Stavební rozpočet'!K98</f>
        <v>0</v>
      </c>
      <c r="G24" s="4">
        <f>'Stavební rozpočet'!L98</f>
        <v>0</v>
      </c>
      <c r="H24" s="14" t="s">
        <v>875</v>
      </c>
      <c r="I24" s="4">
        <f t="shared" si="0"/>
        <v>0</v>
      </c>
    </row>
    <row r="25" spans="1:9" ht="15" customHeight="1">
      <c r="A25" s="22" t="s">
        <v>630</v>
      </c>
      <c r="B25" s="9" t="s">
        <v>820</v>
      </c>
      <c r="C25" s="53" t="s">
        <v>360</v>
      </c>
      <c r="D25" s="53"/>
      <c r="E25" s="4">
        <f>'Stavební rozpočet'!J101</f>
        <v>0</v>
      </c>
      <c r="F25" s="4">
        <f>'Stavební rozpočet'!K101</f>
        <v>0</v>
      </c>
      <c r="G25" s="4">
        <f>'Stavební rozpočet'!L101</f>
        <v>0</v>
      </c>
      <c r="H25" s="14" t="s">
        <v>875</v>
      </c>
      <c r="I25" s="4">
        <f t="shared" si="0"/>
        <v>0</v>
      </c>
    </row>
    <row r="26" spans="1:9" ht="15" customHeight="1">
      <c r="A26" s="22" t="s">
        <v>630</v>
      </c>
      <c r="B26" s="9" t="s">
        <v>101</v>
      </c>
      <c r="C26" s="53" t="s">
        <v>640</v>
      </c>
      <c r="D26" s="53"/>
      <c r="E26" s="4">
        <f>'Stavební rozpočet'!J103</f>
        <v>0</v>
      </c>
      <c r="F26" s="4">
        <f>'Stavební rozpočet'!K103</f>
        <v>0</v>
      </c>
      <c r="G26" s="4">
        <f>'Stavební rozpočet'!L103</f>
        <v>0</v>
      </c>
      <c r="H26" s="14" t="s">
        <v>875</v>
      </c>
      <c r="I26" s="4">
        <f t="shared" si="0"/>
        <v>0</v>
      </c>
    </row>
    <row r="27" spans="1:9" ht="15" customHeight="1">
      <c r="A27" s="22" t="s">
        <v>630</v>
      </c>
      <c r="B27" s="9" t="s">
        <v>367</v>
      </c>
      <c r="C27" s="53" t="s">
        <v>674</v>
      </c>
      <c r="D27" s="53"/>
      <c r="E27" s="4">
        <f>'Stavební rozpočet'!J105</f>
        <v>0</v>
      </c>
      <c r="F27" s="4">
        <f>'Stavební rozpočet'!K105</f>
        <v>0</v>
      </c>
      <c r="G27" s="4">
        <f>'Stavební rozpočet'!L105</f>
        <v>0</v>
      </c>
      <c r="H27" s="14" t="s">
        <v>875</v>
      </c>
      <c r="I27" s="4">
        <f t="shared" si="0"/>
        <v>0</v>
      </c>
    </row>
    <row r="28" spans="1:9" ht="15" customHeight="1">
      <c r="A28" s="22" t="s">
        <v>630</v>
      </c>
      <c r="B28" s="9" t="s">
        <v>955</v>
      </c>
      <c r="C28" s="53" t="s">
        <v>553</v>
      </c>
      <c r="D28" s="53"/>
      <c r="E28" s="4">
        <f>'Stavební rozpočet'!J109</f>
        <v>0</v>
      </c>
      <c r="F28" s="4">
        <f>'Stavební rozpočet'!K109</f>
        <v>0</v>
      </c>
      <c r="G28" s="4">
        <f>'Stavební rozpočet'!L109</f>
        <v>0</v>
      </c>
      <c r="H28" s="14" t="s">
        <v>875</v>
      </c>
      <c r="I28" s="4">
        <f t="shared" si="0"/>
        <v>0</v>
      </c>
    </row>
    <row r="29" spans="1:9" ht="15" customHeight="1">
      <c r="A29" s="22" t="s">
        <v>630</v>
      </c>
      <c r="B29" s="9" t="s">
        <v>517</v>
      </c>
      <c r="C29" s="53" t="s">
        <v>677</v>
      </c>
      <c r="D29" s="53"/>
      <c r="E29" s="4">
        <f>'Stavební rozpočet'!J111</f>
        <v>0</v>
      </c>
      <c r="F29" s="4">
        <f>'Stavební rozpočet'!K111</f>
        <v>0</v>
      </c>
      <c r="G29" s="4">
        <f>'Stavební rozpočet'!L111</f>
        <v>0</v>
      </c>
      <c r="H29" s="14" t="s">
        <v>875</v>
      </c>
      <c r="I29" s="4">
        <f t="shared" si="0"/>
        <v>0</v>
      </c>
    </row>
    <row r="30" spans="1:9" ht="15" customHeight="1">
      <c r="A30" s="22" t="s">
        <v>630</v>
      </c>
      <c r="B30" s="9" t="s">
        <v>99</v>
      </c>
      <c r="C30" s="53" t="s">
        <v>993</v>
      </c>
      <c r="D30" s="53"/>
      <c r="E30" s="4">
        <f>'Stavební rozpočet'!J136</f>
        <v>0</v>
      </c>
      <c r="F30" s="4">
        <f>'Stavební rozpočet'!K136</f>
        <v>0</v>
      </c>
      <c r="G30" s="4">
        <f>'Stavební rozpočet'!L136</f>
        <v>0</v>
      </c>
      <c r="H30" s="14" t="s">
        <v>875</v>
      </c>
      <c r="I30" s="4">
        <f t="shared" si="0"/>
        <v>0</v>
      </c>
    </row>
    <row r="31" spans="1:9" ht="15" customHeight="1">
      <c r="A31" s="22" t="s">
        <v>630</v>
      </c>
      <c r="B31" s="9" t="s">
        <v>307</v>
      </c>
      <c r="C31" s="53" t="s">
        <v>399</v>
      </c>
      <c r="D31" s="53"/>
      <c r="E31" s="4">
        <f>'Stavební rozpočet'!J152</f>
        <v>0</v>
      </c>
      <c r="F31" s="4">
        <f>'Stavební rozpočet'!K152</f>
        <v>0</v>
      </c>
      <c r="G31" s="4">
        <f>'Stavební rozpočet'!L152</f>
        <v>0</v>
      </c>
      <c r="H31" s="14" t="s">
        <v>875</v>
      </c>
      <c r="I31" s="4">
        <f t="shared" si="0"/>
        <v>0</v>
      </c>
    </row>
    <row r="32" spans="1:9" ht="15" customHeight="1">
      <c r="A32" s="22" t="s">
        <v>630</v>
      </c>
      <c r="B32" s="9" t="s">
        <v>134</v>
      </c>
      <c r="C32" s="53" t="s">
        <v>688</v>
      </c>
      <c r="D32" s="53"/>
      <c r="E32" s="4">
        <f>'Stavební rozpočet'!J163</f>
        <v>0</v>
      </c>
      <c r="F32" s="4">
        <f>'Stavební rozpočet'!K163</f>
        <v>0</v>
      </c>
      <c r="G32" s="4">
        <f>'Stavební rozpočet'!L163</f>
        <v>0</v>
      </c>
      <c r="H32" s="14" t="s">
        <v>875</v>
      </c>
      <c r="I32" s="4">
        <f t="shared" si="0"/>
        <v>0</v>
      </c>
    </row>
    <row r="33" spans="1:9" ht="15" customHeight="1">
      <c r="A33" s="22" t="s">
        <v>630</v>
      </c>
      <c r="B33" s="9" t="s">
        <v>124</v>
      </c>
      <c r="C33" s="53" t="s">
        <v>433</v>
      </c>
      <c r="D33" s="53"/>
      <c r="E33" s="4">
        <f>'Stavební rozpočet'!J166</f>
        <v>0</v>
      </c>
      <c r="F33" s="4">
        <f>'Stavební rozpočet'!K166</f>
        <v>0</v>
      </c>
      <c r="G33" s="4">
        <f>'Stavební rozpočet'!L166</f>
        <v>0</v>
      </c>
      <c r="H33" s="14" t="s">
        <v>875</v>
      </c>
      <c r="I33" s="4">
        <f t="shared" si="0"/>
        <v>0</v>
      </c>
    </row>
    <row r="34" spans="1:9" ht="15" customHeight="1">
      <c r="A34" s="22" t="s">
        <v>630</v>
      </c>
      <c r="B34" s="9" t="s">
        <v>55</v>
      </c>
      <c r="C34" s="53" t="s">
        <v>1005</v>
      </c>
      <c r="D34" s="53"/>
      <c r="E34" s="4">
        <f>'Stavební rozpočet'!J169</f>
        <v>0</v>
      </c>
      <c r="F34" s="4">
        <f>'Stavební rozpočet'!K169</f>
        <v>0</v>
      </c>
      <c r="G34" s="4">
        <f>'Stavební rozpočet'!L169</f>
        <v>0</v>
      </c>
      <c r="H34" s="14" t="s">
        <v>875</v>
      </c>
      <c r="I34" s="4">
        <f t="shared" si="0"/>
        <v>0</v>
      </c>
    </row>
    <row r="35" spans="1:9" ht="15" customHeight="1">
      <c r="A35" s="22" t="s">
        <v>630</v>
      </c>
      <c r="B35" s="9" t="s">
        <v>585</v>
      </c>
      <c r="C35" s="53" t="s">
        <v>1016</v>
      </c>
      <c r="D35" s="53"/>
      <c r="E35" s="4">
        <f>'Stavební rozpočet'!J177</f>
        <v>0</v>
      </c>
      <c r="F35" s="4">
        <f>'Stavební rozpočet'!K177</f>
        <v>0</v>
      </c>
      <c r="G35" s="4">
        <f>'Stavební rozpočet'!L177</f>
        <v>0</v>
      </c>
      <c r="H35" s="14" t="s">
        <v>875</v>
      </c>
      <c r="I35" s="4">
        <f t="shared" si="0"/>
        <v>0</v>
      </c>
    </row>
    <row r="36" spans="1:9" ht="15" customHeight="1">
      <c r="A36" s="22" t="s">
        <v>630</v>
      </c>
      <c r="B36" s="9" t="s">
        <v>815</v>
      </c>
      <c r="C36" s="53" t="s">
        <v>564</v>
      </c>
      <c r="D36" s="53"/>
      <c r="E36" s="4">
        <f>'Stavební rozpočet'!J197</f>
        <v>0</v>
      </c>
      <c r="F36" s="4">
        <f>'Stavební rozpočet'!K197</f>
        <v>0</v>
      </c>
      <c r="G36" s="4">
        <f>'Stavební rozpočet'!L197</f>
        <v>0</v>
      </c>
      <c r="H36" s="14" t="s">
        <v>875</v>
      </c>
      <c r="I36" s="4">
        <f t="shared" si="0"/>
        <v>0</v>
      </c>
    </row>
    <row r="37" spans="1:9" ht="15" customHeight="1">
      <c r="A37" s="22" t="s">
        <v>630</v>
      </c>
      <c r="B37" s="9" t="s">
        <v>871</v>
      </c>
      <c r="C37" s="53" t="s">
        <v>547</v>
      </c>
      <c r="D37" s="53"/>
      <c r="E37" s="4">
        <f>'Stavební rozpočet'!J238</f>
        <v>0</v>
      </c>
      <c r="F37" s="4">
        <f>'Stavební rozpočet'!K238</f>
        <v>0</v>
      </c>
      <c r="G37" s="4">
        <f>'Stavební rozpočet'!L238</f>
        <v>0</v>
      </c>
      <c r="H37" s="14" t="s">
        <v>875</v>
      </c>
      <c r="I37" s="4">
        <f t="shared" si="0"/>
        <v>0</v>
      </c>
    </row>
    <row r="38" spans="1:9" ht="15" customHeight="1">
      <c r="A38" s="22" t="s">
        <v>630</v>
      </c>
      <c r="B38" s="9" t="s">
        <v>522</v>
      </c>
      <c r="C38" s="53" t="s">
        <v>949</v>
      </c>
      <c r="D38" s="53"/>
      <c r="E38" s="4">
        <f>'Stavební rozpočet'!J244</f>
        <v>0</v>
      </c>
      <c r="F38" s="4">
        <f>'Stavební rozpočet'!K244</f>
        <v>0</v>
      </c>
      <c r="G38" s="4">
        <f>'Stavební rozpočet'!L244</f>
        <v>0</v>
      </c>
      <c r="H38" s="14" t="s">
        <v>875</v>
      </c>
      <c r="I38" s="4">
        <f t="shared" si="0"/>
        <v>0</v>
      </c>
    </row>
    <row r="39" spans="1:9" ht="15" customHeight="1">
      <c r="A39" s="22" t="s">
        <v>630</v>
      </c>
      <c r="B39" s="9" t="s">
        <v>933</v>
      </c>
      <c r="C39" s="53" t="s">
        <v>764</v>
      </c>
      <c r="D39" s="53"/>
      <c r="E39" s="4">
        <f>'Stavební rozpočet'!J249</f>
        <v>0</v>
      </c>
      <c r="F39" s="4">
        <f>'Stavební rozpočet'!K249</f>
        <v>0</v>
      </c>
      <c r="G39" s="4">
        <f>'Stavební rozpočet'!L249</f>
        <v>0</v>
      </c>
      <c r="H39" s="14" t="s">
        <v>875</v>
      </c>
      <c r="I39" s="4">
        <f t="shared" si="0"/>
        <v>0</v>
      </c>
    </row>
    <row r="40" spans="1:9" ht="15" customHeight="1">
      <c r="A40" s="22" t="s">
        <v>630</v>
      </c>
      <c r="B40" s="9" t="s">
        <v>936</v>
      </c>
      <c r="C40" s="53" t="s">
        <v>678</v>
      </c>
      <c r="D40" s="53"/>
      <c r="E40" s="4">
        <f>'Stavební rozpočet'!J257</f>
        <v>0</v>
      </c>
      <c r="F40" s="4">
        <f>'Stavební rozpočet'!K257</f>
        <v>0</v>
      </c>
      <c r="G40" s="4">
        <f>'Stavební rozpočet'!L257</f>
        <v>0</v>
      </c>
      <c r="H40" s="14" t="s">
        <v>875</v>
      </c>
      <c r="I40" s="4">
        <f t="shared" si="0"/>
        <v>0</v>
      </c>
    </row>
    <row r="41" spans="1:9" ht="15" customHeight="1">
      <c r="A41" s="22" t="s">
        <v>630</v>
      </c>
      <c r="B41" s="9" t="s">
        <v>386</v>
      </c>
      <c r="C41" s="53" t="s">
        <v>439</v>
      </c>
      <c r="D41" s="53"/>
      <c r="E41" s="4">
        <f>'Stavební rozpočet'!J266</f>
        <v>0</v>
      </c>
      <c r="F41" s="4">
        <f>'Stavební rozpočet'!K266</f>
        <v>0</v>
      </c>
      <c r="G41" s="4">
        <f>'Stavební rozpočet'!L266</f>
        <v>0</v>
      </c>
      <c r="H41" s="14" t="s">
        <v>875</v>
      </c>
      <c r="I41" s="4">
        <f t="shared" si="0"/>
        <v>0</v>
      </c>
    </row>
    <row r="42" spans="1:9" ht="15" customHeight="1">
      <c r="A42" s="22" t="s">
        <v>630</v>
      </c>
      <c r="B42" s="9" t="s">
        <v>422</v>
      </c>
      <c r="C42" s="53" t="s">
        <v>283</v>
      </c>
      <c r="D42" s="53"/>
      <c r="E42" s="4">
        <f>'Stavební rozpočet'!J288</f>
        <v>0</v>
      </c>
      <c r="F42" s="4">
        <f>'Stavební rozpočet'!K288</f>
        <v>0</v>
      </c>
      <c r="G42" s="4">
        <f>'Stavební rozpočet'!L288</f>
        <v>0</v>
      </c>
      <c r="H42" s="14" t="s">
        <v>875</v>
      </c>
      <c r="I42" s="4">
        <f t="shared" si="0"/>
        <v>0</v>
      </c>
    </row>
    <row r="43" spans="1:9" ht="15" customHeight="1">
      <c r="A43" s="22" t="s">
        <v>630</v>
      </c>
      <c r="B43" s="9" t="s">
        <v>983</v>
      </c>
      <c r="C43" s="53" t="s">
        <v>794</v>
      </c>
      <c r="D43" s="53"/>
      <c r="E43" s="4">
        <f>'Stavební rozpočet'!J297</f>
        <v>0</v>
      </c>
      <c r="F43" s="4">
        <f>'Stavební rozpočet'!K297</f>
        <v>0</v>
      </c>
      <c r="G43" s="4">
        <f>'Stavební rozpočet'!L297</f>
        <v>0</v>
      </c>
      <c r="H43" s="14" t="s">
        <v>875</v>
      </c>
      <c r="I43" s="4">
        <f t="shared" si="0"/>
        <v>0</v>
      </c>
    </row>
    <row r="44" spans="1:9" ht="15" customHeight="1">
      <c r="A44" s="22" t="s">
        <v>630</v>
      </c>
      <c r="B44" s="9" t="s">
        <v>732</v>
      </c>
      <c r="C44" s="53" t="s">
        <v>404</v>
      </c>
      <c r="D44" s="53"/>
      <c r="E44" s="4">
        <f>'Stavební rozpočet'!J315</f>
        <v>0</v>
      </c>
      <c r="F44" s="4">
        <f>'Stavební rozpočet'!K315</f>
        <v>0</v>
      </c>
      <c r="G44" s="4">
        <f>'Stavební rozpočet'!L315</f>
        <v>0</v>
      </c>
      <c r="H44" s="14" t="s">
        <v>875</v>
      </c>
      <c r="I44" s="4">
        <f t="shared" si="0"/>
        <v>0</v>
      </c>
    </row>
    <row r="45" spans="1:9" ht="15" customHeight="1">
      <c r="A45" s="22" t="s">
        <v>630</v>
      </c>
      <c r="B45" s="9" t="s">
        <v>528</v>
      </c>
      <c r="C45" s="53" t="s">
        <v>721</v>
      </c>
      <c r="D45" s="53"/>
      <c r="E45" s="4">
        <f>'Stavební rozpočet'!J325</f>
        <v>0</v>
      </c>
      <c r="F45" s="4">
        <f>'Stavební rozpočet'!K325</f>
        <v>0</v>
      </c>
      <c r="G45" s="4">
        <f>'Stavební rozpočet'!L325</f>
        <v>0</v>
      </c>
      <c r="H45" s="14" t="s">
        <v>875</v>
      </c>
      <c r="I45" s="4">
        <f t="shared" si="0"/>
        <v>0</v>
      </c>
    </row>
    <row r="46" spans="1:9" ht="15" customHeight="1">
      <c r="A46" s="22" t="s">
        <v>630</v>
      </c>
      <c r="B46" s="9" t="s">
        <v>513</v>
      </c>
      <c r="C46" s="53" t="s">
        <v>16</v>
      </c>
      <c r="D46" s="53"/>
      <c r="E46" s="4">
        <f>'Stavební rozpočet'!J333</f>
        <v>0</v>
      </c>
      <c r="F46" s="4">
        <f>'Stavební rozpočet'!K333</f>
        <v>0</v>
      </c>
      <c r="G46" s="4">
        <f>'Stavební rozpočet'!L333</f>
        <v>0</v>
      </c>
      <c r="H46" s="14" t="s">
        <v>875</v>
      </c>
      <c r="I46" s="4">
        <f t="shared" si="0"/>
        <v>0</v>
      </c>
    </row>
    <row r="47" spans="1:9" ht="15" customHeight="1">
      <c r="A47" s="22" t="s">
        <v>630</v>
      </c>
      <c r="B47" s="9" t="s">
        <v>70</v>
      </c>
      <c r="C47" s="53" t="s">
        <v>751</v>
      </c>
      <c r="D47" s="53"/>
      <c r="E47" s="4">
        <f>'Stavební rozpočet'!J338</f>
        <v>0</v>
      </c>
      <c r="F47" s="4">
        <f>'Stavební rozpočet'!K338</f>
        <v>0</v>
      </c>
      <c r="G47" s="4">
        <f>'Stavební rozpočet'!L338</f>
        <v>0</v>
      </c>
      <c r="H47" s="14" t="s">
        <v>875</v>
      </c>
      <c r="I47" s="4">
        <f t="shared" si="0"/>
        <v>0</v>
      </c>
    </row>
    <row r="48" spans="1:9" ht="15" customHeight="1">
      <c r="F48" s="28" t="s">
        <v>719</v>
      </c>
      <c r="G48" s="36">
        <f>ROUND(SUM(I11:I47),1)</f>
        <v>0</v>
      </c>
    </row>
  </sheetData>
  <mergeCells count="62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C4:C5"/>
    <mergeCell ref="C6:C7"/>
    <mergeCell ref="C8:C9"/>
    <mergeCell ref="E2:E3"/>
    <mergeCell ref="E4:E5"/>
    <mergeCell ref="E6:E7"/>
    <mergeCell ref="E8:E9"/>
    <mergeCell ref="G2:G3"/>
    <mergeCell ref="G4:G5"/>
    <mergeCell ref="G6:G7"/>
    <mergeCell ref="G8:G9"/>
    <mergeCell ref="C11:D11"/>
    <mergeCell ref="F4:F5"/>
    <mergeCell ref="F6:F7"/>
    <mergeCell ref="F8:F9"/>
    <mergeCell ref="C2:C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I37"/>
  <sheetViews>
    <sheetView showOutlineSymbols="0" workbookViewId="0">
      <selection activeCell="A37" sqref="A37:I37"/>
    </sheetView>
  </sheetViews>
  <sheetFormatPr defaultColWidth="14.1640625" defaultRowHeight="15" customHeight="1"/>
  <cols>
    <col min="1" max="1" width="10.6640625" customWidth="1"/>
    <col min="2" max="2" width="15" customWidth="1"/>
    <col min="3" max="3" width="31.6640625" customWidth="1"/>
    <col min="4" max="4" width="11.6640625" customWidth="1"/>
    <col min="5" max="5" width="16.33203125" customWidth="1"/>
    <col min="6" max="6" width="31.6640625" customWidth="1"/>
    <col min="7" max="7" width="10.6640625" customWidth="1"/>
    <col min="8" max="8" width="15" customWidth="1"/>
    <col min="9" max="9" width="31.6640625" customWidth="1"/>
  </cols>
  <sheetData>
    <row r="1" spans="1:9" ht="54.75" customHeight="1">
      <c r="A1" s="111" t="s">
        <v>209</v>
      </c>
      <c r="B1" s="75"/>
      <c r="C1" s="75"/>
      <c r="D1" s="75"/>
      <c r="E1" s="75"/>
      <c r="F1" s="75"/>
      <c r="G1" s="75"/>
      <c r="H1" s="75"/>
      <c r="I1" s="75"/>
    </row>
    <row r="2" spans="1:9" ht="15" customHeight="1">
      <c r="A2" s="76" t="s">
        <v>60</v>
      </c>
      <c r="B2" s="68"/>
      <c r="C2" s="73" t="str">
        <f>'Stavební rozpočet'!C2</f>
        <v>Rekonstrukce kuchyně</v>
      </c>
      <c r="D2" s="74"/>
      <c r="E2" s="67" t="s">
        <v>766</v>
      </c>
      <c r="F2" s="67" t="str">
        <f>'Stavební rozpočet'!J2</f>
        <v>SPŠ stavební a Obchodní akademie</v>
      </c>
      <c r="G2" s="68"/>
      <c r="H2" s="67" t="s">
        <v>591</v>
      </c>
      <c r="I2" s="69" t="s">
        <v>630</v>
      </c>
    </row>
    <row r="3" spans="1:9" ht="15" customHeight="1">
      <c r="A3" s="77"/>
      <c r="B3" s="53"/>
      <c r="C3" s="60"/>
      <c r="D3" s="60"/>
      <c r="E3" s="53"/>
      <c r="F3" s="53"/>
      <c r="G3" s="53"/>
      <c r="H3" s="53"/>
      <c r="I3" s="70"/>
    </row>
    <row r="4" spans="1:9" ht="15" customHeight="1">
      <c r="A4" s="78" t="s">
        <v>505</v>
      </c>
      <c r="B4" s="53"/>
      <c r="C4" s="52" t="str">
        <f>'Stavební rozpočet'!C4</f>
        <v>Střední průmyslová škola stavební a Obchodní akademie</v>
      </c>
      <c r="D4" s="53"/>
      <c r="E4" s="52" t="s">
        <v>626</v>
      </c>
      <c r="F4" s="52" t="str">
        <f>'Stavební rozpočet'!J4</f>
        <v>iMK Kladno, s.r.o.Kladno</v>
      </c>
      <c r="G4" s="53"/>
      <c r="H4" s="52" t="s">
        <v>591</v>
      </c>
      <c r="I4" s="70" t="s">
        <v>630</v>
      </c>
    </row>
    <row r="5" spans="1:9" ht="15" customHeight="1">
      <c r="A5" s="77"/>
      <c r="B5" s="53"/>
      <c r="C5" s="53"/>
      <c r="D5" s="53"/>
      <c r="E5" s="53"/>
      <c r="F5" s="53"/>
      <c r="G5" s="53"/>
      <c r="H5" s="53"/>
      <c r="I5" s="70"/>
    </row>
    <row r="6" spans="1:9" ht="15" customHeight="1">
      <c r="A6" s="78" t="s">
        <v>76</v>
      </c>
      <c r="B6" s="53"/>
      <c r="C6" s="52" t="str">
        <f>'Stavební rozpočet'!C6</f>
        <v>Cyrila Boudy 2954, Kladno, kat.úz.Kladno</v>
      </c>
      <c r="D6" s="53"/>
      <c r="E6" s="52" t="s">
        <v>791</v>
      </c>
      <c r="F6" s="52" t="str">
        <f>'Stavební rozpočet'!J6</f>
        <v>Dle výběrového řízení</v>
      </c>
      <c r="G6" s="53"/>
      <c r="H6" s="52" t="s">
        <v>591</v>
      </c>
      <c r="I6" s="70" t="s">
        <v>630</v>
      </c>
    </row>
    <row r="7" spans="1:9" ht="15" customHeight="1">
      <c r="A7" s="77"/>
      <c r="B7" s="53"/>
      <c r="C7" s="53"/>
      <c r="D7" s="53"/>
      <c r="E7" s="53"/>
      <c r="F7" s="53"/>
      <c r="G7" s="53"/>
      <c r="H7" s="53"/>
      <c r="I7" s="70"/>
    </row>
    <row r="8" spans="1:9" ht="15" customHeight="1">
      <c r="A8" s="78" t="s">
        <v>802</v>
      </c>
      <c r="B8" s="53"/>
      <c r="C8" s="52" t="str">
        <f>'Stavební rozpočet'!G4</f>
        <v xml:space="preserve"> </v>
      </c>
      <c r="D8" s="53"/>
      <c r="E8" s="52" t="s">
        <v>300</v>
      </c>
      <c r="F8" s="52" t="str">
        <f>'Stavební rozpočet'!G6</f>
        <v xml:space="preserve"> </v>
      </c>
      <c r="G8" s="53"/>
      <c r="H8" s="53" t="s">
        <v>916</v>
      </c>
      <c r="I8" s="108">
        <v>264</v>
      </c>
    </row>
    <row r="9" spans="1:9" ht="15" customHeight="1">
      <c r="A9" s="77"/>
      <c r="B9" s="53"/>
      <c r="C9" s="53"/>
      <c r="D9" s="53"/>
      <c r="E9" s="53"/>
      <c r="F9" s="53"/>
      <c r="G9" s="53"/>
      <c r="H9" s="53"/>
      <c r="I9" s="70"/>
    </row>
    <row r="10" spans="1:9" ht="15" customHeight="1">
      <c r="A10" s="78" t="s">
        <v>453</v>
      </c>
      <c r="B10" s="53"/>
      <c r="C10" s="52" t="str">
        <f>'Stavební rozpočet'!C8</f>
        <v xml:space="preserve"> </v>
      </c>
      <c r="D10" s="53"/>
      <c r="E10" s="52" t="s">
        <v>602</v>
      </c>
      <c r="F10" s="52" t="str">
        <f>'Stavební rozpočet'!J8</f>
        <v> </v>
      </c>
      <c r="G10" s="53"/>
      <c r="H10" s="53" t="s">
        <v>882</v>
      </c>
      <c r="I10" s="80" t="str">
        <f>'Stavební rozpočet'!G8</f>
        <v>31.05.2023</v>
      </c>
    </row>
    <row r="11" spans="1:9" ht="15" customHeight="1">
      <c r="A11" s="112"/>
      <c r="B11" s="81"/>
      <c r="C11" s="81"/>
      <c r="D11" s="81"/>
      <c r="E11" s="81"/>
      <c r="F11" s="81"/>
      <c r="G11" s="81"/>
      <c r="H11" s="81"/>
      <c r="I11" s="109"/>
    </row>
    <row r="12" spans="1:9" ht="22.5" customHeight="1">
      <c r="A12" s="110" t="s">
        <v>149</v>
      </c>
      <c r="B12" s="110"/>
      <c r="C12" s="110"/>
      <c r="D12" s="110"/>
      <c r="E12" s="110"/>
      <c r="F12" s="110"/>
      <c r="G12" s="110"/>
      <c r="H12" s="110"/>
      <c r="I12" s="110"/>
    </row>
    <row r="13" spans="1:9" ht="26.25" customHeight="1">
      <c r="A13" s="31" t="s">
        <v>808</v>
      </c>
      <c r="B13" s="103" t="s">
        <v>108</v>
      </c>
      <c r="C13" s="104"/>
      <c r="D13" s="39" t="s">
        <v>159</v>
      </c>
      <c r="E13" s="103" t="s">
        <v>339</v>
      </c>
      <c r="F13" s="104"/>
      <c r="G13" s="39" t="s">
        <v>582</v>
      </c>
      <c r="H13" s="103" t="s">
        <v>163</v>
      </c>
      <c r="I13" s="104"/>
    </row>
    <row r="14" spans="1:9" ht="15" customHeight="1">
      <c r="A14" s="19" t="s">
        <v>348</v>
      </c>
      <c r="B14" s="8" t="s">
        <v>236</v>
      </c>
      <c r="C14" s="42">
        <f>SUM('Stavební rozpočet'!AB12:AB380)</f>
        <v>0</v>
      </c>
      <c r="D14" s="95" t="s">
        <v>652</v>
      </c>
      <c r="E14" s="96"/>
      <c r="F14" s="42">
        <v>0</v>
      </c>
      <c r="G14" s="95" t="s">
        <v>90</v>
      </c>
      <c r="H14" s="96"/>
      <c r="I14" s="34" t="s">
        <v>484</v>
      </c>
    </row>
    <row r="15" spans="1:9" ht="15" customHeight="1">
      <c r="A15" s="44" t="s">
        <v>630</v>
      </c>
      <c r="B15" s="8" t="s">
        <v>168</v>
      </c>
      <c r="C15" s="42">
        <f>SUM('Stavební rozpočet'!AC12:AC380)</f>
        <v>0</v>
      </c>
      <c r="D15" s="95" t="s">
        <v>83</v>
      </c>
      <c r="E15" s="96"/>
      <c r="F15" s="42">
        <v>0</v>
      </c>
      <c r="G15" s="95" t="s">
        <v>720</v>
      </c>
      <c r="H15" s="96"/>
      <c r="I15" s="34" t="s">
        <v>484</v>
      </c>
    </row>
    <row r="16" spans="1:9" ht="15" customHeight="1">
      <c r="A16" s="19" t="s">
        <v>80</v>
      </c>
      <c r="B16" s="8" t="s">
        <v>236</v>
      </c>
      <c r="C16" s="42">
        <f>SUM('Stavební rozpočet'!AD12:AD380)</f>
        <v>0</v>
      </c>
      <c r="D16" s="95" t="s">
        <v>672</v>
      </c>
      <c r="E16" s="96"/>
      <c r="F16" s="42">
        <v>0</v>
      </c>
      <c r="G16" s="95" t="s">
        <v>864</v>
      </c>
      <c r="H16" s="96"/>
      <c r="I16" s="34" t="s">
        <v>484</v>
      </c>
    </row>
    <row r="17" spans="1:9" ht="15" customHeight="1">
      <c r="A17" s="44" t="s">
        <v>630</v>
      </c>
      <c r="B17" s="8" t="s">
        <v>168</v>
      </c>
      <c r="C17" s="42">
        <f>SUM('Stavební rozpočet'!AE12:AE380)</f>
        <v>0</v>
      </c>
      <c r="D17" s="95" t="s">
        <v>630</v>
      </c>
      <c r="E17" s="96"/>
      <c r="F17" s="34" t="s">
        <v>630</v>
      </c>
      <c r="G17" s="95" t="s">
        <v>487</v>
      </c>
      <c r="H17" s="96"/>
      <c r="I17" s="34" t="s">
        <v>484</v>
      </c>
    </row>
    <row r="18" spans="1:9" ht="15" customHeight="1">
      <c r="A18" s="19" t="s">
        <v>282</v>
      </c>
      <c r="B18" s="8" t="s">
        <v>236</v>
      </c>
      <c r="C18" s="42">
        <f>SUM('Stavební rozpočet'!AF12:AF380)</f>
        <v>0</v>
      </c>
      <c r="D18" s="95" t="s">
        <v>630</v>
      </c>
      <c r="E18" s="96"/>
      <c r="F18" s="34" t="s">
        <v>630</v>
      </c>
      <c r="G18" s="95" t="s">
        <v>593</v>
      </c>
      <c r="H18" s="96"/>
      <c r="I18" s="34" t="s">
        <v>484</v>
      </c>
    </row>
    <row r="19" spans="1:9" ht="15" customHeight="1">
      <c r="A19" s="44" t="s">
        <v>630</v>
      </c>
      <c r="B19" s="8" t="s">
        <v>168</v>
      </c>
      <c r="C19" s="42">
        <f>SUM('Stavební rozpočet'!AG12:AG380)</f>
        <v>0</v>
      </c>
      <c r="D19" s="95" t="s">
        <v>630</v>
      </c>
      <c r="E19" s="96"/>
      <c r="F19" s="34" t="s">
        <v>630</v>
      </c>
      <c r="G19" s="95" t="s">
        <v>897</v>
      </c>
      <c r="H19" s="96"/>
      <c r="I19" s="34" t="s">
        <v>484</v>
      </c>
    </row>
    <row r="20" spans="1:9" ht="15" customHeight="1">
      <c r="A20" s="102" t="s">
        <v>61</v>
      </c>
      <c r="B20" s="101"/>
      <c r="C20" s="42">
        <f>SUM('Stavební rozpočet'!AH12:AH380)</f>
        <v>0</v>
      </c>
      <c r="D20" s="95" t="s">
        <v>630</v>
      </c>
      <c r="E20" s="96"/>
      <c r="F20" s="34" t="s">
        <v>630</v>
      </c>
      <c r="G20" s="95" t="s">
        <v>630</v>
      </c>
      <c r="H20" s="96"/>
      <c r="I20" s="34" t="s">
        <v>630</v>
      </c>
    </row>
    <row r="21" spans="1:9" ht="15" customHeight="1">
      <c r="A21" s="105" t="s">
        <v>896</v>
      </c>
      <c r="B21" s="106"/>
      <c r="C21" s="15">
        <f>SUM('Stavební rozpočet'!Z12:Z380)</f>
        <v>0</v>
      </c>
      <c r="D21" s="84" t="s">
        <v>630</v>
      </c>
      <c r="E21" s="97"/>
      <c r="F21" s="41" t="s">
        <v>630</v>
      </c>
      <c r="G21" s="84" t="s">
        <v>630</v>
      </c>
      <c r="H21" s="97"/>
      <c r="I21" s="41" t="s">
        <v>630</v>
      </c>
    </row>
    <row r="22" spans="1:9" ht="16.5" customHeight="1">
      <c r="A22" s="107" t="s">
        <v>173</v>
      </c>
      <c r="B22" s="99"/>
      <c r="C22" s="16">
        <f>ROUND(SUM(C14:C21),1)</f>
        <v>0</v>
      </c>
      <c r="D22" s="98" t="s">
        <v>474</v>
      </c>
      <c r="E22" s="99"/>
      <c r="F22" s="16">
        <f>SUM(F14:F21)</f>
        <v>0</v>
      </c>
      <c r="G22" s="98" t="s">
        <v>918</v>
      </c>
      <c r="H22" s="99"/>
      <c r="I22" s="16">
        <f>ROUND(C22*(4/100),2)</f>
        <v>0</v>
      </c>
    </row>
    <row r="23" spans="1:9" ht="15" customHeight="1">
      <c r="D23" s="102" t="s">
        <v>725</v>
      </c>
      <c r="E23" s="101"/>
      <c r="F23" s="47">
        <v>0</v>
      </c>
      <c r="G23" s="100" t="s">
        <v>47</v>
      </c>
      <c r="H23" s="101"/>
      <c r="I23" s="42">
        <v>0</v>
      </c>
    </row>
    <row r="24" spans="1:9" ht="15" customHeight="1">
      <c r="G24" s="102" t="s">
        <v>627</v>
      </c>
      <c r="H24" s="101"/>
    </row>
    <row r="25" spans="1:9" ht="15" customHeight="1">
      <c r="G25" s="102" t="s">
        <v>696</v>
      </c>
      <c r="H25" s="101"/>
      <c r="I25" s="16">
        <v>0</v>
      </c>
    </row>
    <row r="27" spans="1:9" ht="15" customHeight="1">
      <c r="A27" s="91" t="s">
        <v>374</v>
      </c>
      <c r="B27" s="92"/>
      <c r="C27" s="50">
        <f>ROUND(SUM('Stavební rozpočet'!AJ12:AJ380),1)</f>
        <v>0</v>
      </c>
    </row>
    <row r="28" spans="1:9" ht="15" customHeight="1">
      <c r="A28" s="93" t="s">
        <v>15</v>
      </c>
      <c r="B28" s="94"/>
      <c r="C28" s="35">
        <f>ROUND(SUM('Stavební rozpočet'!AK12:AK380),1)</f>
        <v>0</v>
      </c>
      <c r="D28" s="92" t="s">
        <v>202</v>
      </c>
      <c r="E28" s="92"/>
      <c r="F28" s="50">
        <f>ROUND(C28*(15/100),2)</f>
        <v>0</v>
      </c>
      <c r="G28" s="92" t="s">
        <v>126</v>
      </c>
      <c r="H28" s="92"/>
      <c r="I28" s="50">
        <f>ROUND(SUM(C27:C29),1)</f>
        <v>0</v>
      </c>
    </row>
    <row r="29" spans="1:9" ht="15" customHeight="1">
      <c r="A29" s="93" t="s">
        <v>37</v>
      </c>
      <c r="B29" s="94"/>
      <c r="C29" s="35">
        <f>ROUND(SUM('Stavební rozpočet'!AL12:AL380)+(F22+I22+F23+I23+I24+I25),1)</f>
        <v>0</v>
      </c>
      <c r="D29" s="94" t="s">
        <v>680</v>
      </c>
      <c r="E29" s="94"/>
      <c r="F29" s="35">
        <f>ROUND(C29*(21/100),2)</f>
        <v>0</v>
      </c>
      <c r="G29" s="94" t="s">
        <v>371</v>
      </c>
      <c r="H29" s="94"/>
      <c r="I29" s="35">
        <f>ROUND(SUM(F28:F29)+I28,1)</f>
        <v>0</v>
      </c>
    </row>
    <row r="31" spans="1:9" ht="15" customHeight="1">
      <c r="A31" s="88" t="s">
        <v>10</v>
      </c>
      <c r="B31" s="82"/>
      <c r="C31" s="83"/>
      <c r="D31" s="82" t="s">
        <v>856</v>
      </c>
      <c r="E31" s="82"/>
      <c r="F31" s="83"/>
      <c r="G31" s="82" t="s">
        <v>615</v>
      </c>
      <c r="H31" s="82"/>
      <c r="I31" s="83"/>
    </row>
    <row r="32" spans="1:9" ht="15" customHeight="1">
      <c r="A32" s="89" t="s">
        <v>630</v>
      </c>
      <c r="B32" s="84"/>
      <c r="C32" s="85"/>
      <c r="D32" s="84" t="s">
        <v>630</v>
      </c>
      <c r="E32" s="84"/>
      <c r="F32" s="85"/>
      <c r="G32" s="84" t="s">
        <v>630</v>
      </c>
      <c r="H32" s="84"/>
      <c r="I32" s="85"/>
    </row>
    <row r="33" spans="1:9" ht="15" customHeight="1">
      <c r="A33" s="89" t="s">
        <v>630</v>
      </c>
      <c r="B33" s="84"/>
      <c r="C33" s="85"/>
      <c r="D33" s="84" t="s">
        <v>630</v>
      </c>
      <c r="E33" s="84"/>
      <c r="F33" s="85"/>
      <c r="G33" s="84" t="s">
        <v>630</v>
      </c>
      <c r="H33" s="84"/>
      <c r="I33" s="85"/>
    </row>
    <row r="34" spans="1:9" ht="15" customHeight="1">
      <c r="A34" s="89" t="s">
        <v>630</v>
      </c>
      <c r="B34" s="84"/>
      <c r="C34" s="85"/>
      <c r="D34" s="84" t="s">
        <v>630</v>
      </c>
      <c r="E34" s="84"/>
      <c r="F34" s="85"/>
      <c r="G34" s="84" t="s">
        <v>630</v>
      </c>
      <c r="H34" s="84"/>
      <c r="I34" s="85"/>
    </row>
    <row r="35" spans="1:9" ht="15" customHeight="1">
      <c r="A35" s="90" t="s">
        <v>172</v>
      </c>
      <c r="B35" s="86"/>
      <c r="C35" s="87"/>
      <c r="D35" s="86" t="s">
        <v>172</v>
      </c>
      <c r="E35" s="86"/>
      <c r="F35" s="87"/>
      <c r="G35" s="86" t="s">
        <v>172</v>
      </c>
      <c r="H35" s="86"/>
      <c r="I35" s="87"/>
    </row>
    <row r="36" spans="1:9" ht="15" customHeight="1">
      <c r="A36" s="7" t="s">
        <v>73</v>
      </c>
    </row>
    <row r="37" spans="1:9" ht="12.75" customHeight="1">
      <c r="A37" s="52" t="s">
        <v>630</v>
      </c>
      <c r="B37" s="53"/>
      <c r="C37" s="53"/>
      <c r="D37" s="53"/>
      <c r="E37" s="53"/>
      <c r="F37" s="53"/>
      <c r="G37" s="53"/>
      <c r="H37" s="53"/>
      <c r="I37" s="53"/>
    </row>
  </sheetData>
  <mergeCells count="83"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F2:G3"/>
    <mergeCell ref="F4:G5"/>
    <mergeCell ref="F6:G7"/>
    <mergeCell ref="F8:G9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  <mergeCell ref="A31:C31"/>
    <mergeCell ref="A32:C32"/>
    <mergeCell ref="A33:C33"/>
    <mergeCell ref="A34:C34"/>
  </mergeCells>
  <pageMargins left="0.39400000000000002" right="0.39400000000000002" top="0.59099999999999997" bottom="0.59099999999999997" header="0" footer="0"/>
  <pageSetup paperSize="0" firstPageNumber="0" orientation="landscape" useFirstPageNumber="1" horizontalDpi="0" verticalDpi="0" copies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2021-06-10T20:06:38Z</dcterms:created>
  <dcterms:modified xsi:type="dcterms:W3CDTF">2024-05-21T11:55:55Z</dcterms:modified>
</cp:coreProperties>
</file>