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Stavební rozpočet" sheetId="1" r:id="rId1"/>
    <sheet name="Stavební rozpočet - součet" sheetId="2" r:id="rId2"/>
    <sheet name="Výkaz výměr" sheetId="3" r:id="rId3"/>
    <sheet name="Krycí list rozpočtu" sheetId="4" r:id="rId4"/>
  </sheets>
  <definedNames/>
  <calcPr fullCalcOnLoad="1"/>
</workbook>
</file>

<file path=xl/sharedStrings.xml><?xml version="1.0" encoding="utf-8"?>
<sst xmlns="http://schemas.openxmlformats.org/spreadsheetml/2006/main" count="1638" uniqueCount="459">
  <si>
    <t>Slepý stavební rozpočet</t>
  </si>
  <si>
    <t>Název stavby:</t>
  </si>
  <si>
    <t>Druh stavby:</t>
  </si>
  <si>
    <t>Lokalita:</t>
  </si>
  <si>
    <t>JKSO:</t>
  </si>
  <si>
    <t>Č</t>
  </si>
  <si>
    <t xml:space="preserv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</si>
  <si>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</si>
  <si>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</si>
  <si>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</si>
  <si>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</si>
  <si>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</si>
  <si>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</si>
  <si>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</si>
  <si>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</si>
  <si>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</si>
  <si>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</si>
  <si>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</si>
  <si>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</si>
  <si>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</si>
  <si>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</si>
  <si>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</si>
  <si>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</si>
  <si>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</si>
  <si>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</si>
  <si>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</si>
  <si>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</si>
  <si>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</si>
  <si>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</si>
  <si>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</si>
  <si>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</si>
  <si>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</si>
  <si>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</si>
  <si>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</si>
  <si>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</si>
  <si>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</si>
  <si>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</si>
  <si>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</si>
  <si>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</si>
  <si>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</si>
  <si>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</si>
  <si>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</si>
  <si>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</si>
  <si>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</si>
  <si>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</si>
  <si>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</si>
  <si>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</si>
  <si>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</si>
  <si>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</si>
  <si>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</si>
  <si>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</si>
  <si>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</si>
  <si>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</si>
  <si>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</si>
  <si>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</si>
  <si>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</si>
  <si>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</si>
  <si>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</si>
  <si>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</si>
  <si>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</si>
  <si>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</si>
  <si>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</si>
  <si>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</si>
  <si>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</si>
  <si>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</si>
  <si>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</si>
  <si>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</si>
  <si>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</si>
  <si>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</si>
  <si>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</si>
  <si>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</si>
  <si>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</si>
  <si>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</si>
  <si>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</si>
  <si>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</si>
  <si>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</si>
  <si>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Poznámka:</t>
  </si>
  <si>
    <t>Objekt</t>
  </si>
  <si>
    <t>Kód</t>
  </si>
  <si>
    <t>115001104R00</t>
  </si>
  <si>
    <t>RTS komentář:</t>
  </si>
  <si>
    <t>115100001RAA</t>
  </si>
  <si>
    <t>132201211R00</t>
  </si>
  <si>
    <t>132201219R00</t>
  </si>
  <si>
    <t>151101101R00</t>
  </si>
  <si>
    <t>151101102R00</t>
  </si>
  <si>
    <t>151101111R00</t>
  </si>
  <si>
    <t>151101112R00</t>
  </si>
  <si>
    <t>161101101R00</t>
  </si>
  <si>
    <t>161101102R00</t>
  </si>
  <si>
    <t>162701105R00</t>
  </si>
  <si>
    <t>171201201R00</t>
  </si>
  <si>
    <t>172103101R00</t>
  </si>
  <si>
    <t>174101101R00</t>
  </si>
  <si>
    <t>175101101RT2</t>
  </si>
  <si>
    <t>175101109R00</t>
  </si>
  <si>
    <t>181101101R00</t>
  </si>
  <si>
    <t>199000002R00</t>
  </si>
  <si>
    <t>275361921RT9</t>
  </si>
  <si>
    <t>451572111RL2</t>
  </si>
  <si>
    <t>452313151R00</t>
  </si>
  <si>
    <t>452353101R00</t>
  </si>
  <si>
    <t>85</t>
  </si>
  <si>
    <t>857242121R00</t>
  </si>
  <si>
    <t>857262121R00</t>
  </si>
  <si>
    <t>857312121R00</t>
  </si>
  <si>
    <t>857314121R00</t>
  </si>
  <si>
    <t>87</t>
  </si>
  <si>
    <t>870100011R00</t>
  </si>
  <si>
    <t>871311121R00</t>
  </si>
  <si>
    <t>877312121R00</t>
  </si>
  <si>
    <t>89</t>
  </si>
  <si>
    <t>891241111R00</t>
  </si>
  <si>
    <t>891247111R00</t>
  </si>
  <si>
    <t>891311111R00</t>
  </si>
  <si>
    <t>892351111R00</t>
  </si>
  <si>
    <t>892353111R00</t>
  </si>
  <si>
    <t>892372111R00</t>
  </si>
  <si>
    <t>899401112R00</t>
  </si>
  <si>
    <t>899401113R00</t>
  </si>
  <si>
    <t>899721112R00</t>
  </si>
  <si>
    <t>899731114R00</t>
  </si>
  <si>
    <t>90</t>
  </si>
  <si>
    <t>909      R00</t>
  </si>
  <si>
    <t>96</t>
  </si>
  <si>
    <t>969011131R00</t>
  </si>
  <si>
    <t>97</t>
  </si>
  <si>
    <t>979100012RA0</t>
  </si>
  <si>
    <t>H27</t>
  </si>
  <si>
    <t>998276101R00</t>
  </si>
  <si>
    <t>S</t>
  </si>
  <si>
    <t>979990191R00</t>
  </si>
  <si>
    <t>2830011VD</t>
  </si>
  <si>
    <t>2830012VD</t>
  </si>
  <si>
    <t>283hob2VD</t>
  </si>
  <si>
    <t>28613538</t>
  </si>
  <si>
    <t>286536135</t>
  </si>
  <si>
    <t>286536175</t>
  </si>
  <si>
    <t>4059099900001</t>
  </si>
  <si>
    <t>422-003pVD</t>
  </si>
  <si>
    <t>422-004pVD</t>
  </si>
  <si>
    <t>42200750</t>
  </si>
  <si>
    <t>42200760</t>
  </si>
  <si>
    <t>42223692</t>
  </si>
  <si>
    <t>42223695</t>
  </si>
  <si>
    <t>42273602</t>
  </si>
  <si>
    <t>422913306</t>
  </si>
  <si>
    <t>422913308</t>
  </si>
  <si>
    <t>55251212</t>
  </si>
  <si>
    <t>55251222</t>
  </si>
  <si>
    <t>55259820</t>
  </si>
  <si>
    <t>552599953</t>
  </si>
  <si>
    <t>5526009702</t>
  </si>
  <si>
    <t>55346960vd</t>
  </si>
  <si>
    <t>59691002.A</t>
  </si>
  <si>
    <t>III/1051 Psáry, most ev.č.1051-1</t>
  </si>
  <si>
    <t>SO301 - přeložka vodovodu</t>
  </si>
  <si>
    <t>k.ú. Psáry</t>
  </si>
  <si>
    <t>Zkrácený popis / Varianta</t>
  </si>
  <si>
    <t>Rozměry</t>
  </si>
  <si>
    <t>Přípravné a přidružené práce</t>
  </si>
  <si>
    <t>Převedení vody potrubím o průměru do DN 300 mm</t>
  </si>
  <si>
    <t>Platí i pro výtlačné potrubí nebo žlab o rozvinutém obvodu do 1,00 m</t>
  </si>
  <si>
    <t>Čerpání vody na výšku 10 m, do 500 l</t>
  </si>
  <si>
    <t>včetně pohotovosti čerpací soupravy</t>
  </si>
  <si>
    <t>Hloubené vykopávky</t>
  </si>
  <si>
    <t>Hloubení rýh š.do 200 cm hor.3 do 100 m3,STROJNĚ</t>
  </si>
  <si>
    <t>6*1,1*3,3</t>
  </si>
  <si>
    <t>3*1,1*3,2</t>
  </si>
  <si>
    <t>6*1,1*1,9</t>
  </si>
  <si>
    <t>2*1,1*3,6</t>
  </si>
  <si>
    <t>7*1,1*2,6</t>
  </si>
  <si>
    <t>Položka obsahuje hloubení rýh traktorbagrem, naložení výkopku na dopravní prostředek pro svislé, nebo vodorovné přemístění, popř. přemístění výkopku do 3 m (po povrchu území), případné zajištění rypadel polštáři, udržování pracoviště a ochranu výkopiště proti stékání srážkové vody z okolního terénu i s jejím odvodněním, nebo odvedením, přesekání a odstranění kořenů ve výkopišti, odstranění napadávek, urovnání dna výkopu.</t>
  </si>
  <si>
    <t>Příplatek za lepivost - hloubení rýh 200cm v hor.3</t>
  </si>
  <si>
    <t>72,82*0,3   30%</t>
  </si>
  <si>
    <t>Do měrných jednotek se udává poměrné množství zeminy, které ulpí v nářadí a o které je snížen celkový výkon stroje.</t>
  </si>
  <si>
    <t>Roubení</t>
  </si>
  <si>
    <t>Pažení a rozepření stěn rýh - příložné - hl.do 2 m</t>
  </si>
  <si>
    <t>6*1,9*2,0</t>
  </si>
  <si>
    <t>Odstranění pažení a rozepření se oceňuje samostatně.</t>
  </si>
  <si>
    <t>Pažení a rozepření stěn rýh - příložné - hl.do 4 m</t>
  </si>
  <si>
    <t>6*3,3*2</t>
  </si>
  <si>
    <t>3*3,2*2</t>
  </si>
  <si>
    <t>2*3,6*2</t>
  </si>
  <si>
    <t>7*2,6*2</t>
  </si>
  <si>
    <t>Odstranění pažení stěn rýh - příložné - hl. do 2 m</t>
  </si>
  <si>
    <t>22,8</t>
  </si>
  <si>
    <t>Odstranění pažení stěn rýh - příložné - hl. do 4 m</t>
  </si>
  <si>
    <t>109,6</t>
  </si>
  <si>
    <t>Přemístění výkopku</t>
  </si>
  <si>
    <t>Svislé přemístění výkopku z hor.1-4 do 2,5 m</t>
  </si>
  <si>
    <t>12,54</t>
  </si>
  <si>
    <t>Platí pro hloubky výkopu od 1 do 2,5 m. Při hloubce do 1 m se svislé přemístění neoceňuje.  Tabulka pro určení podílu svislého přemístění výkopku. Číselná hodnota uvedená v tabulce udává procento z celkového objemu výkopávky, pro něž se oceňuje svislé přemístění výkopku.  a) hloubení jam objemu do 100 m3  100 %  objemu do 1000 m3  8 % objemu do 10000 m3  3 %  objemu nad 10000 m3  2 %  b) hloubení rýh š. do 60 cm bez ohledu na objem  100 %  c) hloubení rýh š. do 200 cm objemu do 100 m3  100 % objemu nad 100 m3  50 %  d) hloubení zářezů objemu do 1000 m3  neoceňuje se objemu do 10000 m3  neoceňuje se objemu nad 10000 m3  neoceňuje se</t>
  </si>
  <si>
    <t>Svislé přemístění výkopku z hor.1-4 do 4,0 m</t>
  </si>
  <si>
    <t>21,78+10,56+7,92+20,02</t>
  </si>
  <si>
    <t>Tabulka pro určení podílu svislého přemístění výkopku. Číselná hodnota uvedená v tabulce udává procento z celkového objemu vykopávky, pro něž se oceňuje svislé přemístění výkopku. Platí pro hloubky výkopu 2,5 - 4 m.  a) hloubení jam objemu do 100 m3  100 %  objemu do 1000 m3  16 % objemu do 10000 m3  7 %  objemu nad 10000 m3  3 %  b) hloubení rýh š. do 60 cm bez ohledu na objem  nepředpokládá se  c) hloubení rýh š. do 200 cm objemu do 100 m3  100 % objemu nad 100 m3  55 %  d) hloubení zářezů objemu do 1000 m3  neoceňuje se objemu do 10000 m3  neoceňuje se objemu nad 10000 m3  neoceňuje se</t>
  </si>
  <si>
    <t>Vodorovné přemístění recyklátu do 10000 m</t>
  </si>
  <si>
    <t>72,82-2,64-13,2-17,6</t>
  </si>
  <si>
    <t>Vodorovné přemístění výkopku z hor.1-4 do 10000 m</t>
  </si>
  <si>
    <t>37,56+2,64+13,2</t>
  </si>
  <si>
    <t>Konstrukce ze zemin</t>
  </si>
  <si>
    <t>Uložení sypaniny na skl.-sypanina na výšku přes 2m</t>
  </si>
  <si>
    <t>53,4</t>
  </si>
  <si>
    <t>Položka se nepoužívá pro prosté vysypání zeminy na skládku. To je zahrnuto v ceně odvozu. Položka neobsahuje náklady na získání skládek ani na poplatky za skládku.</t>
  </si>
  <si>
    <t>Zřízení těsnícího jádra, 100% PS, š.vrstvy do 1,0m</t>
  </si>
  <si>
    <t>4*0,6*1</t>
  </si>
  <si>
    <t>Zásyp jam, rýh, šachet se zhutněním</t>
  </si>
  <si>
    <t>recyklátem</t>
  </si>
  <si>
    <t>39,38</t>
  </si>
  <si>
    <t>Položka obsahuje strojní přemístění materiálu pro zásyp ze vzdálenosti do 10 m od okraje zásypu.</t>
  </si>
  <si>
    <t>(10,56+12,54)-(9*1,1*0,1+9*1,1*0,5)</t>
  </si>
  <si>
    <t>Obsyp potrubí bez prohození sypaniny</t>
  </si>
  <si>
    <t>s dodáním štěrkopísku frakce 0 - 22 mm</t>
  </si>
  <si>
    <t>24*1,1*0,5</t>
  </si>
  <si>
    <t>Včetně dodávky kameniva.</t>
  </si>
  <si>
    <t>Příplatek za prohození sypaniny pro obsyp (zásyp) potrubí</t>
  </si>
  <si>
    <t>17,16</t>
  </si>
  <si>
    <t>Povrchové úpravy terénu</t>
  </si>
  <si>
    <t>Úprava pláně v zářezech v hor. 1-4, bez zhutnění</t>
  </si>
  <si>
    <t>24*1,5</t>
  </si>
  <si>
    <t>Hloubení pro podzemní stěny, ražení a hloubení důlní</t>
  </si>
  <si>
    <t>Poplatek za skládku horniny 1- 4</t>
  </si>
  <si>
    <t>Základy</t>
  </si>
  <si>
    <t>Výztuž základových patek ze svařovaných sítí</t>
  </si>
  <si>
    <t>průměr drátu  8,0, oka 150/150 mm KY80</t>
  </si>
  <si>
    <t>0,008</t>
  </si>
  <si>
    <t>V položce jsou zakalkulovány náklady na dodání plošně rovných sítí, jejich uložení a případné stříhání a její vyvázání nebo přivaření bodovými svary. Položka neobsahuje ohýbání sítí do hran.</t>
  </si>
  <si>
    <t>Podkladní a vedlejší konstrukce (kromě vozovek a železničního svršku)</t>
  </si>
  <si>
    <t>Lože pod potrubí z kameniva těženého 0 - 4 mm</t>
  </si>
  <si>
    <t>kraj Středočeský</t>
  </si>
  <si>
    <t>24*1,1*0,1</t>
  </si>
  <si>
    <t>Položka je určena pro práce v otevřeném výkopu, pro práce ve štole se k položce používá příplatek 45154-1192.</t>
  </si>
  <si>
    <t>Bloky pro potrubí z betonu C 20/25</t>
  </si>
  <si>
    <t>4*0,048</t>
  </si>
  <si>
    <t>0,22</t>
  </si>
  <si>
    <t>0,106</t>
  </si>
  <si>
    <t>Položka je určena pro práce v otevřeném výkopu, pro práce ve štole se k položce používá příplatek 45231-3192.</t>
  </si>
  <si>
    <t>Bednění bloků pod potrubí</t>
  </si>
  <si>
    <t>4*0,72+1,08+0,73</t>
  </si>
  <si>
    <t>Položka je určena pro práce v otevřeném výkopu, pro práce ve štole se k položce používá příplatek 45235-1192.  V položkách jsou zakalkulovány i náklady na odbednění a nátěr proti přilnavosti betonu.</t>
  </si>
  <si>
    <t>Potrubí z trub litinových</t>
  </si>
  <si>
    <t>Montáž tvarovek litin. jednoos.přír. výkop DN 80</t>
  </si>
  <si>
    <t>Položka je určena pro montáž litinových tvarovek na potrubí litinovém tlakovém přírubovém jednoosých v otevřeném výkopu, v otevřeném kanálu nebo v šachtě.  V položce nejsou zakalkulovány náklady na dodávku tvarovek; tyto tvarovky se oceňují ve speciifikaci. Ztratné se doporučuje ve výši 1 %.</t>
  </si>
  <si>
    <t>Montáž tvarovek litin. jednoos. přír. výkop DN 100</t>
  </si>
  <si>
    <t>Montáž tvarovek litin. jednoos. přír. výkop DN 150</t>
  </si>
  <si>
    <t>Montáž tvarovek litin. odboč. přír. výkop DN 150</t>
  </si>
  <si>
    <t>Položka je určena pro montáž litinových tvarovek na potrubí litinovém tlakovém přírubovém, odbočných, v otevřeném výkopu, v otevřeném kanálu nebo v šachtě.  V položce nejsou zakalkulovány náklady na dodávku tvarovek; tyto tvarovky se oceňují ve speciifikaci. Ztratné se doporučuje ve výši 1 %.</t>
  </si>
  <si>
    <t>Potrubí z trub plastických, skleněných a čedičových</t>
  </si>
  <si>
    <t>Montáž potrubí sklolaminátového ve výkopu, DN 250</t>
  </si>
  <si>
    <t>Položka je určena pro vodovody i kanalizace. V položce není zakalkulována dodávka trub, spojek a tvarovek. Cenu dodávky včetně dopravy stanoví výrobce na požádání dle konkretní dokumentace. Montáž tlakových tvarovek sklolaminátových se oceňuje jako montáž tvarovek litinových hrdlových nebo přírubových, popřípadě individuální kalkulací.</t>
  </si>
  <si>
    <t>Montáž trubek polyetylenových ve výkopu d 160 mm</t>
  </si>
  <si>
    <t>V položce je uvažováno s jedním spojem na 6 m potrubí. Případné další spoje se dorozpočtují přirážkou za každý další spoj pol. 877 ..-2121 V položce není zakalkulována dodávka trub, spojek a tvarovek. Jejich dodávka se oceňuje ve specifikaci. Montáž elektrotvarovek se oceňuje pol. č. 877 ..-2121  podle množství a průměru potřebných spojů, popřípadě individuální kalkulací.</t>
  </si>
  <si>
    <t>Přirážka za 1 spoj elektrotvarovky d 160 mm</t>
  </si>
  <si>
    <t>Cena vyjadřuje náklady na jeden spoj. Montáž elektrotvarovky se ocení příslušným počtem spojů = napojení. V položce nejsou zakalkulovány náklady na dodání elektrotvarovek; elektrotvarovky se oceňují ve specifikaci.</t>
  </si>
  <si>
    <t>Ostatní konstrukce a práce na trubním vedení</t>
  </si>
  <si>
    <t>Montáž vodovodních šoupátek ve výkopu DN 80</t>
  </si>
  <si>
    <t>Položka je určena pro montáž vodovodních šoupátek v otevřeném výkopu nebo v šachtách s osazením zemní soupravy (bez poklopů). V položce jsou zakalkulovány i náklady na vytvoření otvorů ve stropech šachet pro prostup zemních souprav šoupátek.  V položce nejsou zakalkulovány náklady na: - dodání šoupátek, zemních souprav a šoupátkových klíčů; tyto armatury se oceňují ve specifikaci; ztratné se doporučuje ve výši 1 %.  - podkladní bloky pod armatury, které se oceňují příslušnými položkami souborů 452 Podkladní a zajišťovací konstrukce včetně bednění části A01 tohoto sborníku - osazení šoupátkových poklopů, které se oceňuje položkami souboru 89940 Osazení poklopů litinových části A01 tohoto sborníku.</t>
  </si>
  <si>
    <t>Montáž hydrantů podzemních DN 80</t>
  </si>
  <si>
    <t>Položka je určena pro montáž hydrantů podzemních (bez osazení poklopů) na potrubí. V položce nejsou zakalkulovány náklady na: - dodání hydrantů a hydrantových klíčů; tyto armatury se oceňují ve specifikaci; ztratné se doporučuje ve výši 1 % - podkladní bloky pod armatury, které se oceňují příslušnými položkami souborů 452 Podkladní a zajišťovací konstrukce včetně bednění části A01 tohoto sborníku - obsyp odvodňovacího zařízení hydrantů ze štěrku nebo štěrkopísku; obsyp se oceňuje příslušnými položkami souboru 451 Lože pod potrubí, stoky a drobné objekty části A01 tohoto sborníku. - osazení hydrantových poklopů; osazení poklopů se oceňuje příslušnými položkami souboru 89940 Osazení poklopů litinových části A01 tohoto sborníku.</t>
  </si>
  <si>
    <t>Montáž vodovodních šoupátek ve výkopu DN 150</t>
  </si>
  <si>
    <t>Tlaková zkouška vodovodního potrubí DN 200</t>
  </si>
  <si>
    <t>V položce jsou započteny náklady na přísun, montáž, demontáž a odsun zkoušecího čerpadla, napuštění tlakovou vodou a dodání vody pro tlakovou zkoušku.</t>
  </si>
  <si>
    <t>Desinfekce vodovodního potrubí DN 200</t>
  </si>
  <si>
    <t>V položce jsou zakalkulovány náklady na napuštění a vypuštění vody, dodání vody a desinfekčního prostředku a na bakteriologický rozbor vody.</t>
  </si>
  <si>
    <t>Zabezpečení konců vodovod. potrubí DN 300</t>
  </si>
  <si>
    <t>Položka platí pro zabezpečení dvou konců zkoušeného úseku jakéhokoliv druhu potrubí.V položce jsou započteny náklady na montáž a demontáž výrobků nebo dílců pro zabezpečení dvou konců zkoušeného úseku potrubí pro jakýkoliv způsob zabezpečení, na montáž a demontáž koncových tvarovek, na montáž zaslepovací příruby a na zaslepení jakýchkoliv odboček.</t>
  </si>
  <si>
    <t>Osazení poklopů litinových šoupátkových</t>
  </si>
  <si>
    <t>V položkách osazení poklopů jsou zakalkulovány i náklady na jejich podezdění.  V položkách nejsou zakalkulovány náklady na dodání poklopů; Tyto náklady se oceňují ve specifikaci. Ztratné se nestanoví.</t>
  </si>
  <si>
    <t>Osazení poklopů litinových hydrantových</t>
  </si>
  <si>
    <t>Fólie výstražná z PVC, šířka 30 cm</t>
  </si>
  <si>
    <t>24   modrá</t>
  </si>
  <si>
    <t>Vodič signalizační CYY 6 mm2</t>
  </si>
  <si>
    <t>Hodinové zúčtovací sazby (HZS)</t>
  </si>
  <si>
    <t>Hzs-nezmeritelne stavebni prace</t>
  </si>
  <si>
    <t>Platnost hodinových zúčtovacích sazeb  Hodinovými zúčtovacími sazbami (HZS) se oceňují: a) předběžné obhlídky pracoviště vyžádané objednatelem, b) průzkumné práce na kulturních památkách, sloužící pro získání podkladů k rekonstrukci kulturní památky, c) revize stavebních objektů nebo jejich části, jejichž oprava se oceňuje podle stavebních ceníků, d) práce při havarijních a živelních pohromách prováděné bez projektové dokumentace nebo na základě zjednodušené projektové dokumentace bez rozpočtu, e) práce v rozsahu vymezeném v jednotlivých cenících f) práce prováděné výškovými specialisty a potápěči, g) práce zařazované do hlavy IV souhrnného rozpočtu staveb, prováděné jako součást stavebních objektů, pokud je nelze ocenit položkami stavebních ceníků.  Na základě písemné dohody mezi zhotovitele a objednatelem je možno ocenit stavební práce pomocí HZS jde-li</t>
  </si>
  <si>
    <t>o: a) stavební práce prováděné bez projektové dokumentace, b) práce, pro které není ve stavebních cenících položka.  Pří použití hodinových zúčtovacích sazeb se oceňuje: a) počet skutečně odpracovaných hodin všech pracovníků včetně času vynaloženého na předběžnou obhlídku pracoviště za účelem zjištění rozsahu prací, objednatelem potvrzených ve stavebním deníku, nebo samostatném dokladu, pokud se stavební deník nevede, b) přímý materiál,  c) náklady na provoz stavebních strojů, d) ostatní přímé náklady.  Počet odpracovaných hodin jednotlivých pracovníků se zaokrouhlí: a) na půlhodinu, trvá-li práce 30 minut nebo méně, b) na celou hodinu, trvá-li práce více než 30 minut.</t>
  </si>
  <si>
    <t>Bourání konstrukcí</t>
  </si>
  <si>
    <t>Vybourání vodovod., plynového vedení DN do 125 mm</t>
  </si>
  <si>
    <t>V položce není kalkulována manipulace se sutí, která se oceňuje samostatně položkami souboru 979.</t>
  </si>
  <si>
    <t>Prorážení otvorů a ostatní bourací práce</t>
  </si>
  <si>
    <t>Odvoz suti a vyb.hmot do 10 km, vnitrost. 25 m</t>
  </si>
  <si>
    <t>0,8224</t>
  </si>
  <si>
    <t>Vedení trubní dálková a přípojná</t>
  </si>
  <si>
    <t>Přesun hmot, trubní vedení plastová, otevř. výkop</t>
  </si>
  <si>
    <t>0,0184+0,0001+0,7118+0,5484</t>
  </si>
  <si>
    <t>Položka je určena pro trubní vedení (vodovod nebo kanalizace) hloubené nebo ražené z trub z plastických hmot nebo sklolaminátových včetně drobných objektů. Platnost položky je vymezena pro nejmenší skladovací plochu 50 m2 + 1,30 m2/t, pro největší dopravní vzdálenost 15 m od hrany výkopu na povrchu nebo 15 m od okraje šachty k těžišti skládek na povrchu. V případech, kdy nejsou splněny tyto podmínky použije se příplatek - 6115 až - 6119.</t>
  </si>
  <si>
    <t>Přesuny sutí</t>
  </si>
  <si>
    <t>Poplatek za skládku suti - plastové výrobky</t>
  </si>
  <si>
    <t>Ostatní materiál</t>
  </si>
  <si>
    <t>Plastové objímky pro zasunutí potrubí do chráničky na potrubí DN 150</t>
  </si>
  <si>
    <t>typ A/B, výška 19mm</t>
  </si>
  <si>
    <t>Manžeta na potrubí - chránička DN250</t>
  </si>
  <si>
    <t>Trouba sklolaminátová DN250</t>
  </si>
  <si>
    <t>Trubka ROBUST SUPERPIPE SDR11 160x14,6 mm L 12 m</t>
  </si>
  <si>
    <t>;ztratné 10%; 2,4</t>
  </si>
  <si>
    <t>Konstrukce vychází z osvědčených trub Robust pipe první generace. Kompaktní ochranná vrstva tloušťky min 1,7 mm má pro vodu barvu modrou. Skrývá a dokonale  chrání proti poškození vnitřní  trubku a  integrovaný měděný detekční vodič.  Tato  konstrukce dovoluje použít  trubky pro zeminu s jakoukoliv granulací. Jsou ideální a vysoce spolehlivé i v místech s neznámými vlastnostmi zeminy, jako při zatahování do podvrtů, při berstliningu a podobně.  Vnější barva modrá, vnitřní trubka černá s dvojitými modrými pruhy  Materiál PE100RC SDR 11 (PN 16)  tyče 12 m  obj. č. RSDW ...</t>
  </si>
  <si>
    <t>Oblouk 45° PE100 RC SDR11 typ L  160 x 14,6 mm</t>
  </si>
  <si>
    <t>Tvarovky pro svařování na tupo, typ L. Tvarově stabilní, černé univerzální oblouky jsou vyrobeny zmateriálu PE100 RC, který vyhovuje požadavkům pro všechna média potrubí, jako je pitná voda, kanalizace a plyn. Poloměr ohybu oblouků 1,5 x d. Pro pokládku bez pískového lože.  SDR11, PN 16 (voda), PN 10 (plyn)</t>
  </si>
  <si>
    <t>Oblouk 22° PE100 RC SDR11 typ L  160 x 14,6 mm</t>
  </si>
  <si>
    <t>Marker pro vyhledání PE tras</t>
  </si>
  <si>
    <t>Spojka jištěná proti posunu DN100 - hrdlo-příruba</t>
  </si>
  <si>
    <t>Spojka jištěná proti posunu DN150 - hrdlo-příruba</t>
  </si>
  <si>
    <t>Poklop uliční šoupátkový - voda</t>
  </si>
  <si>
    <t>Vodárenské armatury Model pro: šoupátka a Combi-T obj.č. 1750 materiál: šedá litina GG 200 bitumenovaná</t>
  </si>
  <si>
    <t>Poklop k podz. hydrantu - voda</t>
  </si>
  <si>
    <t>Vodárenské armatury Model pro: podzemní hydranty obj.č. 1950 materiál: šedá litina GG 200 bitumenovaná</t>
  </si>
  <si>
    <t>Šoupátko  PN 10  DN 80,mosaz</t>
  </si>
  <si>
    <t>Šoupátko PN 10  DN 150,mosaz</t>
  </si>
  <si>
    <t>Hydrant podzemní PN 16 DN 80 krycí hloubka 1500</t>
  </si>
  <si>
    <t>Podzemní hydrant PN 16 DN 80, hl. 1500 mm, připojení přírubové  se smaltovaným vnitřkem a sedlem z mosazi   Určení  Pro trvalý styk s pitnou a surovou vodou při dovolené pracovní teplotě do 50°C a dovoleném pracovním přetlaku max. 1,6 MPa.   Použití  K požárním (hasícím) účelům, odvzdušnění a propláchnutí potrubní sítě, nouzovému odběru vody… Provedení AD umožňuje výměnu vnitřní výbavy bez přerušení provozu v potrubí.   Materiály hlavních dílů  Sloup, kuželka a výtokové hrdlo s ozuby tvárná litina. Nástavec slitina hliníku, na požádání tvárná litina. Táhlo a vřeteno nerez CrNi, koule polyamid, vřetenová matice je mosazná. Hydranty uvnitř smaltované mají sedlo kuželky mosazné. U hydrantů s epoxidovým nástřikem je sedlo kuželky část sloupu.   Ovládání  Šoupátkovým klíčem nebo hydrantovým klíčem A nebo B DIN 3223. Uzávěr zavírá, otáčíme-li ovládacím koncem</t>
  </si>
  <si>
    <t>doprava.  Ochrana proti korozi  Litinové díly uvnitř smalt nebo epoxidový nástřik, vně epoxidový nástřik – odstín modrý.   Zkoušení  Zkoušeno vodou dle DIN 3230 díl 4.   Minimální průtočné množství vody Při rozdílu tlaku před a za hydrantem 0,1 MPa je 110 m3/h.</t>
  </si>
  <si>
    <t>Souprava zemní  teleskopická DN 65-80,max.2,9m</t>
  </si>
  <si>
    <t>Teleskopická zemní souprava  Technický popis  Použití:  pro ruční ovládání šoupat a domovních šoupátek  Nastavení:  ručně, bez použití nářadí  Ovládání:  Standardním čtyřhranným šoupátkovým klíčem  Spojení s armaturou:  litinovým oříškem a závlačkou z nerezové oceli  Spojení s uličním poklopem:  pomocí bajonetového zámku  Povrchová úprava:  všechny kovové části pozinkovány,  na přání kovové části z nerezové ocele  Přednosti výrobků  Použití silnostěnných kovových materiálů a nerezových spojovacích dílů (kolíčky, závlačky) pro  zvýšení korozivzdornosti a životnosti  Použitelné pro EURO poklop, nebo v kombinaci s podkladovou deskou pro plastový nebo litinový  poklop klasického tvaru  Garantovaný kroutící moment minimálně u obj. č 7.7.X 110 Nm a u obj. č. 7.5.X 250 Nm (certi? ko-  váno akreditovanou zkušební laboratoří)  Konstrukční řešení umožňuje maximální</t>
  </si>
  <si>
    <t>efektivní prodloužení teleskopu při zachování všech předností  Bajonetový spoj EURO poklopu s EURO teleskopickou zemní soupravou zabrání případnému  zcizení poklopu  ovládací čtyřhran  tvárná litina  teleskop  ocel (zinkovaná), popř. nerezová ocel  víko s bajonetovým zámkem  PA6.6  kolík  nerezová ocel A2  chránička  PE  spodní čtyřhran  tvárná litina  přechodka  PE  závlačka  nerezová ocel A2  Vhodné příslušenství  - uliční poklop:  - EURO poklop obj. č. 7.2.1 nebo 7.2.8  - KLASIK - klasicky litinový obj. č. 7.2.4; 7.2.5  - PLAST - klasický plastový obj. č. 7.2.11, 7.2.13  - podkladová deska  - litinová obj. č. 7.2.9  - plastová obj. č. 7.2.10  možné zhotovit i jiné rozsahy</t>
  </si>
  <si>
    <t>Souprava zemní  teleskopickáDN100-150,max.1,75m</t>
  </si>
  <si>
    <t>teleskopická zemní souprava  Technický popis  Použití:  pro ruční ovládání šoupat a domovních šoupátek   Nastavení:  ručněě, bez použití nářadí                                               Ovládání:  Standardním čtyřhranným šoupátkovým klíčem   Spojení s armaturou:  litinovým oříškem a závlačkou z nerezové oceli   Spojení s uličním poklopem:  pomocí bajonetového zámku   Povrchová úprava:  všechny kovové části pozinkovány,   na přání kovové části z nerezové ocele   Přednosti výrobků  Použití silnostěnných kovových materiálů a nerezových spojovacích dílů (kolíčky, závlačky) pro  zvýšení korozivzdornosti a životnosti  Použitelné pro EURO poklop, nebo v kombinaci s podkladovou deskou pro plastový nebo litinový  poklop klasického tvaru  Garantovaný kroutící moment minimálně u obj. č 7.7.X 110 Nm a u obj. č. 7.5.X 250 Nm (certi? ko-  váno akreditovanou zkušební</t>
  </si>
  <si>
    <t>laboratoří)  Konstrukční řešení umožňuje maximální efektivní prodloužení teleskopu při zachování všech předností  Bajonetový spoj EURO poklopu s EURO teleskopickou zemní soupravou zabrání případnému  zcizení poklopu   ovládací čtyřhran                 tvárná litina                 teleskop                               ocel (zinkovaná), popř. nerezová ocel  víko s bajonetovým zámkem         PA6.6                         kolík                                      nerezová ocel A2  chránička                              PE                            spodní čtyřhran                    tvárná litina  přechodka                             PE                           závlačka                                nerezová ocel A2   Vhodné příslušenství</t>
  </si>
  <si>
    <t>- uliční poklop:                                                                                                                                                                                                     - EURO poklop obj. č. 7.2.1 nebo 7.2.8                                                                 - KLASIK - klasicky litinový obj. č. 7.2.4; 7.2.5            - PLAST - klasický plastový obj. č. 7.2.11, 7.2.13                                                                                                          - podkladová deska                                                                                               - litinová obj. č. 7.2.9            - plastová obj. č. 7.2.10   možné</t>
  </si>
  <si>
    <t>zhotovit i jiné rozsahy</t>
  </si>
  <si>
    <t>Trouba přír.litin. FF DN 80 mm EWS - dl.200mm</t>
  </si>
  <si>
    <t>Trouba přírubová z tvárné litiny, tlakovodní, vnitřní a vnější protikorózní ochrana práškovým epoxidem EWS</t>
  </si>
  <si>
    <t>Trouba přír.litin. FF DN 80 mm EWS - dl.1200</t>
  </si>
  <si>
    <t>Přechod přír. FFR DN 150/100 EWS</t>
  </si>
  <si>
    <t>Tvárná litina</t>
  </si>
  <si>
    <t>Tvarovka přír. s přír. odb. T DN 150/80</t>
  </si>
  <si>
    <t>Koleno přír.s patkou N DN 80</t>
  </si>
  <si>
    <t>Sloupek orientační,  1800 mm pozinkovaný</t>
  </si>
  <si>
    <t>vč. bet patky, ochr. protikorozního nátěru a barevného nátěru modrá/bílá, orientační tabule velká, vč. kompletní montáže</t>
  </si>
  <si>
    <t>Recyklát betonový   fr.16 - 32 mm</t>
  </si>
  <si>
    <t>39,38*2,2</t>
  </si>
  <si>
    <t>Doba výstavby:</t>
  </si>
  <si>
    <t>Začátek výstavby:</t>
  </si>
  <si>
    <t>Konec výstavby:</t>
  </si>
  <si>
    <t>Zpracováno dne:</t>
  </si>
  <si>
    <t>M.j.</t>
  </si>
  <si>
    <t>m</t>
  </si>
  <si>
    <t>h</t>
  </si>
  <si>
    <t>m3</t>
  </si>
  <si>
    <t>m2</t>
  </si>
  <si>
    <t>t</t>
  </si>
  <si>
    <t>kus</t>
  </si>
  <si>
    <t>úsek</t>
  </si>
  <si>
    <t>Množství</t>
  </si>
  <si>
    <t>19.03.2018</t>
  </si>
  <si>
    <t>Jednot.</t>
  </si>
  <si>
    <t>cena (Kč)</t>
  </si>
  <si>
    <t>Náklady (Kč)</t>
  </si>
  <si>
    <t>Dodávka</t>
  </si>
  <si>
    <t>Celkem:</t>
  </si>
  <si>
    <t>Objednatel:</t>
  </si>
  <si>
    <t>Projektant:</t>
  </si>
  <si>
    <t>Zhotovitel:</t>
  </si>
  <si>
    <t>Zpracoval:</t>
  </si>
  <si>
    <t>Montáž</t>
  </si>
  <si>
    <t>KSÚS Středočeského kraje</t>
  </si>
  <si>
    <t>ing.Machovec</t>
  </si>
  <si>
    <t>Celkem</t>
  </si>
  <si>
    <t>Hmotnost (t)</t>
  </si>
  <si>
    <t>Cenová</t>
  </si>
  <si>
    <t>soustava</t>
  </si>
  <si>
    <t>RTS II / 2017</t>
  </si>
  <si>
    <t>vlastní</t>
  </si>
  <si>
    <t>Přesuny</t>
  </si>
  <si>
    <t>Typ skupiny</t>
  </si>
  <si>
    <t>HSV mat</t>
  </si>
  <si>
    <t>HSV prac</t>
  </si>
  <si>
    <t>PSV mat</t>
  </si>
  <si>
    <t>PSV prac</t>
  </si>
  <si>
    <t>Mont mat</t>
  </si>
  <si>
    <t>Mont prac</t>
  </si>
  <si>
    <t>Ostatní mat.</t>
  </si>
  <si>
    <t>0</t>
  </si>
  <si>
    <t>11_</t>
  </si>
  <si>
    <t>13_</t>
  </si>
  <si>
    <t>15_</t>
  </si>
  <si>
    <t>16_</t>
  </si>
  <si>
    <t>17_</t>
  </si>
  <si>
    <t>18_</t>
  </si>
  <si>
    <t>19_</t>
  </si>
  <si>
    <t>27_</t>
  </si>
  <si>
    <t>45_</t>
  </si>
  <si>
    <t>85_</t>
  </si>
  <si>
    <t>87_</t>
  </si>
  <si>
    <t>89_</t>
  </si>
  <si>
    <t>90_</t>
  </si>
  <si>
    <t>96_</t>
  </si>
  <si>
    <t>97_</t>
  </si>
  <si>
    <t>H27_</t>
  </si>
  <si>
    <t>S_</t>
  </si>
  <si>
    <t>Z99999_</t>
  </si>
  <si>
    <t>1_</t>
  </si>
  <si>
    <t>2_</t>
  </si>
  <si>
    <t>4_</t>
  </si>
  <si>
    <t>8_</t>
  </si>
  <si>
    <t>9_</t>
  </si>
  <si>
    <t>Z_</t>
  </si>
  <si>
    <t>_</t>
  </si>
  <si>
    <t>Slepý stavební rozpočet - rekapitulace</t>
  </si>
  <si>
    <t>Zkrácený popis</t>
  </si>
  <si>
    <t>Náklady (Kč) - dodávka</t>
  </si>
  <si>
    <t>Náklady (Kč) - Montáž</t>
  </si>
  <si>
    <t>Náklady (Kč) - celkem</t>
  </si>
  <si>
    <t>Celková hmotnost (t)</t>
  </si>
  <si>
    <t>T</t>
  </si>
  <si>
    <t>Výkaz výměr</t>
  </si>
  <si>
    <t>Platnost hodinových zúčtovacích sazeb  Hodinovými zúčtovacími sazbami (HZS) se oceňují: a) předběžné obhlídky pracoviště vyžádané objednatelem, b) průzkumné práce na kulturních památkách, sloužící pro získání podkladů k rekonstrukci kulturní památky, c) revize stavebních objektů nebo jejich části, jejichž oprava se oceňuje podle stavebních ceníků, d) práce při havarijních a živelních pohromách prováděné bez projektové dokumentace nebo na základě zjednodušené projektové dokumentace bez rozpočtu, e) práce v rozsahu vymezeném v jednotlivých cenících f) práce prováděné výškovými specialisty a potápěči, g) práce zařazované do hlavy IV souhrnného rozpočtu staveb, prováděné jako součást stavebních objektů, pokud je nelze ocenit položkami stavebních ceníků.  Na základě písemné dohody mezi zhotovitele a objednatelem je</t>
  </si>
  <si>
    <t>možno ocenit stavební práce pomocí HZS jde-li o: a) stavební práce prováděné bez projektové dokumentace, b) práce, pro které není ve stavebních cenících položka.  Pří použití hodinových zúčtovacích sazeb se oceňuje: a) počet skutečně odpracovaných hodin všech pracovníků včetně času vynaloženého na předběžnou obhlídku pracoviště za účelem zjištění rozsahu prací, objednatelem potvrzených ve stavebním deníku, nebo samostatném dokladu, pokud se stavební deník nevede, b) přímý materiál,  c) náklady na provoz stavebních strojů, d) ostatní přímé náklady.  Počet odpracovaných hodin jednotlivých pracovníků se zaokrouhlí: a) na půlhodinu, trvá-li práce 30 minut nebo méně, b) na celou hodinu, trvá-li práce více než 30 minut.</t>
  </si>
  <si>
    <t>Podzemní hydrant PN 16 DN 80, hl. 1500 mm, připojení přírubové  se smaltovaným vnitřkem a sedlem z mosazi   Určení  Pro trvalý styk s pitnou a surovou vodou při dovolené pracovní teplotě do 50°C a dovoleném pracovním přetlaku max. 1,6 MPa.   Použití  K požárním (hasícím) účelům, odvzdušnění a propláchnutí potrubní sítě, nouzovému odběru vody… Provedení AD umožňuje výměnu vnitřní výbavy bez přerušení provozu v potrubí.   Materiály hlavních dílů  Sloup, kuželka a výtokové hrdlo s ozuby tvárná litina. Nástavec slitina hliníku, na požádání tvárná litina. Táhlo a vřeteno nerez CrNi, koule polyamid, vřetenová matice je mosazná. Hydranty uvnitř smaltované mají sedlo kuželky mosazné. U hydrantů s epoxidovým nástřikem je sedlo kuželky část sloupu.   Ovládání  Šoupátkovým klíčem nebo hydrantovým klíčem A nebo B DIN 3223.</t>
  </si>
  <si>
    <t>Uzávěr zavírá, otáčíme-li ovládacím koncem doprava.  Ochrana proti korozi  Litinové díly uvnitř smalt nebo epoxidový nástřik, vně epoxidový nástřik – odstín modrý.   Zkoušení  Zkoušeno vodou dle DIN 3230 díl 4.   Minimální průtočné množství vody Při rozdílu tlaku před a za hydrantem 0,1 MPa je 110 m3/h.</t>
  </si>
  <si>
    <t>Teleskopická zemní souprava  Technický popis  Použití:  pro ruční ovládání šoupat a domovních šoupátek  Nastavení:  ručně, bez použití nářadí  Ovládání:  Standardním čtyřhranným šoupátkovým klíčem  Spojení s armaturou:  litinovým oříškem a závlačkou z nerezové oceli  Spojení s uličním poklopem:  pomocí bajonetového zámku  Povrchová úprava:  všechny kovové části pozinkovány,  na přání kovové části z nerezové ocele  Přednosti výrobků  Použití silnostěnných kovových materiálů a nerezových spojovacích dílů (kolíčky, závlačky) pro  zvýšení korozivzdornosti a životnosti  Použitelné pro EURO poklop, nebo v kombinaci s podkladovou deskou pro plastový nebo litinový  poklop klasického tvaru  Garantovaný kroutící moment minimálně u obj. č 7.7.X 110 Nm a u obj. č. 7.5.X 250 Nm (certi? ko-  váno akreditovanou zkušební</t>
  </si>
  <si>
    <t>laboratoří)  Konstrukční řešení umožňuje maximální efektivní prodloužení teleskopu při zachování všech předností  Bajonetový spoj EURO poklopu s EURO teleskopickou zemní soupravou zabrání případnému  zcizení poklopu  ovládací čtyřhran  tvárná litina  teleskop  ocel (zinkovaná), popř. nerezová ocel  víko s bajonetovým zámkem  PA6.6  kolík  nerezová ocel A2  chránička  PE  spodní čtyřhran  tvárná litina  přechodka  PE  závlačka  nerezová ocel A2  Vhodné příslušenství  - uliční poklop:  - EURO poklop obj. č. 7.2.1 nebo 7.2.8  - KLASIK - klasicky litinový obj. č. 7.2.4; 7.2.5  - PLAST - klasický plastový obj. č. 7.2.11, 7.2.13  - podkladová deska  - litinová obj. č. 7.2.9  - plastová obj. č. 7.2.10  možné zhotovit i jiné rozsahy</t>
  </si>
  <si>
    <t>teleskopická zemní souprava  Technický popis  Použití:  pro ruční ovládání šoupat a domovních šoupátek   Nastavení:  ručněě, bez použití nářadí                                               Ovládání:  Standardním čtyřhranným šoupátkovým klíčem   Spojení s armaturou:  litinovým oříškem a závlačkou z nerezové oceli   Spojení s uličním poklopem:  pomocí bajonetového zámku   Povrchová úprava:  všechny kovové části pozinkovány,   na přání kovové části z nerezové ocele   Přednosti výrobků  Použití silnostěnných kovových materiálů a nerezových spojovacích dílů (kolíčky, závlačky) pro  zvýšení korozivzdornosti a životnosti  Použitelné pro EURO poklop, nebo v kombinaci s podkladovou deskou pro plastový nebo litinový  poklop klasického tvaru  Garantovaný kroutící moment minimálně u obj. č 7.7.X 110 Nm a u obj. č. 7.5.X 250</t>
  </si>
  <si>
    <t>Nm (certi? ko-  váno akreditovanou zkušební laboratoří)  Konstrukční řešení umožňuje maximální efektivní prodloužení teleskopu při zachování všech předností  Bajonetový spoj EURO poklopu s EURO teleskopickou zemní soupravou zabrání případnému  zcizení poklopu   ovládací čtyřhran                 tvárná litina                 teleskop                               ocel (zinkovaná), popř. nerezová ocel  víko s bajonetovým zámkem         PA6.6                         kolík                                      nerezová ocel A2  chránička                              PE                            spodní čtyřhran                    tvárná litina  přechodka                             PE                           závlačka                                nerezová ocel A2   Vhodné příslušenství</t>
  </si>
  <si>
    <t>- uliční poklop:                                                                                                                                                                                                     - EURO poklop obj. č. 7.2.1 nebo 7.2.8                                                                 - KLASIK - klasicky litinový obj. č. 7.2.4; 7.2.5            - PLAST - klasický plastový obj. č. 7.2.11, 7.2.13                                                                                                          - podkladová deska</t>
  </si>
  <si>
    <t>- litinová obj. č. 7.2.9            - plastová obj. č. 7.2.10   možné zhotovit i jiné rozsahy</t>
  </si>
  <si>
    <t>Cenová soustava</t>
  </si>
  <si>
    <t>Rozpočtové náklady v Kč</t>
  </si>
  <si>
    <t>A</t>
  </si>
  <si>
    <t>HSV</t>
  </si>
  <si>
    <t>PSV</t>
  </si>
  <si>
    <t>"M"</t>
  </si>
  <si>
    <t>Přesun hmot a sutí</t>
  </si>
  <si>
    <t>ZRN celkem</t>
  </si>
  <si>
    <t>Základ 0%</t>
  </si>
  <si>
    <t>Základ 15%</t>
  </si>
  <si>
    <t>Základ 21%</t>
  </si>
  <si>
    <t>Projektant</t>
  </si>
  <si>
    <t>Datum, razítko a podpis</t>
  </si>
  <si>
    <t>Základní rozpočtové náklady</t>
  </si>
  <si>
    <t>Dodávky</t>
  </si>
  <si>
    <t>Krycí list slepého rozpočtu</t>
  </si>
  <si>
    <t>B</t>
  </si>
  <si>
    <t>Práce přesčas</t>
  </si>
  <si>
    <t>Bez pevné podl.</t>
  </si>
  <si>
    <t>Kulturní památka</t>
  </si>
  <si>
    <t>DN celkem</t>
  </si>
  <si>
    <t>DN celkem z obj.</t>
  </si>
  <si>
    <t>DPH 15%</t>
  </si>
  <si>
    <t>DPH 21%</t>
  </si>
  <si>
    <t>Objednatel</t>
  </si>
  <si>
    <t>Doplňkové náklady</t>
  </si>
  <si>
    <t>C</t>
  </si>
  <si>
    <t>Zařízení staveniště</t>
  </si>
  <si>
    <t>Mimostav. doprava</t>
  </si>
  <si>
    <t>Územní vlivy</t>
  </si>
  <si>
    <t>Provozní vlivy</t>
  </si>
  <si>
    <t>Ostatní</t>
  </si>
  <si>
    <t>NUS z rozpočtu</t>
  </si>
  <si>
    <t>NUS celkem</t>
  </si>
  <si>
    <t>NUS celkem z obj.</t>
  </si>
  <si>
    <t>ORN celkem</t>
  </si>
  <si>
    <t>ORN celkem z obj.</t>
  </si>
  <si>
    <t>Celkem bez DPH</t>
  </si>
  <si>
    <t>Celkem včetně DPH</t>
  </si>
  <si>
    <t>Zhotovitel</t>
  </si>
  <si>
    <t>IČ/DIČ:</t>
  </si>
  <si>
    <t>Položek:</t>
  </si>
  <si>
    <t>Datum:</t>
  </si>
  <si>
    <t>Náklady na umístění stavby (NUS)</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</si>
</sst>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
    <numFmt numFmtId="165" formatCode="dd\.mmmm\.yy"/>
  </numFmts>
  <fonts count="52">
    <font>
      <sz val="10"/>
      <name val="Arial"/>
      <family val="0"/>
    </font>
    <font>
      <sz val="10"/>
      <color indexed="8"/>
      <name val="Arial"/>
      <family val="0"/>
    </font>
    <font>
      <sz val="18"/>
      <color indexed="8"/>
      <name val="Arial"/>
      <family val="0"/>
    </font>
    <font>
      <b/>
      <sz val="10"/>
      <color indexed="8"/>
      <name val="Arial"/>
      <family val="0"/>
    </font>
    <font>
      <sz val="10"/>
      <color indexed="56"/>
      <name val="Arial"/>
      <family val="0"/>
    </font>
    <font>
      <sz val="10"/>
      <color indexed="61"/>
      <name val="Arial"/>
      <family val="0"/>
    </font>
    <font>
      <sz val="10"/>
      <color indexed="62"/>
      <name val="Arial"/>
      <family val="0"/>
    </font>
    <font>
      <i/>
      <sz val="8"/>
      <color indexed="8"/>
      <name val="Arial"/>
      <family val="0"/>
    </font>
    <font>
      <b/>
      <sz val="10"/>
      <color indexed="56"/>
      <name val="Arial"/>
      <family val="0"/>
    </font>
    <font>
      <i/>
      <sz val="10"/>
      <color indexed="58"/>
      <name val="Arial"/>
      <family val="0"/>
    </font>
    <font>
      <i/>
      <sz val="10"/>
      <color indexed="63"/>
      <name val="Arial"/>
      <family val="0"/>
    </font>
    <font>
      <sz val="10"/>
      <color indexed="59"/>
      <name val="Arial"/>
      <family val="0"/>
    </font>
    <font>
      <i/>
      <sz val="9"/>
      <color indexed="58"/>
      <name val="Arial"/>
      <family val="0"/>
    </font>
    <font>
      <b/>
      <sz val="18"/>
      <color indexed="8"/>
      <name val="Arial"/>
      <family val="0"/>
    </font>
    <font>
      <b/>
      <sz val="20"/>
      <color indexed="8"/>
      <name val="Arial"/>
      <family val="0"/>
    </font>
    <font>
      <b/>
      <sz val="12"/>
      <color indexed="8"/>
      <name val="Arial"/>
      <family val="0"/>
    </font>
    <font>
      <sz val="12"/>
      <color indexed="8"/>
      <name val="Arial"/>
      <family val="0"/>
    </font>
    <font>
      <b/>
      <sz val="11"/>
      <color indexed="8"/>
      <name val="Arial"/>
      <family val="0"/>
    </font>
    <font>
      <sz val="24"/>
      <color indexed="8"/>
      <name val="Arial"/>
      <family val="0"/>
    </font>
    <font>
      <sz val="18"/>
      <color indexed="23"/>
      <name val="Calibri Light"/>
      <family val="2"/>
    </font>
    <font>
      <b/>
      <sz val="15"/>
      <color indexed="23"/>
      <name val="Calibri"/>
      <family val="2"/>
    </font>
    <font>
      <b/>
      <sz val="13"/>
      <color indexed="23"/>
      <name val="Calibri"/>
      <family val="2"/>
    </font>
    <font>
      <b/>
      <sz val="11"/>
      <color indexed="23"/>
      <name val="Calibri"/>
      <family val="2"/>
    </font>
    <font>
      <sz val="11"/>
      <color indexed="17"/>
      <name val="Calibri"/>
      <family val="2"/>
    </font>
    <font>
      <sz val="11"/>
      <color indexed="20"/>
      <name val="Calibri"/>
      <family val="2"/>
    </font>
    <font>
      <sz val="11"/>
      <color indexed="19"/>
      <name val="Calibri"/>
      <family val="2"/>
    </font>
    <font>
      <sz val="11"/>
      <color indexed="23"/>
      <name val="Calibri"/>
      <family val="2"/>
    </font>
    <font>
      <b/>
      <sz val="11"/>
      <color indexed="8"/>
      <name val="Calibri"/>
      <family val="2"/>
    </font>
    <font>
      <b/>
      <sz val="11"/>
      <color indexed="51"/>
      <name val="Calibri"/>
      <family val="2"/>
    </font>
    <font>
      <sz val="11"/>
      <color indexed="51"/>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7"/>
        <bgColor indexed="64"/>
      </patternFill>
    </fill>
    <fill>
      <patternFill patternType="solid">
        <fgColor indexed="22"/>
        <bgColor indexed="64"/>
      </patternFill>
    </fill>
  </fills>
  <borders count="5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bottom/>
    </border>
    <border>
      <left style="medium"/>
      <right style="thin"/>
      <top style="medium"/>
      <bottom/>
    </border>
    <border>
      <left style="medium"/>
      <right style="thin"/>
      <top/>
      <bottom style="medium"/>
    </border>
    <border>
      <left/>
      <right/>
      <top style="medium"/>
      <bottom/>
    </border>
    <border>
      <left/>
      <right/>
      <top/>
      <bottom style="thin"/>
    </border>
    <border>
      <left/>
      <right/>
      <top style="thin"/>
      <botto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border>
    <border>
      <left/>
      <right style="thin"/>
      <top/>
      <bottom/>
    </border>
    <border>
      <left style="medium"/>
      <right style="medium"/>
      <top style="medium"/>
      <bottom/>
    </border>
    <border>
      <left style="medium"/>
      <right style="medium"/>
      <top/>
      <bottom style="medium"/>
    </border>
    <border>
      <left style="medium"/>
      <right/>
      <top/>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top/>
      <bottom style="thin"/>
    </border>
    <border>
      <left style="thin"/>
      <right style="thin"/>
      <top style="thin"/>
      <bottom style="thin"/>
    </border>
    <border>
      <left style="thin"/>
      <right style="thin"/>
      <top style="thin"/>
      <bottom/>
    </border>
    <border>
      <left style="thin"/>
      <right style="thin"/>
      <top/>
      <bottom style="thin"/>
    </border>
    <border>
      <left/>
      <right/>
      <top style="thin"/>
      <bottom style="medium"/>
    </border>
    <border>
      <left/>
      <right style="thin"/>
      <top style="medium"/>
      <bottom/>
    </border>
    <border>
      <left style="thin"/>
      <right/>
      <top style="thin"/>
      <bottom style="thin"/>
    </border>
    <border>
      <left/>
      <right style="thin"/>
      <top style="thin"/>
      <bottom style="thin"/>
    </border>
    <border>
      <left style="thin"/>
      <right/>
      <top style="thin"/>
      <bottom/>
    </border>
    <border>
      <left style="thin"/>
      <right/>
      <top/>
      <bottom style="medium"/>
    </border>
    <border>
      <left/>
      <right/>
      <top/>
      <bottom style="medium"/>
    </border>
    <border>
      <left/>
      <right style="thin"/>
      <top/>
      <bottom style="medium"/>
    </border>
    <border>
      <left style="medium"/>
      <right/>
      <top style="medium"/>
      <bottom style="thin"/>
    </border>
    <border>
      <left/>
      <right/>
      <top style="medium"/>
      <bottom style="thin"/>
    </border>
    <border>
      <left/>
      <right style="medium"/>
      <top style="medium"/>
      <bottom style="thin"/>
    </border>
    <border>
      <left style="thin"/>
      <right/>
      <top style="medium"/>
      <bottom style="medium"/>
    </border>
    <border>
      <left/>
      <right style="thin"/>
      <top style="medium"/>
      <bottom style="medium"/>
    </border>
    <border>
      <left/>
      <right style="thin"/>
      <top/>
      <bottom style="thin"/>
    </border>
    <border>
      <left/>
      <right/>
      <top style="thin"/>
      <bottom style="thin"/>
    </border>
    <border>
      <left style="medium"/>
      <right/>
      <top style="medium"/>
      <bottom/>
    </border>
    <border>
      <left/>
      <right style="medium"/>
      <top style="medium"/>
      <bottom/>
    </border>
    <border>
      <left/>
      <right style="medium"/>
      <top/>
      <bottom/>
    </border>
    <border>
      <left style="medium"/>
      <right/>
      <top/>
      <bottom style="medium"/>
    </border>
    <border>
      <left/>
      <right style="medium"/>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0" fontId="1" fillId="0" borderId="0">
      <alignment vertical="center"/>
      <protection locked="0"/>
    </xf>
    <xf numFmtId="0" fontId="38" fillId="20" borderId="2"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0" fillId="22" borderId="6" applyNumberFormat="0" applyFont="0" applyAlignment="0" applyProtection="0"/>
    <xf numFmtId="43" fontId="0" fillId="0" borderId="0" applyFont="0" applyFill="0" applyBorder="0" applyAlignment="0" applyProtection="0"/>
    <xf numFmtId="0" fontId="44" fillId="0" borderId="7" applyNumberFormat="0" applyFill="0" applyAlignment="0" applyProtection="0"/>
    <xf numFmtId="0" fontId="45"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134">
    <xf numFmtId="0" fontId="1" fillId="0" borderId="0" xfId="0" applyFont="1" applyAlignment="1">
      <alignment vertical="center"/>
    </xf>
    <xf numFmtId="0" fontId="1" fillId="0" borderId="10"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1" fillId="0" borderId="12" xfId="0" applyNumberFormat="1" applyFont="1" applyFill="1" applyBorder="1" applyAlignment="1" applyProtection="1">
      <alignment vertical="center"/>
      <protection/>
    </xf>
    <xf numFmtId="49" fontId="4" fillId="33" borderId="13"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49" fontId="4" fillId="33"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vertical="center"/>
      <protection/>
    </xf>
    <xf numFmtId="0" fontId="1" fillId="0" borderId="14" xfId="0" applyNumberFormat="1" applyFont="1" applyFill="1" applyBorder="1" applyAlignment="1" applyProtection="1">
      <alignment vertical="center"/>
      <protection/>
    </xf>
    <xf numFmtId="0" fontId="1" fillId="0" borderId="15" xfId="0" applyNumberFormat="1" applyFont="1" applyFill="1" applyBorder="1" applyAlignment="1" applyProtection="1">
      <alignment vertical="center"/>
      <protection/>
    </xf>
    <xf numFmtId="49" fontId="7" fillId="0" borderId="0" xfId="0" applyNumberFormat="1" applyFont="1" applyFill="1" applyBorder="1" applyAlignment="1" applyProtection="1">
      <alignment vertical="center"/>
      <protection/>
    </xf>
    <xf numFmtId="49" fontId="3" fillId="0" borderId="16" xfId="0" applyNumberFormat="1" applyFont="1" applyFill="1" applyBorder="1" applyAlignment="1" applyProtection="1">
      <alignment vertical="center"/>
      <protection/>
    </xf>
    <xf numFmtId="49" fontId="1" fillId="0" borderId="17" xfId="0" applyNumberFormat="1" applyFont="1" applyFill="1" applyBorder="1" applyAlignment="1" applyProtection="1">
      <alignment vertical="center"/>
      <protection/>
    </xf>
    <xf numFmtId="49" fontId="8" fillId="33" borderId="13" xfId="0" applyNumberFormat="1" applyFont="1" applyFill="1" applyBorder="1" applyAlignment="1" applyProtection="1">
      <alignment vertical="center"/>
      <protection/>
    </xf>
    <xf numFmtId="49" fontId="8" fillId="33" borderId="0" xfId="0" applyNumberFormat="1" applyFont="1" applyFill="1" applyBorder="1" applyAlignment="1" applyProtection="1">
      <alignment vertical="center"/>
      <protection/>
    </xf>
    <xf numFmtId="49" fontId="9" fillId="0" borderId="0" xfId="0" applyNumberFormat="1" applyFont="1" applyFill="1" applyBorder="1" applyAlignment="1" applyProtection="1">
      <alignment horizontal="right" vertical="top"/>
      <protection/>
    </xf>
    <xf numFmtId="49" fontId="3" fillId="0" borderId="17" xfId="0" applyNumberFormat="1" applyFont="1" applyFill="1" applyBorder="1" applyAlignment="1" applyProtection="1">
      <alignment vertical="center"/>
      <protection/>
    </xf>
    <xf numFmtId="49" fontId="10"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wrapText="1"/>
      <protection/>
    </xf>
    <xf numFmtId="49" fontId="10" fillId="0" borderId="14" xfId="0" applyNumberFormat="1" applyFont="1" applyFill="1" applyBorder="1" applyAlignment="1" applyProtection="1">
      <alignment vertical="center"/>
      <protection/>
    </xf>
    <xf numFmtId="49" fontId="1" fillId="0" borderId="0" xfId="0" applyNumberFormat="1" applyFont="1" applyFill="1" applyBorder="1" applyAlignment="1" applyProtection="1">
      <alignment vertical="center"/>
      <protection/>
    </xf>
    <xf numFmtId="49" fontId="3" fillId="0" borderId="16" xfId="0" applyNumberFormat="1" applyFont="1" applyFill="1" applyBorder="1" applyAlignment="1" applyProtection="1">
      <alignment horizontal="center" vertical="center"/>
      <protection/>
    </xf>
    <xf numFmtId="4" fontId="5" fillId="0" borderId="0" xfId="0" applyNumberFormat="1" applyFont="1" applyFill="1" applyBorder="1" applyAlignment="1" applyProtection="1">
      <alignment horizontal="right" vertical="center"/>
      <protection/>
    </xf>
    <xf numFmtId="4" fontId="10" fillId="0" borderId="0" xfId="0" applyNumberFormat="1" applyFont="1" applyFill="1" applyBorder="1" applyAlignment="1" applyProtection="1">
      <alignment horizontal="right" vertical="center"/>
      <protection/>
    </xf>
    <xf numFmtId="4" fontId="6" fillId="0" borderId="0" xfId="0" applyNumberFormat="1" applyFont="1" applyFill="1" applyBorder="1" applyAlignment="1" applyProtection="1">
      <alignment horizontal="right" vertical="center"/>
      <protection/>
    </xf>
    <xf numFmtId="4" fontId="10" fillId="0" borderId="14" xfId="0" applyNumberFormat="1" applyFont="1" applyFill="1" applyBorder="1" applyAlignment="1" applyProtection="1">
      <alignment horizontal="right" vertical="center"/>
      <protection/>
    </xf>
    <xf numFmtId="49" fontId="3" fillId="0" borderId="18" xfId="0" applyNumberFormat="1" applyFont="1" applyFill="1" applyBorder="1" applyAlignment="1" applyProtection="1">
      <alignment horizontal="center" vertical="center"/>
      <protection/>
    </xf>
    <xf numFmtId="49" fontId="3" fillId="0" borderId="19" xfId="0"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protection/>
    </xf>
    <xf numFmtId="49" fontId="3" fillId="0" borderId="21" xfId="0" applyNumberFormat="1" applyFont="1" applyFill="1" applyBorder="1" applyAlignment="1" applyProtection="1">
      <alignment horizontal="center" vertical="center"/>
      <protection/>
    </xf>
    <xf numFmtId="49" fontId="3" fillId="0" borderId="22" xfId="0" applyNumberFormat="1" applyFont="1" applyFill="1" applyBorder="1" applyAlignment="1" applyProtection="1">
      <alignment horizontal="center" vertical="center"/>
      <protection/>
    </xf>
    <xf numFmtId="49" fontId="8" fillId="33" borderId="13" xfId="0" applyNumberFormat="1" applyFont="1" applyFill="1" applyBorder="1" applyAlignment="1" applyProtection="1">
      <alignment horizontal="right" vertical="center"/>
      <protection/>
    </xf>
    <xf numFmtId="49" fontId="8" fillId="33" borderId="0" xfId="0" applyNumberFormat="1" applyFont="1" applyFill="1" applyBorder="1" applyAlignment="1" applyProtection="1">
      <alignment horizontal="right" vertical="center"/>
      <protection/>
    </xf>
    <xf numFmtId="0" fontId="1" fillId="0" borderId="23" xfId="0" applyNumberFormat="1" applyFont="1" applyFill="1" applyBorder="1" applyAlignment="1" applyProtection="1">
      <alignment vertical="center"/>
      <protection/>
    </xf>
    <xf numFmtId="0" fontId="1" fillId="0" borderId="24" xfId="0" applyNumberFormat="1" applyFont="1" applyFill="1" applyBorder="1" applyAlignment="1" applyProtection="1">
      <alignment vertical="center"/>
      <protection/>
    </xf>
    <xf numFmtId="49" fontId="3" fillId="0" borderId="25" xfId="0" applyNumberFormat="1" applyFont="1" applyFill="1" applyBorder="1" applyAlignment="1" applyProtection="1">
      <alignment horizontal="center" vertical="center"/>
      <protection/>
    </xf>
    <xf numFmtId="49" fontId="3" fillId="0" borderId="26"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right" vertical="center"/>
      <protection/>
    </xf>
    <xf numFmtId="0" fontId="1" fillId="0" borderId="27" xfId="0" applyNumberFormat="1" applyFont="1" applyFill="1" applyBorder="1" applyAlignment="1" applyProtection="1">
      <alignment vertical="center"/>
      <protection/>
    </xf>
    <xf numFmtId="4" fontId="1" fillId="0" borderId="0"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right" vertical="center"/>
      <protection/>
    </xf>
    <xf numFmtId="4" fontId="8" fillId="33" borderId="13" xfId="0" applyNumberFormat="1" applyFont="1" applyFill="1" applyBorder="1" applyAlignment="1" applyProtection="1">
      <alignment horizontal="right" vertical="center"/>
      <protection/>
    </xf>
    <xf numFmtId="4" fontId="8" fillId="33" borderId="0" xfId="0" applyNumberFormat="1" applyFont="1" applyFill="1" applyBorder="1" applyAlignment="1" applyProtection="1">
      <alignment horizontal="right" vertical="center"/>
      <protection/>
    </xf>
    <xf numFmtId="4" fontId="3" fillId="0" borderId="15" xfId="0" applyNumberFormat="1" applyFont="1" applyFill="1" applyBorder="1" applyAlignment="1" applyProtection="1">
      <alignment horizontal="right" vertical="center"/>
      <protection/>
    </xf>
    <xf numFmtId="49" fontId="3" fillId="0" borderId="28" xfId="0" applyNumberFormat="1" applyFont="1" applyFill="1" applyBorder="1" applyAlignment="1" applyProtection="1">
      <alignment vertical="center"/>
      <protection/>
    </xf>
    <xf numFmtId="49" fontId="1" fillId="0" borderId="13" xfId="0" applyNumberFormat="1" applyFont="1" applyFill="1" applyBorder="1" applyAlignment="1" applyProtection="1">
      <alignment vertical="center"/>
      <protection/>
    </xf>
    <xf numFmtId="49" fontId="3" fillId="0" borderId="29"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49" fontId="3" fillId="0" borderId="3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vertical="center"/>
      <protection/>
    </xf>
    <xf numFmtId="49" fontId="3" fillId="0" borderId="28" xfId="0" applyNumberFormat="1" applyFont="1" applyFill="1" applyBorder="1" applyAlignment="1" applyProtection="1">
      <alignment horizontal="center" vertical="center"/>
      <protection/>
    </xf>
    <xf numFmtId="4" fontId="1" fillId="0" borderId="13" xfId="0" applyNumberFormat="1" applyFont="1" applyFill="1" applyBorder="1" applyAlignment="1" applyProtection="1">
      <alignment horizontal="right" vertical="center"/>
      <protection/>
    </xf>
    <xf numFmtId="4" fontId="3" fillId="0" borderId="0" xfId="0" applyNumberFormat="1" applyFont="1" applyFill="1" applyBorder="1" applyAlignment="1" applyProtection="1">
      <alignment horizontal="right" vertical="center"/>
      <protection/>
    </xf>
    <xf numFmtId="49" fontId="5" fillId="0" borderId="13" xfId="0" applyNumberFormat="1" applyFont="1" applyFill="1" applyBorder="1" applyAlignment="1" applyProtection="1">
      <alignment vertical="center"/>
      <protection/>
    </xf>
    <xf numFmtId="49" fontId="12" fillId="0" borderId="0" xfId="0" applyNumberFormat="1" applyFont="1" applyFill="1" applyBorder="1" applyAlignment="1" applyProtection="1">
      <alignment horizontal="right" vertical="top"/>
      <protection/>
    </xf>
    <xf numFmtId="49" fontId="3" fillId="0" borderId="30" xfId="0" applyNumberFormat="1" applyFont="1" applyFill="1" applyBorder="1" applyAlignment="1" applyProtection="1">
      <alignment horizontal="right" vertical="center"/>
      <protection/>
    </xf>
    <xf numFmtId="4" fontId="5" fillId="0" borderId="13" xfId="0" applyNumberFormat="1" applyFont="1" applyFill="1" applyBorder="1" applyAlignment="1" applyProtection="1">
      <alignment horizontal="right" vertical="center"/>
      <protection/>
    </xf>
    <xf numFmtId="49" fontId="5" fillId="0" borderId="13" xfId="0" applyNumberFormat="1" applyFont="1" applyFill="1" applyBorder="1" applyAlignment="1" applyProtection="1">
      <alignment horizontal="right" vertical="center"/>
      <protection/>
    </xf>
    <xf numFmtId="0" fontId="1" fillId="0" borderId="31" xfId="0" applyNumberFormat="1" applyFont="1" applyFill="1" applyBorder="1" applyAlignment="1" applyProtection="1">
      <alignment vertical="center"/>
      <protection/>
    </xf>
    <xf numFmtId="49" fontId="14" fillId="34" borderId="32" xfId="0" applyNumberFormat="1" applyFont="1" applyFill="1" applyBorder="1" applyAlignment="1" applyProtection="1">
      <alignment horizontal="center" vertical="center"/>
      <protection/>
    </xf>
    <xf numFmtId="49" fontId="15" fillId="0" borderId="33" xfId="0" applyNumberFormat="1" applyFont="1" applyFill="1" applyBorder="1" applyAlignment="1" applyProtection="1">
      <alignment vertical="center"/>
      <protection/>
    </xf>
    <xf numFmtId="49" fontId="15" fillId="0" borderId="34" xfId="0" applyNumberFormat="1" applyFont="1" applyFill="1" applyBorder="1" applyAlignment="1" applyProtection="1">
      <alignment vertical="center"/>
      <protection/>
    </xf>
    <xf numFmtId="0" fontId="1" fillId="0" borderId="35" xfId="0" applyNumberFormat="1" applyFont="1" applyFill="1" applyBorder="1" applyAlignment="1" applyProtection="1">
      <alignment vertical="center"/>
      <protection/>
    </xf>
    <xf numFmtId="49" fontId="7" fillId="0" borderId="13" xfId="0" applyNumberFormat="1" applyFont="1" applyFill="1" applyBorder="1" applyAlignment="1" applyProtection="1">
      <alignment vertical="center"/>
      <protection/>
    </xf>
    <xf numFmtId="49" fontId="16" fillId="0" borderId="32" xfId="0" applyNumberFormat="1" applyFont="1" applyFill="1" applyBorder="1" applyAlignment="1" applyProtection="1">
      <alignment vertical="center"/>
      <protection/>
    </xf>
    <xf numFmtId="0" fontId="1" fillId="0" borderId="13" xfId="0" applyNumberFormat="1" applyFont="1" applyFill="1" applyBorder="1" applyAlignment="1" applyProtection="1">
      <alignment vertical="center"/>
      <protection/>
    </xf>
    <xf numFmtId="4" fontId="16" fillId="0" borderId="32" xfId="0" applyNumberFormat="1" applyFont="1" applyFill="1" applyBorder="1" applyAlignment="1" applyProtection="1">
      <alignment horizontal="right" vertical="center"/>
      <protection/>
    </xf>
    <xf numFmtId="49" fontId="16" fillId="0" borderId="32" xfId="0" applyNumberFormat="1" applyFont="1" applyFill="1" applyBorder="1" applyAlignment="1" applyProtection="1">
      <alignment horizontal="right" vertical="center"/>
      <protection/>
    </xf>
    <xf numFmtId="4" fontId="16" fillId="0" borderId="21" xfId="0" applyNumberFormat="1" applyFont="1" applyFill="1" applyBorder="1" applyAlignment="1" applyProtection="1">
      <alignment horizontal="right" vertical="center"/>
      <protection/>
    </xf>
    <xf numFmtId="0" fontId="1" fillId="0" borderId="36" xfId="0" applyNumberFormat="1" applyFont="1" applyFill="1" applyBorder="1" applyAlignment="1" applyProtection="1">
      <alignment vertical="center"/>
      <protection/>
    </xf>
    <xf numFmtId="0" fontId="1" fillId="0" borderId="37" xfId="0" applyNumberFormat="1" applyFont="1" applyFill="1" applyBorder="1" applyAlignment="1" applyProtection="1">
      <alignment vertical="center"/>
      <protection/>
    </xf>
    <xf numFmtId="4" fontId="15" fillId="34" borderId="38" xfId="0" applyNumberFormat="1" applyFont="1" applyFill="1" applyBorder="1" applyAlignment="1" applyProtection="1">
      <alignment horizontal="right" vertical="center"/>
      <protection/>
    </xf>
    <xf numFmtId="0" fontId="1" fillId="0" borderId="14" xfId="0" applyNumberFormat="1" applyFont="1" applyFill="1" applyBorder="1" applyAlignment="1" applyProtection="1">
      <alignment/>
      <protection/>
    </xf>
    <xf numFmtId="49" fontId="2" fillId="0" borderId="14"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vertical="center"/>
      <protection/>
    </xf>
    <xf numFmtId="0" fontId="1" fillId="0" borderId="39" xfId="0" applyNumberFormat="1" applyFont="1" applyFill="1" applyBorder="1" applyAlignment="1" applyProtection="1">
      <alignment vertical="center" wrapText="1"/>
      <protection/>
    </xf>
    <xf numFmtId="0" fontId="1" fillId="0" borderId="15" xfId="0" applyNumberFormat="1" applyFont="1" applyFill="1" applyBorder="1" applyAlignment="1" applyProtection="1">
      <alignment vertical="center"/>
      <protection/>
    </xf>
    <xf numFmtId="0" fontId="1" fillId="0" borderId="1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3" fillId="0" borderId="15"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49" fontId="1" fillId="0" borderId="15" xfId="0" applyNumberFormat="1" applyFont="1" applyFill="1" applyBorder="1" applyAlignment="1" applyProtection="1">
      <alignment vertical="center"/>
      <protection/>
    </xf>
    <xf numFmtId="0" fontId="1" fillId="0" borderId="15" xfId="0" applyNumberFormat="1" applyFont="1" applyFill="1" applyBorder="1" applyAlignment="1" applyProtection="1">
      <alignment vertical="center" wrapText="1"/>
      <protection/>
    </xf>
    <xf numFmtId="0" fontId="1" fillId="0" borderId="23" xfId="0" applyNumberFormat="1" applyFont="1" applyFill="1" applyBorder="1" applyAlignment="1" applyProtection="1">
      <alignment vertical="center"/>
      <protection/>
    </xf>
    <xf numFmtId="0" fontId="1" fillId="0" borderId="24" xfId="0" applyNumberFormat="1" applyFont="1" applyFill="1" applyBorder="1" applyAlignment="1" applyProtection="1">
      <alignment vertical="center"/>
      <protection/>
    </xf>
    <xf numFmtId="0" fontId="1" fillId="0" borderId="10"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49" fontId="1" fillId="0" borderId="0" xfId="0" applyNumberFormat="1" applyFont="1" applyFill="1" applyBorder="1" applyAlignment="1" applyProtection="1">
      <alignment vertical="center"/>
      <protection/>
    </xf>
    <xf numFmtId="0" fontId="1" fillId="0" borderId="40" xfId="0" applyNumberFormat="1" applyFont="1" applyFill="1" applyBorder="1" applyAlignment="1" applyProtection="1">
      <alignment vertical="center"/>
      <protection/>
    </xf>
    <xf numFmtId="0" fontId="1" fillId="0" borderId="41" xfId="0" applyNumberFormat="1" applyFont="1" applyFill="1" applyBorder="1" applyAlignment="1" applyProtection="1">
      <alignment vertical="center"/>
      <protection/>
    </xf>
    <xf numFmtId="0" fontId="1" fillId="0" borderId="42" xfId="0" applyNumberFormat="1" applyFont="1" applyFill="1" applyBorder="1" applyAlignment="1" applyProtection="1">
      <alignment vertical="center"/>
      <protection/>
    </xf>
    <xf numFmtId="49" fontId="3" fillId="0" borderId="43" xfId="0" applyNumberFormat="1" applyFont="1" applyFill="1" applyBorder="1" applyAlignment="1" applyProtection="1">
      <alignment horizontal="center" vertical="center"/>
      <protection/>
    </xf>
    <xf numFmtId="0" fontId="3" fillId="0" borderId="44" xfId="0" applyNumberFormat="1" applyFont="1" applyFill="1" applyBorder="1" applyAlignment="1" applyProtection="1">
      <alignment horizontal="center" vertical="center"/>
      <protection/>
    </xf>
    <xf numFmtId="0" fontId="3" fillId="0" borderId="45"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49" fontId="3" fillId="0" borderId="15" xfId="0" applyNumberFormat="1" applyFont="1" applyFill="1" applyBorder="1" applyAlignment="1" applyProtection="1">
      <alignment vertical="center"/>
      <protection/>
    </xf>
    <xf numFmtId="0" fontId="3" fillId="0" borderId="15" xfId="0" applyNumberFormat="1" applyFont="1" applyFill="1" applyBorder="1" applyAlignment="1" applyProtection="1">
      <alignment vertical="center"/>
      <protection/>
    </xf>
    <xf numFmtId="49" fontId="3" fillId="0" borderId="46" xfId="0" applyNumberFormat="1" applyFont="1" applyFill="1" applyBorder="1" applyAlignment="1" applyProtection="1">
      <alignment vertical="center"/>
      <protection/>
    </xf>
    <xf numFmtId="0" fontId="3" fillId="0" borderId="47" xfId="0" applyNumberFormat="1" applyFont="1" applyFill="1" applyBorder="1" applyAlignment="1" applyProtection="1">
      <alignment vertical="center"/>
      <protection/>
    </xf>
    <xf numFmtId="49" fontId="5" fillId="0" borderId="13" xfId="0" applyNumberFormat="1" applyFont="1" applyFill="1" applyBorder="1" applyAlignment="1" applyProtection="1">
      <alignment vertical="center"/>
      <protection/>
    </xf>
    <xf numFmtId="0" fontId="5" fillId="0" borderId="13"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0" fontId="18" fillId="0" borderId="14"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protection/>
    </xf>
    <xf numFmtId="49" fontId="1" fillId="0" borderId="23" xfId="0" applyNumberFormat="1" applyFont="1" applyFill="1" applyBorder="1" applyAlignment="1" applyProtection="1">
      <alignment vertical="center"/>
      <protection/>
    </xf>
    <xf numFmtId="49" fontId="1" fillId="0" borderId="24" xfId="0" applyNumberFormat="1" applyFont="1" applyFill="1" applyBorder="1" applyAlignment="1" applyProtection="1">
      <alignment vertical="center"/>
      <protection/>
    </xf>
    <xf numFmtId="0" fontId="1" fillId="0" borderId="31" xfId="0" applyNumberFormat="1" applyFont="1" applyFill="1" applyBorder="1" applyAlignment="1" applyProtection="1">
      <alignment vertical="center"/>
      <protection/>
    </xf>
    <xf numFmtId="0" fontId="1" fillId="0" borderId="14" xfId="0" applyNumberFormat="1" applyFont="1" applyFill="1" applyBorder="1" applyAlignment="1" applyProtection="1">
      <alignment vertical="center"/>
      <protection/>
    </xf>
    <xf numFmtId="0" fontId="1" fillId="0" borderId="24" xfId="0" applyNumberFormat="1" applyFont="1" applyFill="1" applyBorder="1" applyAlignment="1" applyProtection="1">
      <alignment vertical="center" wrapText="1"/>
      <protection/>
    </xf>
    <xf numFmtId="0" fontId="1" fillId="0" borderId="48" xfId="0" applyNumberFormat="1" applyFont="1" applyFill="1" applyBorder="1" applyAlignment="1" applyProtection="1">
      <alignment vertical="center"/>
      <protection/>
    </xf>
    <xf numFmtId="49" fontId="13" fillId="0" borderId="49" xfId="0" applyNumberFormat="1" applyFont="1" applyFill="1" applyBorder="1" applyAlignment="1" applyProtection="1">
      <alignment horizontal="center" vertical="center"/>
      <protection/>
    </xf>
    <xf numFmtId="0" fontId="13" fillId="0" borderId="49" xfId="0" applyNumberFormat="1" applyFont="1" applyFill="1" applyBorder="1" applyAlignment="1" applyProtection="1">
      <alignment horizontal="center" vertical="center"/>
      <protection/>
    </xf>
    <xf numFmtId="49" fontId="17" fillId="0" borderId="37" xfId="0" applyNumberFormat="1" applyFont="1" applyFill="1" applyBorder="1" applyAlignment="1" applyProtection="1">
      <alignment vertical="center"/>
      <protection/>
    </xf>
    <xf numFmtId="0" fontId="17" fillId="0" borderId="38" xfId="0" applyNumberFormat="1" applyFont="1" applyFill="1" applyBorder="1" applyAlignment="1" applyProtection="1">
      <alignment vertical="center"/>
      <protection/>
    </xf>
    <xf numFmtId="49" fontId="16" fillId="0" borderId="37" xfId="0" applyNumberFormat="1" applyFont="1" applyFill="1" applyBorder="1" applyAlignment="1" applyProtection="1">
      <alignment vertical="center"/>
      <protection/>
    </xf>
    <xf numFmtId="0" fontId="16" fillId="0" borderId="38" xfId="0" applyNumberFormat="1" applyFont="1" applyFill="1" applyBorder="1" applyAlignment="1" applyProtection="1">
      <alignment vertical="center"/>
      <protection/>
    </xf>
    <xf numFmtId="49" fontId="15" fillId="0" borderId="37" xfId="0" applyNumberFormat="1" applyFont="1" applyFill="1" applyBorder="1" applyAlignment="1" applyProtection="1">
      <alignment vertical="center"/>
      <protection/>
    </xf>
    <xf numFmtId="0" fontId="15" fillId="0" borderId="38" xfId="0" applyNumberFormat="1" applyFont="1" applyFill="1" applyBorder="1" applyAlignment="1" applyProtection="1">
      <alignment vertical="center"/>
      <protection/>
    </xf>
    <xf numFmtId="49" fontId="15" fillId="34" borderId="37" xfId="0" applyNumberFormat="1" applyFont="1" applyFill="1" applyBorder="1" applyAlignment="1" applyProtection="1">
      <alignment vertical="center"/>
      <protection/>
    </xf>
    <xf numFmtId="0" fontId="15" fillId="34" borderId="49" xfId="0" applyNumberFormat="1" applyFont="1" applyFill="1" applyBorder="1" applyAlignment="1" applyProtection="1">
      <alignment vertical="center"/>
      <protection/>
    </xf>
    <xf numFmtId="49" fontId="16" fillId="0" borderId="50" xfId="0" applyNumberFormat="1" applyFont="1" applyFill="1" applyBorder="1" applyAlignment="1" applyProtection="1">
      <alignment vertical="center"/>
      <protection/>
    </xf>
    <xf numFmtId="0" fontId="16" fillId="0" borderId="13" xfId="0" applyNumberFormat="1" applyFont="1" applyFill="1" applyBorder="1" applyAlignment="1" applyProtection="1">
      <alignment vertical="center"/>
      <protection/>
    </xf>
    <xf numFmtId="0" fontId="16" fillId="0" borderId="51" xfId="0" applyNumberFormat="1" applyFont="1" applyFill="1" applyBorder="1" applyAlignment="1" applyProtection="1">
      <alignment vertical="center"/>
      <protection/>
    </xf>
    <xf numFmtId="49" fontId="16" fillId="0" borderId="27"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52" xfId="0" applyNumberFormat="1" applyFont="1" applyFill="1" applyBorder="1" applyAlignment="1" applyProtection="1">
      <alignment vertical="center"/>
      <protection/>
    </xf>
    <xf numFmtId="49" fontId="16" fillId="0" borderId="53" xfId="0" applyNumberFormat="1" applyFont="1" applyFill="1" applyBorder="1" applyAlignment="1" applyProtection="1">
      <alignment vertical="center"/>
      <protection/>
    </xf>
    <xf numFmtId="0" fontId="16" fillId="0" borderId="41" xfId="0" applyNumberFormat="1" applyFont="1" applyFill="1" applyBorder="1" applyAlignment="1" applyProtection="1">
      <alignment vertical="center"/>
      <protection/>
    </xf>
    <xf numFmtId="0" fontId="16" fillId="0" borderId="54" xfId="0" applyNumberFormat="1" applyFont="1" applyFill="1" applyBorder="1" applyAlignment="1" applyProtection="1">
      <alignment vertical="center"/>
      <protection/>
    </xf>
  </cellXfs>
  <cellStyles count="44">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0]" xfId="35"/>
    <cellStyle name="Kontrolní buňka" xfId="36"/>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000000"/>
      <rgbColor rgb="00DBDBDB"/>
      <rgbColor rgb="00000000"/>
      <rgbColor rgb="00C0C0C0"/>
      <rgbColor rgb="00000000"/>
      <rgbColor rgb="00C0C0C0"/>
      <rgbColor rgb="00000000"/>
      <rgbColor rgb="00000000"/>
      <rgbColor rgb="00000000"/>
      <rgbColor rgb="00000000"/>
      <rgbColor rgb="00000000"/>
      <rgbColor rgb="00000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AV239"/>
  <sheetViews>
    <sheetView tabSelected="1" zoomScalePageLayoutView="0" workbookViewId="0" topLeftCell="A1">
      <pane ySplit="11" topLeftCell="A12" activePane="bottomLeft" state="frozen"/>
      <selection pane="topLeft" activeCell="A1" sqref="A1"/>
      <selection pane="bottomLeft" activeCell="A1" sqref="A1:M1"/>
    </sheetView>
  </sheetViews>
  <sheetFormatPr defaultColWidth="11.57421875" defaultRowHeight="12.75"/>
  <cols>
    <col min="1" max="1" width="3.7109375" style="0" customWidth="1"/>
    <col min="2" max="2" width="6.8515625" style="0" customWidth="1"/>
    <col min="3" max="3" width="13.28125" style="0" customWidth="1"/>
    <col min="4" max="4" width="63.7109375" style="0" customWidth="1"/>
    <col min="5" max="5" width="5.00390625" style="0" customWidth="1"/>
    <col min="6" max="6" width="12.8515625" style="0" customWidth="1"/>
    <col min="7" max="7" width="12.00390625" style="0" customWidth="1"/>
    <col min="8" max="10" width="14.28125" style="0" customWidth="1"/>
    <col min="11" max="13" width="11.7109375" style="0" customWidth="1"/>
    <col min="14" max="14" width="0" style="0" hidden="1" customWidth="1"/>
    <col min="15" max="48" width="12.140625" style="0" hidden="1" customWidth="1"/>
  </cols>
  <sheetData>
    <row r="1" spans="1:13" ht="72.75" customHeight="1">
      <c r="A1" s="74" t="s">
        <v>0</v>
      </c>
      <c r="B1" s="75"/>
      <c r="C1" s="75"/>
      <c r="D1" s="75"/>
      <c r="E1" s="75"/>
      <c r="F1" s="75"/>
      <c r="G1" s="75"/>
      <c r="H1" s="75"/>
      <c r="I1" s="75"/>
      <c r="J1" s="75"/>
      <c r="K1" s="75"/>
      <c r="L1" s="75"/>
      <c r="M1" s="75"/>
    </row>
    <row r="2" spans="1:14" ht="12.75">
      <c r="A2" s="76" t="s">
        <v>1</v>
      </c>
      <c r="B2" s="77"/>
      <c r="C2" s="77"/>
      <c r="D2" s="80" t="s">
        <v>155</v>
      </c>
      <c r="E2" s="82" t="s">
        <v>330</v>
      </c>
      <c r="F2" s="77"/>
      <c r="G2" s="82" t="s">
        <v>6</v>
      </c>
      <c r="H2" s="77"/>
      <c r="I2" s="83" t="s">
        <v>349</v>
      </c>
      <c r="J2" s="83" t="s">
        <v>354</v>
      </c>
      <c r="K2" s="77"/>
      <c r="L2" s="77"/>
      <c r="M2" s="84"/>
      <c r="N2" s="1"/>
    </row>
    <row r="3" spans="1:14" ht="12.75">
      <c r="A3" s="78"/>
      <c r="B3" s="79"/>
      <c r="C3" s="79"/>
      <c r="D3" s="81"/>
      <c r="E3" s="79"/>
      <c r="F3" s="79"/>
      <c r="G3" s="79"/>
      <c r="H3" s="79"/>
      <c r="I3" s="79"/>
      <c r="J3" s="79"/>
      <c r="K3" s="79"/>
      <c r="L3" s="79"/>
      <c r="M3" s="85"/>
      <c r="N3" s="1"/>
    </row>
    <row r="4" spans="1:14" ht="12.75">
      <c r="A4" s="86" t="s">
        <v>2</v>
      </c>
      <c r="B4" s="79"/>
      <c r="C4" s="79"/>
      <c r="D4" s="87" t="s">
        <v>156</v>
      </c>
      <c r="E4" s="88" t="s">
        <v>331</v>
      </c>
      <c r="F4" s="79"/>
      <c r="G4" s="88" t="s">
        <v>6</v>
      </c>
      <c r="H4" s="79"/>
      <c r="I4" s="87" t="s">
        <v>350</v>
      </c>
      <c r="J4" s="87" t="s">
        <v>355</v>
      </c>
      <c r="K4" s="79"/>
      <c r="L4" s="79"/>
      <c r="M4" s="85"/>
      <c r="N4" s="1"/>
    </row>
    <row r="5" spans="1:14" ht="12.75">
      <c r="A5" s="78"/>
      <c r="B5" s="79"/>
      <c r="C5" s="79"/>
      <c r="D5" s="79"/>
      <c r="E5" s="79"/>
      <c r="F5" s="79"/>
      <c r="G5" s="79"/>
      <c r="H5" s="79"/>
      <c r="I5" s="79"/>
      <c r="J5" s="79"/>
      <c r="K5" s="79"/>
      <c r="L5" s="79"/>
      <c r="M5" s="85"/>
      <c r="N5" s="1"/>
    </row>
    <row r="6" spans="1:14" ht="12.75">
      <c r="A6" s="86" t="s">
        <v>3</v>
      </c>
      <c r="B6" s="79"/>
      <c r="C6" s="79"/>
      <c r="D6" s="87" t="s">
        <v>157</v>
      </c>
      <c r="E6" s="88" t="s">
        <v>332</v>
      </c>
      <c r="F6" s="79"/>
      <c r="G6" s="88" t="s">
        <v>6</v>
      </c>
      <c r="H6" s="79"/>
      <c r="I6" s="87" t="s">
        <v>351</v>
      </c>
      <c r="J6" s="87" t="s">
        <v>6</v>
      </c>
      <c r="K6" s="79"/>
      <c r="L6" s="79"/>
      <c r="M6" s="85"/>
      <c r="N6" s="1"/>
    </row>
    <row r="7" spans="1:14" ht="12.75">
      <c r="A7" s="78"/>
      <c r="B7" s="79"/>
      <c r="C7" s="79"/>
      <c r="D7" s="79"/>
      <c r="E7" s="79"/>
      <c r="F7" s="79"/>
      <c r="G7" s="79"/>
      <c r="H7" s="79"/>
      <c r="I7" s="79"/>
      <c r="J7" s="79"/>
      <c r="K7" s="79"/>
      <c r="L7" s="79"/>
      <c r="M7" s="85"/>
      <c r="N7" s="1"/>
    </row>
    <row r="8" spans="1:14" ht="12.75">
      <c r="A8" s="86" t="s">
        <v>4</v>
      </c>
      <c r="B8" s="79"/>
      <c r="C8" s="79"/>
      <c r="D8" s="87" t="s">
        <v>6</v>
      </c>
      <c r="E8" s="88" t="s">
        <v>333</v>
      </c>
      <c r="F8" s="79"/>
      <c r="G8" s="88" t="s">
        <v>343</v>
      </c>
      <c r="H8" s="79"/>
      <c r="I8" s="87" t="s">
        <v>352</v>
      </c>
      <c r="J8" s="87" t="s">
        <v>355</v>
      </c>
      <c r="K8" s="79"/>
      <c r="L8" s="79"/>
      <c r="M8" s="85"/>
      <c r="N8" s="1"/>
    </row>
    <row r="9" spans="1:14" ht="12.75">
      <c r="A9" s="89"/>
      <c r="B9" s="90"/>
      <c r="C9" s="90"/>
      <c r="D9" s="90"/>
      <c r="E9" s="90"/>
      <c r="F9" s="90"/>
      <c r="G9" s="90"/>
      <c r="H9" s="90"/>
      <c r="I9" s="90"/>
      <c r="J9" s="90"/>
      <c r="K9" s="90"/>
      <c r="L9" s="90"/>
      <c r="M9" s="91"/>
      <c r="N9" s="1"/>
    </row>
    <row r="10" spans="1:14" ht="12.75">
      <c r="A10" s="2" t="s">
        <v>5</v>
      </c>
      <c r="B10" s="11" t="s">
        <v>77</v>
      </c>
      <c r="C10" s="11" t="s">
        <v>78</v>
      </c>
      <c r="D10" s="11" t="s">
        <v>158</v>
      </c>
      <c r="E10" s="11" t="s">
        <v>334</v>
      </c>
      <c r="F10" s="21" t="s">
        <v>342</v>
      </c>
      <c r="G10" s="26" t="s">
        <v>344</v>
      </c>
      <c r="H10" s="92" t="s">
        <v>346</v>
      </c>
      <c r="I10" s="93"/>
      <c r="J10" s="94"/>
      <c r="K10" s="92" t="s">
        <v>357</v>
      </c>
      <c r="L10" s="94"/>
      <c r="M10" s="35" t="s">
        <v>358</v>
      </c>
      <c r="N10" s="39"/>
    </row>
    <row r="11" spans="1:24" ht="12.75">
      <c r="A11" s="3" t="s">
        <v>6</v>
      </c>
      <c r="B11" s="12" t="s">
        <v>6</v>
      </c>
      <c r="C11" s="12" t="s">
        <v>6</v>
      </c>
      <c r="D11" s="16" t="s">
        <v>159</v>
      </c>
      <c r="E11" s="12" t="s">
        <v>6</v>
      </c>
      <c r="F11" s="12" t="s">
        <v>6</v>
      </c>
      <c r="G11" s="27" t="s">
        <v>345</v>
      </c>
      <c r="H11" s="28" t="s">
        <v>347</v>
      </c>
      <c r="I11" s="29" t="s">
        <v>353</v>
      </c>
      <c r="J11" s="30" t="s">
        <v>356</v>
      </c>
      <c r="K11" s="28" t="s">
        <v>344</v>
      </c>
      <c r="L11" s="30" t="s">
        <v>356</v>
      </c>
      <c r="M11" s="36" t="s">
        <v>359</v>
      </c>
      <c r="N11" s="39"/>
      <c r="P11" s="32" t="s">
        <v>362</v>
      </c>
      <c r="Q11" s="32" t="s">
        <v>363</v>
      </c>
      <c r="R11" s="32" t="s">
        <v>364</v>
      </c>
      <c r="S11" s="32" t="s">
        <v>365</v>
      </c>
      <c r="T11" s="32" t="s">
        <v>366</v>
      </c>
      <c r="U11" s="32" t="s">
        <v>367</v>
      </c>
      <c r="V11" s="32" t="s">
        <v>368</v>
      </c>
      <c r="W11" s="32" t="s">
        <v>369</v>
      </c>
      <c r="X11" s="32" t="s">
        <v>370</v>
      </c>
    </row>
    <row r="12" spans="1:37" ht="12.75">
      <c r="A12" s="4"/>
      <c r="B12" s="13"/>
      <c r="C12" s="13" t="s">
        <v>17</v>
      </c>
      <c r="D12" s="13" t="s">
        <v>160</v>
      </c>
      <c r="E12" s="4" t="s">
        <v>6</v>
      </c>
      <c r="F12" s="4" t="s">
        <v>6</v>
      </c>
      <c r="G12" s="4" t="s">
        <v>6</v>
      </c>
      <c r="H12" s="42">
        <f>SUM(H13:H16)</f>
        <v>0</v>
      </c>
      <c r="I12" s="42">
        <f>SUM(I13:I16)</f>
        <v>0</v>
      </c>
      <c r="J12" s="42">
        <f>H12+I12</f>
        <v>0</v>
      </c>
      <c r="K12" s="31"/>
      <c r="L12" s="42">
        <f>SUM(L13:L16)</f>
        <v>0.0786</v>
      </c>
      <c r="M12" s="31"/>
      <c r="Y12" s="32"/>
      <c r="AI12" s="43">
        <f>SUM(Z13:Z16)</f>
        <v>0</v>
      </c>
      <c r="AJ12" s="43">
        <f>SUM(AA13:AA16)</f>
        <v>0</v>
      </c>
      <c r="AK12" s="43">
        <f>SUM(AB13:AB16)</f>
        <v>0</v>
      </c>
    </row>
    <row r="13" spans="1:48" ht="12.75">
      <c r="A13" s="5" t="s">
        <v>7</v>
      </c>
      <c r="B13" s="5"/>
      <c r="C13" s="5" t="s">
        <v>79</v>
      </c>
      <c r="D13" s="5" t="s">
        <v>161</v>
      </c>
      <c r="E13" s="5" t="s">
        <v>335</v>
      </c>
      <c r="F13" s="22">
        <v>5</v>
      </c>
      <c r="G13" s="22">
        <v>0</v>
      </c>
      <c r="H13" s="22">
        <f>F13*AE13</f>
        <v>0</v>
      </c>
      <c r="I13" s="22">
        <f>J13-H13</f>
        <v>0</v>
      </c>
      <c r="J13" s="22">
        <f>F13*G13</f>
        <v>0</v>
      </c>
      <c r="K13" s="22">
        <v>0.01572</v>
      </c>
      <c r="L13" s="22">
        <f>F13*K13</f>
        <v>0.0786</v>
      </c>
      <c r="M13" s="37" t="s">
        <v>360</v>
      </c>
      <c r="P13" s="40">
        <f>IF(AG13="5",J13,0)</f>
        <v>0</v>
      </c>
      <c r="R13" s="40">
        <f>IF(AG13="1",H13,0)</f>
        <v>0</v>
      </c>
      <c r="S13" s="40">
        <f>IF(AG13="1",I13,0)</f>
        <v>0</v>
      </c>
      <c r="T13" s="40">
        <f>IF(AG13="7",H13,0)</f>
        <v>0</v>
      </c>
      <c r="U13" s="40">
        <f>IF(AG13="7",I13,0)</f>
        <v>0</v>
      </c>
      <c r="V13" s="40">
        <f>IF(AG13="2",H13,0)</f>
        <v>0</v>
      </c>
      <c r="W13" s="40">
        <f>IF(AG13="2",I13,0)</f>
        <v>0</v>
      </c>
      <c r="X13" s="40">
        <f>IF(AG13="0",J13,0)</f>
        <v>0</v>
      </c>
      <c r="Y13" s="32"/>
      <c r="Z13" s="22">
        <f>IF(AD13=0,J13,0)</f>
        <v>0</v>
      </c>
      <c r="AA13" s="22">
        <f>IF(AD13=15,J13,0)</f>
        <v>0</v>
      </c>
      <c r="AB13" s="22">
        <f>IF(AD13=21,J13,0)</f>
        <v>0</v>
      </c>
      <c r="AD13" s="40">
        <v>21</v>
      </c>
      <c r="AE13" s="40">
        <f>G13*0.548622366288493</f>
        <v>0</v>
      </c>
      <c r="AF13" s="40">
        <f>G13*(1-0.548622366288493)</f>
        <v>0</v>
      </c>
      <c r="AG13" s="37" t="s">
        <v>7</v>
      </c>
      <c r="AM13" s="40">
        <f>F13*AE13</f>
        <v>0</v>
      </c>
      <c r="AN13" s="40">
        <f>F13*AF13</f>
        <v>0</v>
      </c>
      <c r="AO13" s="41" t="s">
        <v>372</v>
      </c>
      <c r="AP13" s="41" t="s">
        <v>390</v>
      </c>
      <c r="AQ13" s="32" t="s">
        <v>396</v>
      </c>
      <c r="AS13" s="40">
        <f>AM13+AN13</f>
        <v>0</v>
      </c>
      <c r="AT13" s="40">
        <f>G13/(100-AU13)*100</f>
        <v>0</v>
      </c>
      <c r="AU13" s="40">
        <v>0</v>
      </c>
      <c r="AV13" s="40">
        <f>L13</f>
        <v>0.0786</v>
      </c>
    </row>
    <row r="14" spans="4:6" ht="12.75">
      <c r="D14" s="17" t="s">
        <v>11</v>
      </c>
      <c r="F14" s="23">
        <v>5</v>
      </c>
    </row>
    <row r="15" spans="3:13" ht="12.75">
      <c r="C15" s="15" t="s">
        <v>80</v>
      </c>
      <c r="D15" s="95" t="s">
        <v>162</v>
      </c>
      <c r="E15" s="96"/>
      <c r="F15" s="96"/>
      <c r="G15" s="96"/>
      <c r="H15" s="96"/>
      <c r="I15" s="96"/>
      <c r="J15" s="96"/>
      <c r="K15" s="96"/>
      <c r="L15" s="96"/>
      <c r="M15" s="96"/>
    </row>
    <row r="16" spans="1:48" ht="12.75">
      <c r="A16" s="5" t="s">
        <v>8</v>
      </c>
      <c r="B16" s="5"/>
      <c r="C16" s="5" t="s">
        <v>81</v>
      </c>
      <c r="D16" s="5" t="s">
        <v>163</v>
      </c>
      <c r="E16" s="5" t="s">
        <v>336</v>
      </c>
      <c r="F16" s="22">
        <v>60</v>
      </c>
      <c r="G16" s="22">
        <v>0</v>
      </c>
      <c r="H16" s="22">
        <f>F16*AE16</f>
        <v>0</v>
      </c>
      <c r="I16" s="22">
        <f>J16-H16</f>
        <v>0</v>
      </c>
      <c r="J16" s="22">
        <f>F16*G16</f>
        <v>0</v>
      </c>
      <c r="K16" s="22">
        <v>0</v>
      </c>
      <c r="L16" s="22">
        <f>F16*K16</f>
        <v>0</v>
      </c>
      <c r="M16" s="37" t="s">
        <v>360</v>
      </c>
      <c r="P16" s="40">
        <f>IF(AG16="5",J16,0)</f>
        <v>0</v>
      </c>
      <c r="R16" s="40">
        <f>IF(AG16="1",H16,0)</f>
        <v>0</v>
      </c>
      <c r="S16" s="40">
        <f>IF(AG16="1",I16,0)</f>
        <v>0</v>
      </c>
      <c r="T16" s="40">
        <f>IF(AG16="7",H16,0)</f>
        <v>0</v>
      </c>
      <c r="U16" s="40">
        <f>IF(AG16="7",I16,0)</f>
        <v>0</v>
      </c>
      <c r="V16" s="40">
        <f>IF(AG16="2",H16,0)</f>
        <v>0</v>
      </c>
      <c r="W16" s="40">
        <f>IF(AG16="2",I16,0)</f>
        <v>0</v>
      </c>
      <c r="X16" s="40">
        <f>IF(AG16="0",J16,0)</f>
        <v>0</v>
      </c>
      <c r="Y16" s="32"/>
      <c r="Z16" s="22">
        <f>IF(AD16=0,J16,0)</f>
        <v>0</v>
      </c>
      <c r="AA16" s="22">
        <f>IF(AD16=15,J16,0)</f>
        <v>0</v>
      </c>
      <c r="AB16" s="22">
        <f>IF(AD16=21,J16,0)</f>
        <v>0</v>
      </c>
      <c r="AD16" s="40">
        <v>21</v>
      </c>
      <c r="AE16" s="40">
        <f>G16*0</f>
        <v>0</v>
      </c>
      <c r="AF16" s="40">
        <f>G16*(1-0)</f>
        <v>0</v>
      </c>
      <c r="AG16" s="37" t="s">
        <v>7</v>
      </c>
      <c r="AM16" s="40">
        <f>F16*AE16</f>
        <v>0</v>
      </c>
      <c r="AN16" s="40">
        <f>F16*AF16</f>
        <v>0</v>
      </c>
      <c r="AO16" s="41" t="s">
        <v>372</v>
      </c>
      <c r="AP16" s="41" t="s">
        <v>390</v>
      </c>
      <c r="AQ16" s="32" t="s">
        <v>396</v>
      </c>
      <c r="AS16" s="40">
        <f>AM16+AN16</f>
        <v>0</v>
      </c>
      <c r="AT16" s="40">
        <f>G16/(100-AU16)*100</f>
        <v>0</v>
      </c>
      <c r="AU16" s="40">
        <v>0</v>
      </c>
      <c r="AV16" s="40">
        <f>L16</f>
        <v>0</v>
      </c>
    </row>
    <row r="17" ht="12.75">
      <c r="D17" s="18" t="s">
        <v>164</v>
      </c>
    </row>
    <row r="18" spans="4:6" ht="12.75">
      <c r="D18" s="17" t="s">
        <v>66</v>
      </c>
      <c r="F18" s="23">
        <v>60</v>
      </c>
    </row>
    <row r="19" spans="1:37" ht="12.75">
      <c r="A19" s="6"/>
      <c r="B19" s="14"/>
      <c r="C19" s="14" t="s">
        <v>19</v>
      </c>
      <c r="D19" s="14" t="s">
        <v>165</v>
      </c>
      <c r="E19" s="6" t="s">
        <v>6</v>
      </c>
      <c r="F19" s="6" t="s">
        <v>6</v>
      </c>
      <c r="G19" s="6" t="s">
        <v>6</v>
      </c>
      <c r="H19" s="43">
        <f>SUM(H20:H27)</f>
        <v>0</v>
      </c>
      <c r="I19" s="43">
        <f>SUM(I20:I27)</f>
        <v>0</v>
      </c>
      <c r="J19" s="43">
        <f>H19+I19</f>
        <v>0</v>
      </c>
      <c r="K19" s="32"/>
      <c r="L19" s="43">
        <f>SUM(L20:L27)</f>
        <v>0</v>
      </c>
      <c r="M19" s="32"/>
      <c r="Y19" s="32"/>
      <c r="AI19" s="43">
        <f>SUM(Z20:Z27)</f>
        <v>0</v>
      </c>
      <c r="AJ19" s="43">
        <f>SUM(AA20:AA27)</f>
        <v>0</v>
      </c>
      <c r="AK19" s="43">
        <f>SUM(AB20:AB27)</f>
        <v>0</v>
      </c>
    </row>
    <row r="20" spans="1:48" ht="12.75">
      <c r="A20" s="5" t="s">
        <v>9</v>
      </c>
      <c r="B20" s="5"/>
      <c r="C20" s="5" t="s">
        <v>82</v>
      </c>
      <c r="D20" s="5" t="s">
        <v>166</v>
      </c>
      <c r="E20" s="5" t="s">
        <v>337</v>
      </c>
      <c r="F20" s="22">
        <v>72.82</v>
      </c>
      <c r="G20" s="22">
        <v>0</v>
      </c>
      <c r="H20" s="22">
        <f>F20*AE20</f>
        <v>0</v>
      </c>
      <c r="I20" s="22">
        <f>J20-H20</f>
        <v>0</v>
      </c>
      <c r="J20" s="22">
        <f>F20*G20</f>
        <v>0</v>
      </c>
      <c r="K20" s="22">
        <v>0</v>
      </c>
      <c r="L20" s="22">
        <f>F20*K20</f>
        <v>0</v>
      </c>
      <c r="M20" s="37" t="s">
        <v>360</v>
      </c>
      <c r="P20" s="40">
        <f>IF(AG20="5",J20,0)</f>
        <v>0</v>
      </c>
      <c r="R20" s="40">
        <f>IF(AG20="1",H20,0)</f>
        <v>0</v>
      </c>
      <c r="S20" s="40">
        <f>IF(AG20="1",I20,0)</f>
        <v>0</v>
      </c>
      <c r="T20" s="40">
        <f>IF(AG20="7",H20,0)</f>
        <v>0</v>
      </c>
      <c r="U20" s="40">
        <f>IF(AG20="7",I20,0)</f>
        <v>0</v>
      </c>
      <c r="V20" s="40">
        <f>IF(AG20="2",H20,0)</f>
        <v>0</v>
      </c>
      <c r="W20" s="40">
        <f>IF(AG20="2",I20,0)</f>
        <v>0</v>
      </c>
      <c r="X20" s="40">
        <f>IF(AG20="0",J20,0)</f>
        <v>0</v>
      </c>
      <c r="Y20" s="32"/>
      <c r="Z20" s="22">
        <f>IF(AD20=0,J20,0)</f>
        <v>0</v>
      </c>
      <c r="AA20" s="22">
        <f>IF(AD20=15,J20,0)</f>
        <v>0</v>
      </c>
      <c r="AB20" s="22">
        <f>IF(AD20=21,J20,0)</f>
        <v>0</v>
      </c>
      <c r="AD20" s="40">
        <v>21</v>
      </c>
      <c r="AE20" s="40">
        <f>G20*0</f>
        <v>0</v>
      </c>
      <c r="AF20" s="40">
        <f>G20*(1-0)</f>
        <v>0</v>
      </c>
      <c r="AG20" s="37" t="s">
        <v>7</v>
      </c>
      <c r="AM20" s="40">
        <f>F20*AE20</f>
        <v>0</v>
      </c>
      <c r="AN20" s="40">
        <f>F20*AF20</f>
        <v>0</v>
      </c>
      <c r="AO20" s="41" t="s">
        <v>373</v>
      </c>
      <c r="AP20" s="41" t="s">
        <v>390</v>
      </c>
      <c r="AQ20" s="32" t="s">
        <v>396</v>
      </c>
      <c r="AS20" s="40">
        <f>AM20+AN20</f>
        <v>0</v>
      </c>
      <c r="AT20" s="40">
        <f>G20/(100-AU20)*100</f>
        <v>0</v>
      </c>
      <c r="AU20" s="40">
        <v>0</v>
      </c>
      <c r="AV20" s="40">
        <f>L20</f>
        <v>0</v>
      </c>
    </row>
    <row r="21" spans="4:6" ht="12.75">
      <c r="D21" s="17" t="s">
        <v>167</v>
      </c>
      <c r="F21" s="23">
        <v>21.78</v>
      </c>
    </row>
    <row r="22" spans="4:6" ht="12.75">
      <c r="D22" s="17" t="s">
        <v>168</v>
      </c>
      <c r="F22" s="23">
        <v>10.56</v>
      </c>
    </row>
    <row r="23" spans="4:6" ht="12.75">
      <c r="D23" s="17" t="s">
        <v>169</v>
      </c>
      <c r="F23" s="23">
        <v>12.54</v>
      </c>
    </row>
    <row r="24" spans="4:6" ht="12.75">
      <c r="D24" s="17" t="s">
        <v>170</v>
      </c>
      <c r="F24" s="23">
        <v>7.92</v>
      </c>
    </row>
    <row r="25" spans="4:6" ht="12.75">
      <c r="D25" s="17" t="s">
        <v>171</v>
      </c>
      <c r="F25" s="23">
        <v>20.02</v>
      </c>
    </row>
    <row r="26" spans="3:13" ht="38.25" customHeight="1">
      <c r="C26" s="15" t="s">
        <v>80</v>
      </c>
      <c r="D26" s="95" t="s">
        <v>172</v>
      </c>
      <c r="E26" s="96"/>
      <c r="F26" s="96"/>
      <c r="G26" s="96"/>
      <c r="H26" s="96"/>
      <c r="I26" s="96"/>
      <c r="J26" s="96"/>
      <c r="K26" s="96"/>
      <c r="L26" s="96"/>
      <c r="M26" s="96"/>
    </row>
    <row r="27" spans="1:48" ht="12.75">
      <c r="A27" s="5" t="s">
        <v>10</v>
      </c>
      <c r="B27" s="5"/>
      <c r="C27" s="5" t="s">
        <v>83</v>
      </c>
      <c r="D27" s="5" t="s">
        <v>173</v>
      </c>
      <c r="E27" s="5" t="s">
        <v>337</v>
      </c>
      <c r="F27" s="22">
        <v>21.85</v>
      </c>
      <c r="G27" s="22">
        <v>0</v>
      </c>
      <c r="H27" s="22">
        <f>F27*AE27</f>
        <v>0</v>
      </c>
      <c r="I27" s="22">
        <f>J27-H27</f>
        <v>0</v>
      </c>
      <c r="J27" s="22">
        <f>F27*G27</f>
        <v>0</v>
      </c>
      <c r="K27" s="22">
        <v>0</v>
      </c>
      <c r="L27" s="22">
        <f>F27*K27</f>
        <v>0</v>
      </c>
      <c r="M27" s="37" t="s">
        <v>360</v>
      </c>
      <c r="P27" s="40">
        <f>IF(AG27="5",J27,0)</f>
        <v>0</v>
      </c>
      <c r="R27" s="40">
        <f>IF(AG27="1",H27,0)</f>
        <v>0</v>
      </c>
      <c r="S27" s="40">
        <f>IF(AG27="1",I27,0)</f>
        <v>0</v>
      </c>
      <c r="T27" s="40">
        <f>IF(AG27="7",H27,0)</f>
        <v>0</v>
      </c>
      <c r="U27" s="40">
        <f>IF(AG27="7",I27,0)</f>
        <v>0</v>
      </c>
      <c r="V27" s="40">
        <f>IF(AG27="2",H27,0)</f>
        <v>0</v>
      </c>
      <c r="W27" s="40">
        <f>IF(AG27="2",I27,0)</f>
        <v>0</v>
      </c>
      <c r="X27" s="40">
        <f>IF(AG27="0",J27,0)</f>
        <v>0</v>
      </c>
      <c r="Y27" s="32"/>
      <c r="Z27" s="22">
        <f>IF(AD27=0,J27,0)</f>
        <v>0</v>
      </c>
      <c r="AA27" s="22">
        <f>IF(AD27=15,J27,0)</f>
        <v>0</v>
      </c>
      <c r="AB27" s="22">
        <f>IF(AD27=21,J27,0)</f>
        <v>0</v>
      </c>
      <c r="AD27" s="40">
        <v>21</v>
      </c>
      <c r="AE27" s="40">
        <f>G27*0</f>
        <v>0</v>
      </c>
      <c r="AF27" s="40">
        <f>G27*(1-0)</f>
        <v>0</v>
      </c>
      <c r="AG27" s="37" t="s">
        <v>7</v>
      </c>
      <c r="AM27" s="40">
        <f>F27*AE27</f>
        <v>0</v>
      </c>
      <c r="AN27" s="40">
        <f>F27*AF27</f>
        <v>0</v>
      </c>
      <c r="AO27" s="41" t="s">
        <v>373</v>
      </c>
      <c r="AP27" s="41" t="s">
        <v>390</v>
      </c>
      <c r="AQ27" s="32" t="s">
        <v>396</v>
      </c>
      <c r="AS27" s="40">
        <f>AM27+AN27</f>
        <v>0</v>
      </c>
      <c r="AT27" s="40">
        <f>G27/(100-AU27)*100</f>
        <v>0</v>
      </c>
      <c r="AU27" s="40">
        <v>0</v>
      </c>
      <c r="AV27" s="40">
        <f>L27</f>
        <v>0</v>
      </c>
    </row>
    <row r="28" spans="4:6" ht="12.75">
      <c r="D28" s="17" t="s">
        <v>174</v>
      </c>
      <c r="F28" s="23">
        <v>21.85</v>
      </c>
    </row>
    <row r="29" spans="3:13" ht="12.75">
      <c r="C29" s="15" t="s">
        <v>80</v>
      </c>
      <c r="D29" s="95" t="s">
        <v>175</v>
      </c>
      <c r="E29" s="96"/>
      <c r="F29" s="96"/>
      <c r="G29" s="96"/>
      <c r="H29" s="96"/>
      <c r="I29" s="96"/>
      <c r="J29" s="96"/>
      <c r="K29" s="96"/>
      <c r="L29" s="96"/>
      <c r="M29" s="96"/>
    </row>
    <row r="30" spans="1:37" ht="12.75">
      <c r="A30" s="6"/>
      <c r="B30" s="14"/>
      <c r="C30" s="14" t="s">
        <v>21</v>
      </c>
      <c r="D30" s="14" t="s">
        <v>176</v>
      </c>
      <c r="E30" s="6" t="s">
        <v>6</v>
      </c>
      <c r="F30" s="6" t="s">
        <v>6</v>
      </c>
      <c r="G30" s="6" t="s">
        <v>6</v>
      </c>
      <c r="H30" s="43">
        <f>SUM(H31:H42)</f>
        <v>0</v>
      </c>
      <c r="I30" s="43">
        <f>SUM(I31:I42)</f>
        <v>0</v>
      </c>
      <c r="J30" s="43">
        <f>H30+I30</f>
        <v>0</v>
      </c>
      <c r="K30" s="32"/>
      <c r="L30" s="43">
        <f>SUM(L31:L42)</f>
        <v>0.11682799999999999</v>
      </c>
      <c r="M30" s="32"/>
      <c r="Y30" s="32"/>
      <c r="AI30" s="43">
        <f>SUM(Z31:Z42)</f>
        <v>0</v>
      </c>
      <c r="AJ30" s="43">
        <f>SUM(AA31:AA42)</f>
        <v>0</v>
      </c>
      <c r="AK30" s="43">
        <f>SUM(AB31:AB42)</f>
        <v>0</v>
      </c>
    </row>
    <row r="31" spans="1:48" ht="12.75">
      <c r="A31" s="5" t="s">
        <v>11</v>
      </c>
      <c r="B31" s="5"/>
      <c r="C31" s="5" t="s">
        <v>84</v>
      </c>
      <c r="D31" s="5" t="s">
        <v>177</v>
      </c>
      <c r="E31" s="5" t="s">
        <v>338</v>
      </c>
      <c r="F31" s="22">
        <v>22.8</v>
      </c>
      <c r="G31" s="22">
        <v>0</v>
      </c>
      <c r="H31" s="22">
        <f>F31*AE31</f>
        <v>0</v>
      </c>
      <c r="I31" s="22">
        <f>J31-H31</f>
        <v>0</v>
      </c>
      <c r="J31" s="22">
        <f>F31*G31</f>
        <v>0</v>
      </c>
      <c r="K31" s="22">
        <v>0.00099</v>
      </c>
      <c r="L31" s="22">
        <f>F31*K31</f>
        <v>0.022572000000000002</v>
      </c>
      <c r="M31" s="37" t="s">
        <v>360</v>
      </c>
      <c r="P31" s="40">
        <f>IF(AG31="5",J31,0)</f>
        <v>0</v>
      </c>
      <c r="R31" s="40">
        <f>IF(AG31="1",H31,0)</f>
        <v>0</v>
      </c>
      <c r="S31" s="40">
        <f>IF(AG31="1",I31,0)</f>
        <v>0</v>
      </c>
      <c r="T31" s="40">
        <f>IF(AG31="7",H31,0)</f>
        <v>0</v>
      </c>
      <c r="U31" s="40">
        <f>IF(AG31="7",I31,0)</f>
        <v>0</v>
      </c>
      <c r="V31" s="40">
        <f>IF(AG31="2",H31,0)</f>
        <v>0</v>
      </c>
      <c r="W31" s="40">
        <f>IF(AG31="2",I31,0)</f>
        <v>0</v>
      </c>
      <c r="X31" s="40">
        <f>IF(AG31="0",J31,0)</f>
        <v>0</v>
      </c>
      <c r="Y31" s="32"/>
      <c r="Z31" s="22">
        <f>IF(AD31=0,J31,0)</f>
        <v>0</v>
      </c>
      <c r="AA31" s="22">
        <f>IF(AD31=15,J31,0)</f>
        <v>0</v>
      </c>
      <c r="AB31" s="22">
        <f>IF(AD31=21,J31,0)</f>
        <v>0</v>
      </c>
      <c r="AD31" s="40">
        <v>21</v>
      </c>
      <c r="AE31" s="40">
        <f>G31*0.0964319248826291</f>
        <v>0</v>
      </c>
      <c r="AF31" s="40">
        <f>G31*(1-0.0964319248826291)</f>
        <v>0</v>
      </c>
      <c r="AG31" s="37" t="s">
        <v>7</v>
      </c>
      <c r="AM31" s="40">
        <f>F31*AE31</f>
        <v>0</v>
      </c>
      <c r="AN31" s="40">
        <f>F31*AF31</f>
        <v>0</v>
      </c>
      <c r="AO31" s="41" t="s">
        <v>374</v>
      </c>
      <c r="AP31" s="41" t="s">
        <v>390</v>
      </c>
      <c r="AQ31" s="32" t="s">
        <v>396</v>
      </c>
      <c r="AS31" s="40">
        <f>AM31+AN31</f>
        <v>0</v>
      </c>
      <c r="AT31" s="40">
        <f>G31/(100-AU31)*100</f>
        <v>0</v>
      </c>
      <c r="AU31" s="40">
        <v>0</v>
      </c>
      <c r="AV31" s="40">
        <f>L31</f>
        <v>0.022572000000000002</v>
      </c>
    </row>
    <row r="32" spans="4:6" ht="12.75">
      <c r="D32" s="17" t="s">
        <v>178</v>
      </c>
      <c r="F32" s="23">
        <v>22.8</v>
      </c>
    </row>
    <row r="33" spans="3:13" ht="12.75">
      <c r="C33" s="15" t="s">
        <v>80</v>
      </c>
      <c r="D33" s="95" t="s">
        <v>179</v>
      </c>
      <c r="E33" s="96"/>
      <c r="F33" s="96"/>
      <c r="G33" s="96"/>
      <c r="H33" s="96"/>
      <c r="I33" s="96"/>
      <c r="J33" s="96"/>
      <c r="K33" s="96"/>
      <c r="L33" s="96"/>
      <c r="M33" s="96"/>
    </row>
    <row r="34" spans="1:48" ht="12.75">
      <c r="A34" s="5" t="s">
        <v>12</v>
      </c>
      <c r="B34" s="5"/>
      <c r="C34" s="5" t="s">
        <v>85</v>
      </c>
      <c r="D34" s="5" t="s">
        <v>180</v>
      </c>
      <c r="E34" s="5" t="s">
        <v>338</v>
      </c>
      <c r="F34" s="22">
        <v>109.6</v>
      </c>
      <c r="G34" s="22">
        <v>0</v>
      </c>
      <c r="H34" s="22">
        <f>F34*AE34</f>
        <v>0</v>
      </c>
      <c r="I34" s="22">
        <f>J34-H34</f>
        <v>0</v>
      </c>
      <c r="J34" s="22">
        <f>F34*G34</f>
        <v>0</v>
      </c>
      <c r="K34" s="22">
        <v>0.00086</v>
      </c>
      <c r="L34" s="22">
        <f>F34*K34</f>
        <v>0.09425599999999999</v>
      </c>
      <c r="M34" s="37" t="s">
        <v>360</v>
      </c>
      <c r="P34" s="40">
        <f>IF(AG34="5",J34,0)</f>
        <v>0</v>
      </c>
      <c r="R34" s="40">
        <f>IF(AG34="1",H34,0)</f>
        <v>0</v>
      </c>
      <c r="S34" s="40">
        <f>IF(AG34="1",I34,0)</f>
        <v>0</v>
      </c>
      <c r="T34" s="40">
        <f>IF(AG34="7",H34,0)</f>
        <v>0</v>
      </c>
      <c r="U34" s="40">
        <f>IF(AG34="7",I34,0)</f>
        <v>0</v>
      </c>
      <c r="V34" s="40">
        <f>IF(AG34="2",H34,0)</f>
        <v>0</v>
      </c>
      <c r="W34" s="40">
        <f>IF(AG34="2",I34,0)</f>
        <v>0</v>
      </c>
      <c r="X34" s="40">
        <f>IF(AG34="0",J34,0)</f>
        <v>0</v>
      </c>
      <c r="Y34" s="32"/>
      <c r="Z34" s="22">
        <f>IF(AD34=0,J34,0)</f>
        <v>0</v>
      </c>
      <c r="AA34" s="22">
        <f>IF(AD34=15,J34,0)</f>
        <v>0</v>
      </c>
      <c r="AB34" s="22">
        <f>IF(AD34=21,J34,0)</f>
        <v>0</v>
      </c>
      <c r="AD34" s="40">
        <v>21</v>
      </c>
      <c r="AE34" s="40">
        <f>G34*0.0661577608142494</f>
        <v>0</v>
      </c>
      <c r="AF34" s="40">
        <f>G34*(1-0.0661577608142494)</f>
        <v>0</v>
      </c>
      <c r="AG34" s="37" t="s">
        <v>7</v>
      </c>
      <c r="AM34" s="40">
        <f>F34*AE34</f>
        <v>0</v>
      </c>
      <c r="AN34" s="40">
        <f>F34*AF34</f>
        <v>0</v>
      </c>
      <c r="AO34" s="41" t="s">
        <v>374</v>
      </c>
      <c r="AP34" s="41" t="s">
        <v>390</v>
      </c>
      <c r="AQ34" s="32" t="s">
        <v>396</v>
      </c>
      <c r="AS34" s="40">
        <f>AM34+AN34</f>
        <v>0</v>
      </c>
      <c r="AT34" s="40">
        <f>G34/(100-AU34)*100</f>
        <v>0</v>
      </c>
      <c r="AU34" s="40">
        <v>0</v>
      </c>
      <c r="AV34" s="40">
        <f>L34</f>
        <v>0.09425599999999999</v>
      </c>
    </row>
    <row r="35" spans="4:6" ht="12.75">
      <c r="D35" s="17" t="s">
        <v>181</v>
      </c>
      <c r="F35" s="23">
        <v>39.6</v>
      </c>
    </row>
    <row r="36" spans="4:6" ht="12.75">
      <c r="D36" s="17" t="s">
        <v>182</v>
      </c>
      <c r="F36" s="23">
        <v>19.2</v>
      </c>
    </row>
    <row r="37" spans="4:6" ht="12.75">
      <c r="D37" s="17" t="s">
        <v>183</v>
      </c>
      <c r="F37" s="23">
        <v>14.4</v>
      </c>
    </row>
    <row r="38" spans="4:6" ht="12.75">
      <c r="D38" s="17" t="s">
        <v>184</v>
      </c>
      <c r="F38" s="23">
        <v>36.4</v>
      </c>
    </row>
    <row r="39" spans="3:13" ht="12.75">
      <c r="C39" s="15" t="s">
        <v>80</v>
      </c>
      <c r="D39" s="95" t="s">
        <v>179</v>
      </c>
      <c r="E39" s="96"/>
      <c r="F39" s="96"/>
      <c r="G39" s="96"/>
      <c r="H39" s="96"/>
      <c r="I39" s="96"/>
      <c r="J39" s="96"/>
      <c r="K39" s="96"/>
      <c r="L39" s="96"/>
      <c r="M39" s="96"/>
    </row>
    <row r="40" spans="1:48" ht="12.75">
      <c r="A40" s="5" t="s">
        <v>13</v>
      </c>
      <c r="B40" s="5"/>
      <c r="C40" s="5" t="s">
        <v>86</v>
      </c>
      <c r="D40" s="5" t="s">
        <v>185</v>
      </c>
      <c r="E40" s="5" t="s">
        <v>338</v>
      </c>
      <c r="F40" s="22">
        <v>22.8</v>
      </c>
      <c r="G40" s="22">
        <v>0</v>
      </c>
      <c r="H40" s="22">
        <f>F40*AE40</f>
        <v>0</v>
      </c>
      <c r="I40" s="22">
        <f>J40-H40</f>
        <v>0</v>
      </c>
      <c r="J40" s="22">
        <f>F40*G40</f>
        <v>0</v>
      </c>
      <c r="K40" s="22">
        <v>0</v>
      </c>
      <c r="L40" s="22">
        <f>F40*K40</f>
        <v>0</v>
      </c>
      <c r="M40" s="37" t="s">
        <v>360</v>
      </c>
      <c r="P40" s="40">
        <f>IF(AG40="5",J40,0)</f>
        <v>0</v>
      </c>
      <c r="R40" s="40">
        <f>IF(AG40="1",H40,0)</f>
        <v>0</v>
      </c>
      <c r="S40" s="40">
        <f>IF(AG40="1",I40,0)</f>
        <v>0</v>
      </c>
      <c r="T40" s="40">
        <f>IF(AG40="7",H40,0)</f>
        <v>0</v>
      </c>
      <c r="U40" s="40">
        <f>IF(AG40="7",I40,0)</f>
        <v>0</v>
      </c>
      <c r="V40" s="40">
        <f>IF(AG40="2",H40,0)</f>
        <v>0</v>
      </c>
      <c r="W40" s="40">
        <f>IF(AG40="2",I40,0)</f>
        <v>0</v>
      </c>
      <c r="X40" s="40">
        <f>IF(AG40="0",J40,0)</f>
        <v>0</v>
      </c>
      <c r="Y40" s="32"/>
      <c r="Z40" s="22">
        <f>IF(AD40=0,J40,0)</f>
        <v>0</v>
      </c>
      <c r="AA40" s="22">
        <f>IF(AD40=15,J40,0)</f>
        <v>0</v>
      </c>
      <c r="AB40" s="22">
        <f>IF(AD40=21,J40,0)</f>
        <v>0</v>
      </c>
      <c r="AD40" s="40">
        <v>21</v>
      </c>
      <c r="AE40" s="40">
        <f>G40*0</f>
        <v>0</v>
      </c>
      <c r="AF40" s="40">
        <f>G40*(1-0)</f>
        <v>0</v>
      </c>
      <c r="AG40" s="37" t="s">
        <v>7</v>
      </c>
      <c r="AM40" s="40">
        <f>F40*AE40</f>
        <v>0</v>
      </c>
      <c r="AN40" s="40">
        <f>F40*AF40</f>
        <v>0</v>
      </c>
      <c r="AO40" s="41" t="s">
        <v>374</v>
      </c>
      <c r="AP40" s="41" t="s">
        <v>390</v>
      </c>
      <c r="AQ40" s="32" t="s">
        <v>396</v>
      </c>
      <c r="AS40" s="40">
        <f>AM40+AN40</f>
        <v>0</v>
      </c>
      <c r="AT40" s="40">
        <f>G40/(100-AU40)*100</f>
        <v>0</v>
      </c>
      <c r="AU40" s="40">
        <v>0</v>
      </c>
      <c r="AV40" s="40">
        <f>L40</f>
        <v>0</v>
      </c>
    </row>
    <row r="41" spans="4:6" ht="12.75">
      <c r="D41" s="17" t="s">
        <v>186</v>
      </c>
      <c r="F41" s="23">
        <v>22.8</v>
      </c>
    </row>
    <row r="42" spans="1:48" ht="12.75">
      <c r="A42" s="5" t="s">
        <v>14</v>
      </c>
      <c r="B42" s="5"/>
      <c r="C42" s="5" t="s">
        <v>87</v>
      </c>
      <c r="D42" s="5" t="s">
        <v>187</v>
      </c>
      <c r="E42" s="5" t="s">
        <v>338</v>
      </c>
      <c r="F42" s="22">
        <v>109.6</v>
      </c>
      <c r="G42" s="22">
        <v>0</v>
      </c>
      <c r="H42" s="22">
        <f>F42*AE42</f>
        <v>0</v>
      </c>
      <c r="I42" s="22">
        <f>J42-H42</f>
        <v>0</v>
      </c>
      <c r="J42" s="22">
        <f>F42*G42</f>
        <v>0</v>
      </c>
      <c r="K42" s="22">
        <v>0</v>
      </c>
      <c r="L42" s="22">
        <f>F42*K42</f>
        <v>0</v>
      </c>
      <c r="M42" s="37" t="s">
        <v>360</v>
      </c>
      <c r="P42" s="40">
        <f>IF(AG42="5",J42,0)</f>
        <v>0</v>
      </c>
      <c r="R42" s="40">
        <f>IF(AG42="1",H42,0)</f>
        <v>0</v>
      </c>
      <c r="S42" s="40">
        <f>IF(AG42="1",I42,0)</f>
        <v>0</v>
      </c>
      <c r="T42" s="40">
        <f>IF(AG42="7",H42,0)</f>
        <v>0</v>
      </c>
      <c r="U42" s="40">
        <f>IF(AG42="7",I42,0)</f>
        <v>0</v>
      </c>
      <c r="V42" s="40">
        <f>IF(AG42="2",H42,0)</f>
        <v>0</v>
      </c>
      <c r="W42" s="40">
        <f>IF(AG42="2",I42,0)</f>
        <v>0</v>
      </c>
      <c r="X42" s="40">
        <f>IF(AG42="0",J42,0)</f>
        <v>0</v>
      </c>
      <c r="Y42" s="32"/>
      <c r="Z42" s="22">
        <f>IF(AD42=0,J42,0)</f>
        <v>0</v>
      </c>
      <c r="AA42" s="22">
        <f>IF(AD42=15,J42,0)</f>
        <v>0</v>
      </c>
      <c r="AB42" s="22">
        <f>IF(AD42=21,J42,0)</f>
        <v>0</v>
      </c>
      <c r="AD42" s="40">
        <v>21</v>
      </c>
      <c r="AE42" s="40">
        <f>G42*0</f>
        <v>0</v>
      </c>
      <c r="AF42" s="40">
        <f>G42*(1-0)</f>
        <v>0</v>
      </c>
      <c r="AG42" s="37" t="s">
        <v>7</v>
      </c>
      <c r="AM42" s="40">
        <f>F42*AE42</f>
        <v>0</v>
      </c>
      <c r="AN42" s="40">
        <f>F42*AF42</f>
        <v>0</v>
      </c>
      <c r="AO42" s="41" t="s">
        <v>374</v>
      </c>
      <c r="AP42" s="41" t="s">
        <v>390</v>
      </c>
      <c r="AQ42" s="32" t="s">
        <v>396</v>
      </c>
      <c r="AS42" s="40">
        <f>AM42+AN42</f>
        <v>0</v>
      </c>
      <c r="AT42" s="40">
        <f>G42/(100-AU42)*100</f>
        <v>0</v>
      </c>
      <c r="AU42" s="40">
        <v>0</v>
      </c>
      <c r="AV42" s="40">
        <f>L42</f>
        <v>0</v>
      </c>
    </row>
    <row r="43" spans="4:6" ht="12.75">
      <c r="D43" s="17" t="s">
        <v>188</v>
      </c>
      <c r="F43" s="23">
        <v>109.6</v>
      </c>
    </row>
    <row r="44" spans="1:37" ht="12.75">
      <c r="A44" s="6"/>
      <c r="B44" s="14"/>
      <c r="C44" s="14" t="s">
        <v>22</v>
      </c>
      <c r="D44" s="14" t="s">
        <v>189</v>
      </c>
      <c r="E44" s="6" t="s">
        <v>6</v>
      </c>
      <c r="F44" s="6" t="s">
        <v>6</v>
      </c>
      <c r="G44" s="6" t="s">
        <v>6</v>
      </c>
      <c r="H44" s="43">
        <f>SUM(H45:H53)</f>
        <v>0</v>
      </c>
      <c r="I44" s="43">
        <f>SUM(I45:I53)</f>
        <v>0</v>
      </c>
      <c r="J44" s="43">
        <f>H44+I44</f>
        <v>0</v>
      </c>
      <c r="K44" s="32"/>
      <c r="L44" s="43">
        <f>SUM(L45:L53)</f>
        <v>0</v>
      </c>
      <c r="M44" s="32"/>
      <c r="Y44" s="32"/>
      <c r="AI44" s="43">
        <f>SUM(Z45:Z53)</f>
        <v>0</v>
      </c>
      <c r="AJ44" s="43">
        <f>SUM(AA45:AA53)</f>
        <v>0</v>
      </c>
      <c r="AK44" s="43">
        <f>SUM(AB45:AB53)</f>
        <v>0</v>
      </c>
    </row>
    <row r="45" spans="1:48" ht="12.75">
      <c r="A45" s="5" t="s">
        <v>15</v>
      </c>
      <c r="B45" s="5"/>
      <c r="C45" s="5" t="s">
        <v>88</v>
      </c>
      <c r="D45" s="5" t="s">
        <v>190</v>
      </c>
      <c r="E45" s="5" t="s">
        <v>337</v>
      </c>
      <c r="F45" s="22">
        <v>12.54</v>
      </c>
      <c r="G45" s="22">
        <v>0</v>
      </c>
      <c r="H45" s="22">
        <f>F45*AE45</f>
        <v>0</v>
      </c>
      <c r="I45" s="22">
        <f>J45-H45</f>
        <v>0</v>
      </c>
      <c r="J45" s="22">
        <f>F45*G45</f>
        <v>0</v>
      </c>
      <c r="K45" s="22">
        <v>0</v>
      </c>
      <c r="L45" s="22">
        <f>F45*K45</f>
        <v>0</v>
      </c>
      <c r="M45" s="37" t="s">
        <v>360</v>
      </c>
      <c r="P45" s="40">
        <f>IF(AG45="5",J45,0)</f>
        <v>0</v>
      </c>
      <c r="R45" s="40">
        <f>IF(AG45="1",H45,0)</f>
        <v>0</v>
      </c>
      <c r="S45" s="40">
        <f>IF(AG45="1",I45,0)</f>
        <v>0</v>
      </c>
      <c r="T45" s="40">
        <f>IF(AG45="7",H45,0)</f>
        <v>0</v>
      </c>
      <c r="U45" s="40">
        <f>IF(AG45="7",I45,0)</f>
        <v>0</v>
      </c>
      <c r="V45" s="40">
        <f>IF(AG45="2",H45,0)</f>
        <v>0</v>
      </c>
      <c r="W45" s="40">
        <f>IF(AG45="2",I45,0)</f>
        <v>0</v>
      </c>
      <c r="X45" s="40">
        <f>IF(AG45="0",J45,0)</f>
        <v>0</v>
      </c>
      <c r="Y45" s="32"/>
      <c r="Z45" s="22">
        <f>IF(AD45=0,J45,0)</f>
        <v>0</v>
      </c>
      <c r="AA45" s="22">
        <f>IF(AD45=15,J45,0)</f>
        <v>0</v>
      </c>
      <c r="AB45" s="22">
        <f>IF(AD45=21,J45,0)</f>
        <v>0</v>
      </c>
      <c r="AD45" s="40">
        <v>21</v>
      </c>
      <c r="AE45" s="40">
        <f>G45*0</f>
        <v>0</v>
      </c>
      <c r="AF45" s="40">
        <f>G45*(1-0)</f>
        <v>0</v>
      </c>
      <c r="AG45" s="37" t="s">
        <v>7</v>
      </c>
      <c r="AM45" s="40">
        <f>F45*AE45</f>
        <v>0</v>
      </c>
      <c r="AN45" s="40">
        <f>F45*AF45</f>
        <v>0</v>
      </c>
      <c r="AO45" s="41" t="s">
        <v>375</v>
      </c>
      <c r="AP45" s="41" t="s">
        <v>390</v>
      </c>
      <c r="AQ45" s="32" t="s">
        <v>396</v>
      </c>
      <c r="AS45" s="40">
        <f>AM45+AN45</f>
        <v>0</v>
      </c>
      <c r="AT45" s="40">
        <f>G45/(100-AU45)*100</f>
        <v>0</v>
      </c>
      <c r="AU45" s="40">
        <v>0</v>
      </c>
      <c r="AV45" s="40">
        <f>L45</f>
        <v>0</v>
      </c>
    </row>
    <row r="46" spans="4:6" ht="12.75">
      <c r="D46" s="17" t="s">
        <v>191</v>
      </c>
      <c r="F46" s="23">
        <v>12.54</v>
      </c>
    </row>
    <row r="47" spans="3:13" ht="51" customHeight="1">
      <c r="C47" s="15" t="s">
        <v>80</v>
      </c>
      <c r="D47" s="95" t="s">
        <v>192</v>
      </c>
      <c r="E47" s="96"/>
      <c r="F47" s="96"/>
      <c r="G47" s="96"/>
      <c r="H47" s="96"/>
      <c r="I47" s="96"/>
      <c r="J47" s="96"/>
      <c r="K47" s="96"/>
      <c r="L47" s="96"/>
      <c r="M47" s="96"/>
    </row>
    <row r="48" spans="1:48" ht="12.75">
      <c r="A48" s="5" t="s">
        <v>16</v>
      </c>
      <c r="B48" s="5"/>
      <c r="C48" s="5" t="s">
        <v>89</v>
      </c>
      <c r="D48" s="5" t="s">
        <v>193</v>
      </c>
      <c r="E48" s="5" t="s">
        <v>337</v>
      </c>
      <c r="F48" s="22">
        <v>60.28</v>
      </c>
      <c r="G48" s="22">
        <v>0</v>
      </c>
      <c r="H48" s="22">
        <f>F48*AE48</f>
        <v>0</v>
      </c>
      <c r="I48" s="22">
        <f>J48-H48</f>
        <v>0</v>
      </c>
      <c r="J48" s="22">
        <f>F48*G48</f>
        <v>0</v>
      </c>
      <c r="K48" s="22">
        <v>0</v>
      </c>
      <c r="L48" s="22">
        <f>F48*K48</f>
        <v>0</v>
      </c>
      <c r="M48" s="37" t="s">
        <v>360</v>
      </c>
      <c r="P48" s="40">
        <f>IF(AG48="5",J48,0)</f>
        <v>0</v>
      </c>
      <c r="R48" s="40">
        <f>IF(AG48="1",H48,0)</f>
        <v>0</v>
      </c>
      <c r="S48" s="40">
        <f>IF(AG48="1",I48,0)</f>
        <v>0</v>
      </c>
      <c r="T48" s="40">
        <f>IF(AG48="7",H48,0)</f>
        <v>0</v>
      </c>
      <c r="U48" s="40">
        <f>IF(AG48="7",I48,0)</f>
        <v>0</v>
      </c>
      <c r="V48" s="40">
        <f>IF(AG48="2",H48,0)</f>
        <v>0</v>
      </c>
      <c r="W48" s="40">
        <f>IF(AG48="2",I48,0)</f>
        <v>0</v>
      </c>
      <c r="X48" s="40">
        <f>IF(AG48="0",J48,0)</f>
        <v>0</v>
      </c>
      <c r="Y48" s="32"/>
      <c r="Z48" s="22">
        <f>IF(AD48=0,J48,0)</f>
        <v>0</v>
      </c>
      <c r="AA48" s="22">
        <f>IF(AD48=15,J48,0)</f>
        <v>0</v>
      </c>
      <c r="AB48" s="22">
        <f>IF(AD48=21,J48,0)</f>
        <v>0</v>
      </c>
      <c r="AD48" s="40">
        <v>21</v>
      </c>
      <c r="AE48" s="40">
        <f>G48*0</f>
        <v>0</v>
      </c>
      <c r="AF48" s="40">
        <f>G48*(1-0)</f>
        <v>0</v>
      </c>
      <c r="AG48" s="37" t="s">
        <v>7</v>
      </c>
      <c r="AM48" s="40">
        <f>F48*AE48</f>
        <v>0</v>
      </c>
      <c r="AN48" s="40">
        <f>F48*AF48</f>
        <v>0</v>
      </c>
      <c r="AO48" s="41" t="s">
        <v>375</v>
      </c>
      <c r="AP48" s="41" t="s">
        <v>390</v>
      </c>
      <c r="AQ48" s="32" t="s">
        <v>396</v>
      </c>
      <c r="AS48" s="40">
        <f>AM48+AN48</f>
        <v>0</v>
      </c>
      <c r="AT48" s="40">
        <f>G48/(100-AU48)*100</f>
        <v>0</v>
      </c>
      <c r="AU48" s="40">
        <v>0</v>
      </c>
      <c r="AV48" s="40">
        <f>L48</f>
        <v>0</v>
      </c>
    </row>
    <row r="49" spans="4:6" ht="12.75">
      <c r="D49" s="17" t="s">
        <v>194</v>
      </c>
      <c r="F49" s="23">
        <v>60.28</v>
      </c>
    </row>
    <row r="50" spans="3:13" ht="51" customHeight="1">
      <c r="C50" s="15" t="s">
        <v>80</v>
      </c>
      <c r="D50" s="95" t="s">
        <v>195</v>
      </c>
      <c r="E50" s="96"/>
      <c r="F50" s="96"/>
      <c r="G50" s="96"/>
      <c r="H50" s="96"/>
      <c r="I50" s="96"/>
      <c r="J50" s="96"/>
      <c r="K50" s="96"/>
      <c r="L50" s="96"/>
      <c r="M50" s="96"/>
    </row>
    <row r="51" spans="1:48" ht="12.75">
      <c r="A51" s="5" t="s">
        <v>17</v>
      </c>
      <c r="B51" s="5"/>
      <c r="C51" s="5" t="s">
        <v>90</v>
      </c>
      <c r="D51" s="5" t="s">
        <v>196</v>
      </c>
      <c r="E51" s="5" t="s">
        <v>337</v>
      </c>
      <c r="F51" s="22">
        <v>39.38</v>
      </c>
      <c r="G51" s="22">
        <v>0</v>
      </c>
      <c r="H51" s="22">
        <f>F51*AE51</f>
        <v>0</v>
      </c>
      <c r="I51" s="22">
        <f>J51-H51</f>
        <v>0</v>
      </c>
      <c r="J51" s="22">
        <f>F51*G51</f>
        <v>0</v>
      </c>
      <c r="K51" s="22">
        <v>0</v>
      </c>
      <c r="L51" s="22">
        <f>F51*K51</f>
        <v>0</v>
      </c>
      <c r="M51" s="37" t="s">
        <v>360</v>
      </c>
      <c r="P51" s="40">
        <f>IF(AG51="5",J51,0)</f>
        <v>0</v>
      </c>
      <c r="R51" s="40">
        <f>IF(AG51="1",H51,0)</f>
        <v>0</v>
      </c>
      <c r="S51" s="40">
        <f>IF(AG51="1",I51,0)</f>
        <v>0</v>
      </c>
      <c r="T51" s="40">
        <f>IF(AG51="7",H51,0)</f>
        <v>0</v>
      </c>
      <c r="U51" s="40">
        <f>IF(AG51="7",I51,0)</f>
        <v>0</v>
      </c>
      <c r="V51" s="40">
        <f>IF(AG51="2",H51,0)</f>
        <v>0</v>
      </c>
      <c r="W51" s="40">
        <f>IF(AG51="2",I51,0)</f>
        <v>0</v>
      </c>
      <c r="X51" s="40">
        <f>IF(AG51="0",J51,0)</f>
        <v>0</v>
      </c>
      <c r="Y51" s="32"/>
      <c r="Z51" s="22">
        <f>IF(AD51=0,J51,0)</f>
        <v>0</v>
      </c>
      <c r="AA51" s="22">
        <f>IF(AD51=15,J51,0)</f>
        <v>0</v>
      </c>
      <c r="AB51" s="22">
        <f>IF(AD51=21,J51,0)</f>
        <v>0</v>
      </c>
      <c r="AD51" s="40">
        <v>21</v>
      </c>
      <c r="AE51" s="40">
        <f>G51*0</f>
        <v>0</v>
      </c>
      <c r="AF51" s="40">
        <f>G51*(1-0)</f>
        <v>0</v>
      </c>
      <c r="AG51" s="37" t="s">
        <v>7</v>
      </c>
      <c r="AM51" s="40">
        <f>F51*AE51</f>
        <v>0</v>
      </c>
      <c r="AN51" s="40">
        <f>F51*AF51</f>
        <v>0</v>
      </c>
      <c r="AO51" s="41" t="s">
        <v>375</v>
      </c>
      <c r="AP51" s="41" t="s">
        <v>390</v>
      </c>
      <c r="AQ51" s="32" t="s">
        <v>396</v>
      </c>
      <c r="AS51" s="40">
        <f>AM51+AN51</f>
        <v>0</v>
      </c>
      <c r="AT51" s="40">
        <f>G51/(100-AU51)*100</f>
        <v>0</v>
      </c>
      <c r="AU51" s="40">
        <v>0</v>
      </c>
      <c r="AV51" s="40">
        <f>L51</f>
        <v>0</v>
      </c>
    </row>
    <row r="52" spans="4:6" ht="12.75">
      <c r="D52" s="17" t="s">
        <v>197</v>
      </c>
      <c r="F52" s="23">
        <v>39.38</v>
      </c>
    </row>
    <row r="53" spans="1:48" ht="12.75">
      <c r="A53" s="5" t="s">
        <v>18</v>
      </c>
      <c r="B53" s="5"/>
      <c r="C53" s="5" t="s">
        <v>90</v>
      </c>
      <c r="D53" s="5" t="s">
        <v>198</v>
      </c>
      <c r="E53" s="5" t="s">
        <v>337</v>
      </c>
      <c r="F53" s="22">
        <v>53.4</v>
      </c>
      <c r="G53" s="22">
        <v>0</v>
      </c>
      <c r="H53" s="22">
        <f>F53*AE53</f>
        <v>0</v>
      </c>
      <c r="I53" s="22">
        <f>J53-H53</f>
        <v>0</v>
      </c>
      <c r="J53" s="22">
        <f>F53*G53</f>
        <v>0</v>
      </c>
      <c r="K53" s="22">
        <v>0</v>
      </c>
      <c r="L53" s="22">
        <f>F53*K53</f>
        <v>0</v>
      </c>
      <c r="M53" s="37" t="s">
        <v>360</v>
      </c>
      <c r="P53" s="40">
        <f>IF(AG53="5",J53,0)</f>
        <v>0</v>
      </c>
      <c r="R53" s="40">
        <f>IF(AG53="1",H53,0)</f>
        <v>0</v>
      </c>
      <c r="S53" s="40">
        <f>IF(AG53="1",I53,0)</f>
        <v>0</v>
      </c>
      <c r="T53" s="40">
        <f>IF(AG53="7",H53,0)</f>
        <v>0</v>
      </c>
      <c r="U53" s="40">
        <f>IF(AG53="7",I53,0)</f>
        <v>0</v>
      </c>
      <c r="V53" s="40">
        <f>IF(AG53="2",H53,0)</f>
        <v>0</v>
      </c>
      <c r="W53" s="40">
        <f>IF(AG53="2",I53,0)</f>
        <v>0</v>
      </c>
      <c r="X53" s="40">
        <f>IF(AG53="0",J53,0)</f>
        <v>0</v>
      </c>
      <c r="Y53" s="32"/>
      <c r="Z53" s="22">
        <f>IF(AD53=0,J53,0)</f>
        <v>0</v>
      </c>
      <c r="AA53" s="22">
        <f>IF(AD53=15,J53,0)</f>
        <v>0</v>
      </c>
      <c r="AB53" s="22">
        <f>IF(AD53=21,J53,0)</f>
        <v>0</v>
      </c>
      <c r="AD53" s="40">
        <v>21</v>
      </c>
      <c r="AE53" s="40">
        <f>G53*0</f>
        <v>0</v>
      </c>
      <c r="AF53" s="40">
        <f>G53*(1-0)</f>
        <v>0</v>
      </c>
      <c r="AG53" s="37" t="s">
        <v>7</v>
      </c>
      <c r="AM53" s="40">
        <f>F53*AE53</f>
        <v>0</v>
      </c>
      <c r="AN53" s="40">
        <f>F53*AF53</f>
        <v>0</v>
      </c>
      <c r="AO53" s="41" t="s">
        <v>375</v>
      </c>
      <c r="AP53" s="41" t="s">
        <v>390</v>
      </c>
      <c r="AQ53" s="32" t="s">
        <v>396</v>
      </c>
      <c r="AS53" s="40">
        <f>AM53+AN53</f>
        <v>0</v>
      </c>
      <c r="AT53" s="40">
        <f>G53/(100-AU53)*100</f>
        <v>0</v>
      </c>
      <c r="AU53" s="40">
        <v>0</v>
      </c>
      <c r="AV53" s="40">
        <f>L53</f>
        <v>0</v>
      </c>
    </row>
    <row r="54" spans="4:6" ht="12.75">
      <c r="D54" s="17" t="s">
        <v>199</v>
      </c>
      <c r="F54" s="23">
        <v>53.4</v>
      </c>
    </row>
    <row r="55" spans="1:37" ht="12.75">
      <c r="A55" s="6"/>
      <c r="B55" s="14"/>
      <c r="C55" s="14" t="s">
        <v>23</v>
      </c>
      <c r="D55" s="14" t="s">
        <v>200</v>
      </c>
      <c r="E55" s="6" t="s">
        <v>6</v>
      </c>
      <c r="F55" s="6" t="s">
        <v>6</v>
      </c>
      <c r="G55" s="6" t="s">
        <v>6</v>
      </c>
      <c r="H55" s="43">
        <f>SUM(H56:H72)</f>
        <v>0</v>
      </c>
      <c r="I55" s="43">
        <f>SUM(I56:I72)</f>
        <v>0</v>
      </c>
      <c r="J55" s="43">
        <f>H55+I55</f>
        <v>0</v>
      </c>
      <c r="K55" s="32"/>
      <c r="L55" s="43">
        <f>SUM(L56:L72)</f>
        <v>22.439999999999998</v>
      </c>
      <c r="M55" s="32"/>
      <c r="Y55" s="32"/>
      <c r="AI55" s="43">
        <f>SUM(Z56:Z72)</f>
        <v>0</v>
      </c>
      <c r="AJ55" s="43">
        <f>SUM(AA56:AA72)</f>
        <v>0</v>
      </c>
      <c r="AK55" s="43">
        <f>SUM(AB56:AB72)</f>
        <v>0</v>
      </c>
    </row>
    <row r="56" spans="1:48" ht="12.75">
      <c r="A56" s="5" t="s">
        <v>19</v>
      </c>
      <c r="B56" s="5"/>
      <c r="C56" s="5" t="s">
        <v>91</v>
      </c>
      <c r="D56" s="5" t="s">
        <v>201</v>
      </c>
      <c r="E56" s="5" t="s">
        <v>337</v>
      </c>
      <c r="F56" s="22">
        <v>53.4</v>
      </c>
      <c r="G56" s="22">
        <v>0</v>
      </c>
      <c r="H56" s="22">
        <f>F56*AE56</f>
        <v>0</v>
      </c>
      <c r="I56" s="22">
        <f>J56-H56</f>
        <v>0</v>
      </c>
      <c r="J56" s="22">
        <f>F56*G56</f>
        <v>0</v>
      </c>
      <c r="K56" s="22">
        <v>0</v>
      </c>
      <c r="L56" s="22">
        <f>F56*K56</f>
        <v>0</v>
      </c>
      <c r="M56" s="37" t="s">
        <v>360</v>
      </c>
      <c r="P56" s="40">
        <f>IF(AG56="5",J56,0)</f>
        <v>0</v>
      </c>
      <c r="R56" s="40">
        <f>IF(AG56="1",H56,0)</f>
        <v>0</v>
      </c>
      <c r="S56" s="40">
        <f>IF(AG56="1",I56,0)</f>
        <v>0</v>
      </c>
      <c r="T56" s="40">
        <f>IF(AG56="7",H56,0)</f>
        <v>0</v>
      </c>
      <c r="U56" s="40">
        <f>IF(AG56="7",I56,0)</f>
        <v>0</v>
      </c>
      <c r="V56" s="40">
        <f>IF(AG56="2",H56,0)</f>
        <v>0</v>
      </c>
      <c r="W56" s="40">
        <f>IF(AG56="2",I56,0)</f>
        <v>0</v>
      </c>
      <c r="X56" s="40">
        <f>IF(AG56="0",J56,0)</f>
        <v>0</v>
      </c>
      <c r="Y56" s="32"/>
      <c r="Z56" s="22">
        <f>IF(AD56=0,J56,0)</f>
        <v>0</v>
      </c>
      <c r="AA56" s="22">
        <f>IF(AD56=15,J56,0)</f>
        <v>0</v>
      </c>
      <c r="AB56" s="22">
        <f>IF(AD56=21,J56,0)</f>
        <v>0</v>
      </c>
      <c r="AD56" s="40">
        <v>21</v>
      </c>
      <c r="AE56" s="40">
        <f>G56*0</f>
        <v>0</v>
      </c>
      <c r="AF56" s="40">
        <f>G56*(1-0)</f>
        <v>0</v>
      </c>
      <c r="AG56" s="37" t="s">
        <v>7</v>
      </c>
      <c r="AM56" s="40">
        <f>F56*AE56</f>
        <v>0</v>
      </c>
      <c r="AN56" s="40">
        <f>F56*AF56</f>
        <v>0</v>
      </c>
      <c r="AO56" s="41" t="s">
        <v>376</v>
      </c>
      <c r="AP56" s="41" t="s">
        <v>390</v>
      </c>
      <c r="AQ56" s="32" t="s">
        <v>396</v>
      </c>
      <c r="AS56" s="40">
        <f>AM56+AN56</f>
        <v>0</v>
      </c>
      <c r="AT56" s="40">
        <f>G56/(100-AU56)*100</f>
        <v>0</v>
      </c>
      <c r="AU56" s="40">
        <v>0</v>
      </c>
      <c r="AV56" s="40">
        <f>L56</f>
        <v>0</v>
      </c>
    </row>
    <row r="57" spans="4:6" ht="12.75">
      <c r="D57" s="17" t="s">
        <v>202</v>
      </c>
      <c r="F57" s="23">
        <v>53.4</v>
      </c>
    </row>
    <row r="58" spans="3:13" ht="12.75">
      <c r="C58" s="15" t="s">
        <v>80</v>
      </c>
      <c r="D58" s="95" t="s">
        <v>203</v>
      </c>
      <c r="E58" s="96"/>
      <c r="F58" s="96"/>
      <c r="G58" s="96"/>
      <c r="H58" s="96"/>
      <c r="I58" s="96"/>
      <c r="J58" s="96"/>
      <c r="K58" s="96"/>
      <c r="L58" s="96"/>
      <c r="M58" s="96"/>
    </row>
    <row r="59" spans="1:48" ht="12.75">
      <c r="A59" s="5" t="s">
        <v>20</v>
      </c>
      <c r="B59" s="5"/>
      <c r="C59" s="5" t="s">
        <v>92</v>
      </c>
      <c r="D59" s="5" t="s">
        <v>204</v>
      </c>
      <c r="E59" s="5" t="s">
        <v>337</v>
      </c>
      <c r="F59" s="22">
        <v>2.4</v>
      </c>
      <c r="G59" s="22">
        <v>0</v>
      </c>
      <c r="H59" s="22">
        <f>F59*AE59</f>
        <v>0</v>
      </c>
      <c r="I59" s="22">
        <f>J59-H59</f>
        <v>0</v>
      </c>
      <c r="J59" s="22">
        <f>F59*G59</f>
        <v>0</v>
      </c>
      <c r="K59" s="22">
        <v>0</v>
      </c>
      <c r="L59" s="22">
        <f>F59*K59</f>
        <v>0</v>
      </c>
      <c r="M59" s="37" t="s">
        <v>360</v>
      </c>
      <c r="P59" s="40">
        <f>IF(AG59="5",J59,0)</f>
        <v>0</v>
      </c>
      <c r="R59" s="40">
        <f>IF(AG59="1",H59,0)</f>
        <v>0</v>
      </c>
      <c r="S59" s="40">
        <f>IF(AG59="1",I59,0)</f>
        <v>0</v>
      </c>
      <c r="T59" s="40">
        <f>IF(AG59="7",H59,0)</f>
        <v>0</v>
      </c>
      <c r="U59" s="40">
        <f>IF(AG59="7",I59,0)</f>
        <v>0</v>
      </c>
      <c r="V59" s="40">
        <f>IF(AG59="2",H59,0)</f>
        <v>0</v>
      </c>
      <c r="W59" s="40">
        <f>IF(AG59="2",I59,0)</f>
        <v>0</v>
      </c>
      <c r="X59" s="40">
        <f>IF(AG59="0",J59,0)</f>
        <v>0</v>
      </c>
      <c r="Y59" s="32"/>
      <c r="Z59" s="22">
        <f>IF(AD59=0,J59,0)</f>
        <v>0</v>
      </c>
      <c r="AA59" s="22">
        <f>IF(AD59=15,J59,0)</f>
        <v>0</v>
      </c>
      <c r="AB59" s="22">
        <f>IF(AD59=21,J59,0)</f>
        <v>0</v>
      </c>
      <c r="AD59" s="40">
        <v>21</v>
      </c>
      <c r="AE59" s="40">
        <f>G59*0</f>
        <v>0</v>
      </c>
      <c r="AF59" s="40">
        <f>G59*(1-0)</f>
        <v>0</v>
      </c>
      <c r="AG59" s="37" t="s">
        <v>7</v>
      </c>
      <c r="AM59" s="40">
        <f>F59*AE59</f>
        <v>0</v>
      </c>
      <c r="AN59" s="40">
        <f>F59*AF59</f>
        <v>0</v>
      </c>
      <c r="AO59" s="41" t="s">
        <v>376</v>
      </c>
      <c r="AP59" s="41" t="s">
        <v>390</v>
      </c>
      <c r="AQ59" s="32" t="s">
        <v>396</v>
      </c>
      <c r="AS59" s="40">
        <f>AM59+AN59</f>
        <v>0</v>
      </c>
      <c r="AT59" s="40">
        <f>G59/(100-AU59)*100</f>
        <v>0</v>
      </c>
      <c r="AU59" s="40">
        <v>0</v>
      </c>
      <c r="AV59" s="40">
        <f>L59</f>
        <v>0</v>
      </c>
    </row>
    <row r="60" spans="4:6" ht="12.75">
      <c r="D60" s="17" t="s">
        <v>205</v>
      </c>
      <c r="F60" s="23">
        <v>2.4</v>
      </c>
    </row>
    <row r="61" spans="1:48" ht="12.75">
      <c r="A61" s="5" t="s">
        <v>21</v>
      </c>
      <c r="B61" s="5"/>
      <c r="C61" s="5" t="s">
        <v>93</v>
      </c>
      <c r="D61" s="5" t="s">
        <v>206</v>
      </c>
      <c r="E61" s="5" t="s">
        <v>337</v>
      </c>
      <c r="F61" s="22">
        <v>39.38</v>
      </c>
      <c r="G61" s="22">
        <v>0</v>
      </c>
      <c r="H61" s="22">
        <f>F61*AE61</f>
        <v>0</v>
      </c>
      <c r="I61" s="22">
        <f>J61-H61</f>
        <v>0</v>
      </c>
      <c r="J61" s="22">
        <f>F61*G61</f>
        <v>0</v>
      </c>
      <c r="K61" s="22">
        <v>0</v>
      </c>
      <c r="L61" s="22">
        <f>F61*K61</f>
        <v>0</v>
      </c>
      <c r="M61" s="37" t="s">
        <v>360</v>
      </c>
      <c r="P61" s="40">
        <f>IF(AG61="5",J61,0)</f>
        <v>0</v>
      </c>
      <c r="R61" s="40">
        <f>IF(AG61="1",H61,0)</f>
        <v>0</v>
      </c>
      <c r="S61" s="40">
        <f>IF(AG61="1",I61,0)</f>
        <v>0</v>
      </c>
      <c r="T61" s="40">
        <f>IF(AG61="7",H61,0)</f>
        <v>0</v>
      </c>
      <c r="U61" s="40">
        <f>IF(AG61="7",I61,0)</f>
        <v>0</v>
      </c>
      <c r="V61" s="40">
        <f>IF(AG61="2",H61,0)</f>
        <v>0</v>
      </c>
      <c r="W61" s="40">
        <f>IF(AG61="2",I61,0)</f>
        <v>0</v>
      </c>
      <c r="X61" s="40">
        <f>IF(AG61="0",J61,0)</f>
        <v>0</v>
      </c>
      <c r="Y61" s="32"/>
      <c r="Z61" s="22">
        <f>IF(AD61=0,J61,0)</f>
        <v>0</v>
      </c>
      <c r="AA61" s="22">
        <f>IF(AD61=15,J61,0)</f>
        <v>0</v>
      </c>
      <c r="AB61" s="22">
        <f>IF(AD61=21,J61,0)</f>
        <v>0</v>
      </c>
      <c r="AD61" s="40">
        <v>21</v>
      </c>
      <c r="AE61" s="40">
        <f>G61*0</f>
        <v>0</v>
      </c>
      <c r="AF61" s="40">
        <f>G61*(1-0)</f>
        <v>0</v>
      </c>
      <c r="AG61" s="37" t="s">
        <v>7</v>
      </c>
      <c r="AM61" s="40">
        <f>F61*AE61</f>
        <v>0</v>
      </c>
      <c r="AN61" s="40">
        <f>F61*AF61</f>
        <v>0</v>
      </c>
      <c r="AO61" s="41" t="s">
        <v>376</v>
      </c>
      <c r="AP61" s="41" t="s">
        <v>390</v>
      </c>
      <c r="AQ61" s="32" t="s">
        <v>396</v>
      </c>
      <c r="AS61" s="40">
        <f>AM61+AN61</f>
        <v>0</v>
      </c>
      <c r="AT61" s="40">
        <f>G61/(100-AU61)*100</f>
        <v>0</v>
      </c>
      <c r="AU61" s="40">
        <v>0</v>
      </c>
      <c r="AV61" s="40">
        <f>L61</f>
        <v>0</v>
      </c>
    </row>
    <row r="62" ht="12.75">
      <c r="D62" s="18" t="s">
        <v>207</v>
      </c>
    </row>
    <row r="63" spans="4:6" ht="12.75">
      <c r="D63" s="17" t="s">
        <v>208</v>
      </c>
      <c r="F63" s="23">
        <v>39.38</v>
      </c>
    </row>
    <row r="64" spans="3:13" ht="12.75">
      <c r="C64" s="15" t="s">
        <v>80</v>
      </c>
      <c r="D64" s="95" t="s">
        <v>209</v>
      </c>
      <c r="E64" s="96"/>
      <c r="F64" s="96"/>
      <c r="G64" s="96"/>
      <c r="H64" s="96"/>
      <c r="I64" s="96"/>
      <c r="J64" s="96"/>
      <c r="K64" s="96"/>
      <c r="L64" s="96"/>
      <c r="M64" s="96"/>
    </row>
    <row r="65" spans="1:48" ht="12.75">
      <c r="A65" s="5" t="s">
        <v>22</v>
      </c>
      <c r="B65" s="5"/>
      <c r="C65" s="5" t="s">
        <v>93</v>
      </c>
      <c r="D65" s="5" t="s">
        <v>206</v>
      </c>
      <c r="E65" s="5" t="s">
        <v>337</v>
      </c>
      <c r="F65" s="22">
        <v>17.16</v>
      </c>
      <c r="G65" s="22">
        <v>0</v>
      </c>
      <c r="H65" s="22">
        <f>F65*AE65</f>
        <v>0</v>
      </c>
      <c r="I65" s="22">
        <f>J65-H65</f>
        <v>0</v>
      </c>
      <c r="J65" s="22">
        <f>F65*G65</f>
        <v>0</v>
      </c>
      <c r="K65" s="22">
        <v>0</v>
      </c>
      <c r="L65" s="22">
        <f>F65*K65</f>
        <v>0</v>
      </c>
      <c r="M65" s="37" t="s">
        <v>360</v>
      </c>
      <c r="P65" s="40">
        <f>IF(AG65="5",J65,0)</f>
        <v>0</v>
      </c>
      <c r="R65" s="40">
        <f>IF(AG65="1",H65,0)</f>
        <v>0</v>
      </c>
      <c r="S65" s="40">
        <f>IF(AG65="1",I65,0)</f>
        <v>0</v>
      </c>
      <c r="T65" s="40">
        <f>IF(AG65="7",H65,0)</f>
        <v>0</v>
      </c>
      <c r="U65" s="40">
        <f>IF(AG65="7",I65,0)</f>
        <v>0</v>
      </c>
      <c r="V65" s="40">
        <f>IF(AG65="2",H65,0)</f>
        <v>0</v>
      </c>
      <c r="W65" s="40">
        <f>IF(AG65="2",I65,0)</f>
        <v>0</v>
      </c>
      <c r="X65" s="40">
        <f>IF(AG65="0",J65,0)</f>
        <v>0</v>
      </c>
      <c r="Y65" s="32"/>
      <c r="Z65" s="22">
        <f>IF(AD65=0,J65,0)</f>
        <v>0</v>
      </c>
      <c r="AA65" s="22">
        <f>IF(AD65=15,J65,0)</f>
        <v>0</v>
      </c>
      <c r="AB65" s="22">
        <f>IF(AD65=21,J65,0)</f>
        <v>0</v>
      </c>
      <c r="AD65" s="40">
        <v>21</v>
      </c>
      <c r="AE65" s="40">
        <f>G65*0</f>
        <v>0</v>
      </c>
      <c r="AF65" s="40">
        <f>G65*(1-0)</f>
        <v>0</v>
      </c>
      <c r="AG65" s="37" t="s">
        <v>7</v>
      </c>
      <c r="AM65" s="40">
        <f>F65*AE65</f>
        <v>0</v>
      </c>
      <c r="AN65" s="40">
        <f>F65*AF65</f>
        <v>0</v>
      </c>
      <c r="AO65" s="41" t="s">
        <v>376</v>
      </c>
      <c r="AP65" s="41" t="s">
        <v>390</v>
      </c>
      <c r="AQ65" s="32" t="s">
        <v>396</v>
      </c>
      <c r="AS65" s="40">
        <f>AM65+AN65</f>
        <v>0</v>
      </c>
      <c r="AT65" s="40">
        <f>G65/(100-AU65)*100</f>
        <v>0</v>
      </c>
      <c r="AU65" s="40">
        <v>0</v>
      </c>
      <c r="AV65" s="40">
        <f>L65</f>
        <v>0</v>
      </c>
    </row>
    <row r="66" spans="4:6" ht="12.75">
      <c r="D66" s="17" t="s">
        <v>210</v>
      </c>
      <c r="F66" s="23">
        <v>17.16</v>
      </c>
    </row>
    <row r="67" spans="3:13" ht="12.75">
      <c r="C67" s="15" t="s">
        <v>80</v>
      </c>
      <c r="D67" s="95" t="s">
        <v>209</v>
      </c>
      <c r="E67" s="96"/>
      <c r="F67" s="96"/>
      <c r="G67" s="96"/>
      <c r="H67" s="96"/>
      <c r="I67" s="96"/>
      <c r="J67" s="96"/>
      <c r="K67" s="96"/>
      <c r="L67" s="96"/>
      <c r="M67" s="96"/>
    </row>
    <row r="68" spans="1:48" ht="12.75">
      <c r="A68" s="5" t="s">
        <v>23</v>
      </c>
      <c r="B68" s="5"/>
      <c r="C68" s="5" t="s">
        <v>94</v>
      </c>
      <c r="D68" s="5" t="s">
        <v>211</v>
      </c>
      <c r="E68" s="5" t="s">
        <v>337</v>
      </c>
      <c r="F68" s="22">
        <v>13.2</v>
      </c>
      <c r="G68" s="22">
        <v>0</v>
      </c>
      <c r="H68" s="22">
        <f>F68*AE68</f>
        <v>0</v>
      </c>
      <c r="I68" s="22">
        <f>J68-H68</f>
        <v>0</v>
      </c>
      <c r="J68" s="22">
        <f>F68*G68</f>
        <v>0</v>
      </c>
      <c r="K68" s="22">
        <v>1.7</v>
      </c>
      <c r="L68" s="22">
        <f>F68*K68</f>
        <v>22.439999999999998</v>
      </c>
      <c r="M68" s="37" t="s">
        <v>360</v>
      </c>
      <c r="P68" s="40">
        <f>IF(AG68="5",J68,0)</f>
        <v>0</v>
      </c>
      <c r="R68" s="40">
        <f>IF(AG68="1",H68,0)</f>
        <v>0</v>
      </c>
      <c r="S68" s="40">
        <f>IF(AG68="1",I68,0)</f>
        <v>0</v>
      </c>
      <c r="T68" s="40">
        <f>IF(AG68="7",H68,0)</f>
        <v>0</v>
      </c>
      <c r="U68" s="40">
        <f>IF(AG68="7",I68,0)</f>
        <v>0</v>
      </c>
      <c r="V68" s="40">
        <f>IF(AG68="2",H68,0)</f>
        <v>0</v>
      </c>
      <c r="W68" s="40">
        <f>IF(AG68="2",I68,0)</f>
        <v>0</v>
      </c>
      <c r="X68" s="40">
        <f>IF(AG68="0",J68,0)</f>
        <v>0</v>
      </c>
      <c r="Y68" s="32"/>
      <c r="Z68" s="22">
        <f>IF(AD68=0,J68,0)</f>
        <v>0</v>
      </c>
      <c r="AA68" s="22">
        <f>IF(AD68=15,J68,0)</f>
        <v>0</v>
      </c>
      <c r="AB68" s="22">
        <f>IF(AD68=21,J68,0)</f>
        <v>0</v>
      </c>
      <c r="AD68" s="40">
        <v>21</v>
      </c>
      <c r="AE68" s="40">
        <f>G68*0.518288381742739</f>
        <v>0</v>
      </c>
      <c r="AF68" s="40">
        <f>G68*(1-0.518288381742739)</f>
        <v>0</v>
      </c>
      <c r="AG68" s="37" t="s">
        <v>7</v>
      </c>
      <c r="AM68" s="40">
        <f>F68*AE68</f>
        <v>0</v>
      </c>
      <c r="AN68" s="40">
        <f>F68*AF68</f>
        <v>0</v>
      </c>
      <c r="AO68" s="41" t="s">
        <v>376</v>
      </c>
      <c r="AP68" s="41" t="s">
        <v>390</v>
      </c>
      <c r="AQ68" s="32" t="s">
        <v>396</v>
      </c>
      <c r="AS68" s="40">
        <f>AM68+AN68</f>
        <v>0</v>
      </c>
      <c r="AT68" s="40">
        <f>G68/(100-AU68)*100</f>
        <v>0</v>
      </c>
      <c r="AU68" s="40">
        <v>0</v>
      </c>
      <c r="AV68" s="40">
        <f>L68</f>
        <v>22.439999999999998</v>
      </c>
    </row>
    <row r="69" ht="12.75">
      <c r="D69" s="18" t="s">
        <v>212</v>
      </c>
    </row>
    <row r="70" spans="4:6" ht="12.75">
      <c r="D70" s="17" t="s">
        <v>213</v>
      </c>
      <c r="F70" s="23">
        <v>13.2</v>
      </c>
    </row>
    <row r="71" spans="3:13" ht="12.75">
      <c r="C71" s="15" t="s">
        <v>80</v>
      </c>
      <c r="D71" s="95" t="s">
        <v>214</v>
      </c>
      <c r="E71" s="96"/>
      <c r="F71" s="96"/>
      <c r="G71" s="96"/>
      <c r="H71" s="96"/>
      <c r="I71" s="96"/>
      <c r="J71" s="96"/>
      <c r="K71" s="96"/>
      <c r="L71" s="96"/>
      <c r="M71" s="96"/>
    </row>
    <row r="72" spans="1:48" ht="12.75">
      <c r="A72" s="5" t="s">
        <v>24</v>
      </c>
      <c r="B72" s="5"/>
      <c r="C72" s="5" t="s">
        <v>95</v>
      </c>
      <c r="D72" s="5" t="s">
        <v>215</v>
      </c>
      <c r="E72" s="5" t="s">
        <v>337</v>
      </c>
      <c r="F72" s="22">
        <v>17.16</v>
      </c>
      <c r="G72" s="22">
        <v>0</v>
      </c>
      <c r="H72" s="22">
        <f>F72*AE72</f>
        <v>0</v>
      </c>
      <c r="I72" s="22">
        <f>J72-H72</f>
        <v>0</v>
      </c>
      <c r="J72" s="22">
        <f>F72*G72</f>
        <v>0</v>
      </c>
      <c r="K72" s="22">
        <v>0</v>
      </c>
      <c r="L72" s="22">
        <f>F72*K72</f>
        <v>0</v>
      </c>
      <c r="M72" s="37" t="s">
        <v>360</v>
      </c>
      <c r="P72" s="40">
        <f>IF(AG72="5",J72,0)</f>
        <v>0</v>
      </c>
      <c r="R72" s="40">
        <f>IF(AG72="1",H72,0)</f>
        <v>0</v>
      </c>
      <c r="S72" s="40">
        <f>IF(AG72="1",I72,0)</f>
        <v>0</v>
      </c>
      <c r="T72" s="40">
        <f>IF(AG72="7",H72,0)</f>
        <v>0</v>
      </c>
      <c r="U72" s="40">
        <f>IF(AG72="7",I72,0)</f>
        <v>0</v>
      </c>
      <c r="V72" s="40">
        <f>IF(AG72="2",H72,0)</f>
        <v>0</v>
      </c>
      <c r="W72" s="40">
        <f>IF(AG72="2",I72,0)</f>
        <v>0</v>
      </c>
      <c r="X72" s="40">
        <f>IF(AG72="0",J72,0)</f>
        <v>0</v>
      </c>
      <c r="Y72" s="32"/>
      <c r="Z72" s="22">
        <f>IF(AD72=0,J72,0)</f>
        <v>0</v>
      </c>
      <c r="AA72" s="22">
        <f>IF(AD72=15,J72,0)</f>
        <v>0</v>
      </c>
      <c r="AB72" s="22">
        <f>IF(AD72=21,J72,0)</f>
        <v>0</v>
      </c>
      <c r="AD72" s="40">
        <v>21</v>
      </c>
      <c r="AE72" s="40">
        <f>G72*0</f>
        <v>0</v>
      </c>
      <c r="AF72" s="40">
        <f>G72*(1-0)</f>
        <v>0</v>
      </c>
      <c r="AG72" s="37" t="s">
        <v>7</v>
      </c>
      <c r="AM72" s="40">
        <f>F72*AE72</f>
        <v>0</v>
      </c>
      <c r="AN72" s="40">
        <f>F72*AF72</f>
        <v>0</v>
      </c>
      <c r="AO72" s="41" t="s">
        <v>376</v>
      </c>
      <c r="AP72" s="41" t="s">
        <v>390</v>
      </c>
      <c r="AQ72" s="32" t="s">
        <v>396</v>
      </c>
      <c r="AS72" s="40">
        <f>AM72+AN72</f>
        <v>0</v>
      </c>
      <c r="AT72" s="40">
        <f>G72/(100-AU72)*100</f>
        <v>0</v>
      </c>
      <c r="AU72" s="40">
        <v>0</v>
      </c>
      <c r="AV72" s="40">
        <f>L72</f>
        <v>0</v>
      </c>
    </row>
    <row r="73" spans="4:6" ht="12.75">
      <c r="D73" s="17" t="s">
        <v>216</v>
      </c>
      <c r="F73" s="23">
        <v>17.16</v>
      </c>
    </row>
    <row r="74" spans="1:37" ht="12.75">
      <c r="A74" s="6"/>
      <c r="B74" s="14"/>
      <c r="C74" s="14" t="s">
        <v>24</v>
      </c>
      <c r="D74" s="14" t="s">
        <v>217</v>
      </c>
      <c r="E74" s="6" t="s">
        <v>6</v>
      </c>
      <c r="F74" s="6" t="s">
        <v>6</v>
      </c>
      <c r="G74" s="6" t="s">
        <v>6</v>
      </c>
      <c r="H74" s="43">
        <f>SUM(H75:H75)</f>
        <v>0</v>
      </c>
      <c r="I74" s="43">
        <f>SUM(I75:I75)</f>
        <v>0</v>
      </c>
      <c r="J74" s="43">
        <f>H74+I74</f>
        <v>0</v>
      </c>
      <c r="K74" s="32"/>
      <c r="L74" s="43">
        <f>SUM(L75:L75)</f>
        <v>0</v>
      </c>
      <c r="M74" s="32"/>
      <c r="Y74" s="32"/>
      <c r="AI74" s="43">
        <f>SUM(Z75:Z75)</f>
        <v>0</v>
      </c>
      <c r="AJ74" s="43">
        <f>SUM(AA75:AA75)</f>
        <v>0</v>
      </c>
      <c r="AK74" s="43">
        <f>SUM(AB75:AB75)</f>
        <v>0</v>
      </c>
    </row>
    <row r="75" spans="1:48" ht="12.75">
      <c r="A75" s="5" t="s">
        <v>25</v>
      </c>
      <c r="B75" s="5"/>
      <c r="C75" s="5" t="s">
        <v>96</v>
      </c>
      <c r="D75" s="5" t="s">
        <v>218</v>
      </c>
      <c r="E75" s="5" t="s">
        <v>338</v>
      </c>
      <c r="F75" s="22">
        <v>36</v>
      </c>
      <c r="G75" s="22">
        <v>0</v>
      </c>
      <c r="H75" s="22">
        <f>F75*AE75</f>
        <v>0</v>
      </c>
      <c r="I75" s="22">
        <f>J75-H75</f>
        <v>0</v>
      </c>
      <c r="J75" s="22">
        <f>F75*G75</f>
        <v>0</v>
      </c>
      <c r="K75" s="22">
        <v>0</v>
      </c>
      <c r="L75" s="22">
        <f>F75*K75</f>
        <v>0</v>
      </c>
      <c r="M75" s="37" t="s">
        <v>360</v>
      </c>
      <c r="P75" s="40">
        <f>IF(AG75="5",J75,0)</f>
        <v>0</v>
      </c>
      <c r="R75" s="40">
        <f>IF(AG75="1",H75,0)</f>
        <v>0</v>
      </c>
      <c r="S75" s="40">
        <f>IF(AG75="1",I75,0)</f>
        <v>0</v>
      </c>
      <c r="T75" s="40">
        <f>IF(AG75="7",H75,0)</f>
        <v>0</v>
      </c>
      <c r="U75" s="40">
        <f>IF(AG75="7",I75,0)</f>
        <v>0</v>
      </c>
      <c r="V75" s="40">
        <f>IF(AG75="2",H75,0)</f>
        <v>0</v>
      </c>
      <c r="W75" s="40">
        <f>IF(AG75="2",I75,0)</f>
        <v>0</v>
      </c>
      <c r="X75" s="40">
        <f>IF(AG75="0",J75,0)</f>
        <v>0</v>
      </c>
      <c r="Y75" s="32"/>
      <c r="Z75" s="22">
        <f>IF(AD75=0,J75,0)</f>
        <v>0</v>
      </c>
      <c r="AA75" s="22">
        <f>IF(AD75=15,J75,0)</f>
        <v>0</v>
      </c>
      <c r="AB75" s="22">
        <f>IF(AD75=21,J75,0)</f>
        <v>0</v>
      </c>
      <c r="AD75" s="40">
        <v>21</v>
      </c>
      <c r="AE75" s="40">
        <f>G75*0</f>
        <v>0</v>
      </c>
      <c r="AF75" s="40">
        <f>G75*(1-0)</f>
        <v>0</v>
      </c>
      <c r="AG75" s="37" t="s">
        <v>7</v>
      </c>
      <c r="AM75" s="40">
        <f>F75*AE75</f>
        <v>0</v>
      </c>
      <c r="AN75" s="40">
        <f>F75*AF75</f>
        <v>0</v>
      </c>
      <c r="AO75" s="41" t="s">
        <v>377</v>
      </c>
      <c r="AP75" s="41" t="s">
        <v>390</v>
      </c>
      <c r="AQ75" s="32" t="s">
        <v>396</v>
      </c>
      <c r="AS75" s="40">
        <f>AM75+AN75</f>
        <v>0</v>
      </c>
      <c r="AT75" s="40">
        <f>G75/(100-AU75)*100</f>
        <v>0</v>
      </c>
      <c r="AU75" s="40">
        <v>0</v>
      </c>
      <c r="AV75" s="40">
        <f>L75</f>
        <v>0</v>
      </c>
    </row>
    <row r="76" spans="4:6" ht="12.75">
      <c r="D76" s="17" t="s">
        <v>219</v>
      </c>
      <c r="F76" s="23">
        <v>36</v>
      </c>
    </row>
    <row r="77" spans="1:37" ht="12.75">
      <c r="A77" s="6"/>
      <c r="B77" s="14"/>
      <c r="C77" s="14" t="s">
        <v>25</v>
      </c>
      <c r="D77" s="14" t="s">
        <v>220</v>
      </c>
      <c r="E77" s="6" t="s">
        <v>6</v>
      </c>
      <c r="F77" s="6" t="s">
        <v>6</v>
      </c>
      <c r="G77" s="6" t="s">
        <v>6</v>
      </c>
      <c r="H77" s="43">
        <f>SUM(H78:H78)</f>
        <v>0</v>
      </c>
      <c r="I77" s="43">
        <f>SUM(I78:I78)</f>
        <v>0</v>
      </c>
      <c r="J77" s="43">
        <f>H77+I77</f>
        <v>0</v>
      </c>
      <c r="K77" s="32"/>
      <c r="L77" s="43">
        <f>SUM(L78:L78)</f>
        <v>0</v>
      </c>
      <c r="M77" s="32"/>
      <c r="Y77" s="32"/>
      <c r="AI77" s="43">
        <f>SUM(Z78:Z78)</f>
        <v>0</v>
      </c>
      <c r="AJ77" s="43">
        <f>SUM(AA78:AA78)</f>
        <v>0</v>
      </c>
      <c r="AK77" s="43">
        <f>SUM(AB78:AB78)</f>
        <v>0</v>
      </c>
    </row>
    <row r="78" spans="1:48" ht="12.75">
      <c r="A78" s="5" t="s">
        <v>26</v>
      </c>
      <c r="B78" s="5"/>
      <c r="C78" s="5" t="s">
        <v>97</v>
      </c>
      <c r="D78" s="5" t="s">
        <v>221</v>
      </c>
      <c r="E78" s="5" t="s">
        <v>337</v>
      </c>
      <c r="F78" s="22">
        <v>53.4</v>
      </c>
      <c r="G78" s="22">
        <v>0</v>
      </c>
      <c r="H78" s="22">
        <f>F78*AE78</f>
        <v>0</v>
      </c>
      <c r="I78" s="22">
        <f>J78-H78</f>
        <v>0</v>
      </c>
      <c r="J78" s="22">
        <f>F78*G78</f>
        <v>0</v>
      </c>
      <c r="K78" s="22">
        <v>0</v>
      </c>
      <c r="L78" s="22">
        <f>F78*K78</f>
        <v>0</v>
      </c>
      <c r="M78" s="37" t="s">
        <v>360</v>
      </c>
      <c r="P78" s="40">
        <f>IF(AG78="5",J78,0)</f>
        <v>0</v>
      </c>
      <c r="R78" s="40">
        <f>IF(AG78="1",H78,0)</f>
        <v>0</v>
      </c>
      <c r="S78" s="40">
        <f>IF(AG78="1",I78,0)</f>
        <v>0</v>
      </c>
      <c r="T78" s="40">
        <f>IF(AG78="7",H78,0)</f>
        <v>0</v>
      </c>
      <c r="U78" s="40">
        <f>IF(AG78="7",I78,0)</f>
        <v>0</v>
      </c>
      <c r="V78" s="40">
        <f>IF(AG78="2",H78,0)</f>
        <v>0</v>
      </c>
      <c r="W78" s="40">
        <f>IF(AG78="2",I78,0)</f>
        <v>0</v>
      </c>
      <c r="X78" s="40">
        <f>IF(AG78="0",J78,0)</f>
        <v>0</v>
      </c>
      <c r="Y78" s="32"/>
      <c r="Z78" s="22">
        <f>IF(AD78=0,J78,0)</f>
        <v>0</v>
      </c>
      <c r="AA78" s="22">
        <f>IF(AD78=15,J78,0)</f>
        <v>0</v>
      </c>
      <c r="AB78" s="22">
        <f>IF(AD78=21,J78,0)</f>
        <v>0</v>
      </c>
      <c r="AD78" s="40">
        <v>21</v>
      </c>
      <c r="AE78" s="40">
        <f>G78*0</f>
        <v>0</v>
      </c>
      <c r="AF78" s="40">
        <f>G78*(1-0)</f>
        <v>0</v>
      </c>
      <c r="AG78" s="37" t="s">
        <v>7</v>
      </c>
      <c r="AM78" s="40">
        <f>F78*AE78</f>
        <v>0</v>
      </c>
      <c r="AN78" s="40">
        <f>F78*AF78</f>
        <v>0</v>
      </c>
      <c r="AO78" s="41" t="s">
        <v>378</v>
      </c>
      <c r="AP78" s="41" t="s">
        <v>390</v>
      </c>
      <c r="AQ78" s="32" t="s">
        <v>396</v>
      </c>
      <c r="AS78" s="40">
        <f>AM78+AN78</f>
        <v>0</v>
      </c>
      <c r="AT78" s="40">
        <f>G78/(100-AU78)*100</f>
        <v>0</v>
      </c>
      <c r="AU78" s="40">
        <v>0</v>
      </c>
      <c r="AV78" s="40">
        <f>L78</f>
        <v>0</v>
      </c>
    </row>
    <row r="79" spans="4:6" ht="12.75">
      <c r="D79" s="17" t="s">
        <v>202</v>
      </c>
      <c r="F79" s="23">
        <v>53.4</v>
      </c>
    </row>
    <row r="80" spans="1:37" ht="12.75">
      <c r="A80" s="6"/>
      <c r="B80" s="14"/>
      <c r="C80" s="14" t="s">
        <v>33</v>
      </c>
      <c r="D80" s="14" t="s">
        <v>222</v>
      </c>
      <c r="E80" s="6" t="s">
        <v>6</v>
      </c>
      <c r="F80" s="6" t="s">
        <v>6</v>
      </c>
      <c r="G80" s="6" t="s">
        <v>6</v>
      </c>
      <c r="H80" s="43">
        <f>SUM(H81:H81)</f>
        <v>0</v>
      </c>
      <c r="I80" s="43">
        <f>SUM(I81:I81)</f>
        <v>0</v>
      </c>
      <c r="J80" s="43">
        <f>H80+I80</f>
        <v>0</v>
      </c>
      <c r="K80" s="32"/>
      <c r="L80" s="43">
        <f>SUM(L81:L81)</f>
        <v>0.0105474</v>
      </c>
      <c r="M80" s="32"/>
      <c r="Y80" s="32"/>
      <c r="AI80" s="43">
        <f>SUM(Z81:Z81)</f>
        <v>0</v>
      </c>
      <c r="AJ80" s="43">
        <f>SUM(AA81:AA81)</f>
        <v>0</v>
      </c>
      <c r="AK80" s="43">
        <f>SUM(AB81:AB81)</f>
        <v>0</v>
      </c>
    </row>
    <row r="81" spans="1:48" ht="12.75">
      <c r="A81" s="5" t="s">
        <v>27</v>
      </c>
      <c r="B81" s="5"/>
      <c r="C81" s="5" t="s">
        <v>98</v>
      </c>
      <c r="D81" s="5" t="s">
        <v>223</v>
      </c>
      <c r="E81" s="5" t="s">
        <v>339</v>
      </c>
      <c r="F81" s="22">
        <v>0.01</v>
      </c>
      <c r="G81" s="22">
        <v>0</v>
      </c>
      <c r="H81" s="22">
        <f>F81*AE81</f>
        <v>0</v>
      </c>
      <c r="I81" s="22">
        <f>J81-H81</f>
        <v>0</v>
      </c>
      <c r="J81" s="22">
        <f>F81*G81</f>
        <v>0</v>
      </c>
      <c r="K81" s="22">
        <v>1.05474</v>
      </c>
      <c r="L81" s="22">
        <f>F81*K81</f>
        <v>0.0105474</v>
      </c>
      <c r="M81" s="37" t="s">
        <v>360</v>
      </c>
      <c r="P81" s="40">
        <f>IF(AG81="5",J81,0)</f>
        <v>0</v>
      </c>
      <c r="R81" s="40">
        <f>IF(AG81="1",H81,0)</f>
        <v>0</v>
      </c>
      <c r="S81" s="40">
        <f>IF(AG81="1",I81,0)</f>
        <v>0</v>
      </c>
      <c r="T81" s="40">
        <f>IF(AG81="7",H81,0)</f>
        <v>0</v>
      </c>
      <c r="U81" s="40">
        <f>IF(AG81="7",I81,0)</f>
        <v>0</v>
      </c>
      <c r="V81" s="40">
        <f>IF(AG81="2",H81,0)</f>
        <v>0</v>
      </c>
      <c r="W81" s="40">
        <f>IF(AG81="2",I81,0)</f>
        <v>0</v>
      </c>
      <c r="X81" s="40">
        <f>IF(AG81="0",J81,0)</f>
        <v>0</v>
      </c>
      <c r="Y81" s="32"/>
      <c r="Z81" s="22">
        <f>IF(AD81=0,J81,0)</f>
        <v>0</v>
      </c>
      <c r="AA81" s="22">
        <f>IF(AD81=15,J81,0)</f>
        <v>0</v>
      </c>
      <c r="AB81" s="22">
        <f>IF(AD81=21,J81,0)</f>
        <v>0</v>
      </c>
      <c r="AD81" s="40">
        <v>21</v>
      </c>
      <c r="AE81" s="40">
        <f>G81*0.800584557567475</f>
        <v>0</v>
      </c>
      <c r="AF81" s="40">
        <f>G81*(1-0.800584557567475)</f>
        <v>0</v>
      </c>
      <c r="AG81" s="37" t="s">
        <v>7</v>
      </c>
      <c r="AM81" s="40">
        <f>F81*AE81</f>
        <v>0</v>
      </c>
      <c r="AN81" s="40">
        <f>F81*AF81</f>
        <v>0</v>
      </c>
      <c r="AO81" s="41" t="s">
        <v>379</v>
      </c>
      <c r="AP81" s="41" t="s">
        <v>391</v>
      </c>
      <c r="AQ81" s="32" t="s">
        <v>396</v>
      </c>
      <c r="AS81" s="40">
        <f>AM81+AN81</f>
        <v>0</v>
      </c>
      <c r="AT81" s="40">
        <f>G81/(100-AU81)*100</f>
        <v>0</v>
      </c>
      <c r="AU81" s="40">
        <v>0</v>
      </c>
      <c r="AV81" s="40">
        <f>L81</f>
        <v>0.0105474</v>
      </c>
    </row>
    <row r="82" ht="12.75">
      <c r="D82" s="18" t="s">
        <v>224</v>
      </c>
    </row>
    <row r="83" spans="4:6" ht="12.75">
      <c r="D83" s="17" t="s">
        <v>225</v>
      </c>
      <c r="F83" s="23">
        <v>0.01</v>
      </c>
    </row>
    <row r="84" spans="3:13" ht="12.75">
      <c r="C84" s="15" t="s">
        <v>80</v>
      </c>
      <c r="D84" s="95" t="s">
        <v>226</v>
      </c>
      <c r="E84" s="96"/>
      <c r="F84" s="96"/>
      <c r="G84" s="96"/>
      <c r="H84" s="96"/>
      <c r="I84" s="96"/>
      <c r="J84" s="96"/>
      <c r="K84" s="96"/>
      <c r="L84" s="96"/>
      <c r="M84" s="96"/>
    </row>
    <row r="85" spans="1:37" ht="12.75">
      <c r="A85" s="6"/>
      <c r="B85" s="14"/>
      <c r="C85" s="14" t="s">
        <v>51</v>
      </c>
      <c r="D85" s="14" t="s">
        <v>227</v>
      </c>
      <c r="E85" s="6" t="s">
        <v>6</v>
      </c>
      <c r="F85" s="6" t="s">
        <v>6</v>
      </c>
      <c r="G85" s="6" t="s">
        <v>6</v>
      </c>
      <c r="H85" s="43">
        <f>SUM(H86:H95)</f>
        <v>0</v>
      </c>
      <c r="I85" s="43">
        <f>SUM(I86:I95)</f>
        <v>0</v>
      </c>
      <c r="J85" s="43">
        <f>H85+I85</f>
        <v>0</v>
      </c>
      <c r="K85" s="32"/>
      <c r="L85" s="43">
        <f>SUM(L86:L95)</f>
        <v>6.3141448</v>
      </c>
      <c r="M85" s="32"/>
      <c r="Y85" s="32"/>
      <c r="AI85" s="43">
        <f>SUM(Z86:Z95)</f>
        <v>0</v>
      </c>
      <c r="AJ85" s="43">
        <f>SUM(AA86:AA95)</f>
        <v>0</v>
      </c>
      <c r="AK85" s="43">
        <f>SUM(AB86:AB95)</f>
        <v>0</v>
      </c>
    </row>
    <row r="86" spans="1:48" ht="12.75">
      <c r="A86" s="5" t="s">
        <v>28</v>
      </c>
      <c r="B86" s="5"/>
      <c r="C86" s="5" t="s">
        <v>99</v>
      </c>
      <c r="D86" s="5" t="s">
        <v>228</v>
      </c>
      <c r="E86" s="5" t="s">
        <v>337</v>
      </c>
      <c r="F86" s="22">
        <v>2.64</v>
      </c>
      <c r="G86" s="22">
        <v>0</v>
      </c>
      <c r="H86" s="22">
        <f>F86*AE86</f>
        <v>0</v>
      </c>
      <c r="I86" s="22">
        <f>J86-H86</f>
        <v>0</v>
      </c>
      <c r="J86" s="22">
        <f>F86*G86</f>
        <v>0</v>
      </c>
      <c r="K86" s="22">
        <v>1.89077</v>
      </c>
      <c r="L86" s="22">
        <f>F86*K86</f>
        <v>4.9916328000000005</v>
      </c>
      <c r="M86" s="37" t="s">
        <v>360</v>
      </c>
      <c r="P86" s="40">
        <f>IF(AG86="5",J86,0)</f>
        <v>0</v>
      </c>
      <c r="R86" s="40">
        <f>IF(AG86="1",H86,0)</f>
        <v>0</v>
      </c>
      <c r="S86" s="40">
        <f>IF(AG86="1",I86,0)</f>
        <v>0</v>
      </c>
      <c r="T86" s="40">
        <f>IF(AG86="7",H86,0)</f>
        <v>0</v>
      </c>
      <c r="U86" s="40">
        <f>IF(AG86="7",I86,0)</f>
        <v>0</v>
      </c>
      <c r="V86" s="40">
        <f>IF(AG86="2",H86,0)</f>
        <v>0</v>
      </c>
      <c r="W86" s="40">
        <f>IF(AG86="2",I86,0)</f>
        <v>0</v>
      </c>
      <c r="X86" s="40">
        <f>IF(AG86="0",J86,0)</f>
        <v>0</v>
      </c>
      <c r="Y86" s="32"/>
      <c r="Z86" s="22">
        <f>IF(AD86=0,J86,0)</f>
        <v>0</v>
      </c>
      <c r="AA86" s="22">
        <f>IF(AD86=15,J86,0)</f>
        <v>0</v>
      </c>
      <c r="AB86" s="22">
        <f>IF(AD86=21,J86,0)</f>
        <v>0</v>
      </c>
      <c r="AD86" s="40">
        <v>21</v>
      </c>
      <c r="AE86" s="40">
        <f>G86*0.537767077346701</f>
        <v>0</v>
      </c>
      <c r="AF86" s="40">
        <f>G86*(1-0.537767077346701)</f>
        <v>0</v>
      </c>
      <c r="AG86" s="37" t="s">
        <v>7</v>
      </c>
      <c r="AM86" s="40">
        <f>F86*AE86</f>
        <v>0</v>
      </c>
      <c r="AN86" s="40">
        <f>F86*AF86</f>
        <v>0</v>
      </c>
      <c r="AO86" s="41" t="s">
        <v>380</v>
      </c>
      <c r="AP86" s="41" t="s">
        <v>392</v>
      </c>
      <c r="AQ86" s="32" t="s">
        <v>396</v>
      </c>
      <c r="AS86" s="40">
        <f>AM86+AN86</f>
        <v>0</v>
      </c>
      <c r="AT86" s="40">
        <f>G86/(100-AU86)*100</f>
        <v>0</v>
      </c>
      <c r="AU86" s="40">
        <v>0</v>
      </c>
      <c r="AV86" s="40">
        <f>L86</f>
        <v>4.9916328000000005</v>
      </c>
    </row>
    <row r="87" ht="12.75">
      <c r="D87" s="18" t="s">
        <v>229</v>
      </c>
    </row>
    <row r="88" spans="4:6" ht="12.75">
      <c r="D88" s="17" t="s">
        <v>230</v>
      </c>
      <c r="F88" s="23">
        <v>2.64</v>
      </c>
    </row>
    <row r="89" spans="3:13" ht="12.75">
      <c r="C89" s="15" t="s">
        <v>80</v>
      </c>
      <c r="D89" s="95" t="s">
        <v>231</v>
      </c>
      <c r="E89" s="96"/>
      <c r="F89" s="96"/>
      <c r="G89" s="96"/>
      <c r="H89" s="96"/>
      <c r="I89" s="96"/>
      <c r="J89" s="96"/>
      <c r="K89" s="96"/>
      <c r="L89" s="96"/>
      <c r="M89" s="96"/>
    </row>
    <row r="90" spans="1:48" ht="12.75">
      <c r="A90" s="5" t="s">
        <v>29</v>
      </c>
      <c r="B90" s="5"/>
      <c r="C90" s="5" t="s">
        <v>100</v>
      </c>
      <c r="D90" s="5" t="s">
        <v>232</v>
      </c>
      <c r="E90" s="5" t="s">
        <v>337</v>
      </c>
      <c r="F90" s="22">
        <v>0.52</v>
      </c>
      <c r="G90" s="22">
        <v>0</v>
      </c>
      <c r="H90" s="22">
        <f>F90*AE90</f>
        <v>0</v>
      </c>
      <c r="I90" s="22">
        <f>J90-H90</f>
        <v>0</v>
      </c>
      <c r="J90" s="22">
        <f>F90*G90</f>
        <v>0</v>
      </c>
      <c r="K90" s="22">
        <v>2.5</v>
      </c>
      <c r="L90" s="22">
        <f>F90*K90</f>
        <v>1.3</v>
      </c>
      <c r="M90" s="37" t="s">
        <v>360</v>
      </c>
      <c r="P90" s="40">
        <f>IF(AG90="5",J90,0)</f>
        <v>0</v>
      </c>
      <c r="R90" s="40">
        <f>IF(AG90="1",H90,0)</f>
        <v>0</v>
      </c>
      <c r="S90" s="40">
        <f>IF(AG90="1",I90,0)</f>
        <v>0</v>
      </c>
      <c r="T90" s="40">
        <f>IF(AG90="7",H90,0)</f>
        <v>0</v>
      </c>
      <c r="U90" s="40">
        <f>IF(AG90="7",I90,0)</f>
        <v>0</v>
      </c>
      <c r="V90" s="40">
        <f>IF(AG90="2",H90,0)</f>
        <v>0</v>
      </c>
      <c r="W90" s="40">
        <f>IF(AG90="2",I90,0)</f>
        <v>0</v>
      </c>
      <c r="X90" s="40">
        <f>IF(AG90="0",J90,0)</f>
        <v>0</v>
      </c>
      <c r="Y90" s="32"/>
      <c r="Z90" s="22">
        <f>IF(AD90=0,J90,0)</f>
        <v>0</v>
      </c>
      <c r="AA90" s="22">
        <f>IF(AD90=15,J90,0)</f>
        <v>0</v>
      </c>
      <c r="AB90" s="22">
        <f>IF(AD90=21,J90,0)</f>
        <v>0</v>
      </c>
      <c r="AD90" s="40">
        <v>21</v>
      </c>
      <c r="AE90" s="40">
        <f>G90*0.841257692307692</f>
        <v>0</v>
      </c>
      <c r="AF90" s="40">
        <f>G90*(1-0.841257692307692)</f>
        <v>0</v>
      </c>
      <c r="AG90" s="37" t="s">
        <v>7</v>
      </c>
      <c r="AM90" s="40">
        <f>F90*AE90</f>
        <v>0</v>
      </c>
      <c r="AN90" s="40">
        <f>F90*AF90</f>
        <v>0</v>
      </c>
      <c r="AO90" s="41" t="s">
        <v>380</v>
      </c>
      <c r="AP90" s="41" t="s">
        <v>392</v>
      </c>
      <c r="AQ90" s="32" t="s">
        <v>396</v>
      </c>
      <c r="AS90" s="40">
        <f>AM90+AN90</f>
        <v>0</v>
      </c>
      <c r="AT90" s="40">
        <f>G90/(100-AU90)*100</f>
        <v>0</v>
      </c>
      <c r="AU90" s="40">
        <v>0</v>
      </c>
      <c r="AV90" s="40">
        <f>L90</f>
        <v>1.3</v>
      </c>
    </row>
    <row r="91" spans="4:6" ht="12.75">
      <c r="D91" s="17" t="s">
        <v>233</v>
      </c>
      <c r="F91" s="23">
        <v>0.19</v>
      </c>
    </row>
    <row r="92" spans="4:6" ht="12.75">
      <c r="D92" s="17" t="s">
        <v>234</v>
      </c>
      <c r="F92" s="23">
        <v>0.22</v>
      </c>
    </row>
    <row r="93" spans="4:6" ht="12.75">
      <c r="D93" s="17" t="s">
        <v>235</v>
      </c>
      <c r="F93" s="23">
        <v>0.11</v>
      </c>
    </row>
    <row r="94" spans="3:13" ht="12.75">
      <c r="C94" s="15" t="s">
        <v>80</v>
      </c>
      <c r="D94" s="95" t="s">
        <v>236</v>
      </c>
      <c r="E94" s="96"/>
      <c r="F94" s="96"/>
      <c r="G94" s="96"/>
      <c r="H94" s="96"/>
      <c r="I94" s="96"/>
      <c r="J94" s="96"/>
      <c r="K94" s="96"/>
      <c r="L94" s="96"/>
      <c r="M94" s="96"/>
    </row>
    <row r="95" spans="1:48" ht="12.75">
      <c r="A95" s="5" t="s">
        <v>30</v>
      </c>
      <c r="B95" s="5"/>
      <c r="C95" s="5" t="s">
        <v>101</v>
      </c>
      <c r="D95" s="5" t="s">
        <v>237</v>
      </c>
      <c r="E95" s="5" t="s">
        <v>338</v>
      </c>
      <c r="F95" s="22">
        <v>4.69</v>
      </c>
      <c r="G95" s="22">
        <v>0</v>
      </c>
      <c r="H95" s="22">
        <f>F95*AE95</f>
        <v>0</v>
      </c>
      <c r="I95" s="22">
        <f>J95-H95</f>
        <v>0</v>
      </c>
      <c r="J95" s="22">
        <f>F95*G95</f>
        <v>0</v>
      </c>
      <c r="K95" s="22">
        <v>0.0048</v>
      </c>
      <c r="L95" s="22">
        <f>F95*K95</f>
        <v>0.022512</v>
      </c>
      <c r="M95" s="37" t="s">
        <v>360</v>
      </c>
      <c r="P95" s="40">
        <f>IF(AG95="5",J95,0)</f>
        <v>0</v>
      </c>
      <c r="R95" s="40">
        <f>IF(AG95="1",H95,0)</f>
        <v>0</v>
      </c>
      <c r="S95" s="40">
        <f>IF(AG95="1",I95,0)</f>
        <v>0</v>
      </c>
      <c r="T95" s="40">
        <f>IF(AG95="7",H95,0)</f>
        <v>0</v>
      </c>
      <c r="U95" s="40">
        <f>IF(AG95="7",I95,0)</f>
        <v>0</v>
      </c>
      <c r="V95" s="40">
        <f>IF(AG95="2",H95,0)</f>
        <v>0</v>
      </c>
      <c r="W95" s="40">
        <f>IF(AG95="2",I95,0)</f>
        <v>0</v>
      </c>
      <c r="X95" s="40">
        <f>IF(AG95="0",J95,0)</f>
        <v>0</v>
      </c>
      <c r="Y95" s="32"/>
      <c r="Z95" s="22">
        <f>IF(AD95=0,J95,0)</f>
        <v>0</v>
      </c>
      <c r="AA95" s="22">
        <f>IF(AD95=15,J95,0)</f>
        <v>0</v>
      </c>
      <c r="AB95" s="22">
        <f>IF(AD95=21,J95,0)</f>
        <v>0</v>
      </c>
      <c r="AD95" s="40">
        <v>21</v>
      </c>
      <c r="AE95" s="40">
        <f>G95*0.236103186558517</f>
        <v>0</v>
      </c>
      <c r="AF95" s="40">
        <f>G95*(1-0.236103186558517)</f>
        <v>0</v>
      </c>
      <c r="AG95" s="37" t="s">
        <v>7</v>
      </c>
      <c r="AM95" s="40">
        <f>F95*AE95</f>
        <v>0</v>
      </c>
      <c r="AN95" s="40">
        <f>F95*AF95</f>
        <v>0</v>
      </c>
      <c r="AO95" s="41" t="s">
        <v>380</v>
      </c>
      <c r="AP95" s="41" t="s">
        <v>392</v>
      </c>
      <c r="AQ95" s="32" t="s">
        <v>396</v>
      </c>
      <c r="AS95" s="40">
        <f>AM95+AN95</f>
        <v>0</v>
      </c>
      <c r="AT95" s="40">
        <f>G95/(100-AU95)*100</f>
        <v>0</v>
      </c>
      <c r="AU95" s="40">
        <v>0</v>
      </c>
      <c r="AV95" s="40">
        <f>L95</f>
        <v>0.022512</v>
      </c>
    </row>
    <row r="96" spans="4:6" ht="12.75">
      <c r="D96" s="17" t="s">
        <v>238</v>
      </c>
      <c r="F96" s="23">
        <v>4.69</v>
      </c>
    </row>
    <row r="97" spans="3:13" ht="12.75">
      <c r="C97" s="15" t="s">
        <v>80</v>
      </c>
      <c r="D97" s="95" t="s">
        <v>239</v>
      </c>
      <c r="E97" s="96"/>
      <c r="F97" s="96"/>
      <c r="G97" s="96"/>
      <c r="H97" s="96"/>
      <c r="I97" s="96"/>
      <c r="J97" s="96"/>
      <c r="K97" s="96"/>
      <c r="L97" s="96"/>
      <c r="M97" s="96"/>
    </row>
    <row r="98" spans="1:37" ht="12.75">
      <c r="A98" s="6"/>
      <c r="B98" s="14"/>
      <c r="C98" s="14" t="s">
        <v>102</v>
      </c>
      <c r="D98" s="14" t="s">
        <v>240</v>
      </c>
      <c r="E98" s="6" t="s">
        <v>6</v>
      </c>
      <c r="F98" s="6" t="s">
        <v>6</v>
      </c>
      <c r="G98" s="6" t="s">
        <v>6</v>
      </c>
      <c r="H98" s="43">
        <f>SUM(H99:H108)</f>
        <v>0</v>
      </c>
      <c r="I98" s="43">
        <f>SUM(I99:I108)</f>
        <v>0</v>
      </c>
      <c r="J98" s="43">
        <f>H98+I98</f>
        <v>0</v>
      </c>
      <c r="K98" s="32"/>
      <c r="L98" s="43">
        <f>SUM(L99:L108)</f>
        <v>0.01836</v>
      </c>
      <c r="M98" s="32"/>
      <c r="Y98" s="32"/>
      <c r="AI98" s="43">
        <f>SUM(Z99:Z108)</f>
        <v>0</v>
      </c>
      <c r="AJ98" s="43">
        <f>SUM(AA99:AA108)</f>
        <v>0</v>
      </c>
      <c r="AK98" s="43">
        <f>SUM(AB99:AB108)</f>
        <v>0</v>
      </c>
    </row>
    <row r="99" spans="1:48" ht="12.75">
      <c r="A99" s="5" t="s">
        <v>31</v>
      </c>
      <c r="B99" s="5"/>
      <c r="C99" s="5" t="s">
        <v>103</v>
      </c>
      <c r="D99" s="5" t="s">
        <v>241</v>
      </c>
      <c r="E99" s="5" t="s">
        <v>340</v>
      </c>
      <c r="F99" s="22">
        <v>3</v>
      </c>
      <c r="G99" s="22">
        <v>0</v>
      </c>
      <c r="H99" s="22">
        <f>F99*AE99</f>
        <v>0</v>
      </c>
      <c r="I99" s="22">
        <f>J99-H99</f>
        <v>0</v>
      </c>
      <c r="J99" s="22">
        <f>F99*G99</f>
        <v>0</v>
      </c>
      <c r="K99" s="22">
        <v>0.00022</v>
      </c>
      <c r="L99" s="22">
        <f>F99*K99</f>
        <v>0.00066</v>
      </c>
      <c r="M99" s="37" t="s">
        <v>360</v>
      </c>
      <c r="P99" s="40">
        <f>IF(AG99="5",J99,0)</f>
        <v>0</v>
      </c>
      <c r="R99" s="40">
        <f>IF(AG99="1",H99,0)</f>
        <v>0</v>
      </c>
      <c r="S99" s="40">
        <f>IF(AG99="1",I99,0)</f>
        <v>0</v>
      </c>
      <c r="T99" s="40">
        <f>IF(AG99="7",H99,0)</f>
        <v>0</v>
      </c>
      <c r="U99" s="40">
        <f>IF(AG99="7",I99,0)</f>
        <v>0</v>
      </c>
      <c r="V99" s="40">
        <f>IF(AG99="2",H99,0)</f>
        <v>0</v>
      </c>
      <c r="W99" s="40">
        <f>IF(AG99="2",I99,0)</f>
        <v>0</v>
      </c>
      <c r="X99" s="40">
        <f>IF(AG99="0",J99,0)</f>
        <v>0</v>
      </c>
      <c r="Y99" s="32"/>
      <c r="Z99" s="22">
        <f>IF(AD99=0,J99,0)</f>
        <v>0</v>
      </c>
      <c r="AA99" s="22">
        <f>IF(AD99=15,J99,0)</f>
        <v>0</v>
      </c>
      <c r="AB99" s="22">
        <f>IF(AD99=21,J99,0)</f>
        <v>0</v>
      </c>
      <c r="AD99" s="40">
        <v>21</v>
      </c>
      <c r="AE99" s="40">
        <f>G99*0.232511144130758</f>
        <v>0</v>
      </c>
      <c r="AF99" s="40">
        <f>G99*(1-0.232511144130758)</f>
        <v>0</v>
      </c>
      <c r="AG99" s="37" t="s">
        <v>7</v>
      </c>
      <c r="AM99" s="40">
        <f>F99*AE99</f>
        <v>0</v>
      </c>
      <c r="AN99" s="40">
        <f>F99*AF99</f>
        <v>0</v>
      </c>
      <c r="AO99" s="41" t="s">
        <v>381</v>
      </c>
      <c r="AP99" s="41" t="s">
        <v>393</v>
      </c>
      <c r="AQ99" s="32" t="s">
        <v>396</v>
      </c>
      <c r="AS99" s="40">
        <f>AM99+AN99</f>
        <v>0</v>
      </c>
      <c r="AT99" s="40">
        <f>G99/(100-AU99)*100</f>
        <v>0</v>
      </c>
      <c r="AU99" s="40">
        <v>0</v>
      </c>
      <c r="AV99" s="40">
        <f>L99</f>
        <v>0.00066</v>
      </c>
    </row>
    <row r="100" spans="4:6" ht="12.75">
      <c r="D100" s="17" t="s">
        <v>9</v>
      </c>
      <c r="F100" s="23">
        <v>3</v>
      </c>
    </row>
    <row r="101" spans="3:13" ht="25.5" customHeight="1">
      <c r="C101" s="15" t="s">
        <v>80</v>
      </c>
      <c r="D101" s="95" t="s">
        <v>242</v>
      </c>
      <c r="E101" s="96"/>
      <c r="F101" s="96"/>
      <c r="G101" s="96"/>
      <c r="H101" s="96"/>
      <c r="I101" s="96"/>
      <c r="J101" s="96"/>
      <c r="K101" s="96"/>
      <c r="L101" s="96"/>
      <c r="M101" s="96"/>
    </row>
    <row r="102" spans="1:48" ht="12.75">
      <c r="A102" s="5" t="s">
        <v>32</v>
      </c>
      <c r="B102" s="5"/>
      <c r="C102" s="5" t="s">
        <v>104</v>
      </c>
      <c r="D102" s="5" t="s">
        <v>243</v>
      </c>
      <c r="E102" s="5" t="s">
        <v>340</v>
      </c>
      <c r="F102" s="22">
        <v>2</v>
      </c>
      <c r="G102" s="22">
        <v>0</v>
      </c>
      <c r="H102" s="22">
        <f>F102*AE102</f>
        <v>0</v>
      </c>
      <c r="I102" s="22">
        <f>J102-H102</f>
        <v>0</v>
      </c>
      <c r="J102" s="22">
        <f>F102*G102</f>
        <v>0</v>
      </c>
      <c r="K102" s="22">
        <v>0.00041</v>
      </c>
      <c r="L102" s="22">
        <f>F102*K102</f>
        <v>0.00082</v>
      </c>
      <c r="M102" s="37" t="s">
        <v>360</v>
      </c>
      <c r="P102" s="40">
        <f>IF(AG102="5",J102,0)</f>
        <v>0</v>
      </c>
      <c r="R102" s="40">
        <f>IF(AG102="1",H102,0)</f>
        <v>0</v>
      </c>
      <c r="S102" s="40">
        <f>IF(AG102="1",I102,0)</f>
        <v>0</v>
      </c>
      <c r="T102" s="40">
        <f>IF(AG102="7",H102,0)</f>
        <v>0</v>
      </c>
      <c r="U102" s="40">
        <f>IF(AG102="7",I102,0)</f>
        <v>0</v>
      </c>
      <c r="V102" s="40">
        <f>IF(AG102="2",H102,0)</f>
        <v>0</v>
      </c>
      <c r="W102" s="40">
        <f>IF(AG102="2",I102,0)</f>
        <v>0</v>
      </c>
      <c r="X102" s="40">
        <f>IF(AG102="0",J102,0)</f>
        <v>0</v>
      </c>
      <c r="Y102" s="32"/>
      <c r="Z102" s="22">
        <f>IF(AD102=0,J102,0)</f>
        <v>0</v>
      </c>
      <c r="AA102" s="22">
        <f>IF(AD102=15,J102,0)</f>
        <v>0</v>
      </c>
      <c r="AB102" s="22">
        <f>IF(AD102=21,J102,0)</f>
        <v>0</v>
      </c>
      <c r="AD102" s="40">
        <v>21</v>
      </c>
      <c r="AE102" s="40">
        <f>G102*0.328342857142857</f>
        <v>0</v>
      </c>
      <c r="AF102" s="40">
        <f>G102*(1-0.328342857142857)</f>
        <v>0</v>
      </c>
      <c r="AG102" s="37" t="s">
        <v>7</v>
      </c>
      <c r="AM102" s="40">
        <f>F102*AE102</f>
        <v>0</v>
      </c>
      <c r="AN102" s="40">
        <f>F102*AF102</f>
        <v>0</v>
      </c>
      <c r="AO102" s="41" t="s">
        <v>381</v>
      </c>
      <c r="AP102" s="41" t="s">
        <v>393</v>
      </c>
      <c r="AQ102" s="32" t="s">
        <v>396</v>
      </c>
      <c r="AS102" s="40">
        <f>AM102+AN102</f>
        <v>0</v>
      </c>
      <c r="AT102" s="40">
        <f>G102/(100-AU102)*100</f>
        <v>0</v>
      </c>
      <c r="AU102" s="40">
        <v>0</v>
      </c>
      <c r="AV102" s="40">
        <f>L102</f>
        <v>0.00082</v>
      </c>
    </row>
    <row r="103" spans="4:6" ht="12.75">
      <c r="D103" s="17" t="s">
        <v>8</v>
      </c>
      <c r="F103" s="23">
        <v>2</v>
      </c>
    </row>
    <row r="104" spans="3:13" ht="25.5" customHeight="1">
      <c r="C104" s="15" t="s">
        <v>80</v>
      </c>
      <c r="D104" s="95" t="s">
        <v>242</v>
      </c>
      <c r="E104" s="96"/>
      <c r="F104" s="96"/>
      <c r="G104" s="96"/>
      <c r="H104" s="96"/>
      <c r="I104" s="96"/>
      <c r="J104" s="96"/>
      <c r="K104" s="96"/>
      <c r="L104" s="96"/>
      <c r="M104" s="96"/>
    </row>
    <row r="105" spans="1:48" ht="12.75">
      <c r="A105" s="5" t="s">
        <v>33</v>
      </c>
      <c r="B105" s="5"/>
      <c r="C105" s="5" t="s">
        <v>105</v>
      </c>
      <c r="D105" s="5" t="s">
        <v>244</v>
      </c>
      <c r="E105" s="5" t="s">
        <v>340</v>
      </c>
      <c r="F105" s="22">
        <v>5</v>
      </c>
      <c r="G105" s="22">
        <v>0</v>
      </c>
      <c r="H105" s="22">
        <f>F105*AE105</f>
        <v>0</v>
      </c>
      <c r="I105" s="22">
        <f>J105-H105</f>
        <v>0</v>
      </c>
      <c r="J105" s="22">
        <f>F105*G105</f>
        <v>0</v>
      </c>
      <c r="K105" s="22">
        <v>0.00278</v>
      </c>
      <c r="L105" s="22">
        <f>F105*K105</f>
        <v>0.0139</v>
      </c>
      <c r="M105" s="37" t="s">
        <v>360</v>
      </c>
      <c r="P105" s="40">
        <f>IF(AG105="5",J105,0)</f>
        <v>0</v>
      </c>
      <c r="R105" s="40">
        <f>IF(AG105="1",H105,0)</f>
        <v>0</v>
      </c>
      <c r="S105" s="40">
        <f>IF(AG105="1",I105,0)</f>
        <v>0</v>
      </c>
      <c r="T105" s="40">
        <f>IF(AG105="7",H105,0)</f>
        <v>0</v>
      </c>
      <c r="U105" s="40">
        <f>IF(AG105="7",I105,0)</f>
        <v>0</v>
      </c>
      <c r="V105" s="40">
        <f>IF(AG105="2",H105,0)</f>
        <v>0</v>
      </c>
      <c r="W105" s="40">
        <f>IF(AG105="2",I105,0)</f>
        <v>0</v>
      </c>
      <c r="X105" s="40">
        <f>IF(AG105="0",J105,0)</f>
        <v>0</v>
      </c>
      <c r="Y105" s="32"/>
      <c r="Z105" s="22">
        <f>IF(AD105=0,J105,0)</f>
        <v>0</v>
      </c>
      <c r="AA105" s="22">
        <f>IF(AD105=15,J105,0)</f>
        <v>0</v>
      </c>
      <c r="AB105" s="22">
        <f>IF(AD105=21,J105,0)</f>
        <v>0</v>
      </c>
      <c r="AD105" s="40">
        <v>21</v>
      </c>
      <c r="AE105" s="40">
        <f>G105*0.314129263913824</f>
        <v>0</v>
      </c>
      <c r="AF105" s="40">
        <f>G105*(1-0.314129263913824)</f>
        <v>0</v>
      </c>
      <c r="AG105" s="37" t="s">
        <v>7</v>
      </c>
      <c r="AM105" s="40">
        <f>F105*AE105</f>
        <v>0</v>
      </c>
      <c r="AN105" s="40">
        <f>F105*AF105</f>
        <v>0</v>
      </c>
      <c r="AO105" s="41" t="s">
        <v>381</v>
      </c>
      <c r="AP105" s="41" t="s">
        <v>393</v>
      </c>
      <c r="AQ105" s="32" t="s">
        <v>396</v>
      </c>
      <c r="AS105" s="40">
        <f>AM105+AN105</f>
        <v>0</v>
      </c>
      <c r="AT105" s="40">
        <f>G105/(100-AU105)*100</f>
        <v>0</v>
      </c>
      <c r="AU105" s="40">
        <v>0</v>
      </c>
      <c r="AV105" s="40">
        <f>L105</f>
        <v>0.0139</v>
      </c>
    </row>
    <row r="106" spans="4:6" ht="12.75">
      <c r="D106" s="17" t="s">
        <v>11</v>
      </c>
      <c r="F106" s="23">
        <v>5</v>
      </c>
    </row>
    <row r="107" spans="3:13" ht="25.5" customHeight="1">
      <c r="C107" s="15" t="s">
        <v>80</v>
      </c>
      <c r="D107" s="95" t="s">
        <v>242</v>
      </c>
      <c r="E107" s="96"/>
      <c r="F107" s="96"/>
      <c r="G107" s="96"/>
      <c r="H107" s="96"/>
      <c r="I107" s="96"/>
      <c r="J107" s="96"/>
      <c r="K107" s="96"/>
      <c r="L107" s="96"/>
      <c r="M107" s="96"/>
    </row>
    <row r="108" spans="1:48" ht="12.75">
      <c r="A108" s="5" t="s">
        <v>34</v>
      </c>
      <c r="B108" s="5"/>
      <c r="C108" s="5" t="s">
        <v>106</v>
      </c>
      <c r="D108" s="5" t="s">
        <v>245</v>
      </c>
      <c r="E108" s="5" t="s">
        <v>340</v>
      </c>
      <c r="F108" s="22">
        <v>1</v>
      </c>
      <c r="G108" s="22">
        <v>0</v>
      </c>
      <c r="H108" s="22">
        <f>F108*AE108</f>
        <v>0</v>
      </c>
      <c r="I108" s="22">
        <f>J108-H108</f>
        <v>0</v>
      </c>
      <c r="J108" s="22">
        <f>F108*G108</f>
        <v>0</v>
      </c>
      <c r="K108" s="22">
        <v>0.00298</v>
      </c>
      <c r="L108" s="22">
        <f>F108*K108</f>
        <v>0.00298</v>
      </c>
      <c r="M108" s="37" t="s">
        <v>360</v>
      </c>
      <c r="P108" s="40">
        <f>IF(AG108="5",J108,0)</f>
        <v>0</v>
      </c>
      <c r="R108" s="40">
        <f>IF(AG108="1",H108,0)</f>
        <v>0</v>
      </c>
      <c r="S108" s="40">
        <f>IF(AG108="1",I108,0)</f>
        <v>0</v>
      </c>
      <c r="T108" s="40">
        <f>IF(AG108="7",H108,0)</f>
        <v>0</v>
      </c>
      <c r="U108" s="40">
        <f>IF(AG108="7",I108,0)</f>
        <v>0</v>
      </c>
      <c r="V108" s="40">
        <f>IF(AG108="2",H108,0)</f>
        <v>0</v>
      </c>
      <c r="W108" s="40">
        <f>IF(AG108="2",I108,0)</f>
        <v>0</v>
      </c>
      <c r="X108" s="40">
        <f>IF(AG108="0",J108,0)</f>
        <v>0</v>
      </c>
      <c r="Y108" s="32"/>
      <c r="Z108" s="22">
        <f>IF(AD108=0,J108,0)</f>
        <v>0</v>
      </c>
      <c r="AA108" s="22">
        <f>IF(AD108=15,J108,0)</f>
        <v>0</v>
      </c>
      <c r="AB108" s="22">
        <f>IF(AD108=21,J108,0)</f>
        <v>0</v>
      </c>
      <c r="AD108" s="40">
        <v>21</v>
      </c>
      <c r="AE108" s="40">
        <f>G108*0.325144736842105</f>
        <v>0</v>
      </c>
      <c r="AF108" s="40">
        <f>G108*(1-0.325144736842105)</f>
        <v>0</v>
      </c>
      <c r="AG108" s="37" t="s">
        <v>7</v>
      </c>
      <c r="AM108" s="40">
        <f>F108*AE108</f>
        <v>0</v>
      </c>
      <c r="AN108" s="40">
        <f>F108*AF108</f>
        <v>0</v>
      </c>
      <c r="AO108" s="41" t="s">
        <v>381</v>
      </c>
      <c r="AP108" s="41" t="s">
        <v>393</v>
      </c>
      <c r="AQ108" s="32" t="s">
        <v>396</v>
      </c>
      <c r="AS108" s="40">
        <f>AM108+AN108</f>
        <v>0</v>
      </c>
      <c r="AT108" s="40">
        <f>G108/(100-AU108)*100</f>
        <v>0</v>
      </c>
      <c r="AU108" s="40">
        <v>0</v>
      </c>
      <c r="AV108" s="40">
        <f>L108</f>
        <v>0.00298</v>
      </c>
    </row>
    <row r="109" spans="4:6" ht="12.75">
      <c r="D109" s="17" t="s">
        <v>7</v>
      </c>
      <c r="F109" s="23">
        <v>1</v>
      </c>
    </row>
    <row r="110" spans="3:13" ht="25.5" customHeight="1">
      <c r="C110" s="15" t="s">
        <v>80</v>
      </c>
      <c r="D110" s="95" t="s">
        <v>246</v>
      </c>
      <c r="E110" s="96"/>
      <c r="F110" s="96"/>
      <c r="G110" s="96"/>
      <c r="H110" s="96"/>
      <c r="I110" s="96"/>
      <c r="J110" s="96"/>
      <c r="K110" s="96"/>
      <c r="L110" s="96"/>
      <c r="M110" s="96"/>
    </row>
    <row r="111" spans="1:37" ht="12.75">
      <c r="A111" s="6"/>
      <c r="B111" s="14"/>
      <c r="C111" s="14" t="s">
        <v>107</v>
      </c>
      <c r="D111" s="14" t="s">
        <v>247</v>
      </c>
      <c r="E111" s="6" t="s">
        <v>6</v>
      </c>
      <c r="F111" s="6" t="s">
        <v>6</v>
      </c>
      <c r="G111" s="6" t="s">
        <v>6</v>
      </c>
      <c r="H111" s="43">
        <f>SUM(H112:H118)</f>
        <v>0</v>
      </c>
      <c r="I111" s="43">
        <f>SUM(I112:I118)</f>
        <v>0</v>
      </c>
      <c r="J111" s="43">
        <f>H111+I111</f>
        <v>0</v>
      </c>
      <c r="K111" s="32"/>
      <c r="L111" s="43">
        <f>SUM(L112:L118)</f>
        <v>0.00014000000000000001</v>
      </c>
      <c r="M111" s="32"/>
      <c r="Y111" s="32"/>
      <c r="AI111" s="43">
        <f>SUM(Z112:Z118)</f>
        <v>0</v>
      </c>
      <c r="AJ111" s="43">
        <f>SUM(AA112:AA118)</f>
        <v>0</v>
      </c>
      <c r="AK111" s="43">
        <f>SUM(AB112:AB118)</f>
        <v>0</v>
      </c>
    </row>
    <row r="112" spans="1:48" ht="12.75">
      <c r="A112" s="5" t="s">
        <v>35</v>
      </c>
      <c r="B112" s="5"/>
      <c r="C112" s="5" t="s">
        <v>108</v>
      </c>
      <c r="D112" s="5" t="s">
        <v>248</v>
      </c>
      <c r="E112" s="5" t="s">
        <v>335</v>
      </c>
      <c r="F112" s="22">
        <v>14</v>
      </c>
      <c r="G112" s="22">
        <v>0</v>
      </c>
      <c r="H112" s="22">
        <f>F112*AE112</f>
        <v>0</v>
      </c>
      <c r="I112" s="22">
        <f>J112-H112</f>
        <v>0</v>
      </c>
      <c r="J112" s="22">
        <f>F112*G112</f>
        <v>0</v>
      </c>
      <c r="K112" s="22">
        <v>1E-05</v>
      </c>
      <c r="L112" s="22">
        <f>F112*K112</f>
        <v>0.00014000000000000001</v>
      </c>
      <c r="M112" s="37" t="s">
        <v>360</v>
      </c>
      <c r="P112" s="40">
        <f>IF(AG112="5",J112,0)</f>
        <v>0</v>
      </c>
      <c r="R112" s="40">
        <f>IF(AG112="1",H112,0)</f>
        <v>0</v>
      </c>
      <c r="S112" s="40">
        <f>IF(AG112="1",I112,0)</f>
        <v>0</v>
      </c>
      <c r="T112" s="40">
        <f>IF(AG112="7",H112,0)</f>
        <v>0</v>
      </c>
      <c r="U112" s="40">
        <f>IF(AG112="7",I112,0)</f>
        <v>0</v>
      </c>
      <c r="V112" s="40">
        <f>IF(AG112="2",H112,0)</f>
        <v>0</v>
      </c>
      <c r="W112" s="40">
        <f>IF(AG112="2",I112,0)</f>
        <v>0</v>
      </c>
      <c r="X112" s="40">
        <f>IF(AG112="0",J112,0)</f>
        <v>0</v>
      </c>
      <c r="Y112" s="32"/>
      <c r="Z112" s="22">
        <f>IF(AD112=0,J112,0)</f>
        <v>0</v>
      </c>
      <c r="AA112" s="22">
        <f>IF(AD112=15,J112,0)</f>
        <v>0</v>
      </c>
      <c r="AB112" s="22">
        <f>IF(AD112=21,J112,0)</f>
        <v>0</v>
      </c>
      <c r="AD112" s="40">
        <v>21</v>
      </c>
      <c r="AE112" s="40">
        <f>G112*0.00220095693779904</f>
        <v>0</v>
      </c>
      <c r="AF112" s="40">
        <f>G112*(1-0.00220095693779904)</f>
        <v>0</v>
      </c>
      <c r="AG112" s="37" t="s">
        <v>7</v>
      </c>
      <c r="AM112" s="40">
        <f>F112*AE112</f>
        <v>0</v>
      </c>
      <c r="AN112" s="40">
        <f>F112*AF112</f>
        <v>0</v>
      </c>
      <c r="AO112" s="41" t="s">
        <v>382</v>
      </c>
      <c r="AP112" s="41" t="s">
        <v>393</v>
      </c>
      <c r="AQ112" s="32" t="s">
        <v>396</v>
      </c>
      <c r="AS112" s="40">
        <f>AM112+AN112</f>
        <v>0</v>
      </c>
      <c r="AT112" s="40">
        <f>G112/(100-AU112)*100</f>
        <v>0</v>
      </c>
      <c r="AU112" s="40">
        <v>0</v>
      </c>
      <c r="AV112" s="40">
        <f>L112</f>
        <v>0.00014000000000000001</v>
      </c>
    </row>
    <row r="113" spans="4:6" ht="12.75">
      <c r="D113" s="17" t="s">
        <v>20</v>
      </c>
      <c r="F113" s="23">
        <v>14</v>
      </c>
    </row>
    <row r="114" spans="3:13" ht="25.5" customHeight="1">
      <c r="C114" s="15" t="s">
        <v>80</v>
      </c>
      <c r="D114" s="95" t="s">
        <v>249</v>
      </c>
      <c r="E114" s="96"/>
      <c r="F114" s="96"/>
      <c r="G114" s="96"/>
      <c r="H114" s="96"/>
      <c r="I114" s="96"/>
      <c r="J114" s="96"/>
      <c r="K114" s="96"/>
      <c r="L114" s="96"/>
      <c r="M114" s="96"/>
    </row>
    <row r="115" spans="1:48" ht="12.75">
      <c r="A115" s="5" t="s">
        <v>36</v>
      </c>
      <c r="B115" s="5"/>
      <c r="C115" s="5" t="s">
        <v>109</v>
      </c>
      <c r="D115" s="5" t="s">
        <v>250</v>
      </c>
      <c r="E115" s="5" t="s">
        <v>335</v>
      </c>
      <c r="F115" s="22">
        <v>24</v>
      </c>
      <c r="G115" s="22">
        <v>0</v>
      </c>
      <c r="H115" s="22">
        <f>F115*AE115</f>
        <v>0</v>
      </c>
      <c r="I115" s="22">
        <f>J115-H115</f>
        <v>0</v>
      </c>
      <c r="J115" s="22">
        <f>F115*G115</f>
        <v>0</v>
      </c>
      <c r="K115" s="22">
        <v>0</v>
      </c>
      <c r="L115" s="22">
        <f>F115*K115</f>
        <v>0</v>
      </c>
      <c r="M115" s="37" t="s">
        <v>360</v>
      </c>
      <c r="P115" s="40">
        <f>IF(AG115="5",J115,0)</f>
        <v>0</v>
      </c>
      <c r="R115" s="40">
        <f>IF(AG115="1",H115,0)</f>
        <v>0</v>
      </c>
      <c r="S115" s="40">
        <f>IF(AG115="1",I115,0)</f>
        <v>0</v>
      </c>
      <c r="T115" s="40">
        <f>IF(AG115="7",H115,0)</f>
        <v>0</v>
      </c>
      <c r="U115" s="40">
        <f>IF(AG115="7",I115,0)</f>
        <v>0</v>
      </c>
      <c r="V115" s="40">
        <f>IF(AG115="2",H115,0)</f>
        <v>0</v>
      </c>
      <c r="W115" s="40">
        <f>IF(AG115="2",I115,0)</f>
        <v>0</v>
      </c>
      <c r="X115" s="40">
        <f>IF(AG115="0",J115,0)</f>
        <v>0</v>
      </c>
      <c r="Y115" s="32"/>
      <c r="Z115" s="22">
        <f>IF(AD115=0,J115,0)</f>
        <v>0</v>
      </c>
      <c r="AA115" s="22">
        <f>IF(AD115=15,J115,0)</f>
        <v>0</v>
      </c>
      <c r="AB115" s="22">
        <f>IF(AD115=21,J115,0)</f>
        <v>0</v>
      </c>
      <c r="AD115" s="40">
        <v>21</v>
      </c>
      <c r="AE115" s="40">
        <f>G115*0</f>
        <v>0</v>
      </c>
      <c r="AF115" s="40">
        <f>G115*(1-0)</f>
        <v>0</v>
      </c>
      <c r="AG115" s="37" t="s">
        <v>7</v>
      </c>
      <c r="AM115" s="40">
        <f>F115*AE115</f>
        <v>0</v>
      </c>
      <c r="AN115" s="40">
        <f>F115*AF115</f>
        <v>0</v>
      </c>
      <c r="AO115" s="41" t="s">
        <v>382</v>
      </c>
      <c r="AP115" s="41" t="s">
        <v>393</v>
      </c>
      <c r="AQ115" s="32" t="s">
        <v>396</v>
      </c>
      <c r="AS115" s="40">
        <f>AM115+AN115</f>
        <v>0</v>
      </c>
      <c r="AT115" s="40">
        <f>G115/(100-AU115)*100</f>
        <v>0</v>
      </c>
      <c r="AU115" s="40">
        <v>0</v>
      </c>
      <c r="AV115" s="40">
        <f>L115</f>
        <v>0</v>
      </c>
    </row>
    <row r="116" spans="4:6" ht="12.75">
      <c r="D116" s="17" t="s">
        <v>30</v>
      </c>
      <c r="F116" s="23">
        <v>24</v>
      </c>
    </row>
    <row r="117" spans="3:13" ht="25.5" customHeight="1">
      <c r="C117" s="15" t="s">
        <v>80</v>
      </c>
      <c r="D117" s="95" t="s">
        <v>251</v>
      </c>
      <c r="E117" s="96"/>
      <c r="F117" s="96"/>
      <c r="G117" s="96"/>
      <c r="H117" s="96"/>
      <c r="I117" s="96"/>
      <c r="J117" s="96"/>
      <c r="K117" s="96"/>
      <c r="L117" s="96"/>
      <c r="M117" s="96"/>
    </row>
    <row r="118" spans="1:48" ht="12.75">
      <c r="A118" s="5" t="s">
        <v>37</v>
      </c>
      <c r="B118" s="5"/>
      <c r="C118" s="5" t="s">
        <v>110</v>
      </c>
      <c r="D118" s="5" t="s">
        <v>252</v>
      </c>
      <c r="E118" s="5" t="s">
        <v>340</v>
      </c>
      <c r="F118" s="22">
        <v>17</v>
      </c>
      <c r="G118" s="22">
        <v>0</v>
      </c>
      <c r="H118" s="22">
        <f>F118*AE118</f>
        <v>0</v>
      </c>
      <c r="I118" s="22">
        <f>J118-H118</f>
        <v>0</v>
      </c>
      <c r="J118" s="22">
        <f>F118*G118</f>
        <v>0</v>
      </c>
      <c r="K118" s="22">
        <v>0</v>
      </c>
      <c r="L118" s="22">
        <f>F118*K118</f>
        <v>0</v>
      </c>
      <c r="M118" s="37" t="s">
        <v>360</v>
      </c>
      <c r="P118" s="40">
        <f>IF(AG118="5",J118,0)</f>
        <v>0</v>
      </c>
      <c r="R118" s="40">
        <f>IF(AG118="1",H118,0)</f>
        <v>0</v>
      </c>
      <c r="S118" s="40">
        <f>IF(AG118="1",I118,0)</f>
        <v>0</v>
      </c>
      <c r="T118" s="40">
        <f>IF(AG118="7",H118,0)</f>
        <v>0</v>
      </c>
      <c r="U118" s="40">
        <f>IF(AG118="7",I118,0)</f>
        <v>0</v>
      </c>
      <c r="V118" s="40">
        <f>IF(AG118="2",H118,0)</f>
        <v>0</v>
      </c>
      <c r="W118" s="40">
        <f>IF(AG118="2",I118,0)</f>
        <v>0</v>
      </c>
      <c r="X118" s="40">
        <f>IF(AG118="0",J118,0)</f>
        <v>0</v>
      </c>
      <c r="Y118" s="32"/>
      <c r="Z118" s="22">
        <f>IF(AD118=0,J118,0)</f>
        <v>0</v>
      </c>
      <c r="AA118" s="22">
        <f>IF(AD118=15,J118,0)</f>
        <v>0</v>
      </c>
      <c r="AB118" s="22">
        <f>IF(AD118=21,J118,0)</f>
        <v>0</v>
      </c>
      <c r="AD118" s="40">
        <v>21</v>
      </c>
      <c r="AE118" s="40">
        <f>G118*0</f>
        <v>0</v>
      </c>
      <c r="AF118" s="40">
        <f>G118*(1-0)</f>
        <v>0</v>
      </c>
      <c r="AG118" s="37" t="s">
        <v>7</v>
      </c>
      <c r="AM118" s="40">
        <f>F118*AE118</f>
        <v>0</v>
      </c>
      <c r="AN118" s="40">
        <f>F118*AF118</f>
        <v>0</v>
      </c>
      <c r="AO118" s="41" t="s">
        <v>382</v>
      </c>
      <c r="AP118" s="41" t="s">
        <v>393</v>
      </c>
      <c r="AQ118" s="32" t="s">
        <v>396</v>
      </c>
      <c r="AS118" s="40">
        <f>AM118+AN118</f>
        <v>0</v>
      </c>
      <c r="AT118" s="40">
        <f>G118/(100-AU118)*100</f>
        <v>0</v>
      </c>
      <c r="AU118" s="40">
        <v>0</v>
      </c>
      <c r="AV118" s="40">
        <f>L118</f>
        <v>0</v>
      </c>
    </row>
    <row r="119" spans="4:6" ht="12.75">
      <c r="D119" s="17" t="s">
        <v>23</v>
      </c>
      <c r="F119" s="23">
        <v>17</v>
      </c>
    </row>
    <row r="120" spans="3:13" ht="25.5" customHeight="1">
      <c r="C120" s="15" t="s">
        <v>80</v>
      </c>
      <c r="D120" s="95" t="s">
        <v>253</v>
      </c>
      <c r="E120" s="96"/>
      <c r="F120" s="96"/>
      <c r="G120" s="96"/>
      <c r="H120" s="96"/>
      <c r="I120" s="96"/>
      <c r="J120" s="96"/>
      <c r="K120" s="96"/>
      <c r="L120" s="96"/>
      <c r="M120" s="96"/>
    </row>
    <row r="121" spans="1:37" ht="12.75">
      <c r="A121" s="6"/>
      <c r="B121" s="14"/>
      <c r="C121" s="14" t="s">
        <v>111</v>
      </c>
      <c r="D121" s="14" t="s">
        <v>254</v>
      </c>
      <c r="E121" s="6" t="s">
        <v>6</v>
      </c>
      <c r="F121" s="6" t="s">
        <v>6</v>
      </c>
      <c r="G121" s="6" t="s">
        <v>6</v>
      </c>
      <c r="H121" s="43">
        <f>SUM(H122:H148)</f>
        <v>0</v>
      </c>
      <c r="I121" s="43">
        <f>SUM(I122:I148)</f>
        <v>0</v>
      </c>
      <c r="J121" s="43">
        <f>H121+I121</f>
        <v>0</v>
      </c>
      <c r="K121" s="32"/>
      <c r="L121" s="43">
        <f>SUM(L122:L148)</f>
        <v>0.7117600000000001</v>
      </c>
      <c r="M121" s="32"/>
      <c r="Y121" s="32"/>
      <c r="AI121" s="43">
        <f>SUM(Z122:Z148)</f>
        <v>0</v>
      </c>
      <c r="AJ121" s="43">
        <f>SUM(AA122:AA148)</f>
        <v>0</v>
      </c>
      <c r="AK121" s="43">
        <f>SUM(AB122:AB148)</f>
        <v>0</v>
      </c>
    </row>
    <row r="122" spans="1:48" ht="12.75">
      <c r="A122" s="5" t="s">
        <v>38</v>
      </c>
      <c r="B122" s="5"/>
      <c r="C122" s="5" t="s">
        <v>112</v>
      </c>
      <c r="D122" s="5" t="s">
        <v>255</v>
      </c>
      <c r="E122" s="5" t="s">
        <v>340</v>
      </c>
      <c r="F122" s="22">
        <v>1</v>
      </c>
      <c r="G122" s="22">
        <v>0</v>
      </c>
      <c r="H122" s="22">
        <f>F122*AE122</f>
        <v>0</v>
      </c>
      <c r="I122" s="22">
        <f>J122-H122</f>
        <v>0</v>
      </c>
      <c r="J122" s="22">
        <f>F122*G122</f>
        <v>0</v>
      </c>
      <c r="K122" s="22">
        <v>0.00022</v>
      </c>
      <c r="L122" s="22">
        <f>F122*K122</f>
        <v>0.00022</v>
      </c>
      <c r="M122" s="37" t="s">
        <v>360</v>
      </c>
      <c r="P122" s="40">
        <f>IF(AG122="5",J122,0)</f>
        <v>0</v>
      </c>
      <c r="R122" s="40">
        <f>IF(AG122="1",H122,0)</f>
        <v>0</v>
      </c>
      <c r="S122" s="40">
        <f>IF(AG122="1",I122,0)</f>
        <v>0</v>
      </c>
      <c r="T122" s="40">
        <f>IF(AG122="7",H122,0)</f>
        <v>0</v>
      </c>
      <c r="U122" s="40">
        <f>IF(AG122="7",I122,0)</f>
        <v>0</v>
      </c>
      <c r="V122" s="40">
        <f>IF(AG122="2",H122,0)</f>
        <v>0</v>
      </c>
      <c r="W122" s="40">
        <f>IF(AG122="2",I122,0)</f>
        <v>0</v>
      </c>
      <c r="X122" s="40">
        <f>IF(AG122="0",J122,0)</f>
        <v>0</v>
      </c>
      <c r="Y122" s="32"/>
      <c r="Z122" s="22">
        <f>IF(AD122=0,J122,0)</f>
        <v>0</v>
      </c>
      <c r="AA122" s="22">
        <f>IF(AD122=15,J122,0)</f>
        <v>0</v>
      </c>
      <c r="AB122" s="22">
        <f>IF(AD122=21,J122,0)</f>
        <v>0</v>
      </c>
      <c r="AD122" s="40">
        <v>21</v>
      </c>
      <c r="AE122" s="40">
        <f>G122*0.121114551083591</f>
        <v>0</v>
      </c>
      <c r="AF122" s="40">
        <f>G122*(1-0.121114551083591)</f>
        <v>0</v>
      </c>
      <c r="AG122" s="37" t="s">
        <v>7</v>
      </c>
      <c r="AM122" s="40">
        <f>F122*AE122</f>
        <v>0</v>
      </c>
      <c r="AN122" s="40">
        <f>F122*AF122</f>
        <v>0</v>
      </c>
      <c r="AO122" s="41" t="s">
        <v>383</v>
      </c>
      <c r="AP122" s="41" t="s">
        <v>393</v>
      </c>
      <c r="AQ122" s="32" t="s">
        <v>396</v>
      </c>
      <c r="AS122" s="40">
        <f>AM122+AN122</f>
        <v>0</v>
      </c>
      <c r="AT122" s="40">
        <f>G122/(100-AU122)*100</f>
        <v>0</v>
      </c>
      <c r="AU122" s="40">
        <v>0</v>
      </c>
      <c r="AV122" s="40">
        <f>L122</f>
        <v>0.00022</v>
      </c>
    </row>
    <row r="123" spans="4:6" ht="12.75">
      <c r="D123" s="17" t="s">
        <v>7</v>
      </c>
      <c r="F123" s="23">
        <v>1</v>
      </c>
    </row>
    <row r="124" spans="3:13" ht="51" customHeight="1">
      <c r="C124" s="15" t="s">
        <v>80</v>
      </c>
      <c r="D124" s="95" t="s">
        <v>256</v>
      </c>
      <c r="E124" s="96"/>
      <c r="F124" s="96"/>
      <c r="G124" s="96"/>
      <c r="H124" s="96"/>
      <c r="I124" s="96"/>
      <c r="J124" s="96"/>
      <c r="K124" s="96"/>
      <c r="L124" s="96"/>
      <c r="M124" s="96"/>
    </row>
    <row r="125" spans="1:48" ht="12.75">
      <c r="A125" s="5" t="s">
        <v>39</v>
      </c>
      <c r="B125" s="5"/>
      <c r="C125" s="5" t="s">
        <v>113</v>
      </c>
      <c r="D125" s="5" t="s">
        <v>257</v>
      </c>
      <c r="E125" s="5" t="s">
        <v>340</v>
      </c>
      <c r="F125" s="22">
        <v>1</v>
      </c>
      <c r="G125" s="22">
        <v>0</v>
      </c>
      <c r="H125" s="22">
        <f>F125*AE125</f>
        <v>0</v>
      </c>
      <c r="I125" s="22">
        <f>J125-H125</f>
        <v>0</v>
      </c>
      <c r="J125" s="22">
        <f>F125*G125</f>
        <v>0</v>
      </c>
      <c r="K125" s="22">
        <v>0.00011</v>
      </c>
      <c r="L125" s="22">
        <f>F125*K125</f>
        <v>0.00011</v>
      </c>
      <c r="M125" s="37" t="s">
        <v>360</v>
      </c>
      <c r="P125" s="40">
        <f>IF(AG125="5",J125,0)</f>
        <v>0</v>
      </c>
      <c r="R125" s="40">
        <f>IF(AG125="1",H125,0)</f>
        <v>0</v>
      </c>
      <c r="S125" s="40">
        <f>IF(AG125="1",I125,0)</f>
        <v>0</v>
      </c>
      <c r="T125" s="40">
        <f>IF(AG125="7",H125,0)</f>
        <v>0</v>
      </c>
      <c r="U125" s="40">
        <f>IF(AG125="7",I125,0)</f>
        <v>0</v>
      </c>
      <c r="V125" s="40">
        <f>IF(AG125="2",H125,0)</f>
        <v>0</v>
      </c>
      <c r="W125" s="40">
        <f>IF(AG125="2",I125,0)</f>
        <v>0</v>
      </c>
      <c r="X125" s="40">
        <f>IF(AG125="0",J125,0)</f>
        <v>0</v>
      </c>
      <c r="Y125" s="32"/>
      <c r="Z125" s="22">
        <f>IF(AD125=0,J125,0)</f>
        <v>0</v>
      </c>
      <c r="AA125" s="22">
        <f>IF(AD125=15,J125,0)</f>
        <v>0</v>
      </c>
      <c r="AB125" s="22">
        <f>IF(AD125=21,J125,0)</f>
        <v>0</v>
      </c>
      <c r="AD125" s="40">
        <v>21</v>
      </c>
      <c r="AE125" s="40">
        <f>G125*0.117645051194539</f>
        <v>0</v>
      </c>
      <c r="AF125" s="40">
        <f>G125*(1-0.117645051194539)</f>
        <v>0</v>
      </c>
      <c r="AG125" s="37" t="s">
        <v>7</v>
      </c>
      <c r="AM125" s="40">
        <f>F125*AE125</f>
        <v>0</v>
      </c>
      <c r="AN125" s="40">
        <f>F125*AF125</f>
        <v>0</v>
      </c>
      <c r="AO125" s="41" t="s">
        <v>383</v>
      </c>
      <c r="AP125" s="41" t="s">
        <v>393</v>
      </c>
      <c r="AQ125" s="32" t="s">
        <v>396</v>
      </c>
      <c r="AS125" s="40">
        <f>AM125+AN125</f>
        <v>0</v>
      </c>
      <c r="AT125" s="40">
        <f>G125/(100-AU125)*100</f>
        <v>0</v>
      </c>
      <c r="AU125" s="40">
        <v>0</v>
      </c>
      <c r="AV125" s="40">
        <f>L125</f>
        <v>0.00011</v>
      </c>
    </row>
    <row r="126" spans="4:6" ht="12.75">
      <c r="D126" s="17" t="s">
        <v>7</v>
      </c>
      <c r="F126" s="23">
        <v>1</v>
      </c>
    </row>
    <row r="127" spans="3:13" ht="51" customHeight="1">
      <c r="C127" s="15" t="s">
        <v>80</v>
      </c>
      <c r="D127" s="95" t="s">
        <v>258</v>
      </c>
      <c r="E127" s="96"/>
      <c r="F127" s="96"/>
      <c r="G127" s="96"/>
      <c r="H127" s="96"/>
      <c r="I127" s="96"/>
      <c r="J127" s="96"/>
      <c r="K127" s="96"/>
      <c r="L127" s="96"/>
      <c r="M127" s="96"/>
    </row>
    <row r="128" spans="1:48" ht="12.75">
      <c r="A128" s="5" t="s">
        <v>40</v>
      </c>
      <c r="B128" s="5"/>
      <c r="C128" s="5" t="s">
        <v>114</v>
      </c>
      <c r="D128" s="5" t="s">
        <v>259</v>
      </c>
      <c r="E128" s="5" t="s">
        <v>340</v>
      </c>
      <c r="F128" s="22">
        <v>2</v>
      </c>
      <c r="G128" s="22">
        <v>0</v>
      </c>
      <c r="H128" s="22">
        <f>F128*AE128</f>
        <v>0</v>
      </c>
      <c r="I128" s="22">
        <f>J128-H128</f>
        <v>0</v>
      </c>
      <c r="J128" s="22">
        <f>F128*G128</f>
        <v>0</v>
      </c>
      <c r="K128" s="22">
        <v>0.00278</v>
      </c>
      <c r="L128" s="22">
        <f>F128*K128</f>
        <v>0.00556</v>
      </c>
      <c r="M128" s="37" t="s">
        <v>360</v>
      </c>
      <c r="P128" s="40">
        <f>IF(AG128="5",J128,0)</f>
        <v>0</v>
      </c>
      <c r="R128" s="40">
        <f>IF(AG128="1",H128,0)</f>
        <v>0</v>
      </c>
      <c r="S128" s="40">
        <f>IF(AG128="1",I128,0)</f>
        <v>0</v>
      </c>
      <c r="T128" s="40">
        <f>IF(AG128="7",H128,0)</f>
        <v>0</v>
      </c>
      <c r="U128" s="40">
        <f>IF(AG128="7",I128,0)</f>
        <v>0</v>
      </c>
      <c r="V128" s="40">
        <f>IF(AG128="2",H128,0)</f>
        <v>0</v>
      </c>
      <c r="W128" s="40">
        <f>IF(AG128="2",I128,0)</f>
        <v>0</v>
      </c>
      <c r="X128" s="40">
        <f>IF(AG128="0",J128,0)</f>
        <v>0</v>
      </c>
      <c r="Y128" s="32"/>
      <c r="Z128" s="22">
        <f>IF(AD128=0,J128,0)</f>
        <v>0</v>
      </c>
      <c r="AA128" s="22">
        <f>IF(AD128=15,J128,0)</f>
        <v>0</v>
      </c>
      <c r="AB128" s="22">
        <f>IF(AD128=21,J128,0)</f>
        <v>0</v>
      </c>
      <c r="AD128" s="40">
        <v>21</v>
      </c>
      <c r="AE128" s="40">
        <f>G128*0.183823529411765</f>
        <v>0</v>
      </c>
      <c r="AF128" s="40">
        <f>G128*(1-0.183823529411765)</f>
        <v>0</v>
      </c>
      <c r="AG128" s="37" t="s">
        <v>7</v>
      </c>
      <c r="AM128" s="40">
        <f>F128*AE128</f>
        <v>0</v>
      </c>
      <c r="AN128" s="40">
        <f>F128*AF128</f>
        <v>0</v>
      </c>
      <c r="AO128" s="41" t="s">
        <v>383</v>
      </c>
      <c r="AP128" s="41" t="s">
        <v>393</v>
      </c>
      <c r="AQ128" s="32" t="s">
        <v>396</v>
      </c>
      <c r="AS128" s="40">
        <f>AM128+AN128</f>
        <v>0</v>
      </c>
      <c r="AT128" s="40">
        <f>G128/(100-AU128)*100</f>
        <v>0</v>
      </c>
      <c r="AU128" s="40">
        <v>0</v>
      </c>
      <c r="AV128" s="40">
        <f>L128</f>
        <v>0.00556</v>
      </c>
    </row>
    <row r="129" spans="4:6" ht="12.75">
      <c r="D129" s="17" t="s">
        <v>8</v>
      </c>
      <c r="F129" s="23">
        <v>2</v>
      </c>
    </row>
    <row r="130" spans="3:13" ht="51" customHeight="1">
      <c r="C130" s="15" t="s">
        <v>80</v>
      </c>
      <c r="D130" s="95" t="s">
        <v>256</v>
      </c>
      <c r="E130" s="96"/>
      <c r="F130" s="96"/>
      <c r="G130" s="96"/>
      <c r="H130" s="96"/>
      <c r="I130" s="96"/>
      <c r="J130" s="96"/>
      <c r="K130" s="96"/>
      <c r="L130" s="96"/>
      <c r="M130" s="96"/>
    </row>
    <row r="131" spans="1:48" ht="12.75">
      <c r="A131" s="5" t="s">
        <v>41</v>
      </c>
      <c r="B131" s="5"/>
      <c r="C131" s="5" t="s">
        <v>115</v>
      </c>
      <c r="D131" s="5" t="s">
        <v>260</v>
      </c>
      <c r="E131" s="5" t="s">
        <v>335</v>
      </c>
      <c r="F131" s="22">
        <v>24</v>
      </c>
      <c r="G131" s="22">
        <v>0</v>
      </c>
      <c r="H131" s="22">
        <f>F131*AE131</f>
        <v>0</v>
      </c>
      <c r="I131" s="22">
        <f>J131-H131</f>
        <v>0</v>
      </c>
      <c r="J131" s="22">
        <f>F131*G131</f>
        <v>0</v>
      </c>
      <c r="K131" s="22">
        <v>0</v>
      </c>
      <c r="L131" s="22">
        <f>F131*K131</f>
        <v>0</v>
      </c>
      <c r="M131" s="37" t="s">
        <v>360</v>
      </c>
      <c r="P131" s="40">
        <f>IF(AG131="5",J131,0)</f>
        <v>0</v>
      </c>
      <c r="R131" s="40">
        <f>IF(AG131="1",H131,0)</f>
        <v>0</v>
      </c>
      <c r="S131" s="40">
        <f>IF(AG131="1",I131,0)</f>
        <v>0</v>
      </c>
      <c r="T131" s="40">
        <f>IF(AG131="7",H131,0)</f>
        <v>0</v>
      </c>
      <c r="U131" s="40">
        <f>IF(AG131="7",I131,0)</f>
        <v>0</v>
      </c>
      <c r="V131" s="40">
        <f>IF(AG131="2",H131,0)</f>
        <v>0</v>
      </c>
      <c r="W131" s="40">
        <f>IF(AG131="2",I131,0)</f>
        <v>0</v>
      </c>
      <c r="X131" s="40">
        <f>IF(AG131="0",J131,0)</f>
        <v>0</v>
      </c>
      <c r="Y131" s="32"/>
      <c r="Z131" s="22">
        <f>IF(AD131=0,J131,0)</f>
        <v>0</v>
      </c>
      <c r="AA131" s="22">
        <f>IF(AD131=15,J131,0)</f>
        <v>0</v>
      </c>
      <c r="AB131" s="22">
        <f>IF(AD131=21,J131,0)</f>
        <v>0</v>
      </c>
      <c r="AD131" s="40">
        <v>21</v>
      </c>
      <c r="AE131" s="40">
        <f>G131*0.0665116279069767</f>
        <v>0</v>
      </c>
      <c r="AF131" s="40">
        <f>G131*(1-0.0665116279069767)</f>
        <v>0</v>
      </c>
      <c r="AG131" s="37" t="s">
        <v>7</v>
      </c>
      <c r="AM131" s="40">
        <f>F131*AE131</f>
        <v>0</v>
      </c>
      <c r="AN131" s="40">
        <f>F131*AF131</f>
        <v>0</v>
      </c>
      <c r="AO131" s="41" t="s">
        <v>383</v>
      </c>
      <c r="AP131" s="41" t="s">
        <v>393</v>
      </c>
      <c r="AQ131" s="32" t="s">
        <v>396</v>
      </c>
      <c r="AS131" s="40">
        <f>AM131+AN131</f>
        <v>0</v>
      </c>
      <c r="AT131" s="40">
        <f>G131/(100-AU131)*100</f>
        <v>0</v>
      </c>
      <c r="AU131" s="40">
        <v>0</v>
      </c>
      <c r="AV131" s="40">
        <f>L131</f>
        <v>0</v>
      </c>
    </row>
    <row r="132" spans="4:6" ht="12.75">
      <c r="D132" s="17" t="s">
        <v>30</v>
      </c>
      <c r="F132" s="23">
        <v>24</v>
      </c>
    </row>
    <row r="133" spans="3:13" ht="12.75">
      <c r="C133" s="15" t="s">
        <v>80</v>
      </c>
      <c r="D133" s="95" t="s">
        <v>261</v>
      </c>
      <c r="E133" s="96"/>
      <c r="F133" s="96"/>
      <c r="G133" s="96"/>
      <c r="H133" s="96"/>
      <c r="I133" s="96"/>
      <c r="J133" s="96"/>
      <c r="K133" s="96"/>
      <c r="L133" s="96"/>
      <c r="M133" s="96"/>
    </row>
    <row r="134" spans="1:48" ht="12.75">
      <c r="A134" s="5" t="s">
        <v>42</v>
      </c>
      <c r="B134" s="5"/>
      <c r="C134" s="5" t="s">
        <v>116</v>
      </c>
      <c r="D134" s="5" t="s">
        <v>262</v>
      </c>
      <c r="E134" s="5" t="s">
        <v>335</v>
      </c>
      <c r="F134" s="22">
        <v>24</v>
      </c>
      <c r="G134" s="22">
        <v>0</v>
      </c>
      <c r="H134" s="22">
        <f>F134*AE134</f>
        <v>0</v>
      </c>
      <c r="I134" s="22">
        <f>J134-H134</f>
        <v>0</v>
      </c>
      <c r="J134" s="22">
        <f>F134*G134</f>
        <v>0</v>
      </c>
      <c r="K134" s="22">
        <v>0</v>
      </c>
      <c r="L134" s="22">
        <f>F134*K134</f>
        <v>0</v>
      </c>
      <c r="M134" s="37" t="s">
        <v>360</v>
      </c>
      <c r="P134" s="40">
        <f>IF(AG134="5",J134,0)</f>
        <v>0</v>
      </c>
      <c r="R134" s="40">
        <f>IF(AG134="1",H134,0)</f>
        <v>0</v>
      </c>
      <c r="S134" s="40">
        <f>IF(AG134="1",I134,0)</f>
        <v>0</v>
      </c>
      <c r="T134" s="40">
        <f>IF(AG134="7",H134,0)</f>
        <v>0</v>
      </c>
      <c r="U134" s="40">
        <f>IF(AG134="7",I134,0)</f>
        <v>0</v>
      </c>
      <c r="V134" s="40">
        <f>IF(AG134="2",H134,0)</f>
        <v>0</v>
      </c>
      <c r="W134" s="40">
        <f>IF(AG134="2",I134,0)</f>
        <v>0</v>
      </c>
      <c r="X134" s="40">
        <f>IF(AG134="0",J134,0)</f>
        <v>0</v>
      </c>
      <c r="Y134" s="32"/>
      <c r="Z134" s="22">
        <f>IF(AD134=0,J134,0)</f>
        <v>0</v>
      </c>
      <c r="AA134" s="22">
        <f>IF(AD134=15,J134,0)</f>
        <v>0</v>
      </c>
      <c r="AB134" s="22">
        <f>IF(AD134=21,J134,0)</f>
        <v>0</v>
      </c>
      <c r="AD134" s="40">
        <v>21</v>
      </c>
      <c r="AE134" s="40">
        <f>G134*0.0375737704918033</f>
        <v>0</v>
      </c>
      <c r="AF134" s="40">
        <f>G134*(1-0.0375737704918033)</f>
        <v>0</v>
      </c>
      <c r="AG134" s="37" t="s">
        <v>7</v>
      </c>
      <c r="AM134" s="40">
        <f>F134*AE134</f>
        <v>0</v>
      </c>
      <c r="AN134" s="40">
        <f>F134*AF134</f>
        <v>0</v>
      </c>
      <c r="AO134" s="41" t="s">
        <v>383</v>
      </c>
      <c r="AP134" s="41" t="s">
        <v>393</v>
      </c>
      <c r="AQ134" s="32" t="s">
        <v>396</v>
      </c>
      <c r="AS134" s="40">
        <f>AM134+AN134</f>
        <v>0</v>
      </c>
      <c r="AT134" s="40">
        <f>G134/(100-AU134)*100</f>
        <v>0</v>
      </c>
      <c r="AU134" s="40">
        <v>0</v>
      </c>
      <c r="AV134" s="40">
        <f>L134</f>
        <v>0</v>
      </c>
    </row>
    <row r="135" spans="4:6" ht="12.75">
      <c r="D135" s="17" t="s">
        <v>30</v>
      </c>
      <c r="F135" s="23">
        <v>24</v>
      </c>
    </row>
    <row r="136" spans="3:13" ht="12.75">
      <c r="C136" s="15" t="s">
        <v>80</v>
      </c>
      <c r="D136" s="95" t="s">
        <v>263</v>
      </c>
      <c r="E136" s="96"/>
      <c r="F136" s="96"/>
      <c r="G136" s="96"/>
      <c r="H136" s="96"/>
      <c r="I136" s="96"/>
      <c r="J136" s="96"/>
      <c r="K136" s="96"/>
      <c r="L136" s="96"/>
      <c r="M136" s="96"/>
    </row>
    <row r="137" spans="1:48" ht="12.75">
      <c r="A137" s="5" t="s">
        <v>43</v>
      </c>
      <c r="B137" s="5"/>
      <c r="C137" s="5" t="s">
        <v>117</v>
      </c>
      <c r="D137" s="5" t="s">
        <v>264</v>
      </c>
      <c r="E137" s="5" t="s">
        <v>341</v>
      </c>
      <c r="F137" s="22">
        <v>2</v>
      </c>
      <c r="G137" s="22">
        <v>0</v>
      </c>
      <c r="H137" s="22">
        <f>F137*AE137</f>
        <v>0</v>
      </c>
      <c r="I137" s="22">
        <f>J137-H137</f>
        <v>0</v>
      </c>
      <c r="J137" s="22">
        <f>F137*G137</f>
        <v>0</v>
      </c>
      <c r="K137" s="22">
        <v>0.03503</v>
      </c>
      <c r="L137" s="22">
        <f>F137*K137</f>
        <v>0.07006</v>
      </c>
      <c r="M137" s="37" t="s">
        <v>360</v>
      </c>
      <c r="P137" s="40">
        <f>IF(AG137="5",J137,0)</f>
        <v>0</v>
      </c>
      <c r="R137" s="40">
        <f>IF(AG137="1",H137,0)</f>
        <v>0</v>
      </c>
      <c r="S137" s="40">
        <f>IF(AG137="1",I137,0)</f>
        <v>0</v>
      </c>
      <c r="T137" s="40">
        <f>IF(AG137="7",H137,0)</f>
        <v>0</v>
      </c>
      <c r="U137" s="40">
        <f>IF(AG137="7",I137,0)</f>
        <v>0</v>
      </c>
      <c r="V137" s="40">
        <f>IF(AG137="2",H137,0)</f>
        <v>0</v>
      </c>
      <c r="W137" s="40">
        <f>IF(AG137="2",I137,0)</f>
        <v>0</v>
      </c>
      <c r="X137" s="40">
        <f>IF(AG137="0",J137,0)</f>
        <v>0</v>
      </c>
      <c r="Y137" s="32"/>
      <c r="Z137" s="22">
        <f>IF(AD137=0,J137,0)</f>
        <v>0</v>
      </c>
      <c r="AA137" s="22">
        <f>IF(AD137=15,J137,0)</f>
        <v>0</v>
      </c>
      <c r="AB137" s="22">
        <f>IF(AD137=21,J137,0)</f>
        <v>0</v>
      </c>
      <c r="AD137" s="40">
        <v>21</v>
      </c>
      <c r="AE137" s="40">
        <f>G137*0.424703161141095</f>
        <v>0</v>
      </c>
      <c r="AF137" s="40">
        <f>G137*(1-0.424703161141095)</f>
        <v>0</v>
      </c>
      <c r="AG137" s="37" t="s">
        <v>7</v>
      </c>
      <c r="AM137" s="40">
        <f>F137*AE137</f>
        <v>0</v>
      </c>
      <c r="AN137" s="40">
        <f>F137*AF137</f>
        <v>0</v>
      </c>
      <c r="AO137" s="41" t="s">
        <v>383</v>
      </c>
      <c r="AP137" s="41" t="s">
        <v>393</v>
      </c>
      <c r="AQ137" s="32" t="s">
        <v>396</v>
      </c>
      <c r="AS137" s="40">
        <f>AM137+AN137</f>
        <v>0</v>
      </c>
      <c r="AT137" s="40">
        <f>G137/(100-AU137)*100</f>
        <v>0</v>
      </c>
      <c r="AU137" s="40">
        <v>0</v>
      </c>
      <c r="AV137" s="40">
        <f>L137</f>
        <v>0.07006</v>
      </c>
    </row>
    <row r="138" spans="4:6" ht="12.75">
      <c r="D138" s="17" t="s">
        <v>8</v>
      </c>
      <c r="F138" s="23">
        <v>2</v>
      </c>
    </row>
    <row r="139" spans="3:13" ht="25.5" customHeight="1">
      <c r="C139" s="15" t="s">
        <v>80</v>
      </c>
      <c r="D139" s="95" t="s">
        <v>265</v>
      </c>
      <c r="E139" s="96"/>
      <c r="F139" s="96"/>
      <c r="G139" s="96"/>
      <c r="H139" s="96"/>
      <c r="I139" s="96"/>
      <c r="J139" s="96"/>
      <c r="K139" s="96"/>
      <c r="L139" s="96"/>
      <c r="M139" s="96"/>
    </row>
    <row r="140" spans="1:48" ht="12.75">
      <c r="A140" s="5" t="s">
        <v>44</v>
      </c>
      <c r="B140" s="5"/>
      <c r="C140" s="5" t="s">
        <v>118</v>
      </c>
      <c r="D140" s="5" t="s">
        <v>266</v>
      </c>
      <c r="E140" s="5" t="s">
        <v>340</v>
      </c>
      <c r="F140" s="22">
        <v>3</v>
      </c>
      <c r="G140" s="22">
        <v>0</v>
      </c>
      <c r="H140" s="22">
        <f>F140*AE140</f>
        <v>0</v>
      </c>
      <c r="I140" s="22">
        <f>J140-H140</f>
        <v>0</v>
      </c>
      <c r="J140" s="22">
        <f>F140*G140</f>
        <v>0</v>
      </c>
      <c r="K140" s="22">
        <v>0.11178</v>
      </c>
      <c r="L140" s="22">
        <f>F140*K140</f>
        <v>0.33534</v>
      </c>
      <c r="M140" s="37" t="s">
        <v>360</v>
      </c>
      <c r="P140" s="40">
        <f>IF(AG140="5",J140,0)</f>
        <v>0</v>
      </c>
      <c r="R140" s="40">
        <f>IF(AG140="1",H140,0)</f>
        <v>0</v>
      </c>
      <c r="S140" s="40">
        <f>IF(AG140="1",I140,0)</f>
        <v>0</v>
      </c>
      <c r="T140" s="40">
        <f>IF(AG140="7",H140,0)</f>
        <v>0</v>
      </c>
      <c r="U140" s="40">
        <f>IF(AG140="7",I140,0)</f>
        <v>0</v>
      </c>
      <c r="V140" s="40">
        <f>IF(AG140="2",H140,0)</f>
        <v>0</v>
      </c>
      <c r="W140" s="40">
        <f>IF(AG140="2",I140,0)</f>
        <v>0</v>
      </c>
      <c r="X140" s="40">
        <f>IF(AG140="0",J140,0)</f>
        <v>0</v>
      </c>
      <c r="Y140" s="32"/>
      <c r="Z140" s="22">
        <f>IF(AD140=0,J140,0)</f>
        <v>0</v>
      </c>
      <c r="AA140" s="22">
        <f>IF(AD140=15,J140,0)</f>
        <v>0</v>
      </c>
      <c r="AB140" s="22">
        <f>IF(AD140=21,J140,0)</f>
        <v>0</v>
      </c>
      <c r="AD140" s="40">
        <v>21</v>
      </c>
      <c r="AE140" s="40">
        <f>G140*0.367453142227122</f>
        <v>0</v>
      </c>
      <c r="AF140" s="40">
        <f>G140*(1-0.367453142227122)</f>
        <v>0</v>
      </c>
      <c r="AG140" s="37" t="s">
        <v>7</v>
      </c>
      <c r="AM140" s="40">
        <f>F140*AE140</f>
        <v>0</v>
      </c>
      <c r="AN140" s="40">
        <f>F140*AF140</f>
        <v>0</v>
      </c>
      <c r="AO140" s="41" t="s">
        <v>383</v>
      </c>
      <c r="AP140" s="41" t="s">
        <v>393</v>
      </c>
      <c r="AQ140" s="32" t="s">
        <v>396</v>
      </c>
      <c r="AS140" s="40">
        <f>AM140+AN140</f>
        <v>0</v>
      </c>
      <c r="AT140" s="40">
        <f>G140/(100-AU140)*100</f>
        <v>0</v>
      </c>
      <c r="AU140" s="40">
        <v>0</v>
      </c>
      <c r="AV140" s="40">
        <f>L140</f>
        <v>0.33534</v>
      </c>
    </row>
    <row r="141" spans="4:6" ht="12.75">
      <c r="D141" s="17" t="s">
        <v>9</v>
      </c>
      <c r="F141" s="23">
        <v>3</v>
      </c>
    </row>
    <row r="142" spans="3:13" ht="12.75">
      <c r="C142" s="15" t="s">
        <v>80</v>
      </c>
      <c r="D142" s="95" t="s">
        <v>267</v>
      </c>
      <c r="E142" s="96"/>
      <c r="F142" s="96"/>
      <c r="G142" s="96"/>
      <c r="H142" s="96"/>
      <c r="I142" s="96"/>
      <c r="J142" s="96"/>
      <c r="K142" s="96"/>
      <c r="L142" s="96"/>
      <c r="M142" s="96"/>
    </row>
    <row r="143" spans="1:48" ht="12.75">
      <c r="A143" s="5" t="s">
        <v>45</v>
      </c>
      <c r="B143" s="5"/>
      <c r="C143" s="5" t="s">
        <v>119</v>
      </c>
      <c r="D143" s="5" t="s">
        <v>268</v>
      </c>
      <c r="E143" s="5" t="s">
        <v>340</v>
      </c>
      <c r="F143" s="22">
        <v>1</v>
      </c>
      <c r="G143" s="22">
        <v>0</v>
      </c>
      <c r="H143" s="22">
        <f>F143*AE143</f>
        <v>0</v>
      </c>
      <c r="I143" s="22">
        <f>J143-H143</f>
        <v>0</v>
      </c>
      <c r="J143" s="22">
        <f>F143*G143</f>
        <v>0</v>
      </c>
      <c r="K143" s="22">
        <v>0.29823</v>
      </c>
      <c r="L143" s="22">
        <f>F143*K143</f>
        <v>0.29823</v>
      </c>
      <c r="M143" s="37" t="s">
        <v>360</v>
      </c>
      <c r="P143" s="40">
        <f>IF(AG143="5",J143,0)</f>
        <v>0</v>
      </c>
      <c r="R143" s="40">
        <f>IF(AG143="1",H143,0)</f>
        <v>0</v>
      </c>
      <c r="S143" s="40">
        <f>IF(AG143="1",I143,0)</f>
        <v>0</v>
      </c>
      <c r="T143" s="40">
        <f>IF(AG143="7",H143,0)</f>
        <v>0</v>
      </c>
      <c r="U143" s="40">
        <f>IF(AG143="7",I143,0)</f>
        <v>0</v>
      </c>
      <c r="V143" s="40">
        <f>IF(AG143="2",H143,0)</f>
        <v>0</v>
      </c>
      <c r="W143" s="40">
        <f>IF(AG143="2",I143,0)</f>
        <v>0</v>
      </c>
      <c r="X143" s="40">
        <f>IF(AG143="0",J143,0)</f>
        <v>0</v>
      </c>
      <c r="Y143" s="32"/>
      <c r="Z143" s="22">
        <f>IF(AD143=0,J143,0)</f>
        <v>0</v>
      </c>
      <c r="AA143" s="22">
        <f>IF(AD143=15,J143,0)</f>
        <v>0</v>
      </c>
      <c r="AB143" s="22">
        <f>IF(AD143=21,J143,0)</f>
        <v>0</v>
      </c>
      <c r="AD143" s="40">
        <v>21</v>
      </c>
      <c r="AE143" s="40">
        <f>G143*0.528299881936246</f>
        <v>0</v>
      </c>
      <c r="AF143" s="40">
        <f>G143*(1-0.528299881936246)</f>
        <v>0</v>
      </c>
      <c r="AG143" s="37" t="s">
        <v>7</v>
      </c>
      <c r="AM143" s="40">
        <f>F143*AE143</f>
        <v>0</v>
      </c>
      <c r="AN143" s="40">
        <f>F143*AF143</f>
        <v>0</v>
      </c>
      <c r="AO143" s="41" t="s">
        <v>383</v>
      </c>
      <c r="AP143" s="41" t="s">
        <v>393</v>
      </c>
      <c r="AQ143" s="32" t="s">
        <v>396</v>
      </c>
      <c r="AS143" s="40">
        <f>AM143+AN143</f>
        <v>0</v>
      </c>
      <c r="AT143" s="40">
        <f>G143/(100-AU143)*100</f>
        <v>0</v>
      </c>
      <c r="AU143" s="40">
        <v>0</v>
      </c>
      <c r="AV143" s="40">
        <f>L143</f>
        <v>0.29823</v>
      </c>
    </row>
    <row r="144" spans="4:6" ht="12.75">
      <c r="D144" s="17" t="s">
        <v>7</v>
      </c>
      <c r="F144" s="23">
        <v>1</v>
      </c>
    </row>
    <row r="145" spans="3:13" ht="12.75">
      <c r="C145" s="15" t="s">
        <v>80</v>
      </c>
      <c r="D145" s="95" t="s">
        <v>267</v>
      </c>
      <c r="E145" s="96"/>
      <c r="F145" s="96"/>
      <c r="G145" s="96"/>
      <c r="H145" s="96"/>
      <c r="I145" s="96"/>
      <c r="J145" s="96"/>
      <c r="K145" s="96"/>
      <c r="L145" s="96"/>
      <c r="M145" s="96"/>
    </row>
    <row r="146" spans="1:48" ht="12.75">
      <c r="A146" s="5" t="s">
        <v>46</v>
      </c>
      <c r="B146" s="5"/>
      <c r="C146" s="5" t="s">
        <v>120</v>
      </c>
      <c r="D146" s="5" t="s">
        <v>269</v>
      </c>
      <c r="E146" s="5" t="s">
        <v>335</v>
      </c>
      <c r="F146" s="22">
        <v>24</v>
      </c>
      <c r="G146" s="22">
        <v>0</v>
      </c>
      <c r="H146" s="22">
        <f>F146*AE146</f>
        <v>0</v>
      </c>
      <c r="I146" s="22">
        <f>J146-H146</f>
        <v>0</v>
      </c>
      <c r="J146" s="22">
        <f>F146*G146</f>
        <v>0</v>
      </c>
      <c r="K146" s="22">
        <v>0</v>
      </c>
      <c r="L146" s="22">
        <f>F146*K146</f>
        <v>0</v>
      </c>
      <c r="M146" s="37" t="s">
        <v>360</v>
      </c>
      <c r="P146" s="40">
        <f>IF(AG146="5",J146,0)</f>
        <v>0</v>
      </c>
      <c r="R146" s="40">
        <f>IF(AG146="1",H146,0)</f>
        <v>0</v>
      </c>
      <c r="S146" s="40">
        <f>IF(AG146="1",I146,0)</f>
        <v>0</v>
      </c>
      <c r="T146" s="40">
        <f>IF(AG146="7",H146,0)</f>
        <v>0</v>
      </c>
      <c r="U146" s="40">
        <f>IF(AG146="7",I146,0)</f>
        <v>0</v>
      </c>
      <c r="V146" s="40">
        <f>IF(AG146="2",H146,0)</f>
        <v>0</v>
      </c>
      <c r="W146" s="40">
        <f>IF(AG146="2",I146,0)</f>
        <v>0</v>
      </c>
      <c r="X146" s="40">
        <f>IF(AG146="0",J146,0)</f>
        <v>0</v>
      </c>
      <c r="Y146" s="32"/>
      <c r="Z146" s="22">
        <f>IF(AD146=0,J146,0)</f>
        <v>0</v>
      </c>
      <c r="AA146" s="22">
        <f>IF(AD146=15,J146,0)</f>
        <v>0</v>
      </c>
      <c r="AB146" s="22">
        <f>IF(AD146=21,J146,0)</f>
        <v>0</v>
      </c>
      <c r="AD146" s="40">
        <v>21</v>
      </c>
      <c r="AE146" s="40">
        <f>G146*0.333333333333333</f>
        <v>0</v>
      </c>
      <c r="AF146" s="40">
        <f>G146*(1-0.333333333333333)</f>
        <v>0</v>
      </c>
      <c r="AG146" s="37" t="s">
        <v>7</v>
      </c>
      <c r="AM146" s="40">
        <f>F146*AE146</f>
        <v>0</v>
      </c>
      <c r="AN146" s="40">
        <f>F146*AF146</f>
        <v>0</v>
      </c>
      <c r="AO146" s="41" t="s">
        <v>383</v>
      </c>
      <c r="AP146" s="41" t="s">
        <v>393</v>
      </c>
      <c r="AQ146" s="32" t="s">
        <v>396</v>
      </c>
      <c r="AS146" s="40">
        <f>AM146+AN146</f>
        <v>0</v>
      </c>
      <c r="AT146" s="40">
        <f>G146/(100-AU146)*100</f>
        <v>0</v>
      </c>
      <c r="AU146" s="40">
        <v>0</v>
      </c>
      <c r="AV146" s="40">
        <f>L146</f>
        <v>0</v>
      </c>
    </row>
    <row r="147" spans="4:6" ht="12.75">
      <c r="D147" s="17" t="s">
        <v>270</v>
      </c>
      <c r="F147" s="23">
        <v>24</v>
      </c>
    </row>
    <row r="148" spans="1:48" ht="12.75">
      <c r="A148" s="5" t="s">
        <v>47</v>
      </c>
      <c r="B148" s="5"/>
      <c r="C148" s="5" t="s">
        <v>121</v>
      </c>
      <c r="D148" s="5" t="s">
        <v>271</v>
      </c>
      <c r="E148" s="5" t="s">
        <v>335</v>
      </c>
      <c r="F148" s="22">
        <v>28</v>
      </c>
      <c r="G148" s="22">
        <v>0</v>
      </c>
      <c r="H148" s="22">
        <f>F148*AE148</f>
        <v>0</v>
      </c>
      <c r="I148" s="22">
        <f>J148-H148</f>
        <v>0</v>
      </c>
      <c r="J148" s="22">
        <f>F148*G148</f>
        <v>0</v>
      </c>
      <c r="K148" s="22">
        <v>8E-05</v>
      </c>
      <c r="L148" s="22">
        <f>F148*K148</f>
        <v>0.0022400000000000002</v>
      </c>
      <c r="M148" s="37" t="s">
        <v>360</v>
      </c>
      <c r="P148" s="40">
        <f>IF(AG148="5",J148,0)</f>
        <v>0</v>
      </c>
      <c r="R148" s="40">
        <f>IF(AG148="1",H148,0)</f>
        <v>0</v>
      </c>
      <c r="S148" s="40">
        <f>IF(AG148="1",I148,0)</f>
        <v>0</v>
      </c>
      <c r="T148" s="40">
        <f>IF(AG148="7",H148,0)</f>
        <v>0</v>
      </c>
      <c r="U148" s="40">
        <f>IF(AG148="7",I148,0)</f>
        <v>0</v>
      </c>
      <c r="V148" s="40">
        <f>IF(AG148="2",H148,0)</f>
        <v>0</v>
      </c>
      <c r="W148" s="40">
        <f>IF(AG148="2",I148,0)</f>
        <v>0</v>
      </c>
      <c r="X148" s="40">
        <f>IF(AG148="0",J148,0)</f>
        <v>0</v>
      </c>
      <c r="Y148" s="32"/>
      <c r="Z148" s="22">
        <f>IF(AD148=0,J148,0)</f>
        <v>0</v>
      </c>
      <c r="AA148" s="22">
        <f>IF(AD148=15,J148,0)</f>
        <v>0</v>
      </c>
      <c r="AB148" s="22">
        <f>IF(AD148=21,J148,0)</f>
        <v>0</v>
      </c>
      <c r="AD148" s="40">
        <v>21</v>
      </c>
      <c r="AE148" s="40">
        <f>G148*0.56</f>
        <v>0</v>
      </c>
      <c r="AF148" s="40">
        <f>G148*(1-0.56)</f>
        <v>0</v>
      </c>
      <c r="AG148" s="37" t="s">
        <v>7</v>
      </c>
      <c r="AM148" s="40">
        <f>F148*AE148</f>
        <v>0</v>
      </c>
      <c r="AN148" s="40">
        <f>F148*AF148</f>
        <v>0</v>
      </c>
      <c r="AO148" s="41" t="s">
        <v>383</v>
      </c>
      <c r="AP148" s="41" t="s">
        <v>393</v>
      </c>
      <c r="AQ148" s="32" t="s">
        <v>396</v>
      </c>
      <c r="AS148" s="40">
        <f>AM148+AN148</f>
        <v>0</v>
      </c>
      <c r="AT148" s="40">
        <f>G148/(100-AU148)*100</f>
        <v>0</v>
      </c>
      <c r="AU148" s="40">
        <v>0</v>
      </c>
      <c r="AV148" s="40">
        <f>L148</f>
        <v>0.0022400000000000002</v>
      </c>
    </row>
    <row r="149" spans="4:6" ht="12.75">
      <c r="D149" s="17" t="s">
        <v>34</v>
      </c>
      <c r="F149" s="23">
        <v>28</v>
      </c>
    </row>
    <row r="150" spans="1:37" ht="12.75">
      <c r="A150" s="6"/>
      <c r="B150" s="14"/>
      <c r="C150" s="14" t="s">
        <v>122</v>
      </c>
      <c r="D150" s="14" t="s">
        <v>272</v>
      </c>
      <c r="E150" s="6" t="s">
        <v>6</v>
      </c>
      <c r="F150" s="6" t="s">
        <v>6</v>
      </c>
      <c r="G150" s="6" t="s">
        <v>6</v>
      </c>
      <c r="H150" s="43">
        <f>SUM(H151:H151)</f>
        <v>0</v>
      </c>
      <c r="I150" s="43">
        <f>SUM(I151:I151)</f>
        <v>0</v>
      </c>
      <c r="J150" s="43">
        <f>H150+I150</f>
        <v>0</v>
      </c>
      <c r="K150" s="32"/>
      <c r="L150" s="43">
        <f>SUM(L151:L151)</f>
        <v>0</v>
      </c>
      <c r="M150" s="32"/>
      <c r="Y150" s="32"/>
      <c r="AI150" s="43">
        <f>SUM(Z151:Z151)</f>
        <v>0</v>
      </c>
      <c r="AJ150" s="43">
        <f>SUM(AA151:AA151)</f>
        <v>0</v>
      </c>
      <c r="AK150" s="43">
        <f>SUM(AB151:AB151)</f>
        <v>0</v>
      </c>
    </row>
    <row r="151" spans="1:48" ht="12.75">
      <c r="A151" s="5" t="s">
        <v>48</v>
      </c>
      <c r="B151" s="5"/>
      <c r="C151" s="5" t="s">
        <v>123</v>
      </c>
      <c r="D151" s="5" t="s">
        <v>273</v>
      </c>
      <c r="E151" s="5" t="s">
        <v>336</v>
      </c>
      <c r="F151" s="22">
        <v>15</v>
      </c>
      <c r="G151" s="22">
        <v>0</v>
      </c>
      <c r="H151" s="22">
        <f>F151*AE151</f>
        <v>0</v>
      </c>
      <c r="I151" s="22">
        <f>J151-H151</f>
        <v>0</v>
      </c>
      <c r="J151" s="22">
        <f>F151*G151</f>
        <v>0</v>
      </c>
      <c r="K151" s="22">
        <v>0</v>
      </c>
      <c r="L151" s="22">
        <f>F151*K151</f>
        <v>0</v>
      </c>
      <c r="M151" s="37" t="s">
        <v>360</v>
      </c>
      <c r="P151" s="40">
        <f>IF(AG151="5",J151,0)</f>
        <v>0</v>
      </c>
      <c r="R151" s="40">
        <f>IF(AG151="1",H151,0)</f>
        <v>0</v>
      </c>
      <c r="S151" s="40">
        <f>IF(AG151="1",I151,0)</f>
        <v>0</v>
      </c>
      <c r="T151" s="40">
        <f>IF(AG151="7",H151,0)</f>
        <v>0</v>
      </c>
      <c r="U151" s="40">
        <f>IF(AG151="7",I151,0)</f>
        <v>0</v>
      </c>
      <c r="V151" s="40">
        <f>IF(AG151="2",H151,0)</f>
        <v>0</v>
      </c>
      <c r="W151" s="40">
        <f>IF(AG151="2",I151,0)</f>
        <v>0</v>
      </c>
      <c r="X151" s="40">
        <f>IF(AG151="0",J151,0)</f>
        <v>0</v>
      </c>
      <c r="Y151" s="32"/>
      <c r="Z151" s="22">
        <f>IF(AD151=0,J151,0)</f>
        <v>0</v>
      </c>
      <c r="AA151" s="22">
        <f>IF(AD151=15,J151,0)</f>
        <v>0</v>
      </c>
      <c r="AB151" s="22">
        <f>IF(AD151=21,J151,0)</f>
        <v>0</v>
      </c>
      <c r="AD151" s="40">
        <v>21</v>
      </c>
      <c r="AE151" s="40">
        <f>G151*0</f>
        <v>0</v>
      </c>
      <c r="AF151" s="40">
        <f>G151*(1-0)</f>
        <v>0</v>
      </c>
      <c r="AG151" s="37" t="s">
        <v>7</v>
      </c>
      <c r="AM151" s="40">
        <f>F151*AE151</f>
        <v>0</v>
      </c>
      <c r="AN151" s="40">
        <f>F151*AF151</f>
        <v>0</v>
      </c>
      <c r="AO151" s="41" t="s">
        <v>384</v>
      </c>
      <c r="AP151" s="41" t="s">
        <v>394</v>
      </c>
      <c r="AQ151" s="32" t="s">
        <v>396</v>
      </c>
      <c r="AS151" s="40">
        <f>AM151+AN151</f>
        <v>0</v>
      </c>
      <c r="AT151" s="40">
        <f>G151/(100-AU151)*100</f>
        <v>0</v>
      </c>
      <c r="AU151" s="40">
        <v>0</v>
      </c>
      <c r="AV151" s="40">
        <f>L151</f>
        <v>0</v>
      </c>
    </row>
    <row r="152" spans="4:6" ht="12.75">
      <c r="D152" s="17" t="s">
        <v>21</v>
      </c>
      <c r="F152" s="23">
        <v>15</v>
      </c>
    </row>
    <row r="153" spans="3:13" ht="63.75" customHeight="1">
      <c r="C153" s="15" t="s">
        <v>80</v>
      </c>
      <c r="D153" s="95" t="s">
        <v>274</v>
      </c>
      <c r="E153" s="96"/>
      <c r="F153" s="96"/>
      <c r="G153" s="96"/>
      <c r="H153" s="96"/>
      <c r="I153" s="96"/>
      <c r="J153" s="96"/>
      <c r="K153" s="96"/>
      <c r="L153" s="96"/>
      <c r="M153" s="96"/>
    </row>
    <row r="154" spans="4:13" ht="51" customHeight="1">
      <c r="D154" s="95" t="s">
        <v>275</v>
      </c>
      <c r="E154" s="96"/>
      <c r="F154" s="96"/>
      <c r="G154" s="96"/>
      <c r="H154" s="96"/>
      <c r="I154" s="96"/>
      <c r="J154" s="96"/>
      <c r="K154" s="96"/>
      <c r="L154" s="96"/>
      <c r="M154" s="96"/>
    </row>
    <row r="155" spans="1:37" ht="12.75">
      <c r="A155" s="6"/>
      <c r="B155" s="14"/>
      <c r="C155" s="14" t="s">
        <v>124</v>
      </c>
      <c r="D155" s="14" t="s">
        <v>276</v>
      </c>
      <c r="E155" s="6" t="s">
        <v>6</v>
      </c>
      <c r="F155" s="6" t="s">
        <v>6</v>
      </c>
      <c r="G155" s="6" t="s">
        <v>6</v>
      </c>
      <c r="H155" s="43">
        <f>SUM(H156:H156)</f>
        <v>0</v>
      </c>
      <c r="I155" s="43">
        <f>SUM(I156:I156)</f>
        <v>0</v>
      </c>
      <c r="J155" s="43">
        <f>H155+I155</f>
        <v>0</v>
      </c>
      <c r="K155" s="32"/>
      <c r="L155" s="43">
        <f>SUM(L156:L156)</f>
        <v>0.82236</v>
      </c>
      <c r="M155" s="32"/>
      <c r="Y155" s="32"/>
      <c r="AI155" s="43">
        <f>SUM(Z156:Z156)</f>
        <v>0</v>
      </c>
      <c r="AJ155" s="43">
        <f>SUM(AA156:AA156)</f>
        <v>0</v>
      </c>
      <c r="AK155" s="43">
        <f>SUM(AB156:AB156)</f>
        <v>0</v>
      </c>
    </row>
    <row r="156" spans="1:48" ht="12.75">
      <c r="A156" s="5" t="s">
        <v>49</v>
      </c>
      <c r="B156" s="5"/>
      <c r="C156" s="5" t="s">
        <v>125</v>
      </c>
      <c r="D156" s="5" t="s">
        <v>277</v>
      </c>
      <c r="E156" s="5" t="s">
        <v>335</v>
      </c>
      <c r="F156" s="22">
        <v>22</v>
      </c>
      <c r="G156" s="22">
        <v>0</v>
      </c>
      <c r="H156" s="22">
        <f>F156*AE156</f>
        <v>0</v>
      </c>
      <c r="I156" s="22">
        <f>J156-H156</f>
        <v>0</v>
      </c>
      <c r="J156" s="22">
        <f>F156*G156</f>
        <v>0</v>
      </c>
      <c r="K156" s="22">
        <v>0.03738</v>
      </c>
      <c r="L156" s="22">
        <f>F156*K156</f>
        <v>0.82236</v>
      </c>
      <c r="M156" s="37" t="s">
        <v>360</v>
      </c>
      <c r="P156" s="40">
        <f>IF(AG156="5",J156,0)</f>
        <v>0</v>
      </c>
      <c r="R156" s="40">
        <f>IF(AG156="1",H156,0)</f>
        <v>0</v>
      </c>
      <c r="S156" s="40">
        <f>IF(AG156="1",I156,0)</f>
        <v>0</v>
      </c>
      <c r="T156" s="40">
        <f>IF(AG156="7",H156,0)</f>
        <v>0</v>
      </c>
      <c r="U156" s="40">
        <f>IF(AG156="7",I156,0)</f>
        <v>0</v>
      </c>
      <c r="V156" s="40">
        <f>IF(AG156="2",H156,0)</f>
        <v>0</v>
      </c>
      <c r="W156" s="40">
        <f>IF(AG156="2",I156,0)</f>
        <v>0</v>
      </c>
      <c r="X156" s="40">
        <f>IF(AG156="0",J156,0)</f>
        <v>0</v>
      </c>
      <c r="Y156" s="32"/>
      <c r="Z156" s="22">
        <f>IF(AD156=0,J156,0)</f>
        <v>0</v>
      </c>
      <c r="AA156" s="22">
        <f>IF(AD156=15,J156,0)</f>
        <v>0</v>
      </c>
      <c r="AB156" s="22">
        <f>IF(AD156=21,J156,0)</f>
        <v>0</v>
      </c>
      <c r="AD156" s="40">
        <v>21</v>
      </c>
      <c r="AE156" s="40">
        <f>G156*0.198695652173913</f>
        <v>0</v>
      </c>
      <c r="AF156" s="40">
        <f>G156*(1-0.198695652173913)</f>
        <v>0</v>
      </c>
      <c r="AG156" s="37" t="s">
        <v>7</v>
      </c>
      <c r="AM156" s="40">
        <f>F156*AE156</f>
        <v>0</v>
      </c>
      <c r="AN156" s="40">
        <f>F156*AF156</f>
        <v>0</v>
      </c>
      <c r="AO156" s="41" t="s">
        <v>385</v>
      </c>
      <c r="AP156" s="41" t="s">
        <v>394</v>
      </c>
      <c r="AQ156" s="32" t="s">
        <v>396</v>
      </c>
      <c r="AS156" s="40">
        <f>AM156+AN156</f>
        <v>0</v>
      </c>
      <c r="AT156" s="40">
        <f>G156/(100-AU156)*100</f>
        <v>0</v>
      </c>
      <c r="AU156" s="40">
        <v>0</v>
      </c>
      <c r="AV156" s="40">
        <f>L156</f>
        <v>0.82236</v>
      </c>
    </row>
    <row r="157" spans="4:6" ht="12.75">
      <c r="D157" s="17" t="s">
        <v>28</v>
      </c>
      <c r="F157" s="23">
        <v>22</v>
      </c>
    </row>
    <row r="158" spans="3:13" ht="12.75">
      <c r="C158" s="15" t="s">
        <v>80</v>
      </c>
      <c r="D158" s="95" t="s">
        <v>278</v>
      </c>
      <c r="E158" s="96"/>
      <c r="F158" s="96"/>
      <c r="G158" s="96"/>
      <c r="H158" s="96"/>
      <c r="I158" s="96"/>
      <c r="J158" s="96"/>
      <c r="K158" s="96"/>
      <c r="L158" s="96"/>
      <c r="M158" s="96"/>
    </row>
    <row r="159" spans="1:37" ht="12.75">
      <c r="A159" s="6"/>
      <c r="B159" s="14"/>
      <c r="C159" s="14" t="s">
        <v>126</v>
      </c>
      <c r="D159" s="14" t="s">
        <v>279</v>
      </c>
      <c r="E159" s="6" t="s">
        <v>6</v>
      </c>
      <c r="F159" s="6" t="s">
        <v>6</v>
      </c>
      <c r="G159" s="6" t="s">
        <v>6</v>
      </c>
      <c r="H159" s="43">
        <f>SUM(H160:H160)</f>
        <v>0</v>
      </c>
      <c r="I159" s="43">
        <f>SUM(I160:I160)</f>
        <v>0</v>
      </c>
      <c r="J159" s="43">
        <f>H159+I159</f>
        <v>0</v>
      </c>
      <c r="K159" s="32"/>
      <c r="L159" s="43">
        <f>SUM(L160:L160)</f>
        <v>0</v>
      </c>
      <c r="M159" s="32"/>
      <c r="Y159" s="32"/>
      <c r="AI159" s="43">
        <f>SUM(Z160:Z160)</f>
        <v>0</v>
      </c>
      <c r="AJ159" s="43">
        <f>SUM(AA160:AA160)</f>
        <v>0</v>
      </c>
      <c r="AK159" s="43">
        <f>SUM(AB160:AB160)</f>
        <v>0</v>
      </c>
    </row>
    <row r="160" spans="1:48" ht="12.75">
      <c r="A160" s="5" t="s">
        <v>50</v>
      </c>
      <c r="B160" s="5"/>
      <c r="C160" s="5" t="s">
        <v>127</v>
      </c>
      <c r="D160" s="5" t="s">
        <v>280</v>
      </c>
      <c r="E160" s="5" t="s">
        <v>339</v>
      </c>
      <c r="F160" s="22">
        <v>0.82</v>
      </c>
      <c r="G160" s="22">
        <v>0</v>
      </c>
      <c r="H160" s="22">
        <f>F160*AE160</f>
        <v>0</v>
      </c>
      <c r="I160" s="22">
        <f>J160-H160</f>
        <v>0</v>
      </c>
      <c r="J160" s="22">
        <f>F160*G160</f>
        <v>0</v>
      </c>
      <c r="K160" s="22">
        <v>0</v>
      </c>
      <c r="L160" s="22">
        <f>F160*K160</f>
        <v>0</v>
      </c>
      <c r="M160" s="37" t="s">
        <v>360</v>
      </c>
      <c r="P160" s="40">
        <f>IF(AG160="5",J160,0)</f>
        <v>0</v>
      </c>
      <c r="R160" s="40">
        <f>IF(AG160="1",H160,0)</f>
        <v>0</v>
      </c>
      <c r="S160" s="40">
        <f>IF(AG160="1",I160,0)</f>
        <v>0</v>
      </c>
      <c r="T160" s="40">
        <f>IF(AG160="7",H160,0)</f>
        <v>0</v>
      </c>
      <c r="U160" s="40">
        <f>IF(AG160="7",I160,0)</f>
        <v>0</v>
      </c>
      <c r="V160" s="40">
        <f>IF(AG160="2",H160,0)</f>
        <v>0</v>
      </c>
      <c r="W160" s="40">
        <f>IF(AG160="2",I160,0)</f>
        <v>0</v>
      </c>
      <c r="X160" s="40">
        <f>IF(AG160="0",J160,0)</f>
        <v>0</v>
      </c>
      <c r="Y160" s="32"/>
      <c r="Z160" s="22">
        <f>IF(AD160=0,J160,0)</f>
        <v>0</v>
      </c>
      <c r="AA160" s="22">
        <f>IF(AD160=15,J160,0)</f>
        <v>0</v>
      </c>
      <c r="AB160" s="22">
        <f>IF(AD160=21,J160,0)</f>
        <v>0</v>
      </c>
      <c r="AD160" s="40">
        <v>21</v>
      </c>
      <c r="AE160" s="40">
        <f>G160*0</f>
        <v>0</v>
      </c>
      <c r="AF160" s="40">
        <f>G160*(1-0)</f>
        <v>0</v>
      </c>
      <c r="AG160" s="37" t="s">
        <v>7</v>
      </c>
      <c r="AM160" s="40">
        <f>F160*AE160</f>
        <v>0</v>
      </c>
      <c r="AN160" s="40">
        <f>F160*AF160</f>
        <v>0</v>
      </c>
      <c r="AO160" s="41" t="s">
        <v>386</v>
      </c>
      <c r="AP160" s="41" t="s">
        <v>394</v>
      </c>
      <c r="AQ160" s="32" t="s">
        <v>396</v>
      </c>
      <c r="AS160" s="40">
        <f>AM160+AN160</f>
        <v>0</v>
      </c>
      <c r="AT160" s="40">
        <f>G160/(100-AU160)*100</f>
        <v>0</v>
      </c>
      <c r="AU160" s="40">
        <v>0</v>
      </c>
      <c r="AV160" s="40">
        <f>L160</f>
        <v>0</v>
      </c>
    </row>
    <row r="161" spans="4:6" ht="12.75">
      <c r="D161" s="17" t="s">
        <v>281</v>
      </c>
      <c r="F161" s="23">
        <v>0.82</v>
      </c>
    </row>
    <row r="162" spans="1:37" ht="12.75">
      <c r="A162" s="6"/>
      <c r="B162" s="14"/>
      <c r="C162" s="14" t="s">
        <v>128</v>
      </c>
      <c r="D162" s="14" t="s">
        <v>282</v>
      </c>
      <c r="E162" s="6" t="s">
        <v>6</v>
      </c>
      <c r="F162" s="6" t="s">
        <v>6</v>
      </c>
      <c r="G162" s="6" t="s">
        <v>6</v>
      </c>
      <c r="H162" s="43">
        <f>SUM(H163:H163)</f>
        <v>0</v>
      </c>
      <c r="I162" s="43">
        <f>SUM(I163:I163)</f>
        <v>0</v>
      </c>
      <c r="J162" s="43">
        <f>H162+I162</f>
        <v>0</v>
      </c>
      <c r="K162" s="32"/>
      <c r="L162" s="43">
        <f>SUM(L163:L163)</f>
        <v>0</v>
      </c>
      <c r="M162" s="32"/>
      <c r="Y162" s="32"/>
      <c r="AI162" s="43">
        <f>SUM(Z163:Z163)</f>
        <v>0</v>
      </c>
      <c r="AJ162" s="43">
        <f>SUM(AA163:AA163)</f>
        <v>0</v>
      </c>
      <c r="AK162" s="43">
        <f>SUM(AB163:AB163)</f>
        <v>0</v>
      </c>
    </row>
    <row r="163" spans="1:48" ht="12.75">
      <c r="A163" s="5" t="s">
        <v>51</v>
      </c>
      <c r="B163" s="5"/>
      <c r="C163" s="5" t="s">
        <v>129</v>
      </c>
      <c r="D163" s="5" t="s">
        <v>283</v>
      </c>
      <c r="E163" s="5" t="s">
        <v>339</v>
      </c>
      <c r="F163" s="22">
        <v>1.28</v>
      </c>
      <c r="G163" s="22">
        <v>0</v>
      </c>
      <c r="H163" s="22">
        <f>F163*AE163</f>
        <v>0</v>
      </c>
      <c r="I163" s="22">
        <f>J163-H163</f>
        <v>0</v>
      </c>
      <c r="J163" s="22">
        <f>F163*G163</f>
        <v>0</v>
      </c>
      <c r="K163" s="22">
        <v>0</v>
      </c>
      <c r="L163" s="22">
        <f>F163*K163</f>
        <v>0</v>
      </c>
      <c r="M163" s="37" t="s">
        <v>360</v>
      </c>
      <c r="P163" s="40">
        <f>IF(AG163="5",J163,0)</f>
        <v>0</v>
      </c>
      <c r="R163" s="40">
        <f>IF(AG163="1",H163,0)</f>
        <v>0</v>
      </c>
      <c r="S163" s="40">
        <f>IF(AG163="1",I163,0)</f>
        <v>0</v>
      </c>
      <c r="T163" s="40">
        <f>IF(AG163="7",H163,0)</f>
        <v>0</v>
      </c>
      <c r="U163" s="40">
        <f>IF(AG163="7",I163,0)</f>
        <v>0</v>
      </c>
      <c r="V163" s="40">
        <f>IF(AG163="2",H163,0)</f>
        <v>0</v>
      </c>
      <c r="W163" s="40">
        <f>IF(AG163="2",I163,0)</f>
        <v>0</v>
      </c>
      <c r="X163" s="40">
        <f>IF(AG163="0",J163,0)</f>
        <v>0</v>
      </c>
      <c r="Y163" s="32"/>
      <c r="Z163" s="22">
        <f>IF(AD163=0,J163,0)</f>
        <v>0</v>
      </c>
      <c r="AA163" s="22">
        <f>IF(AD163=15,J163,0)</f>
        <v>0</v>
      </c>
      <c r="AB163" s="22">
        <f>IF(AD163=21,J163,0)</f>
        <v>0</v>
      </c>
      <c r="AD163" s="40">
        <v>21</v>
      </c>
      <c r="AE163" s="40">
        <f>G163*0</f>
        <v>0</v>
      </c>
      <c r="AF163" s="40">
        <f>G163*(1-0)</f>
        <v>0</v>
      </c>
      <c r="AG163" s="37" t="s">
        <v>11</v>
      </c>
      <c r="AM163" s="40">
        <f>F163*AE163</f>
        <v>0</v>
      </c>
      <c r="AN163" s="40">
        <f>F163*AF163</f>
        <v>0</v>
      </c>
      <c r="AO163" s="41" t="s">
        <v>387</v>
      </c>
      <c r="AP163" s="41" t="s">
        <v>394</v>
      </c>
      <c r="AQ163" s="32" t="s">
        <v>396</v>
      </c>
      <c r="AS163" s="40">
        <f>AM163+AN163</f>
        <v>0</v>
      </c>
      <c r="AT163" s="40">
        <f>G163/(100-AU163)*100</f>
        <v>0</v>
      </c>
      <c r="AU163" s="40">
        <v>0</v>
      </c>
      <c r="AV163" s="40">
        <f>L163</f>
        <v>0</v>
      </c>
    </row>
    <row r="164" spans="4:6" ht="12.75">
      <c r="D164" s="17" t="s">
        <v>284</v>
      </c>
      <c r="F164" s="23">
        <v>1.28</v>
      </c>
    </row>
    <row r="165" spans="3:13" ht="38.25" customHeight="1">
      <c r="C165" s="15" t="s">
        <v>80</v>
      </c>
      <c r="D165" s="95" t="s">
        <v>285</v>
      </c>
      <c r="E165" s="96"/>
      <c r="F165" s="96"/>
      <c r="G165" s="96"/>
      <c r="H165" s="96"/>
      <c r="I165" s="96"/>
      <c r="J165" s="96"/>
      <c r="K165" s="96"/>
      <c r="L165" s="96"/>
      <c r="M165" s="96"/>
    </row>
    <row r="166" spans="1:37" ht="12.75">
      <c r="A166" s="6"/>
      <c r="B166" s="14"/>
      <c r="C166" s="14" t="s">
        <v>130</v>
      </c>
      <c r="D166" s="14" t="s">
        <v>286</v>
      </c>
      <c r="E166" s="6" t="s">
        <v>6</v>
      </c>
      <c r="F166" s="6" t="s">
        <v>6</v>
      </c>
      <c r="G166" s="6" t="s">
        <v>6</v>
      </c>
      <c r="H166" s="43">
        <f>SUM(H167:H167)</f>
        <v>0</v>
      </c>
      <c r="I166" s="43">
        <f>SUM(I167:I167)</f>
        <v>0</v>
      </c>
      <c r="J166" s="43">
        <f>H166+I166</f>
        <v>0</v>
      </c>
      <c r="K166" s="32"/>
      <c r="L166" s="43">
        <f>SUM(L167:L167)</f>
        <v>0</v>
      </c>
      <c r="M166" s="32"/>
      <c r="Y166" s="32"/>
      <c r="AI166" s="43">
        <f>SUM(Z167:Z167)</f>
        <v>0</v>
      </c>
      <c r="AJ166" s="43">
        <f>SUM(AA167:AA167)</f>
        <v>0</v>
      </c>
      <c r="AK166" s="43">
        <f>SUM(AB167:AB167)</f>
        <v>0</v>
      </c>
    </row>
    <row r="167" spans="1:48" ht="12.75">
      <c r="A167" s="5" t="s">
        <v>52</v>
      </c>
      <c r="B167" s="5"/>
      <c r="C167" s="5" t="s">
        <v>131</v>
      </c>
      <c r="D167" s="5" t="s">
        <v>287</v>
      </c>
      <c r="E167" s="5" t="s">
        <v>339</v>
      </c>
      <c r="F167" s="22">
        <v>0.82</v>
      </c>
      <c r="G167" s="22">
        <v>0</v>
      </c>
      <c r="H167" s="22">
        <f>F167*AE167</f>
        <v>0</v>
      </c>
      <c r="I167" s="22">
        <f>J167-H167</f>
        <v>0</v>
      </c>
      <c r="J167" s="22">
        <f>F167*G167</f>
        <v>0</v>
      </c>
      <c r="K167" s="22">
        <v>0</v>
      </c>
      <c r="L167" s="22">
        <f>F167*K167</f>
        <v>0</v>
      </c>
      <c r="M167" s="37" t="s">
        <v>360</v>
      </c>
      <c r="P167" s="40">
        <f>IF(AG167="5",J167,0)</f>
        <v>0</v>
      </c>
      <c r="R167" s="40">
        <f>IF(AG167="1",H167,0)</f>
        <v>0</v>
      </c>
      <c r="S167" s="40">
        <f>IF(AG167="1",I167,0)</f>
        <v>0</v>
      </c>
      <c r="T167" s="40">
        <f>IF(AG167="7",H167,0)</f>
        <v>0</v>
      </c>
      <c r="U167" s="40">
        <f>IF(AG167="7",I167,0)</f>
        <v>0</v>
      </c>
      <c r="V167" s="40">
        <f>IF(AG167="2",H167,0)</f>
        <v>0</v>
      </c>
      <c r="W167" s="40">
        <f>IF(AG167="2",I167,0)</f>
        <v>0</v>
      </c>
      <c r="X167" s="40">
        <f>IF(AG167="0",J167,0)</f>
        <v>0</v>
      </c>
      <c r="Y167" s="32"/>
      <c r="Z167" s="22">
        <f>IF(AD167=0,J167,0)</f>
        <v>0</v>
      </c>
      <c r="AA167" s="22">
        <f>IF(AD167=15,J167,0)</f>
        <v>0</v>
      </c>
      <c r="AB167" s="22">
        <f>IF(AD167=21,J167,0)</f>
        <v>0</v>
      </c>
      <c r="AD167" s="40">
        <v>21</v>
      </c>
      <c r="AE167" s="40">
        <f>G167*0</f>
        <v>0</v>
      </c>
      <c r="AF167" s="40">
        <f>G167*(1-0)</f>
        <v>0</v>
      </c>
      <c r="AG167" s="37" t="s">
        <v>11</v>
      </c>
      <c r="AM167" s="40">
        <f>F167*AE167</f>
        <v>0</v>
      </c>
      <c r="AN167" s="40">
        <f>F167*AF167</f>
        <v>0</v>
      </c>
      <c r="AO167" s="41" t="s">
        <v>388</v>
      </c>
      <c r="AP167" s="41" t="s">
        <v>394</v>
      </c>
      <c r="AQ167" s="32" t="s">
        <v>396</v>
      </c>
      <c r="AS167" s="40">
        <f>AM167+AN167</f>
        <v>0</v>
      </c>
      <c r="AT167" s="40">
        <f>G167/(100-AU167)*100</f>
        <v>0</v>
      </c>
      <c r="AU167" s="40">
        <v>0</v>
      </c>
      <c r="AV167" s="40">
        <f>L167</f>
        <v>0</v>
      </c>
    </row>
    <row r="168" spans="4:6" ht="12.75">
      <c r="D168" s="17" t="s">
        <v>281</v>
      </c>
      <c r="F168" s="23">
        <v>0.82</v>
      </c>
    </row>
    <row r="169" spans="1:37" ht="12.75">
      <c r="A169" s="6"/>
      <c r="B169" s="14"/>
      <c r="C169" s="14"/>
      <c r="D169" s="14" t="s">
        <v>288</v>
      </c>
      <c r="E169" s="6" t="s">
        <v>6</v>
      </c>
      <c r="F169" s="6" t="s">
        <v>6</v>
      </c>
      <c r="G169" s="6" t="s">
        <v>6</v>
      </c>
      <c r="H169" s="43">
        <f>SUM(H170:H235)</f>
        <v>0</v>
      </c>
      <c r="I169" s="43">
        <f>SUM(I170:I235)</f>
        <v>0</v>
      </c>
      <c r="J169" s="43">
        <f>H169+I169</f>
        <v>0</v>
      </c>
      <c r="K169" s="32"/>
      <c r="L169" s="43">
        <f>SUM(L170:L235)</f>
        <v>87.18838</v>
      </c>
      <c r="M169" s="32"/>
      <c r="Y169" s="32"/>
      <c r="AI169" s="43">
        <f>SUM(Z170:Z235)</f>
        <v>0</v>
      </c>
      <c r="AJ169" s="43">
        <f>SUM(AA170:AA235)</f>
        <v>0</v>
      </c>
      <c r="AK169" s="43">
        <f>SUM(AB170:AB235)</f>
        <v>0</v>
      </c>
    </row>
    <row r="170" spans="1:48" ht="12.75">
      <c r="A170" s="7" t="s">
        <v>53</v>
      </c>
      <c r="B170" s="7"/>
      <c r="C170" s="7" t="s">
        <v>132</v>
      </c>
      <c r="D170" s="7" t="s">
        <v>289</v>
      </c>
      <c r="E170" s="7" t="s">
        <v>340</v>
      </c>
      <c r="F170" s="24">
        <v>13</v>
      </c>
      <c r="G170" s="24">
        <v>0</v>
      </c>
      <c r="H170" s="24">
        <f>F170*AE170</f>
        <v>0</v>
      </c>
      <c r="I170" s="24">
        <f>J170-H170</f>
        <v>0</v>
      </c>
      <c r="J170" s="24">
        <f>F170*G170</f>
        <v>0</v>
      </c>
      <c r="K170" s="24">
        <v>0</v>
      </c>
      <c r="L170" s="24">
        <f>F170*K170</f>
        <v>0</v>
      </c>
      <c r="M170" s="38" t="s">
        <v>361</v>
      </c>
      <c r="P170" s="40">
        <f>IF(AG170="5",J170,0)</f>
        <v>0</v>
      </c>
      <c r="R170" s="40">
        <f>IF(AG170="1",H170,0)</f>
        <v>0</v>
      </c>
      <c r="S170" s="40">
        <f>IF(AG170="1",I170,0)</f>
        <v>0</v>
      </c>
      <c r="T170" s="40">
        <f>IF(AG170="7",H170,0)</f>
        <v>0</v>
      </c>
      <c r="U170" s="40">
        <f>IF(AG170="7",I170,0)</f>
        <v>0</v>
      </c>
      <c r="V170" s="40">
        <f>IF(AG170="2",H170,0)</f>
        <v>0</v>
      </c>
      <c r="W170" s="40">
        <f>IF(AG170="2",I170,0)</f>
        <v>0</v>
      </c>
      <c r="X170" s="40">
        <f>IF(AG170="0",J170,0)</f>
        <v>0</v>
      </c>
      <c r="Y170" s="32"/>
      <c r="Z170" s="24">
        <f>IF(AD170=0,J170,0)</f>
        <v>0</v>
      </c>
      <c r="AA170" s="24">
        <f>IF(AD170=15,J170,0)</f>
        <v>0</v>
      </c>
      <c r="AB170" s="24">
        <f>IF(AD170=21,J170,0)</f>
        <v>0</v>
      </c>
      <c r="AD170" s="40">
        <v>21</v>
      </c>
      <c r="AE170" s="40">
        <f>G170*1</f>
        <v>0</v>
      </c>
      <c r="AF170" s="40">
        <f>G170*(1-1)</f>
        <v>0</v>
      </c>
      <c r="AG170" s="38" t="s">
        <v>371</v>
      </c>
      <c r="AM170" s="40">
        <f>F170*AE170</f>
        <v>0</v>
      </c>
      <c r="AN170" s="40">
        <f>F170*AF170</f>
        <v>0</v>
      </c>
      <c r="AO170" s="41" t="s">
        <v>389</v>
      </c>
      <c r="AP170" s="41" t="s">
        <v>395</v>
      </c>
      <c r="AQ170" s="32" t="s">
        <v>396</v>
      </c>
      <c r="AS170" s="40">
        <f>AM170+AN170</f>
        <v>0</v>
      </c>
      <c r="AT170" s="40">
        <f>G170/(100-AU170)*100</f>
        <v>0</v>
      </c>
      <c r="AU170" s="40">
        <v>0</v>
      </c>
      <c r="AV170" s="40">
        <f>L170</f>
        <v>0</v>
      </c>
    </row>
    <row r="171" spans="4:6" ht="12.75">
      <c r="D171" s="17" t="s">
        <v>19</v>
      </c>
      <c r="F171" s="23">
        <v>13</v>
      </c>
    </row>
    <row r="172" spans="3:13" ht="12.75">
      <c r="C172" s="15" t="s">
        <v>80</v>
      </c>
      <c r="D172" s="95" t="s">
        <v>290</v>
      </c>
      <c r="E172" s="96"/>
      <c r="F172" s="96"/>
      <c r="G172" s="96"/>
      <c r="H172" s="96"/>
      <c r="I172" s="96"/>
      <c r="J172" s="96"/>
      <c r="K172" s="96"/>
      <c r="L172" s="96"/>
      <c r="M172" s="96"/>
    </row>
    <row r="173" spans="1:48" ht="12.75">
      <c r="A173" s="7" t="s">
        <v>54</v>
      </c>
      <c r="B173" s="7"/>
      <c r="C173" s="7" t="s">
        <v>133</v>
      </c>
      <c r="D173" s="7" t="s">
        <v>291</v>
      </c>
      <c r="E173" s="7" t="s">
        <v>340</v>
      </c>
      <c r="F173" s="24">
        <v>2</v>
      </c>
      <c r="G173" s="24">
        <v>0</v>
      </c>
      <c r="H173" s="24">
        <f>F173*AE173</f>
        <v>0</v>
      </c>
      <c r="I173" s="24">
        <f>J173-H173</f>
        <v>0</v>
      </c>
      <c r="J173" s="24">
        <f>F173*G173</f>
        <v>0</v>
      </c>
      <c r="K173" s="24">
        <v>0</v>
      </c>
      <c r="L173" s="24">
        <f>F173*K173</f>
        <v>0</v>
      </c>
      <c r="M173" s="38" t="s">
        <v>361</v>
      </c>
      <c r="P173" s="40">
        <f>IF(AG173="5",J173,0)</f>
        <v>0</v>
      </c>
      <c r="R173" s="40">
        <f>IF(AG173="1",H173,0)</f>
        <v>0</v>
      </c>
      <c r="S173" s="40">
        <f>IF(AG173="1",I173,0)</f>
        <v>0</v>
      </c>
      <c r="T173" s="40">
        <f>IF(AG173="7",H173,0)</f>
        <v>0</v>
      </c>
      <c r="U173" s="40">
        <f>IF(AG173="7",I173,0)</f>
        <v>0</v>
      </c>
      <c r="V173" s="40">
        <f>IF(AG173="2",H173,0)</f>
        <v>0</v>
      </c>
      <c r="W173" s="40">
        <f>IF(AG173="2",I173,0)</f>
        <v>0</v>
      </c>
      <c r="X173" s="40">
        <f>IF(AG173="0",J173,0)</f>
        <v>0</v>
      </c>
      <c r="Y173" s="32"/>
      <c r="Z173" s="24">
        <f>IF(AD173=0,J173,0)</f>
        <v>0</v>
      </c>
      <c r="AA173" s="24">
        <f>IF(AD173=15,J173,0)</f>
        <v>0</v>
      </c>
      <c r="AB173" s="24">
        <f>IF(AD173=21,J173,0)</f>
        <v>0</v>
      </c>
      <c r="AD173" s="40">
        <v>21</v>
      </c>
      <c r="AE173" s="40">
        <f>G173*1</f>
        <v>0</v>
      </c>
      <c r="AF173" s="40">
        <f>G173*(1-1)</f>
        <v>0</v>
      </c>
      <c r="AG173" s="38" t="s">
        <v>371</v>
      </c>
      <c r="AM173" s="40">
        <f>F173*AE173</f>
        <v>0</v>
      </c>
      <c r="AN173" s="40">
        <f>F173*AF173</f>
        <v>0</v>
      </c>
      <c r="AO173" s="41" t="s">
        <v>389</v>
      </c>
      <c r="AP173" s="41" t="s">
        <v>395</v>
      </c>
      <c r="AQ173" s="32" t="s">
        <v>396</v>
      </c>
      <c r="AS173" s="40">
        <f>AM173+AN173</f>
        <v>0</v>
      </c>
      <c r="AT173" s="40">
        <f>G173/(100-AU173)*100</f>
        <v>0</v>
      </c>
      <c r="AU173" s="40">
        <v>0</v>
      </c>
      <c r="AV173" s="40">
        <f>L173</f>
        <v>0</v>
      </c>
    </row>
    <row r="174" spans="4:6" ht="12.75">
      <c r="D174" s="17" t="s">
        <v>8</v>
      </c>
      <c r="F174" s="23">
        <v>2</v>
      </c>
    </row>
    <row r="175" spans="1:48" ht="12.75">
      <c r="A175" s="7" t="s">
        <v>55</v>
      </c>
      <c r="B175" s="7"/>
      <c r="C175" s="7" t="s">
        <v>134</v>
      </c>
      <c r="D175" s="7" t="s">
        <v>292</v>
      </c>
      <c r="E175" s="7" t="s">
        <v>335</v>
      </c>
      <c r="F175" s="24">
        <v>14</v>
      </c>
      <c r="G175" s="24">
        <v>0</v>
      </c>
      <c r="H175" s="24">
        <f>F175*AE175</f>
        <v>0</v>
      </c>
      <c r="I175" s="24">
        <f>J175-H175</f>
        <v>0</v>
      </c>
      <c r="J175" s="24">
        <f>F175*G175</f>
        <v>0</v>
      </c>
      <c r="K175" s="24">
        <v>0</v>
      </c>
      <c r="L175" s="24">
        <f>F175*K175</f>
        <v>0</v>
      </c>
      <c r="M175" s="38" t="s">
        <v>361</v>
      </c>
      <c r="P175" s="40">
        <f>IF(AG175="5",J175,0)</f>
        <v>0</v>
      </c>
      <c r="R175" s="40">
        <f>IF(AG175="1",H175,0)</f>
        <v>0</v>
      </c>
      <c r="S175" s="40">
        <f>IF(AG175="1",I175,0)</f>
        <v>0</v>
      </c>
      <c r="T175" s="40">
        <f>IF(AG175="7",H175,0)</f>
        <v>0</v>
      </c>
      <c r="U175" s="40">
        <f>IF(AG175="7",I175,0)</f>
        <v>0</v>
      </c>
      <c r="V175" s="40">
        <f>IF(AG175="2",H175,0)</f>
        <v>0</v>
      </c>
      <c r="W175" s="40">
        <f>IF(AG175="2",I175,0)</f>
        <v>0</v>
      </c>
      <c r="X175" s="40">
        <f>IF(AG175="0",J175,0)</f>
        <v>0</v>
      </c>
      <c r="Y175" s="32"/>
      <c r="Z175" s="24">
        <f>IF(AD175=0,J175,0)</f>
        <v>0</v>
      </c>
      <c r="AA175" s="24">
        <f>IF(AD175=15,J175,0)</f>
        <v>0</v>
      </c>
      <c r="AB175" s="24">
        <f>IF(AD175=21,J175,0)</f>
        <v>0</v>
      </c>
      <c r="AD175" s="40">
        <v>21</v>
      </c>
      <c r="AE175" s="40">
        <f>G175*1</f>
        <v>0</v>
      </c>
      <c r="AF175" s="40">
        <f>G175*(1-1)</f>
        <v>0</v>
      </c>
      <c r="AG175" s="38" t="s">
        <v>371</v>
      </c>
      <c r="AM175" s="40">
        <f>F175*AE175</f>
        <v>0</v>
      </c>
      <c r="AN175" s="40">
        <f>F175*AF175</f>
        <v>0</v>
      </c>
      <c r="AO175" s="41" t="s">
        <v>389</v>
      </c>
      <c r="AP175" s="41" t="s">
        <v>395</v>
      </c>
      <c r="AQ175" s="32" t="s">
        <v>396</v>
      </c>
      <c r="AS175" s="40">
        <f>AM175+AN175</f>
        <v>0</v>
      </c>
      <c r="AT175" s="40">
        <f>G175/(100-AU175)*100</f>
        <v>0</v>
      </c>
      <c r="AU175" s="40">
        <v>0</v>
      </c>
      <c r="AV175" s="40">
        <f>L175</f>
        <v>0</v>
      </c>
    </row>
    <row r="176" spans="4:6" ht="12.75">
      <c r="D176" s="17" t="s">
        <v>20</v>
      </c>
      <c r="F176" s="23">
        <v>14</v>
      </c>
    </row>
    <row r="177" spans="1:48" ht="12.75">
      <c r="A177" s="7" t="s">
        <v>56</v>
      </c>
      <c r="B177" s="7"/>
      <c r="C177" s="7" t="s">
        <v>135</v>
      </c>
      <c r="D177" s="7" t="s">
        <v>293</v>
      </c>
      <c r="E177" s="7" t="s">
        <v>335</v>
      </c>
      <c r="F177" s="24">
        <v>26.4</v>
      </c>
      <c r="G177" s="24">
        <v>0</v>
      </c>
      <c r="H177" s="24">
        <f>F177*AE177</f>
        <v>0</v>
      </c>
      <c r="I177" s="24">
        <f>J177-H177</f>
        <v>0</v>
      </c>
      <c r="J177" s="24">
        <f>F177*G177</f>
        <v>0</v>
      </c>
      <c r="K177" s="24">
        <v>0.0077</v>
      </c>
      <c r="L177" s="24">
        <f>F177*K177</f>
        <v>0.20328</v>
      </c>
      <c r="M177" s="38" t="s">
        <v>360</v>
      </c>
      <c r="P177" s="40">
        <f>IF(AG177="5",J177,0)</f>
        <v>0</v>
      </c>
      <c r="R177" s="40">
        <f>IF(AG177="1",H177,0)</f>
        <v>0</v>
      </c>
      <c r="S177" s="40">
        <f>IF(AG177="1",I177,0)</f>
        <v>0</v>
      </c>
      <c r="T177" s="40">
        <f>IF(AG177="7",H177,0)</f>
        <v>0</v>
      </c>
      <c r="U177" s="40">
        <f>IF(AG177="7",I177,0)</f>
        <v>0</v>
      </c>
      <c r="V177" s="40">
        <f>IF(AG177="2",H177,0)</f>
        <v>0</v>
      </c>
      <c r="W177" s="40">
        <f>IF(AG177="2",I177,0)</f>
        <v>0</v>
      </c>
      <c r="X177" s="40">
        <f>IF(AG177="0",J177,0)</f>
        <v>0</v>
      </c>
      <c r="Y177" s="32"/>
      <c r="Z177" s="24">
        <f>IF(AD177=0,J177,0)</f>
        <v>0</v>
      </c>
      <c r="AA177" s="24">
        <f>IF(AD177=15,J177,0)</f>
        <v>0</v>
      </c>
      <c r="AB177" s="24">
        <f>IF(AD177=21,J177,0)</f>
        <v>0</v>
      </c>
      <c r="AD177" s="40">
        <v>21</v>
      </c>
      <c r="AE177" s="40">
        <f>G177*1</f>
        <v>0</v>
      </c>
      <c r="AF177" s="40">
        <f>G177*(1-1)</f>
        <v>0</v>
      </c>
      <c r="AG177" s="38" t="s">
        <v>371</v>
      </c>
      <c r="AM177" s="40">
        <f>F177*AE177</f>
        <v>0</v>
      </c>
      <c r="AN177" s="40">
        <f>F177*AF177</f>
        <v>0</v>
      </c>
      <c r="AO177" s="41" t="s">
        <v>389</v>
      </c>
      <c r="AP177" s="41" t="s">
        <v>395</v>
      </c>
      <c r="AQ177" s="32" t="s">
        <v>396</v>
      </c>
      <c r="AS177" s="40">
        <f>AM177+AN177</f>
        <v>0</v>
      </c>
      <c r="AT177" s="40">
        <f>G177/(100-AU177)*100</f>
        <v>0</v>
      </c>
      <c r="AU177" s="40">
        <v>0</v>
      </c>
      <c r="AV177" s="40">
        <f>L177</f>
        <v>0.20328</v>
      </c>
    </row>
    <row r="178" spans="4:6" ht="12.75">
      <c r="D178" s="17" t="s">
        <v>30</v>
      </c>
      <c r="F178" s="23">
        <v>24</v>
      </c>
    </row>
    <row r="179" spans="4:6" ht="12.75">
      <c r="D179" s="17" t="s">
        <v>294</v>
      </c>
      <c r="F179" s="23">
        <v>2.4</v>
      </c>
    </row>
    <row r="180" spans="3:13" ht="38.25" customHeight="1">
      <c r="C180" s="15" t="s">
        <v>80</v>
      </c>
      <c r="D180" s="95" t="s">
        <v>295</v>
      </c>
      <c r="E180" s="96"/>
      <c r="F180" s="96"/>
      <c r="G180" s="96"/>
      <c r="H180" s="96"/>
      <c r="I180" s="96"/>
      <c r="J180" s="96"/>
      <c r="K180" s="96"/>
      <c r="L180" s="96"/>
      <c r="M180" s="96"/>
    </row>
    <row r="181" spans="1:48" ht="12.75">
      <c r="A181" s="7" t="s">
        <v>57</v>
      </c>
      <c r="B181" s="7"/>
      <c r="C181" s="7" t="s">
        <v>136</v>
      </c>
      <c r="D181" s="7" t="s">
        <v>296</v>
      </c>
      <c r="E181" s="7" t="s">
        <v>340</v>
      </c>
      <c r="F181" s="24">
        <v>4</v>
      </c>
      <c r="G181" s="24">
        <v>0</v>
      </c>
      <c r="H181" s="24">
        <f>F181*AE181</f>
        <v>0</v>
      </c>
      <c r="I181" s="24">
        <f>J181-H181</f>
        <v>0</v>
      </c>
      <c r="J181" s="24">
        <f>F181*G181</f>
        <v>0</v>
      </c>
      <c r="K181" s="24">
        <v>0.0038</v>
      </c>
      <c r="L181" s="24">
        <f>F181*K181</f>
        <v>0.0152</v>
      </c>
      <c r="M181" s="38" t="s">
        <v>360</v>
      </c>
      <c r="P181" s="40">
        <f>IF(AG181="5",J181,0)</f>
        <v>0</v>
      </c>
      <c r="R181" s="40">
        <f>IF(AG181="1",H181,0)</f>
        <v>0</v>
      </c>
      <c r="S181" s="40">
        <f>IF(AG181="1",I181,0)</f>
        <v>0</v>
      </c>
      <c r="T181" s="40">
        <f>IF(AG181="7",H181,0)</f>
        <v>0</v>
      </c>
      <c r="U181" s="40">
        <f>IF(AG181="7",I181,0)</f>
        <v>0</v>
      </c>
      <c r="V181" s="40">
        <f>IF(AG181="2",H181,0)</f>
        <v>0</v>
      </c>
      <c r="W181" s="40">
        <f>IF(AG181="2",I181,0)</f>
        <v>0</v>
      </c>
      <c r="X181" s="40">
        <f>IF(AG181="0",J181,0)</f>
        <v>0</v>
      </c>
      <c r="Y181" s="32"/>
      <c r="Z181" s="24">
        <f>IF(AD181=0,J181,0)</f>
        <v>0</v>
      </c>
      <c r="AA181" s="24">
        <f>IF(AD181=15,J181,0)</f>
        <v>0</v>
      </c>
      <c r="AB181" s="24">
        <f>IF(AD181=21,J181,0)</f>
        <v>0</v>
      </c>
      <c r="AD181" s="40">
        <v>21</v>
      </c>
      <c r="AE181" s="40">
        <f>G181*1</f>
        <v>0</v>
      </c>
      <c r="AF181" s="40">
        <f>G181*(1-1)</f>
        <v>0</v>
      </c>
      <c r="AG181" s="38" t="s">
        <v>371</v>
      </c>
      <c r="AM181" s="40">
        <f>F181*AE181</f>
        <v>0</v>
      </c>
      <c r="AN181" s="40">
        <f>F181*AF181</f>
        <v>0</v>
      </c>
      <c r="AO181" s="41" t="s">
        <v>389</v>
      </c>
      <c r="AP181" s="41" t="s">
        <v>395</v>
      </c>
      <c r="AQ181" s="32" t="s">
        <v>396</v>
      </c>
      <c r="AS181" s="40">
        <f>AM181+AN181</f>
        <v>0</v>
      </c>
      <c r="AT181" s="40">
        <f>G181/(100-AU181)*100</f>
        <v>0</v>
      </c>
      <c r="AU181" s="40">
        <v>0</v>
      </c>
      <c r="AV181" s="40">
        <f>L181</f>
        <v>0.0152</v>
      </c>
    </row>
    <row r="182" spans="4:6" ht="12.75">
      <c r="D182" s="17" t="s">
        <v>10</v>
      </c>
      <c r="F182" s="23">
        <v>4</v>
      </c>
    </row>
    <row r="183" spans="3:13" ht="25.5" customHeight="1">
      <c r="C183" s="15" t="s">
        <v>80</v>
      </c>
      <c r="D183" s="95" t="s">
        <v>297</v>
      </c>
      <c r="E183" s="96"/>
      <c r="F183" s="96"/>
      <c r="G183" s="96"/>
      <c r="H183" s="96"/>
      <c r="I183" s="96"/>
      <c r="J183" s="96"/>
      <c r="K183" s="96"/>
      <c r="L183" s="96"/>
      <c r="M183" s="96"/>
    </row>
    <row r="184" spans="1:48" ht="12.75">
      <c r="A184" s="7" t="s">
        <v>58</v>
      </c>
      <c r="B184" s="7"/>
      <c r="C184" s="7" t="s">
        <v>137</v>
      </c>
      <c r="D184" s="7" t="s">
        <v>298</v>
      </c>
      <c r="E184" s="7" t="s">
        <v>340</v>
      </c>
      <c r="F184" s="24">
        <v>4</v>
      </c>
      <c r="G184" s="24">
        <v>0</v>
      </c>
      <c r="H184" s="24">
        <f>F184*AE184</f>
        <v>0</v>
      </c>
      <c r="I184" s="24">
        <f>J184-H184</f>
        <v>0</v>
      </c>
      <c r="J184" s="24">
        <f>F184*G184</f>
        <v>0</v>
      </c>
      <c r="K184" s="24">
        <v>0.0033</v>
      </c>
      <c r="L184" s="24">
        <f>F184*K184</f>
        <v>0.0132</v>
      </c>
      <c r="M184" s="38" t="s">
        <v>360</v>
      </c>
      <c r="P184" s="40">
        <f>IF(AG184="5",J184,0)</f>
        <v>0</v>
      </c>
      <c r="R184" s="40">
        <f>IF(AG184="1",H184,0)</f>
        <v>0</v>
      </c>
      <c r="S184" s="40">
        <f>IF(AG184="1",I184,0)</f>
        <v>0</v>
      </c>
      <c r="T184" s="40">
        <f>IF(AG184="7",H184,0)</f>
        <v>0</v>
      </c>
      <c r="U184" s="40">
        <f>IF(AG184="7",I184,0)</f>
        <v>0</v>
      </c>
      <c r="V184" s="40">
        <f>IF(AG184="2",H184,0)</f>
        <v>0</v>
      </c>
      <c r="W184" s="40">
        <f>IF(AG184="2",I184,0)</f>
        <v>0</v>
      </c>
      <c r="X184" s="40">
        <f>IF(AG184="0",J184,0)</f>
        <v>0</v>
      </c>
      <c r="Y184" s="32"/>
      <c r="Z184" s="24">
        <f>IF(AD184=0,J184,0)</f>
        <v>0</v>
      </c>
      <c r="AA184" s="24">
        <f>IF(AD184=15,J184,0)</f>
        <v>0</v>
      </c>
      <c r="AB184" s="24">
        <f>IF(AD184=21,J184,0)</f>
        <v>0</v>
      </c>
      <c r="AD184" s="40">
        <v>21</v>
      </c>
      <c r="AE184" s="40">
        <f>G184*1</f>
        <v>0</v>
      </c>
      <c r="AF184" s="40">
        <f>G184*(1-1)</f>
        <v>0</v>
      </c>
      <c r="AG184" s="38" t="s">
        <v>371</v>
      </c>
      <c r="AM184" s="40">
        <f>F184*AE184</f>
        <v>0</v>
      </c>
      <c r="AN184" s="40">
        <f>F184*AF184</f>
        <v>0</v>
      </c>
      <c r="AO184" s="41" t="s">
        <v>389</v>
      </c>
      <c r="AP184" s="41" t="s">
        <v>395</v>
      </c>
      <c r="AQ184" s="32" t="s">
        <v>396</v>
      </c>
      <c r="AS184" s="40">
        <f>AM184+AN184</f>
        <v>0</v>
      </c>
      <c r="AT184" s="40">
        <f>G184/(100-AU184)*100</f>
        <v>0</v>
      </c>
      <c r="AU184" s="40">
        <v>0</v>
      </c>
      <c r="AV184" s="40">
        <f>L184</f>
        <v>0.0132</v>
      </c>
    </row>
    <row r="185" spans="4:6" ht="12.75">
      <c r="D185" s="17" t="s">
        <v>10</v>
      </c>
      <c r="F185" s="23">
        <v>4</v>
      </c>
    </row>
    <row r="186" spans="3:13" ht="25.5" customHeight="1">
      <c r="C186" s="15" t="s">
        <v>80</v>
      </c>
      <c r="D186" s="95" t="s">
        <v>297</v>
      </c>
      <c r="E186" s="96"/>
      <c r="F186" s="96"/>
      <c r="G186" s="96"/>
      <c r="H186" s="96"/>
      <c r="I186" s="96"/>
      <c r="J186" s="96"/>
      <c r="K186" s="96"/>
      <c r="L186" s="96"/>
      <c r="M186" s="96"/>
    </row>
    <row r="187" spans="1:48" ht="12.75">
      <c r="A187" s="7" t="s">
        <v>59</v>
      </c>
      <c r="B187" s="7"/>
      <c r="C187" s="7" t="s">
        <v>138</v>
      </c>
      <c r="D187" s="7" t="s">
        <v>299</v>
      </c>
      <c r="E187" s="7" t="s">
        <v>340</v>
      </c>
      <c r="F187" s="24">
        <v>8</v>
      </c>
      <c r="G187" s="24">
        <v>0</v>
      </c>
      <c r="H187" s="24">
        <f>F187*AE187</f>
        <v>0</v>
      </c>
      <c r="I187" s="24">
        <f>J187-H187</f>
        <v>0</v>
      </c>
      <c r="J187" s="24">
        <f>F187*G187</f>
        <v>0</v>
      </c>
      <c r="K187" s="24">
        <v>0</v>
      </c>
      <c r="L187" s="24">
        <f>F187*K187</f>
        <v>0</v>
      </c>
      <c r="M187" s="38" t="s">
        <v>360</v>
      </c>
      <c r="P187" s="40">
        <f>IF(AG187="5",J187,0)</f>
        <v>0</v>
      </c>
      <c r="R187" s="40">
        <f>IF(AG187="1",H187,0)</f>
        <v>0</v>
      </c>
      <c r="S187" s="40">
        <f>IF(AG187="1",I187,0)</f>
        <v>0</v>
      </c>
      <c r="T187" s="40">
        <f>IF(AG187="7",H187,0)</f>
        <v>0</v>
      </c>
      <c r="U187" s="40">
        <f>IF(AG187="7",I187,0)</f>
        <v>0</v>
      </c>
      <c r="V187" s="40">
        <f>IF(AG187="2",H187,0)</f>
        <v>0</v>
      </c>
      <c r="W187" s="40">
        <f>IF(AG187="2",I187,0)</f>
        <v>0</v>
      </c>
      <c r="X187" s="40">
        <f>IF(AG187="0",J187,0)</f>
        <v>0</v>
      </c>
      <c r="Y187" s="32"/>
      <c r="Z187" s="24">
        <f>IF(AD187=0,J187,0)</f>
        <v>0</v>
      </c>
      <c r="AA187" s="24">
        <f>IF(AD187=15,J187,0)</f>
        <v>0</v>
      </c>
      <c r="AB187" s="24">
        <f>IF(AD187=21,J187,0)</f>
        <v>0</v>
      </c>
      <c r="AD187" s="40">
        <v>21</v>
      </c>
      <c r="AE187" s="40">
        <f>G187*1</f>
        <v>0</v>
      </c>
      <c r="AF187" s="40">
        <f>G187*(1-1)</f>
        <v>0</v>
      </c>
      <c r="AG187" s="38" t="s">
        <v>371</v>
      </c>
      <c r="AM187" s="40">
        <f>F187*AE187</f>
        <v>0</v>
      </c>
      <c r="AN187" s="40">
        <f>F187*AF187</f>
        <v>0</v>
      </c>
      <c r="AO187" s="41" t="s">
        <v>389</v>
      </c>
      <c r="AP187" s="41" t="s">
        <v>395</v>
      </c>
      <c r="AQ187" s="32" t="s">
        <v>396</v>
      </c>
      <c r="AS187" s="40">
        <f>AM187+AN187</f>
        <v>0</v>
      </c>
      <c r="AT187" s="40">
        <f>G187/(100-AU187)*100</f>
        <v>0</v>
      </c>
      <c r="AU187" s="40">
        <v>0</v>
      </c>
      <c r="AV187" s="40">
        <f>L187</f>
        <v>0</v>
      </c>
    </row>
    <row r="188" spans="4:6" ht="12.75">
      <c r="D188" s="17" t="s">
        <v>14</v>
      </c>
      <c r="F188" s="23">
        <v>8</v>
      </c>
    </row>
    <row r="189" spans="1:48" ht="12.75">
      <c r="A189" s="7" t="s">
        <v>60</v>
      </c>
      <c r="B189" s="7"/>
      <c r="C189" s="7" t="s">
        <v>139</v>
      </c>
      <c r="D189" s="7" t="s">
        <v>300</v>
      </c>
      <c r="E189" s="7" t="s">
        <v>340</v>
      </c>
      <c r="F189" s="24">
        <v>2</v>
      </c>
      <c r="G189" s="24">
        <v>0</v>
      </c>
      <c r="H189" s="24">
        <f>F189*AE189</f>
        <v>0</v>
      </c>
      <c r="I189" s="24">
        <f>J189-H189</f>
        <v>0</v>
      </c>
      <c r="J189" s="24">
        <f>F189*G189</f>
        <v>0</v>
      </c>
      <c r="K189" s="24">
        <v>0</v>
      </c>
      <c r="L189" s="24">
        <f>F189*K189</f>
        <v>0</v>
      </c>
      <c r="M189" s="38" t="s">
        <v>361</v>
      </c>
      <c r="P189" s="40">
        <f>IF(AG189="5",J189,0)</f>
        <v>0</v>
      </c>
      <c r="R189" s="40">
        <f>IF(AG189="1",H189,0)</f>
        <v>0</v>
      </c>
      <c r="S189" s="40">
        <f>IF(AG189="1",I189,0)</f>
        <v>0</v>
      </c>
      <c r="T189" s="40">
        <f>IF(AG189="7",H189,0)</f>
        <v>0</v>
      </c>
      <c r="U189" s="40">
        <f>IF(AG189="7",I189,0)</f>
        <v>0</v>
      </c>
      <c r="V189" s="40">
        <f>IF(AG189="2",H189,0)</f>
        <v>0</v>
      </c>
      <c r="W189" s="40">
        <f>IF(AG189="2",I189,0)</f>
        <v>0</v>
      </c>
      <c r="X189" s="40">
        <f>IF(AG189="0",J189,0)</f>
        <v>0</v>
      </c>
      <c r="Y189" s="32"/>
      <c r="Z189" s="24">
        <f>IF(AD189=0,J189,0)</f>
        <v>0</v>
      </c>
      <c r="AA189" s="24">
        <f>IF(AD189=15,J189,0)</f>
        <v>0</v>
      </c>
      <c r="AB189" s="24">
        <f>IF(AD189=21,J189,0)</f>
        <v>0</v>
      </c>
      <c r="AD189" s="40">
        <v>21</v>
      </c>
      <c r="AE189" s="40">
        <f>G189*1</f>
        <v>0</v>
      </c>
      <c r="AF189" s="40">
        <f>G189*(1-1)</f>
        <v>0</v>
      </c>
      <c r="AG189" s="38" t="s">
        <v>371</v>
      </c>
      <c r="AM189" s="40">
        <f>F189*AE189</f>
        <v>0</v>
      </c>
      <c r="AN189" s="40">
        <f>F189*AF189</f>
        <v>0</v>
      </c>
      <c r="AO189" s="41" t="s">
        <v>389</v>
      </c>
      <c r="AP189" s="41" t="s">
        <v>395</v>
      </c>
      <c r="AQ189" s="32" t="s">
        <v>396</v>
      </c>
      <c r="AS189" s="40">
        <f>AM189+AN189</f>
        <v>0</v>
      </c>
      <c r="AT189" s="40">
        <f>G189/(100-AU189)*100</f>
        <v>0</v>
      </c>
      <c r="AU189" s="40">
        <v>0</v>
      </c>
      <c r="AV189" s="40">
        <f>L189</f>
        <v>0</v>
      </c>
    </row>
    <row r="190" spans="4:6" ht="12.75">
      <c r="D190" s="17" t="s">
        <v>8</v>
      </c>
      <c r="F190" s="23">
        <v>2</v>
      </c>
    </row>
    <row r="191" spans="1:48" ht="12.75">
      <c r="A191" s="7" t="s">
        <v>61</v>
      </c>
      <c r="B191" s="7"/>
      <c r="C191" s="7" t="s">
        <v>140</v>
      </c>
      <c r="D191" s="7" t="s">
        <v>301</v>
      </c>
      <c r="E191" s="7" t="s">
        <v>340</v>
      </c>
      <c r="F191" s="24">
        <v>3</v>
      </c>
      <c r="G191" s="24">
        <v>0</v>
      </c>
      <c r="H191" s="24">
        <f>F191*AE191</f>
        <v>0</v>
      </c>
      <c r="I191" s="24">
        <f>J191-H191</f>
        <v>0</v>
      </c>
      <c r="J191" s="24">
        <f>F191*G191</f>
        <v>0</v>
      </c>
      <c r="K191" s="24">
        <v>0</v>
      </c>
      <c r="L191" s="24">
        <f>F191*K191</f>
        <v>0</v>
      </c>
      <c r="M191" s="38" t="s">
        <v>361</v>
      </c>
      <c r="P191" s="40">
        <f>IF(AG191="5",J191,0)</f>
        <v>0</v>
      </c>
      <c r="R191" s="40">
        <f>IF(AG191="1",H191,0)</f>
        <v>0</v>
      </c>
      <c r="S191" s="40">
        <f>IF(AG191="1",I191,0)</f>
        <v>0</v>
      </c>
      <c r="T191" s="40">
        <f>IF(AG191="7",H191,0)</f>
        <v>0</v>
      </c>
      <c r="U191" s="40">
        <f>IF(AG191="7",I191,0)</f>
        <v>0</v>
      </c>
      <c r="V191" s="40">
        <f>IF(AG191="2",H191,0)</f>
        <v>0</v>
      </c>
      <c r="W191" s="40">
        <f>IF(AG191="2",I191,0)</f>
        <v>0</v>
      </c>
      <c r="X191" s="40">
        <f>IF(AG191="0",J191,0)</f>
        <v>0</v>
      </c>
      <c r="Y191" s="32"/>
      <c r="Z191" s="24">
        <f>IF(AD191=0,J191,0)</f>
        <v>0</v>
      </c>
      <c r="AA191" s="24">
        <f>IF(AD191=15,J191,0)</f>
        <v>0</v>
      </c>
      <c r="AB191" s="24">
        <f>IF(AD191=21,J191,0)</f>
        <v>0</v>
      </c>
      <c r="AD191" s="40">
        <v>21</v>
      </c>
      <c r="AE191" s="40">
        <f>G191*1</f>
        <v>0</v>
      </c>
      <c r="AF191" s="40">
        <f>G191*(1-1)</f>
        <v>0</v>
      </c>
      <c r="AG191" s="38" t="s">
        <v>371</v>
      </c>
      <c r="AM191" s="40">
        <f>F191*AE191</f>
        <v>0</v>
      </c>
      <c r="AN191" s="40">
        <f>F191*AF191</f>
        <v>0</v>
      </c>
      <c r="AO191" s="41" t="s">
        <v>389</v>
      </c>
      <c r="AP191" s="41" t="s">
        <v>395</v>
      </c>
      <c r="AQ191" s="32" t="s">
        <v>396</v>
      </c>
      <c r="AS191" s="40">
        <f>AM191+AN191</f>
        <v>0</v>
      </c>
      <c r="AT191" s="40">
        <f>G191/(100-AU191)*100</f>
        <v>0</v>
      </c>
      <c r="AU191" s="40">
        <v>0</v>
      </c>
      <c r="AV191" s="40">
        <f>L191</f>
        <v>0</v>
      </c>
    </row>
    <row r="192" spans="4:6" ht="12.75">
      <c r="D192" s="17" t="s">
        <v>9</v>
      </c>
      <c r="F192" s="23">
        <v>3</v>
      </c>
    </row>
    <row r="193" spans="1:48" ht="12.75">
      <c r="A193" s="7" t="s">
        <v>62</v>
      </c>
      <c r="B193" s="7"/>
      <c r="C193" s="7" t="s">
        <v>141</v>
      </c>
      <c r="D193" s="7" t="s">
        <v>302</v>
      </c>
      <c r="E193" s="7" t="s">
        <v>340</v>
      </c>
      <c r="F193" s="24">
        <v>3</v>
      </c>
      <c r="G193" s="24">
        <v>0</v>
      </c>
      <c r="H193" s="24">
        <f>F193*AE193</f>
        <v>0</v>
      </c>
      <c r="I193" s="24">
        <f>J193-H193</f>
        <v>0</v>
      </c>
      <c r="J193" s="24">
        <f>F193*G193</f>
        <v>0</v>
      </c>
      <c r="K193" s="24">
        <v>0.0113</v>
      </c>
      <c r="L193" s="24">
        <f>F193*K193</f>
        <v>0.0339</v>
      </c>
      <c r="M193" s="38" t="s">
        <v>360</v>
      </c>
      <c r="P193" s="40">
        <f>IF(AG193="5",J193,0)</f>
        <v>0</v>
      </c>
      <c r="R193" s="40">
        <f>IF(AG193="1",H193,0)</f>
        <v>0</v>
      </c>
      <c r="S193" s="40">
        <f>IF(AG193="1",I193,0)</f>
        <v>0</v>
      </c>
      <c r="T193" s="40">
        <f>IF(AG193="7",H193,0)</f>
        <v>0</v>
      </c>
      <c r="U193" s="40">
        <f>IF(AG193="7",I193,0)</f>
        <v>0</v>
      </c>
      <c r="V193" s="40">
        <f>IF(AG193="2",H193,0)</f>
        <v>0</v>
      </c>
      <c r="W193" s="40">
        <f>IF(AG193="2",I193,0)</f>
        <v>0</v>
      </c>
      <c r="X193" s="40">
        <f>IF(AG193="0",J193,0)</f>
        <v>0</v>
      </c>
      <c r="Y193" s="32"/>
      <c r="Z193" s="24">
        <f>IF(AD193=0,J193,0)</f>
        <v>0</v>
      </c>
      <c r="AA193" s="24">
        <f>IF(AD193=15,J193,0)</f>
        <v>0</v>
      </c>
      <c r="AB193" s="24">
        <f>IF(AD193=21,J193,0)</f>
        <v>0</v>
      </c>
      <c r="AD193" s="40">
        <v>21</v>
      </c>
      <c r="AE193" s="40">
        <f>G193*1</f>
        <v>0</v>
      </c>
      <c r="AF193" s="40">
        <f>G193*(1-1)</f>
        <v>0</v>
      </c>
      <c r="AG193" s="38" t="s">
        <v>371</v>
      </c>
      <c r="AM193" s="40">
        <f>F193*AE193</f>
        <v>0</v>
      </c>
      <c r="AN193" s="40">
        <f>F193*AF193</f>
        <v>0</v>
      </c>
      <c r="AO193" s="41" t="s">
        <v>389</v>
      </c>
      <c r="AP193" s="41" t="s">
        <v>395</v>
      </c>
      <c r="AQ193" s="32" t="s">
        <v>396</v>
      </c>
      <c r="AS193" s="40">
        <f>AM193+AN193</f>
        <v>0</v>
      </c>
      <c r="AT193" s="40">
        <f>G193/(100-AU193)*100</f>
        <v>0</v>
      </c>
      <c r="AU193" s="40">
        <v>0</v>
      </c>
      <c r="AV193" s="40">
        <f>L193</f>
        <v>0.0339</v>
      </c>
    </row>
    <row r="194" spans="4:6" ht="12.75">
      <c r="D194" s="17" t="s">
        <v>9</v>
      </c>
      <c r="F194" s="23">
        <v>3</v>
      </c>
    </row>
    <row r="195" spans="3:13" ht="12.75">
      <c r="C195" s="15" t="s">
        <v>80</v>
      </c>
      <c r="D195" s="95" t="s">
        <v>303</v>
      </c>
      <c r="E195" s="96"/>
      <c r="F195" s="96"/>
      <c r="G195" s="96"/>
      <c r="H195" s="96"/>
      <c r="I195" s="96"/>
      <c r="J195" s="96"/>
      <c r="K195" s="96"/>
      <c r="L195" s="96"/>
      <c r="M195" s="96"/>
    </row>
    <row r="196" spans="1:48" ht="12.75">
      <c r="A196" s="7" t="s">
        <v>63</v>
      </c>
      <c r="B196" s="7"/>
      <c r="C196" s="7" t="s">
        <v>142</v>
      </c>
      <c r="D196" s="7" t="s">
        <v>304</v>
      </c>
      <c r="E196" s="7" t="s">
        <v>340</v>
      </c>
      <c r="F196" s="24">
        <v>1</v>
      </c>
      <c r="G196" s="24">
        <v>0</v>
      </c>
      <c r="H196" s="24">
        <f>F196*AE196</f>
        <v>0</v>
      </c>
      <c r="I196" s="24">
        <f>J196-H196</f>
        <v>0</v>
      </c>
      <c r="J196" s="24">
        <f>F196*G196</f>
        <v>0</v>
      </c>
      <c r="K196" s="24">
        <v>0.032</v>
      </c>
      <c r="L196" s="24">
        <f>F196*K196</f>
        <v>0.032</v>
      </c>
      <c r="M196" s="38" t="s">
        <v>360</v>
      </c>
      <c r="P196" s="40">
        <f>IF(AG196="5",J196,0)</f>
        <v>0</v>
      </c>
      <c r="R196" s="40">
        <f>IF(AG196="1",H196,0)</f>
        <v>0</v>
      </c>
      <c r="S196" s="40">
        <f>IF(AG196="1",I196,0)</f>
        <v>0</v>
      </c>
      <c r="T196" s="40">
        <f>IF(AG196="7",H196,0)</f>
        <v>0</v>
      </c>
      <c r="U196" s="40">
        <f>IF(AG196="7",I196,0)</f>
        <v>0</v>
      </c>
      <c r="V196" s="40">
        <f>IF(AG196="2",H196,0)</f>
        <v>0</v>
      </c>
      <c r="W196" s="40">
        <f>IF(AG196="2",I196,0)</f>
        <v>0</v>
      </c>
      <c r="X196" s="40">
        <f>IF(AG196="0",J196,0)</f>
        <v>0</v>
      </c>
      <c r="Y196" s="32"/>
      <c r="Z196" s="24">
        <f>IF(AD196=0,J196,0)</f>
        <v>0</v>
      </c>
      <c r="AA196" s="24">
        <f>IF(AD196=15,J196,0)</f>
        <v>0</v>
      </c>
      <c r="AB196" s="24">
        <f>IF(AD196=21,J196,0)</f>
        <v>0</v>
      </c>
      <c r="AD196" s="40">
        <v>21</v>
      </c>
      <c r="AE196" s="40">
        <f>G196*1</f>
        <v>0</v>
      </c>
      <c r="AF196" s="40">
        <f>G196*(1-1)</f>
        <v>0</v>
      </c>
      <c r="AG196" s="38" t="s">
        <v>371</v>
      </c>
      <c r="AM196" s="40">
        <f>F196*AE196</f>
        <v>0</v>
      </c>
      <c r="AN196" s="40">
        <f>F196*AF196</f>
        <v>0</v>
      </c>
      <c r="AO196" s="41" t="s">
        <v>389</v>
      </c>
      <c r="AP196" s="41" t="s">
        <v>395</v>
      </c>
      <c r="AQ196" s="32" t="s">
        <v>396</v>
      </c>
      <c r="AS196" s="40">
        <f>AM196+AN196</f>
        <v>0</v>
      </c>
      <c r="AT196" s="40">
        <f>G196/(100-AU196)*100</f>
        <v>0</v>
      </c>
      <c r="AU196" s="40">
        <v>0</v>
      </c>
      <c r="AV196" s="40">
        <f>L196</f>
        <v>0.032</v>
      </c>
    </row>
    <row r="197" spans="4:6" ht="12.75">
      <c r="D197" s="17" t="s">
        <v>7</v>
      </c>
      <c r="F197" s="23">
        <v>1</v>
      </c>
    </row>
    <row r="198" spans="3:13" ht="12.75">
      <c r="C198" s="15" t="s">
        <v>80</v>
      </c>
      <c r="D198" s="95" t="s">
        <v>305</v>
      </c>
      <c r="E198" s="96"/>
      <c r="F198" s="96"/>
      <c r="G198" s="96"/>
      <c r="H198" s="96"/>
      <c r="I198" s="96"/>
      <c r="J198" s="96"/>
      <c r="K198" s="96"/>
      <c r="L198" s="96"/>
      <c r="M198" s="96"/>
    </row>
    <row r="199" spans="1:48" ht="12.75">
      <c r="A199" s="7" t="s">
        <v>64</v>
      </c>
      <c r="B199" s="7"/>
      <c r="C199" s="7" t="s">
        <v>143</v>
      </c>
      <c r="D199" s="7" t="s">
        <v>306</v>
      </c>
      <c r="E199" s="7" t="s">
        <v>340</v>
      </c>
      <c r="F199" s="24">
        <v>1</v>
      </c>
      <c r="G199" s="24">
        <v>0</v>
      </c>
      <c r="H199" s="24">
        <f>F199*AE199</f>
        <v>0</v>
      </c>
      <c r="I199" s="24">
        <f>J199-H199</f>
        <v>0</v>
      </c>
      <c r="J199" s="24">
        <f>F199*G199</f>
        <v>0</v>
      </c>
      <c r="K199" s="24">
        <v>0.017</v>
      </c>
      <c r="L199" s="24">
        <f>F199*K199</f>
        <v>0.017</v>
      </c>
      <c r="M199" s="38" t="s">
        <v>360</v>
      </c>
      <c r="P199" s="40">
        <f>IF(AG199="5",J199,0)</f>
        <v>0</v>
      </c>
      <c r="R199" s="40">
        <f>IF(AG199="1",H199,0)</f>
        <v>0</v>
      </c>
      <c r="S199" s="40">
        <f>IF(AG199="1",I199,0)</f>
        <v>0</v>
      </c>
      <c r="T199" s="40">
        <f>IF(AG199="7",H199,0)</f>
        <v>0</v>
      </c>
      <c r="U199" s="40">
        <f>IF(AG199="7",I199,0)</f>
        <v>0</v>
      </c>
      <c r="V199" s="40">
        <f>IF(AG199="2",H199,0)</f>
        <v>0</v>
      </c>
      <c r="W199" s="40">
        <f>IF(AG199="2",I199,0)</f>
        <v>0</v>
      </c>
      <c r="X199" s="40">
        <f>IF(AG199="0",J199,0)</f>
        <v>0</v>
      </c>
      <c r="Y199" s="32"/>
      <c r="Z199" s="24">
        <f>IF(AD199=0,J199,0)</f>
        <v>0</v>
      </c>
      <c r="AA199" s="24">
        <f>IF(AD199=15,J199,0)</f>
        <v>0</v>
      </c>
      <c r="AB199" s="24">
        <f>IF(AD199=21,J199,0)</f>
        <v>0</v>
      </c>
      <c r="AD199" s="40">
        <v>21</v>
      </c>
      <c r="AE199" s="40">
        <f>G199*1</f>
        <v>0</v>
      </c>
      <c r="AF199" s="40">
        <f>G199*(1-1)</f>
        <v>0</v>
      </c>
      <c r="AG199" s="38" t="s">
        <v>371</v>
      </c>
      <c r="AM199" s="40">
        <f>F199*AE199</f>
        <v>0</v>
      </c>
      <c r="AN199" s="40">
        <f>F199*AF199</f>
        <v>0</v>
      </c>
      <c r="AO199" s="41" t="s">
        <v>389</v>
      </c>
      <c r="AP199" s="41" t="s">
        <v>395</v>
      </c>
      <c r="AQ199" s="32" t="s">
        <v>396</v>
      </c>
      <c r="AS199" s="40">
        <f>AM199+AN199</f>
        <v>0</v>
      </c>
      <c r="AT199" s="40">
        <f>G199/(100-AU199)*100</f>
        <v>0</v>
      </c>
      <c r="AU199" s="40">
        <v>0</v>
      </c>
      <c r="AV199" s="40">
        <f>L199</f>
        <v>0.017</v>
      </c>
    </row>
    <row r="200" spans="4:6" ht="12.75">
      <c r="D200" s="17" t="s">
        <v>7</v>
      </c>
      <c r="F200" s="23">
        <v>1</v>
      </c>
    </row>
    <row r="201" spans="1:48" ht="12.75">
      <c r="A201" s="7" t="s">
        <v>65</v>
      </c>
      <c r="B201" s="7"/>
      <c r="C201" s="7" t="s">
        <v>144</v>
      </c>
      <c r="D201" s="7" t="s">
        <v>307</v>
      </c>
      <c r="E201" s="7" t="s">
        <v>340</v>
      </c>
      <c r="F201" s="24">
        <v>2</v>
      </c>
      <c r="G201" s="24">
        <v>0</v>
      </c>
      <c r="H201" s="24">
        <f>F201*AE201</f>
        <v>0</v>
      </c>
      <c r="I201" s="24">
        <f>J201-H201</f>
        <v>0</v>
      </c>
      <c r="J201" s="24">
        <f>F201*G201</f>
        <v>0</v>
      </c>
      <c r="K201" s="24">
        <v>0.042</v>
      </c>
      <c r="L201" s="24">
        <f>F201*K201</f>
        <v>0.084</v>
      </c>
      <c r="M201" s="38" t="s">
        <v>360</v>
      </c>
      <c r="P201" s="40">
        <f>IF(AG201="5",J201,0)</f>
        <v>0</v>
      </c>
      <c r="R201" s="40">
        <f>IF(AG201="1",H201,0)</f>
        <v>0</v>
      </c>
      <c r="S201" s="40">
        <f>IF(AG201="1",I201,0)</f>
        <v>0</v>
      </c>
      <c r="T201" s="40">
        <f>IF(AG201="7",H201,0)</f>
        <v>0</v>
      </c>
      <c r="U201" s="40">
        <f>IF(AG201="7",I201,0)</f>
        <v>0</v>
      </c>
      <c r="V201" s="40">
        <f>IF(AG201="2",H201,0)</f>
        <v>0</v>
      </c>
      <c r="W201" s="40">
        <f>IF(AG201="2",I201,0)</f>
        <v>0</v>
      </c>
      <c r="X201" s="40">
        <f>IF(AG201="0",J201,0)</f>
        <v>0</v>
      </c>
      <c r="Y201" s="32"/>
      <c r="Z201" s="24">
        <f>IF(AD201=0,J201,0)</f>
        <v>0</v>
      </c>
      <c r="AA201" s="24">
        <f>IF(AD201=15,J201,0)</f>
        <v>0</v>
      </c>
      <c r="AB201" s="24">
        <f>IF(AD201=21,J201,0)</f>
        <v>0</v>
      </c>
      <c r="AD201" s="40">
        <v>21</v>
      </c>
      <c r="AE201" s="40">
        <f>G201*1</f>
        <v>0</v>
      </c>
      <c r="AF201" s="40">
        <f>G201*(1-1)</f>
        <v>0</v>
      </c>
      <c r="AG201" s="38" t="s">
        <v>371</v>
      </c>
      <c r="AM201" s="40">
        <f>F201*AE201</f>
        <v>0</v>
      </c>
      <c r="AN201" s="40">
        <f>F201*AF201</f>
        <v>0</v>
      </c>
      <c r="AO201" s="41" t="s">
        <v>389</v>
      </c>
      <c r="AP201" s="41" t="s">
        <v>395</v>
      </c>
      <c r="AQ201" s="32" t="s">
        <v>396</v>
      </c>
      <c r="AS201" s="40">
        <f>AM201+AN201</f>
        <v>0</v>
      </c>
      <c r="AT201" s="40">
        <f>G201/(100-AU201)*100</f>
        <v>0</v>
      </c>
      <c r="AU201" s="40">
        <v>0</v>
      </c>
      <c r="AV201" s="40">
        <f>L201</f>
        <v>0.084</v>
      </c>
    </row>
    <row r="202" spans="4:6" ht="12.75">
      <c r="D202" s="17" t="s">
        <v>8</v>
      </c>
      <c r="F202" s="23">
        <v>2</v>
      </c>
    </row>
    <row r="203" spans="1:48" ht="12.75">
      <c r="A203" s="7" t="s">
        <v>66</v>
      </c>
      <c r="B203" s="7"/>
      <c r="C203" s="7" t="s">
        <v>145</v>
      </c>
      <c r="D203" s="7" t="s">
        <v>308</v>
      </c>
      <c r="E203" s="7" t="s">
        <v>340</v>
      </c>
      <c r="F203" s="24">
        <v>1</v>
      </c>
      <c r="G203" s="24">
        <v>0</v>
      </c>
      <c r="H203" s="24">
        <f>F203*AE203</f>
        <v>0</v>
      </c>
      <c r="I203" s="24">
        <f>J203-H203</f>
        <v>0</v>
      </c>
      <c r="J203" s="24">
        <f>F203*G203</f>
        <v>0</v>
      </c>
      <c r="K203" s="24">
        <v>0.039</v>
      </c>
      <c r="L203" s="24">
        <f>F203*K203</f>
        <v>0.039</v>
      </c>
      <c r="M203" s="38" t="s">
        <v>360</v>
      </c>
      <c r="P203" s="40">
        <f>IF(AG203="5",J203,0)</f>
        <v>0</v>
      </c>
      <c r="R203" s="40">
        <f>IF(AG203="1",H203,0)</f>
        <v>0</v>
      </c>
      <c r="S203" s="40">
        <f>IF(AG203="1",I203,0)</f>
        <v>0</v>
      </c>
      <c r="T203" s="40">
        <f>IF(AG203="7",H203,0)</f>
        <v>0</v>
      </c>
      <c r="U203" s="40">
        <f>IF(AG203="7",I203,0)</f>
        <v>0</v>
      </c>
      <c r="V203" s="40">
        <f>IF(AG203="2",H203,0)</f>
        <v>0</v>
      </c>
      <c r="W203" s="40">
        <f>IF(AG203="2",I203,0)</f>
        <v>0</v>
      </c>
      <c r="X203" s="40">
        <f>IF(AG203="0",J203,0)</f>
        <v>0</v>
      </c>
      <c r="Y203" s="32"/>
      <c r="Z203" s="24">
        <f>IF(AD203=0,J203,0)</f>
        <v>0</v>
      </c>
      <c r="AA203" s="24">
        <f>IF(AD203=15,J203,0)</f>
        <v>0</v>
      </c>
      <c r="AB203" s="24">
        <f>IF(AD203=21,J203,0)</f>
        <v>0</v>
      </c>
      <c r="AD203" s="40">
        <v>21</v>
      </c>
      <c r="AE203" s="40">
        <f>G203*1</f>
        <v>0</v>
      </c>
      <c r="AF203" s="40">
        <f>G203*(1-1)</f>
        <v>0</v>
      </c>
      <c r="AG203" s="38" t="s">
        <v>371</v>
      </c>
      <c r="AM203" s="40">
        <f>F203*AE203</f>
        <v>0</v>
      </c>
      <c r="AN203" s="40">
        <f>F203*AF203</f>
        <v>0</v>
      </c>
      <c r="AO203" s="41" t="s">
        <v>389</v>
      </c>
      <c r="AP203" s="41" t="s">
        <v>395</v>
      </c>
      <c r="AQ203" s="32" t="s">
        <v>396</v>
      </c>
      <c r="AS203" s="40">
        <f>AM203+AN203</f>
        <v>0</v>
      </c>
      <c r="AT203" s="40">
        <f>G203/(100-AU203)*100</f>
        <v>0</v>
      </c>
      <c r="AU203" s="40">
        <v>0</v>
      </c>
      <c r="AV203" s="40">
        <f>L203</f>
        <v>0.039</v>
      </c>
    </row>
    <row r="204" spans="4:6" ht="12.75">
      <c r="D204" s="17" t="s">
        <v>7</v>
      </c>
      <c r="F204" s="23">
        <v>1</v>
      </c>
    </row>
    <row r="205" spans="3:13" ht="63.75" customHeight="1">
      <c r="C205" s="15" t="s">
        <v>80</v>
      </c>
      <c r="D205" s="95" t="s">
        <v>309</v>
      </c>
      <c r="E205" s="96"/>
      <c r="F205" s="96"/>
      <c r="G205" s="96"/>
      <c r="H205" s="96"/>
      <c r="I205" s="96"/>
      <c r="J205" s="96"/>
      <c r="K205" s="96"/>
      <c r="L205" s="96"/>
      <c r="M205" s="96"/>
    </row>
    <row r="206" spans="4:13" ht="25.5" customHeight="1">
      <c r="D206" s="95" t="s">
        <v>310</v>
      </c>
      <c r="E206" s="96"/>
      <c r="F206" s="96"/>
      <c r="G206" s="96"/>
      <c r="H206" s="96"/>
      <c r="I206" s="96"/>
      <c r="J206" s="96"/>
      <c r="K206" s="96"/>
      <c r="L206" s="96"/>
      <c r="M206" s="96"/>
    </row>
    <row r="207" spans="1:48" ht="12.75">
      <c r="A207" s="7" t="s">
        <v>67</v>
      </c>
      <c r="B207" s="7"/>
      <c r="C207" s="7" t="s">
        <v>146</v>
      </c>
      <c r="D207" s="7" t="s">
        <v>311</v>
      </c>
      <c r="E207" s="7" t="s">
        <v>340</v>
      </c>
      <c r="F207" s="24">
        <v>1</v>
      </c>
      <c r="G207" s="24">
        <v>0</v>
      </c>
      <c r="H207" s="24">
        <f>F207*AE207</f>
        <v>0</v>
      </c>
      <c r="I207" s="24">
        <f>J207-H207</f>
        <v>0</v>
      </c>
      <c r="J207" s="24">
        <f>F207*G207</f>
        <v>0</v>
      </c>
      <c r="K207" s="24">
        <v>0.006</v>
      </c>
      <c r="L207" s="24">
        <f>F207*K207</f>
        <v>0.006</v>
      </c>
      <c r="M207" s="38" t="s">
        <v>360</v>
      </c>
      <c r="P207" s="40">
        <f>IF(AG207="5",J207,0)</f>
        <v>0</v>
      </c>
      <c r="R207" s="40">
        <f>IF(AG207="1",H207,0)</f>
        <v>0</v>
      </c>
      <c r="S207" s="40">
        <f>IF(AG207="1",I207,0)</f>
        <v>0</v>
      </c>
      <c r="T207" s="40">
        <f>IF(AG207="7",H207,0)</f>
        <v>0</v>
      </c>
      <c r="U207" s="40">
        <f>IF(AG207="7",I207,0)</f>
        <v>0</v>
      </c>
      <c r="V207" s="40">
        <f>IF(AG207="2",H207,0)</f>
        <v>0</v>
      </c>
      <c r="W207" s="40">
        <f>IF(AG207="2",I207,0)</f>
        <v>0</v>
      </c>
      <c r="X207" s="40">
        <f>IF(AG207="0",J207,0)</f>
        <v>0</v>
      </c>
      <c r="Y207" s="32"/>
      <c r="Z207" s="24">
        <f>IF(AD207=0,J207,0)</f>
        <v>0</v>
      </c>
      <c r="AA207" s="24">
        <f>IF(AD207=15,J207,0)</f>
        <v>0</v>
      </c>
      <c r="AB207" s="24">
        <f>IF(AD207=21,J207,0)</f>
        <v>0</v>
      </c>
      <c r="AD207" s="40">
        <v>21</v>
      </c>
      <c r="AE207" s="40">
        <f>G207*1</f>
        <v>0</v>
      </c>
      <c r="AF207" s="40">
        <f>G207*(1-1)</f>
        <v>0</v>
      </c>
      <c r="AG207" s="38" t="s">
        <v>371</v>
      </c>
      <c r="AM207" s="40">
        <f>F207*AE207</f>
        <v>0</v>
      </c>
      <c r="AN207" s="40">
        <f>F207*AF207</f>
        <v>0</v>
      </c>
      <c r="AO207" s="41" t="s">
        <v>389</v>
      </c>
      <c r="AP207" s="41" t="s">
        <v>395</v>
      </c>
      <c r="AQ207" s="32" t="s">
        <v>396</v>
      </c>
      <c r="AS207" s="40">
        <f>AM207+AN207</f>
        <v>0</v>
      </c>
      <c r="AT207" s="40">
        <f>G207/(100-AU207)*100</f>
        <v>0</v>
      </c>
      <c r="AU207" s="40">
        <v>0</v>
      </c>
      <c r="AV207" s="40">
        <f>L207</f>
        <v>0.006</v>
      </c>
    </row>
    <row r="208" spans="4:6" ht="12.75">
      <c r="D208" s="17" t="s">
        <v>7</v>
      </c>
      <c r="F208" s="23">
        <v>1</v>
      </c>
    </row>
    <row r="209" spans="3:13" ht="63.75" customHeight="1">
      <c r="C209" s="15" t="s">
        <v>80</v>
      </c>
      <c r="D209" s="95" t="s">
        <v>312</v>
      </c>
      <c r="E209" s="96"/>
      <c r="F209" s="96"/>
      <c r="G209" s="96"/>
      <c r="H209" s="96"/>
      <c r="I209" s="96"/>
      <c r="J209" s="96"/>
      <c r="K209" s="96"/>
      <c r="L209" s="96"/>
      <c r="M209" s="96"/>
    </row>
    <row r="210" spans="4:13" ht="51" customHeight="1">
      <c r="D210" s="95" t="s">
        <v>313</v>
      </c>
      <c r="E210" s="96"/>
      <c r="F210" s="96"/>
      <c r="G210" s="96"/>
      <c r="H210" s="96"/>
      <c r="I210" s="96"/>
      <c r="J210" s="96"/>
      <c r="K210" s="96"/>
      <c r="L210" s="96"/>
      <c r="M210" s="96"/>
    </row>
    <row r="211" spans="1:48" ht="12.75">
      <c r="A211" s="7" t="s">
        <v>68</v>
      </c>
      <c r="B211" s="7"/>
      <c r="C211" s="7" t="s">
        <v>147</v>
      </c>
      <c r="D211" s="7" t="s">
        <v>314</v>
      </c>
      <c r="E211" s="7" t="s">
        <v>340</v>
      </c>
      <c r="F211" s="24">
        <v>2</v>
      </c>
      <c r="G211" s="24">
        <v>0</v>
      </c>
      <c r="H211" s="24">
        <f>F211*AE211</f>
        <v>0</v>
      </c>
      <c r="I211" s="24">
        <f>J211-H211</f>
        <v>0</v>
      </c>
      <c r="J211" s="24">
        <f>F211*G211</f>
        <v>0</v>
      </c>
      <c r="K211" s="24">
        <v>0.006</v>
      </c>
      <c r="L211" s="24">
        <f>F211*K211</f>
        <v>0.012</v>
      </c>
      <c r="M211" s="38" t="s">
        <v>360</v>
      </c>
      <c r="P211" s="40">
        <f>IF(AG211="5",J211,0)</f>
        <v>0</v>
      </c>
      <c r="R211" s="40">
        <f>IF(AG211="1",H211,0)</f>
        <v>0</v>
      </c>
      <c r="S211" s="40">
        <f>IF(AG211="1",I211,0)</f>
        <v>0</v>
      </c>
      <c r="T211" s="40">
        <f>IF(AG211="7",H211,0)</f>
        <v>0</v>
      </c>
      <c r="U211" s="40">
        <f>IF(AG211="7",I211,0)</f>
        <v>0</v>
      </c>
      <c r="V211" s="40">
        <f>IF(AG211="2",H211,0)</f>
        <v>0</v>
      </c>
      <c r="W211" s="40">
        <f>IF(AG211="2",I211,0)</f>
        <v>0</v>
      </c>
      <c r="X211" s="40">
        <f>IF(AG211="0",J211,0)</f>
        <v>0</v>
      </c>
      <c r="Y211" s="32"/>
      <c r="Z211" s="24">
        <f>IF(AD211=0,J211,0)</f>
        <v>0</v>
      </c>
      <c r="AA211" s="24">
        <f>IF(AD211=15,J211,0)</f>
        <v>0</v>
      </c>
      <c r="AB211" s="24">
        <f>IF(AD211=21,J211,0)</f>
        <v>0</v>
      </c>
      <c r="AD211" s="40">
        <v>21</v>
      </c>
      <c r="AE211" s="40">
        <f>G211*1</f>
        <v>0</v>
      </c>
      <c r="AF211" s="40">
        <f>G211*(1-1)</f>
        <v>0</v>
      </c>
      <c r="AG211" s="38" t="s">
        <v>371</v>
      </c>
      <c r="AM211" s="40">
        <f>F211*AE211</f>
        <v>0</v>
      </c>
      <c r="AN211" s="40">
        <f>F211*AF211</f>
        <v>0</v>
      </c>
      <c r="AO211" s="41" t="s">
        <v>389</v>
      </c>
      <c r="AP211" s="41" t="s">
        <v>395</v>
      </c>
      <c r="AQ211" s="32" t="s">
        <v>396</v>
      </c>
      <c r="AS211" s="40">
        <f>AM211+AN211</f>
        <v>0</v>
      </c>
      <c r="AT211" s="40">
        <f>G211/(100-AU211)*100</f>
        <v>0</v>
      </c>
      <c r="AU211" s="40">
        <v>0</v>
      </c>
      <c r="AV211" s="40">
        <f>L211</f>
        <v>0.012</v>
      </c>
    </row>
    <row r="212" spans="4:6" ht="12.75">
      <c r="D212" s="17" t="s">
        <v>8</v>
      </c>
      <c r="F212" s="23">
        <v>2</v>
      </c>
    </row>
    <row r="213" spans="3:13" ht="63.75" customHeight="1">
      <c r="C213" s="15" t="s">
        <v>80</v>
      </c>
      <c r="D213" s="95" t="s">
        <v>315</v>
      </c>
      <c r="E213" s="96"/>
      <c r="F213" s="96"/>
      <c r="G213" s="96"/>
      <c r="H213" s="96"/>
      <c r="I213" s="96"/>
      <c r="J213" s="96"/>
      <c r="K213" s="96"/>
      <c r="L213" s="96"/>
      <c r="M213" s="96"/>
    </row>
    <row r="214" spans="4:13" ht="51" customHeight="1">
      <c r="D214" s="95" t="s">
        <v>316</v>
      </c>
      <c r="E214" s="96"/>
      <c r="F214" s="96"/>
      <c r="G214" s="96"/>
      <c r="H214" s="96"/>
      <c r="I214" s="96"/>
      <c r="J214" s="96"/>
      <c r="K214" s="96"/>
      <c r="L214" s="96"/>
      <c r="M214" s="96"/>
    </row>
    <row r="215" spans="4:13" ht="38.25" customHeight="1">
      <c r="D215" s="95" t="s">
        <v>317</v>
      </c>
      <c r="E215" s="96"/>
      <c r="F215" s="96"/>
      <c r="G215" s="96"/>
      <c r="H215" s="96"/>
      <c r="I215" s="96"/>
      <c r="J215" s="96"/>
      <c r="K215" s="96"/>
      <c r="L215" s="96"/>
      <c r="M215" s="96"/>
    </row>
    <row r="216" spans="4:13" ht="12.75">
      <c r="D216" s="95" t="s">
        <v>318</v>
      </c>
      <c r="E216" s="96"/>
      <c r="F216" s="96"/>
      <c r="G216" s="96"/>
      <c r="H216" s="96"/>
      <c r="I216" s="96"/>
      <c r="J216" s="96"/>
      <c r="K216" s="96"/>
      <c r="L216" s="96"/>
      <c r="M216" s="96"/>
    </row>
    <row r="217" spans="1:48" ht="12.75">
      <c r="A217" s="7" t="s">
        <v>69</v>
      </c>
      <c r="B217" s="7"/>
      <c r="C217" s="7" t="s">
        <v>148</v>
      </c>
      <c r="D217" s="7" t="s">
        <v>319</v>
      </c>
      <c r="E217" s="7" t="s">
        <v>340</v>
      </c>
      <c r="F217" s="24">
        <v>1</v>
      </c>
      <c r="G217" s="24">
        <v>0</v>
      </c>
      <c r="H217" s="24">
        <f>F217*AE217</f>
        <v>0</v>
      </c>
      <c r="I217" s="24">
        <f>J217-H217</f>
        <v>0</v>
      </c>
      <c r="J217" s="24">
        <f>F217*G217</f>
        <v>0</v>
      </c>
      <c r="K217" s="24">
        <v>0.0087</v>
      </c>
      <c r="L217" s="24">
        <f>F217*K217</f>
        <v>0.0087</v>
      </c>
      <c r="M217" s="38" t="s">
        <v>360</v>
      </c>
      <c r="P217" s="40">
        <f>IF(AG217="5",J217,0)</f>
        <v>0</v>
      </c>
      <c r="R217" s="40">
        <f>IF(AG217="1",H217,0)</f>
        <v>0</v>
      </c>
      <c r="S217" s="40">
        <f>IF(AG217="1",I217,0)</f>
        <v>0</v>
      </c>
      <c r="T217" s="40">
        <f>IF(AG217="7",H217,0)</f>
        <v>0</v>
      </c>
      <c r="U217" s="40">
        <f>IF(AG217="7",I217,0)</f>
        <v>0</v>
      </c>
      <c r="V217" s="40">
        <f>IF(AG217="2",H217,0)</f>
        <v>0</v>
      </c>
      <c r="W217" s="40">
        <f>IF(AG217="2",I217,0)</f>
        <v>0</v>
      </c>
      <c r="X217" s="40">
        <f>IF(AG217="0",J217,0)</f>
        <v>0</v>
      </c>
      <c r="Y217" s="32"/>
      <c r="Z217" s="24">
        <f>IF(AD217=0,J217,0)</f>
        <v>0</v>
      </c>
      <c r="AA217" s="24">
        <f>IF(AD217=15,J217,0)</f>
        <v>0</v>
      </c>
      <c r="AB217" s="24">
        <f>IF(AD217=21,J217,0)</f>
        <v>0</v>
      </c>
      <c r="AD217" s="40">
        <v>21</v>
      </c>
      <c r="AE217" s="40">
        <f>G217*1</f>
        <v>0</v>
      </c>
      <c r="AF217" s="40">
        <f>G217*(1-1)</f>
        <v>0</v>
      </c>
      <c r="AG217" s="38" t="s">
        <v>371</v>
      </c>
      <c r="AM217" s="40">
        <f>F217*AE217</f>
        <v>0</v>
      </c>
      <c r="AN217" s="40">
        <f>F217*AF217</f>
        <v>0</v>
      </c>
      <c r="AO217" s="41" t="s">
        <v>389</v>
      </c>
      <c r="AP217" s="41" t="s">
        <v>395</v>
      </c>
      <c r="AQ217" s="32" t="s">
        <v>396</v>
      </c>
      <c r="AS217" s="40">
        <f>AM217+AN217</f>
        <v>0</v>
      </c>
      <c r="AT217" s="40">
        <f>G217/(100-AU217)*100</f>
        <v>0</v>
      </c>
      <c r="AU217" s="40">
        <v>0</v>
      </c>
      <c r="AV217" s="40">
        <f>L217</f>
        <v>0.0087</v>
      </c>
    </row>
    <row r="218" spans="4:6" ht="12.75">
      <c r="D218" s="17" t="s">
        <v>7</v>
      </c>
      <c r="F218" s="23">
        <v>1</v>
      </c>
    </row>
    <row r="219" spans="3:13" ht="12.75">
      <c r="C219" s="15" t="s">
        <v>80</v>
      </c>
      <c r="D219" s="95" t="s">
        <v>320</v>
      </c>
      <c r="E219" s="96"/>
      <c r="F219" s="96"/>
      <c r="G219" s="96"/>
      <c r="H219" s="96"/>
      <c r="I219" s="96"/>
      <c r="J219" s="96"/>
      <c r="K219" s="96"/>
      <c r="L219" s="96"/>
      <c r="M219" s="96"/>
    </row>
    <row r="220" spans="1:48" ht="12.75">
      <c r="A220" s="7" t="s">
        <v>70</v>
      </c>
      <c r="B220" s="7"/>
      <c r="C220" s="7" t="s">
        <v>149</v>
      </c>
      <c r="D220" s="7" t="s">
        <v>321</v>
      </c>
      <c r="E220" s="7" t="s">
        <v>340</v>
      </c>
      <c r="F220" s="24">
        <v>1</v>
      </c>
      <c r="G220" s="24">
        <v>0</v>
      </c>
      <c r="H220" s="24">
        <f>F220*AE220</f>
        <v>0</v>
      </c>
      <c r="I220" s="24">
        <f>J220-H220</f>
        <v>0</v>
      </c>
      <c r="J220" s="24">
        <f>F220*G220</f>
        <v>0</v>
      </c>
      <c r="K220" s="24">
        <v>0.0165</v>
      </c>
      <c r="L220" s="24">
        <f>F220*K220</f>
        <v>0.0165</v>
      </c>
      <c r="M220" s="38" t="s">
        <v>360</v>
      </c>
      <c r="P220" s="40">
        <f>IF(AG220="5",J220,0)</f>
        <v>0</v>
      </c>
      <c r="R220" s="40">
        <f>IF(AG220="1",H220,0)</f>
        <v>0</v>
      </c>
      <c r="S220" s="40">
        <f>IF(AG220="1",I220,0)</f>
        <v>0</v>
      </c>
      <c r="T220" s="40">
        <f>IF(AG220="7",H220,0)</f>
        <v>0</v>
      </c>
      <c r="U220" s="40">
        <f>IF(AG220="7",I220,0)</f>
        <v>0</v>
      </c>
      <c r="V220" s="40">
        <f>IF(AG220="2",H220,0)</f>
        <v>0</v>
      </c>
      <c r="W220" s="40">
        <f>IF(AG220="2",I220,0)</f>
        <v>0</v>
      </c>
      <c r="X220" s="40">
        <f>IF(AG220="0",J220,0)</f>
        <v>0</v>
      </c>
      <c r="Y220" s="32"/>
      <c r="Z220" s="24">
        <f>IF(AD220=0,J220,0)</f>
        <v>0</v>
      </c>
      <c r="AA220" s="24">
        <f>IF(AD220=15,J220,0)</f>
        <v>0</v>
      </c>
      <c r="AB220" s="24">
        <f>IF(AD220=21,J220,0)</f>
        <v>0</v>
      </c>
      <c r="AD220" s="40">
        <v>21</v>
      </c>
      <c r="AE220" s="40">
        <f>G220*1</f>
        <v>0</v>
      </c>
      <c r="AF220" s="40">
        <f>G220*(1-1)</f>
        <v>0</v>
      </c>
      <c r="AG220" s="38" t="s">
        <v>371</v>
      </c>
      <c r="AM220" s="40">
        <f>F220*AE220</f>
        <v>0</v>
      </c>
      <c r="AN220" s="40">
        <f>F220*AF220</f>
        <v>0</v>
      </c>
      <c r="AO220" s="41" t="s">
        <v>389</v>
      </c>
      <c r="AP220" s="41" t="s">
        <v>395</v>
      </c>
      <c r="AQ220" s="32" t="s">
        <v>396</v>
      </c>
      <c r="AS220" s="40">
        <f>AM220+AN220</f>
        <v>0</v>
      </c>
      <c r="AT220" s="40">
        <f>G220/(100-AU220)*100</f>
        <v>0</v>
      </c>
      <c r="AU220" s="40">
        <v>0</v>
      </c>
      <c r="AV220" s="40">
        <f>L220</f>
        <v>0.0165</v>
      </c>
    </row>
    <row r="221" spans="4:6" ht="12.75">
      <c r="D221" s="17" t="s">
        <v>7</v>
      </c>
      <c r="F221" s="23">
        <v>1</v>
      </c>
    </row>
    <row r="222" spans="3:13" ht="12.75">
      <c r="C222" s="15" t="s">
        <v>80</v>
      </c>
      <c r="D222" s="95" t="s">
        <v>320</v>
      </c>
      <c r="E222" s="96"/>
      <c r="F222" s="96"/>
      <c r="G222" s="96"/>
      <c r="H222" s="96"/>
      <c r="I222" s="96"/>
      <c r="J222" s="96"/>
      <c r="K222" s="96"/>
      <c r="L222" s="96"/>
      <c r="M222" s="96"/>
    </row>
    <row r="223" spans="1:48" ht="12.75">
      <c r="A223" s="7" t="s">
        <v>71</v>
      </c>
      <c r="B223" s="7"/>
      <c r="C223" s="7" t="s">
        <v>150</v>
      </c>
      <c r="D223" s="7" t="s">
        <v>322</v>
      </c>
      <c r="E223" s="7" t="s">
        <v>340</v>
      </c>
      <c r="F223" s="24">
        <v>2</v>
      </c>
      <c r="G223" s="24">
        <v>0</v>
      </c>
      <c r="H223" s="24">
        <f>F223*AE223</f>
        <v>0</v>
      </c>
      <c r="I223" s="24">
        <f>J223-H223</f>
        <v>0</v>
      </c>
      <c r="J223" s="24">
        <f>F223*G223</f>
        <v>0</v>
      </c>
      <c r="K223" s="24">
        <v>0.0139</v>
      </c>
      <c r="L223" s="24">
        <f>F223*K223</f>
        <v>0.0278</v>
      </c>
      <c r="M223" s="38" t="s">
        <v>360</v>
      </c>
      <c r="P223" s="40">
        <f>IF(AG223="5",J223,0)</f>
        <v>0</v>
      </c>
      <c r="R223" s="40">
        <f>IF(AG223="1",H223,0)</f>
        <v>0</v>
      </c>
      <c r="S223" s="40">
        <f>IF(AG223="1",I223,0)</f>
        <v>0</v>
      </c>
      <c r="T223" s="40">
        <f>IF(AG223="7",H223,0)</f>
        <v>0</v>
      </c>
      <c r="U223" s="40">
        <f>IF(AG223="7",I223,0)</f>
        <v>0</v>
      </c>
      <c r="V223" s="40">
        <f>IF(AG223="2",H223,0)</f>
        <v>0</v>
      </c>
      <c r="W223" s="40">
        <f>IF(AG223="2",I223,0)</f>
        <v>0</v>
      </c>
      <c r="X223" s="40">
        <f>IF(AG223="0",J223,0)</f>
        <v>0</v>
      </c>
      <c r="Y223" s="32"/>
      <c r="Z223" s="24">
        <f>IF(AD223=0,J223,0)</f>
        <v>0</v>
      </c>
      <c r="AA223" s="24">
        <f>IF(AD223=15,J223,0)</f>
        <v>0</v>
      </c>
      <c r="AB223" s="24">
        <f>IF(AD223=21,J223,0)</f>
        <v>0</v>
      </c>
      <c r="AD223" s="40">
        <v>21</v>
      </c>
      <c r="AE223" s="40">
        <f>G223*1</f>
        <v>0</v>
      </c>
      <c r="AF223" s="40">
        <f>G223*(1-1)</f>
        <v>0</v>
      </c>
      <c r="AG223" s="38" t="s">
        <v>371</v>
      </c>
      <c r="AM223" s="40">
        <f>F223*AE223</f>
        <v>0</v>
      </c>
      <c r="AN223" s="40">
        <f>F223*AF223</f>
        <v>0</v>
      </c>
      <c r="AO223" s="41" t="s">
        <v>389</v>
      </c>
      <c r="AP223" s="41" t="s">
        <v>395</v>
      </c>
      <c r="AQ223" s="32" t="s">
        <v>396</v>
      </c>
      <c r="AS223" s="40">
        <f>AM223+AN223</f>
        <v>0</v>
      </c>
      <c r="AT223" s="40">
        <f>G223/(100-AU223)*100</f>
        <v>0</v>
      </c>
      <c r="AU223" s="40">
        <v>0</v>
      </c>
      <c r="AV223" s="40">
        <f>L223</f>
        <v>0.0278</v>
      </c>
    </row>
    <row r="224" spans="4:6" ht="12.75">
      <c r="D224" s="17" t="s">
        <v>8</v>
      </c>
      <c r="F224" s="23">
        <v>2</v>
      </c>
    </row>
    <row r="225" spans="3:13" ht="12.75">
      <c r="C225" s="15" t="s">
        <v>80</v>
      </c>
      <c r="D225" s="95" t="s">
        <v>323</v>
      </c>
      <c r="E225" s="96"/>
      <c r="F225" s="96"/>
      <c r="G225" s="96"/>
      <c r="H225" s="96"/>
      <c r="I225" s="96"/>
      <c r="J225" s="96"/>
      <c r="K225" s="96"/>
      <c r="L225" s="96"/>
      <c r="M225" s="96"/>
    </row>
    <row r="226" spans="1:48" ht="12.75">
      <c r="A226" s="7" t="s">
        <v>72</v>
      </c>
      <c r="B226" s="7"/>
      <c r="C226" s="7" t="s">
        <v>151</v>
      </c>
      <c r="D226" s="7" t="s">
        <v>324</v>
      </c>
      <c r="E226" s="7" t="s">
        <v>340</v>
      </c>
      <c r="F226" s="24">
        <v>1</v>
      </c>
      <c r="G226" s="24">
        <v>0</v>
      </c>
      <c r="H226" s="24">
        <f>F226*AE226</f>
        <v>0</v>
      </c>
      <c r="I226" s="24">
        <f>J226-H226</f>
        <v>0</v>
      </c>
      <c r="J226" s="24">
        <f>F226*G226</f>
        <v>0</v>
      </c>
      <c r="K226" s="24">
        <v>0.0276</v>
      </c>
      <c r="L226" s="24">
        <f>F226*K226</f>
        <v>0.0276</v>
      </c>
      <c r="M226" s="38" t="s">
        <v>360</v>
      </c>
      <c r="P226" s="40">
        <f>IF(AG226="5",J226,0)</f>
        <v>0</v>
      </c>
      <c r="R226" s="40">
        <f>IF(AG226="1",H226,0)</f>
        <v>0</v>
      </c>
      <c r="S226" s="40">
        <f>IF(AG226="1",I226,0)</f>
        <v>0</v>
      </c>
      <c r="T226" s="40">
        <f>IF(AG226="7",H226,0)</f>
        <v>0</v>
      </c>
      <c r="U226" s="40">
        <f>IF(AG226="7",I226,0)</f>
        <v>0</v>
      </c>
      <c r="V226" s="40">
        <f>IF(AG226="2",H226,0)</f>
        <v>0</v>
      </c>
      <c r="W226" s="40">
        <f>IF(AG226="2",I226,0)</f>
        <v>0</v>
      </c>
      <c r="X226" s="40">
        <f>IF(AG226="0",J226,0)</f>
        <v>0</v>
      </c>
      <c r="Y226" s="32"/>
      <c r="Z226" s="24">
        <f>IF(AD226=0,J226,0)</f>
        <v>0</v>
      </c>
      <c r="AA226" s="24">
        <f>IF(AD226=15,J226,0)</f>
        <v>0</v>
      </c>
      <c r="AB226" s="24">
        <f>IF(AD226=21,J226,0)</f>
        <v>0</v>
      </c>
      <c r="AD226" s="40">
        <v>21</v>
      </c>
      <c r="AE226" s="40">
        <f>G226*1</f>
        <v>0</v>
      </c>
      <c r="AF226" s="40">
        <f>G226*(1-1)</f>
        <v>0</v>
      </c>
      <c r="AG226" s="38" t="s">
        <v>371</v>
      </c>
      <c r="AM226" s="40">
        <f>F226*AE226</f>
        <v>0</v>
      </c>
      <c r="AN226" s="40">
        <f>F226*AF226</f>
        <v>0</v>
      </c>
      <c r="AO226" s="41" t="s">
        <v>389</v>
      </c>
      <c r="AP226" s="41" t="s">
        <v>395</v>
      </c>
      <c r="AQ226" s="32" t="s">
        <v>396</v>
      </c>
      <c r="AS226" s="40">
        <f>AM226+AN226</f>
        <v>0</v>
      </c>
      <c r="AT226" s="40">
        <f>G226/(100-AU226)*100</f>
        <v>0</v>
      </c>
      <c r="AU226" s="40">
        <v>0</v>
      </c>
      <c r="AV226" s="40">
        <f>L226</f>
        <v>0.0276</v>
      </c>
    </row>
    <row r="227" spans="4:6" ht="12.75">
      <c r="D227" s="17" t="s">
        <v>7</v>
      </c>
      <c r="F227" s="23">
        <v>1</v>
      </c>
    </row>
    <row r="228" spans="3:13" ht="12.75">
      <c r="C228" s="15" t="s">
        <v>80</v>
      </c>
      <c r="D228" s="95" t="s">
        <v>323</v>
      </c>
      <c r="E228" s="96"/>
      <c r="F228" s="96"/>
      <c r="G228" s="96"/>
      <c r="H228" s="96"/>
      <c r="I228" s="96"/>
      <c r="J228" s="96"/>
      <c r="K228" s="96"/>
      <c r="L228" s="96"/>
      <c r="M228" s="96"/>
    </row>
    <row r="229" spans="1:48" ht="12.75">
      <c r="A229" s="7" t="s">
        <v>73</v>
      </c>
      <c r="B229" s="7"/>
      <c r="C229" s="7" t="s">
        <v>152</v>
      </c>
      <c r="D229" s="7" t="s">
        <v>325</v>
      </c>
      <c r="E229" s="7" t="s">
        <v>340</v>
      </c>
      <c r="F229" s="24">
        <v>1</v>
      </c>
      <c r="G229" s="24">
        <v>0</v>
      </c>
      <c r="H229" s="24">
        <f>F229*AE229</f>
        <v>0</v>
      </c>
      <c r="I229" s="24">
        <f>J229-H229</f>
        <v>0</v>
      </c>
      <c r="J229" s="24">
        <f>F229*G229</f>
        <v>0</v>
      </c>
      <c r="K229" s="24">
        <v>0.0122</v>
      </c>
      <c r="L229" s="24">
        <f>F229*K229</f>
        <v>0.0122</v>
      </c>
      <c r="M229" s="38" t="s">
        <v>360</v>
      </c>
      <c r="P229" s="40">
        <f>IF(AG229="5",J229,0)</f>
        <v>0</v>
      </c>
      <c r="R229" s="40">
        <f>IF(AG229="1",H229,0)</f>
        <v>0</v>
      </c>
      <c r="S229" s="40">
        <f>IF(AG229="1",I229,0)</f>
        <v>0</v>
      </c>
      <c r="T229" s="40">
        <f>IF(AG229="7",H229,0)</f>
        <v>0</v>
      </c>
      <c r="U229" s="40">
        <f>IF(AG229="7",I229,0)</f>
        <v>0</v>
      </c>
      <c r="V229" s="40">
        <f>IF(AG229="2",H229,0)</f>
        <v>0</v>
      </c>
      <c r="W229" s="40">
        <f>IF(AG229="2",I229,0)</f>
        <v>0</v>
      </c>
      <c r="X229" s="40">
        <f>IF(AG229="0",J229,0)</f>
        <v>0</v>
      </c>
      <c r="Y229" s="32"/>
      <c r="Z229" s="24">
        <f>IF(AD229=0,J229,0)</f>
        <v>0</v>
      </c>
      <c r="AA229" s="24">
        <f>IF(AD229=15,J229,0)</f>
        <v>0</v>
      </c>
      <c r="AB229" s="24">
        <f>IF(AD229=21,J229,0)</f>
        <v>0</v>
      </c>
      <c r="AD229" s="40">
        <v>21</v>
      </c>
      <c r="AE229" s="40">
        <f>G229*1</f>
        <v>0</v>
      </c>
      <c r="AF229" s="40">
        <f>G229*(1-1)</f>
        <v>0</v>
      </c>
      <c r="AG229" s="38" t="s">
        <v>371</v>
      </c>
      <c r="AM229" s="40">
        <f>F229*AE229</f>
        <v>0</v>
      </c>
      <c r="AN229" s="40">
        <f>F229*AF229</f>
        <v>0</v>
      </c>
      <c r="AO229" s="41" t="s">
        <v>389</v>
      </c>
      <c r="AP229" s="41" t="s">
        <v>395</v>
      </c>
      <c r="AQ229" s="32" t="s">
        <v>396</v>
      </c>
      <c r="AS229" s="40">
        <f>AM229+AN229</f>
        <v>0</v>
      </c>
      <c r="AT229" s="40">
        <f>G229/(100-AU229)*100</f>
        <v>0</v>
      </c>
      <c r="AU229" s="40">
        <v>0</v>
      </c>
      <c r="AV229" s="40">
        <f>L229</f>
        <v>0.0122</v>
      </c>
    </row>
    <row r="230" spans="4:6" ht="12.75">
      <c r="D230" s="17" t="s">
        <v>7</v>
      </c>
      <c r="F230" s="23">
        <v>1</v>
      </c>
    </row>
    <row r="231" spans="3:13" ht="12.75">
      <c r="C231" s="15" t="s">
        <v>80</v>
      </c>
      <c r="D231" s="95" t="s">
        <v>323</v>
      </c>
      <c r="E231" s="96"/>
      <c r="F231" s="96"/>
      <c r="G231" s="96"/>
      <c r="H231" s="96"/>
      <c r="I231" s="96"/>
      <c r="J231" s="96"/>
      <c r="K231" s="96"/>
      <c r="L231" s="96"/>
      <c r="M231" s="96"/>
    </row>
    <row r="232" spans="1:48" ht="12.75">
      <c r="A232" s="7" t="s">
        <v>74</v>
      </c>
      <c r="B232" s="7"/>
      <c r="C232" s="7" t="s">
        <v>153</v>
      </c>
      <c r="D232" s="7" t="s">
        <v>326</v>
      </c>
      <c r="E232" s="7" t="s">
        <v>340</v>
      </c>
      <c r="F232" s="24">
        <v>4</v>
      </c>
      <c r="G232" s="24">
        <v>0</v>
      </c>
      <c r="H232" s="24">
        <f>F232*AE232</f>
        <v>0</v>
      </c>
      <c r="I232" s="24">
        <f>J232-H232</f>
        <v>0</v>
      </c>
      <c r="J232" s="24">
        <f>F232*G232</f>
        <v>0</v>
      </c>
      <c r="K232" s="24">
        <v>0</v>
      </c>
      <c r="L232" s="24">
        <f>F232*K232</f>
        <v>0</v>
      </c>
      <c r="M232" s="38" t="s">
        <v>360</v>
      </c>
      <c r="P232" s="40">
        <f>IF(AG232="5",J232,0)</f>
        <v>0</v>
      </c>
      <c r="R232" s="40">
        <f>IF(AG232="1",H232,0)</f>
        <v>0</v>
      </c>
      <c r="S232" s="40">
        <f>IF(AG232="1",I232,0)</f>
        <v>0</v>
      </c>
      <c r="T232" s="40">
        <f>IF(AG232="7",H232,0)</f>
        <v>0</v>
      </c>
      <c r="U232" s="40">
        <f>IF(AG232="7",I232,0)</f>
        <v>0</v>
      </c>
      <c r="V232" s="40">
        <f>IF(AG232="2",H232,0)</f>
        <v>0</v>
      </c>
      <c r="W232" s="40">
        <f>IF(AG232="2",I232,0)</f>
        <v>0</v>
      </c>
      <c r="X232" s="40">
        <f>IF(AG232="0",J232,0)</f>
        <v>0</v>
      </c>
      <c r="Y232" s="32"/>
      <c r="Z232" s="24">
        <f>IF(AD232=0,J232,0)</f>
        <v>0</v>
      </c>
      <c r="AA232" s="24">
        <f>IF(AD232=15,J232,0)</f>
        <v>0</v>
      </c>
      <c r="AB232" s="24">
        <f>IF(AD232=21,J232,0)</f>
        <v>0</v>
      </c>
      <c r="AD232" s="40">
        <v>21</v>
      </c>
      <c r="AE232" s="40">
        <f>G232*1</f>
        <v>0</v>
      </c>
      <c r="AF232" s="40">
        <f>G232*(1-1)</f>
        <v>0</v>
      </c>
      <c r="AG232" s="38" t="s">
        <v>371</v>
      </c>
      <c r="AM232" s="40">
        <f>F232*AE232</f>
        <v>0</v>
      </c>
      <c r="AN232" s="40">
        <f>F232*AF232</f>
        <v>0</v>
      </c>
      <c r="AO232" s="41" t="s">
        <v>389</v>
      </c>
      <c r="AP232" s="41" t="s">
        <v>395</v>
      </c>
      <c r="AQ232" s="32" t="s">
        <v>396</v>
      </c>
      <c r="AS232" s="40">
        <f>AM232+AN232</f>
        <v>0</v>
      </c>
      <c r="AT232" s="40">
        <f>G232/(100-AU232)*100</f>
        <v>0</v>
      </c>
      <c r="AU232" s="40">
        <v>0</v>
      </c>
      <c r="AV232" s="40">
        <f>L232</f>
        <v>0</v>
      </c>
    </row>
    <row r="233" spans="4:6" ht="12.75">
      <c r="D233" s="17" t="s">
        <v>10</v>
      </c>
      <c r="F233" s="23">
        <v>4</v>
      </c>
    </row>
    <row r="234" spans="3:13" ht="12.75">
      <c r="C234" s="15" t="s">
        <v>80</v>
      </c>
      <c r="D234" s="95" t="s">
        <v>327</v>
      </c>
      <c r="E234" s="96"/>
      <c r="F234" s="96"/>
      <c r="G234" s="96"/>
      <c r="H234" s="96"/>
      <c r="I234" s="96"/>
      <c r="J234" s="96"/>
      <c r="K234" s="96"/>
      <c r="L234" s="96"/>
      <c r="M234" s="96"/>
    </row>
    <row r="235" spans="1:48" ht="12.75">
      <c r="A235" s="7" t="s">
        <v>75</v>
      </c>
      <c r="B235" s="7"/>
      <c r="C235" s="7" t="s">
        <v>154</v>
      </c>
      <c r="D235" s="7" t="s">
        <v>328</v>
      </c>
      <c r="E235" s="7" t="s">
        <v>339</v>
      </c>
      <c r="F235" s="24">
        <v>86.64</v>
      </c>
      <c r="G235" s="24">
        <v>0</v>
      </c>
      <c r="H235" s="24">
        <f>F235*AE235</f>
        <v>0</v>
      </c>
      <c r="I235" s="24">
        <f>J235-H235</f>
        <v>0</v>
      </c>
      <c r="J235" s="24">
        <f>F235*G235</f>
        <v>0</v>
      </c>
      <c r="K235" s="24">
        <v>1</v>
      </c>
      <c r="L235" s="24">
        <f>F235*K235</f>
        <v>86.64</v>
      </c>
      <c r="M235" s="38" t="s">
        <v>360</v>
      </c>
      <c r="P235" s="40">
        <f>IF(AG235="5",J235,0)</f>
        <v>0</v>
      </c>
      <c r="R235" s="40">
        <f>IF(AG235="1",H235,0)</f>
        <v>0</v>
      </c>
      <c r="S235" s="40">
        <f>IF(AG235="1",I235,0)</f>
        <v>0</v>
      </c>
      <c r="T235" s="40">
        <f>IF(AG235="7",H235,0)</f>
        <v>0</v>
      </c>
      <c r="U235" s="40">
        <f>IF(AG235="7",I235,0)</f>
        <v>0</v>
      </c>
      <c r="V235" s="40">
        <f>IF(AG235="2",H235,0)</f>
        <v>0</v>
      </c>
      <c r="W235" s="40">
        <f>IF(AG235="2",I235,0)</f>
        <v>0</v>
      </c>
      <c r="X235" s="40">
        <f>IF(AG235="0",J235,0)</f>
        <v>0</v>
      </c>
      <c r="Y235" s="32"/>
      <c r="Z235" s="24">
        <f>IF(AD235=0,J235,0)</f>
        <v>0</v>
      </c>
      <c r="AA235" s="24">
        <f>IF(AD235=15,J235,0)</f>
        <v>0</v>
      </c>
      <c r="AB235" s="24">
        <f>IF(AD235=21,J235,0)</f>
        <v>0</v>
      </c>
      <c r="AD235" s="40">
        <v>21</v>
      </c>
      <c r="AE235" s="40">
        <f>G235*1</f>
        <v>0</v>
      </c>
      <c r="AF235" s="40">
        <f>G235*(1-1)</f>
        <v>0</v>
      </c>
      <c r="AG235" s="38" t="s">
        <v>371</v>
      </c>
      <c r="AM235" s="40">
        <f>F235*AE235</f>
        <v>0</v>
      </c>
      <c r="AN235" s="40">
        <f>F235*AF235</f>
        <v>0</v>
      </c>
      <c r="AO235" s="41" t="s">
        <v>389</v>
      </c>
      <c r="AP235" s="41" t="s">
        <v>395</v>
      </c>
      <c r="AQ235" s="32" t="s">
        <v>396</v>
      </c>
      <c r="AS235" s="40">
        <f>AM235+AN235</f>
        <v>0</v>
      </c>
      <c r="AT235" s="40">
        <f>G235/(100-AU235)*100</f>
        <v>0</v>
      </c>
      <c r="AU235" s="40">
        <v>0</v>
      </c>
      <c r="AV235" s="40">
        <f>L235</f>
        <v>86.64</v>
      </c>
    </row>
    <row r="236" spans="1:13" ht="12.75">
      <c r="A236" s="8"/>
      <c r="B236" s="8"/>
      <c r="C236" s="8"/>
      <c r="D236" s="19" t="s">
        <v>329</v>
      </c>
      <c r="E236" s="8"/>
      <c r="F236" s="25">
        <v>86.64</v>
      </c>
      <c r="G236" s="8"/>
      <c r="H236" s="8"/>
      <c r="I236" s="8"/>
      <c r="J236" s="8"/>
      <c r="K236" s="8"/>
      <c r="L236" s="8"/>
      <c r="M236" s="8"/>
    </row>
    <row r="237" spans="1:13" ht="12.75">
      <c r="A237" s="9"/>
      <c r="B237" s="9"/>
      <c r="C237" s="9"/>
      <c r="D237" s="9"/>
      <c r="E237" s="9"/>
      <c r="F237" s="9"/>
      <c r="G237" s="9"/>
      <c r="H237" s="97" t="s">
        <v>348</v>
      </c>
      <c r="I237" s="98"/>
      <c r="J237" s="44">
        <f>ROUND(J12+J19+J30+J44+J55+J74+J77+J80+J85+J98+J111+J121+J150+J155+J159+J162+J166+J169,1)</f>
        <v>0</v>
      </c>
      <c r="K237" s="9"/>
      <c r="L237" s="9"/>
      <c r="M237" s="9"/>
    </row>
    <row r="238" ht="11.25" customHeight="1">
      <c r="A238" s="10" t="s">
        <v>76</v>
      </c>
    </row>
    <row r="239" spans="1:13" ht="12.75">
      <c r="A239" s="87"/>
      <c r="B239" s="79"/>
      <c r="C239" s="79"/>
      <c r="D239" s="79"/>
      <c r="E239" s="79"/>
      <c r="F239" s="79"/>
      <c r="G239" s="79"/>
      <c r="H239" s="79"/>
      <c r="I239" s="79"/>
      <c r="J239" s="79"/>
      <c r="K239" s="79"/>
      <c r="L239" s="79"/>
      <c r="M239" s="79"/>
    </row>
  </sheetData>
  <sheetProtection/>
  <mergeCells count="83">
    <mergeCell ref="D231:M231"/>
    <mergeCell ref="D234:M234"/>
    <mergeCell ref="H237:I237"/>
    <mergeCell ref="A239:M239"/>
    <mergeCell ref="D215:M215"/>
    <mergeCell ref="D216:M216"/>
    <mergeCell ref="D219:M219"/>
    <mergeCell ref="D222:M222"/>
    <mergeCell ref="D225:M225"/>
    <mergeCell ref="D228:M228"/>
    <mergeCell ref="D205:M205"/>
    <mergeCell ref="D206:M206"/>
    <mergeCell ref="D209:M209"/>
    <mergeCell ref="D210:M210"/>
    <mergeCell ref="D213:M213"/>
    <mergeCell ref="D214:M214"/>
    <mergeCell ref="D172:M172"/>
    <mergeCell ref="D180:M180"/>
    <mergeCell ref="D183:M183"/>
    <mergeCell ref="D186:M186"/>
    <mergeCell ref="D195:M195"/>
    <mergeCell ref="D198:M198"/>
    <mergeCell ref="D142:M142"/>
    <mergeCell ref="D145:M145"/>
    <mergeCell ref="D153:M153"/>
    <mergeCell ref="D154:M154"/>
    <mergeCell ref="D158:M158"/>
    <mergeCell ref="D165:M165"/>
    <mergeCell ref="D124:M124"/>
    <mergeCell ref="D127:M127"/>
    <mergeCell ref="D130:M130"/>
    <mergeCell ref="D133:M133"/>
    <mergeCell ref="D136:M136"/>
    <mergeCell ref="D139:M139"/>
    <mergeCell ref="D104:M104"/>
    <mergeCell ref="D107:M107"/>
    <mergeCell ref="D110:M110"/>
    <mergeCell ref="D114:M114"/>
    <mergeCell ref="D117:M117"/>
    <mergeCell ref="D120:M120"/>
    <mergeCell ref="D71:M71"/>
    <mergeCell ref="D84:M84"/>
    <mergeCell ref="D89:M89"/>
    <mergeCell ref="D94:M94"/>
    <mergeCell ref="D97:M97"/>
    <mergeCell ref="D101:M101"/>
    <mergeCell ref="D39:M39"/>
    <mergeCell ref="D47:M47"/>
    <mergeCell ref="D50:M50"/>
    <mergeCell ref="D58:M58"/>
    <mergeCell ref="D64:M64"/>
    <mergeCell ref="D67:M67"/>
    <mergeCell ref="H10:J10"/>
    <mergeCell ref="K10:L10"/>
    <mergeCell ref="D15:M15"/>
    <mergeCell ref="D26:M26"/>
    <mergeCell ref="D29:M29"/>
    <mergeCell ref="D33:M33"/>
    <mergeCell ref="A8:C9"/>
    <mergeCell ref="D8:D9"/>
    <mergeCell ref="E8:F9"/>
    <mergeCell ref="G8:H9"/>
    <mergeCell ref="I8:I9"/>
    <mergeCell ref="J8:M9"/>
    <mergeCell ref="A6:C7"/>
    <mergeCell ref="D6:D7"/>
    <mergeCell ref="E6:F7"/>
    <mergeCell ref="G6:H7"/>
    <mergeCell ref="I6:I7"/>
    <mergeCell ref="J6:M7"/>
    <mergeCell ref="A4:C5"/>
    <mergeCell ref="D4:D5"/>
    <mergeCell ref="E4:F5"/>
    <mergeCell ref="G4:H5"/>
    <mergeCell ref="I4:I5"/>
    <mergeCell ref="J4:M5"/>
    <mergeCell ref="A1:M1"/>
    <mergeCell ref="A2:C3"/>
    <mergeCell ref="D2:D3"/>
    <mergeCell ref="E2:F3"/>
    <mergeCell ref="G2:H3"/>
    <mergeCell ref="I2:I3"/>
    <mergeCell ref="J2:M3"/>
  </mergeCells>
  <printOptions/>
  <pageMargins left="0.394" right="0.394" top="0.591" bottom="0.591" header="0.5" footer="0.5"/>
  <pageSetup fitToHeight="0" fitToWidth="1"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pane ySplit="10" topLeftCell="A11" activePane="bottomLeft" state="frozen"/>
      <selection pane="topLeft" activeCell="A1" sqref="A1"/>
      <selection pane="bottomLeft" activeCell="A1" sqref="A1:G1"/>
    </sheetView>
  </sheetViews>
  <sheetFormatPr defaultColWidth="11.57421875" defaultRowHeight="12.75"/>
  <cols>
    <col min="1" max="2" width="16.57421875" style="0" customWidth="1"/>
    <col min="3" max="3" width="41.7109375" style="0" customWidth="1"/>
    <col min="4" max="4" width="22.140625" style="0" customWidth="1"/>
    <col min="5" max="5" width="21.00390625" style="0" customWidth="1"/>
    <col min="6" max="6" width="20.8515625" style="0" customWidth="1"/>
    <col min="7" max="7" width="19.7109375" style="0" customWidth="1"/>
    <col min="8" max="9" width="0" style="0" hidden="1" customWidth="1"/>
  </cols>
  <sheetData>
    <row r="1" spans="1:7" ht="72.75" customHeight="1">
      <c r="A1" s="74" t="s">
        <v>397</v>
      </c>
      <c r="B1" s="75"/>
      <c r="C1" s="75"/>
      <c r="D1" s="75"/>
      <c r="E1" s="75"/>
      <c r="F1" s="75"/>
      <c r="G1" s="75"/>
    </row>
    <row r="2" spans="1:8" ht="12.75">
      <c r="A2" s="76" t="s">
        <v>1</v>
      </c>
      <c r="B2" s="80" t="str">
        <f>'Stavební rozpočet'!D2</f>
        <v>III/1051 Psáry, most ev.č.1051-1</v>
      </c>
      <c r="C2" s="98"/>
      <c r="D2" s="83" t="s">
        <v>349</v>
      </c>
      <c r="E2" s="83" t="str">
        <f>'Stavební rozpočet'!J2</f>
        <v>KSÚS Středočeského kraje</v>
      </c>
      <c r="F2" s="77"/>
      <c r="G2" s="84"/>
      <c r="H2" s="1"/>
    </row>
    <row r="3" spans="1:8" ht="12.75">
      <c r="A3" s="78"/>
      <c r="B3" s="81"/>
      <c r="C3" s="81"/>
      <c r="D3" s="79"/>
      <c r="E3" s="79"/>
      <c r="F3" s="79"/>
      <c r="G3" s="85"/>
      <c r="H3" s="1"/>
    </row>
    <row r="4" spans="1:8" ht="12.75">
      <c r="A4" s="86" t="s">
        <v>2</v>
      </c>
      <c r="B4" s="87" t="str">
        <f>'Stavební rozpočet'!D4</f>
        <v>SO301 - přeložka vodovodu</v>
      </c>
      <c r="C4" s="79"/>
      <c r="D4" s="87" t="s">
        <v>350</v>
      </c>
      <c r="E4" s="87" t="str">
        <f>'Stavební rozpočet'!J4</f>
        <v>ing.Machovec</v>
      </c>
      <c r="F4" s="79"/>
      <c r="G4" s="85"/>
      <c r="H4" s="1"/>
    </row>
    <row r="5" spans="1:8" ht="12.75">
      <c r="A5" s="78"/>
      <c r="B5" s="79"/>
      <c r="C5" s="79"/>
      <c r="D5" s="79"/>
      <c r="E5" s="79"/>
      <c r="F5" s="79"/>
      <c r="G5" s="85"/>
      <c r="H5" s="1"/>
    </row>
    <row r="6" spans="1:8" ht="12.75">
      <c r="A6" s="86" t="s">
        <v>3</v>
      </c>
      <c r="B6" s="87" t="str">
        <f>'Stavební rozpočet'!D6</f>
        <v>k.ú. Psáry</v>
      </c>
      <c r="C6" s="79"/>
      <c r="D6" s="87" t="s">
        <v>351</v>
      </c>
      <c r="E6" s="87" t="str">
        <f>'Stavební rozpočet'!J6</f>
        <v> </v>
      </c>
      <c r="F6" s="79"/>
      <c r="G6" s="85"/>
      <c r="H6" s="1"/>
    </row>
    <row r="7" spans="1:8" ht="12.75">
      <c r="A7" s="78"/>
      <c r="B7" s="79"/>
      <c r="C7" s="79"/>
      <c r="D7" s="79"/>
      <c r="E7" s="79"/>
      <c r="F7" s="79"/>
      <c r="G7" s="85"/>
      <c r="H7" s="1"/>
    </row>
    <row r="8" spans="1:8" ht="12.75">
      <c r="A8" s="86" t="s">
        <v>352</v>
      </c>
      <c r="B8" s="87" t="str">
        <f>'Stavební rozpočet'!J8</f>
        <v>ing.Machovec</v>
      </c>
      <c r="C8" s="79"/>
      <c r="D8" s="88" t="s">
        <v>333</v>
      </c>
      <c r="E8" s="87" t="str">
        <f>'Stavební rozpočet'!G8</f>
        <v>19.03.2018</v>
      </c>
      <c r="F8" s="79"/>
      <c r="G8" s="85"/>
      <c r="H8" s="1"/>
    </row>
    <row r="9" spans="1:8" ht="12.75">
      <c r="A9" s="89"/>
      <c r="B9" s="90"/>
      <c r="C9" s="90"/>
      <c r="D9" s="90"/>
      <c r="E9" s="90"/>
      <c r="F9" s="90"/>
      <c r="G9" s="91"/>
      <c r="H9" s="1"/>
    </row>
    <row r="10" spans="1:8" ht="12.75">
      <c r="A10" s="45" t="s">
        <v>77</v>
      </c>
      <c r="B10" s="47" t="s">
        <v>78</v>
      </c>
      <c r="C10" s="48" t="s">
        <v>398</v>
      </c>
      <c r="D10" s="49" t="s">
        <v>399</v>
      </c>
      <c r="E10" s="49" t="s">
        <v>400</v>
      </c>
      <c r="F10" s="49" t="s">
        <v>401</v>
      </c>
      <c r="G10" s="51" t="s">
        <v>402</v>
      </c>
      <c r="H10" s="39"/>
    </row>
    <row r="11" spans="1:9" ht="12.75">
      <c r="A11" s="46"/>
      <c r="B11" s="46" t="s">
        <v>17</v>
      </c>
      <c r="C11" s="46" t="s">
        <v>160</v>
      </c>
      <c r="D11" s="52">
        <f>'Stavební rozpočet'!H12</f>
        <v>0</v>
      </c>
      <c r="E11" s="52">
        <f>'Stavební rozpočet'!I12</f>
        <v>0</v>
      </c>
      <c r="F11" s="52">
        <f aca="true" t="shared" si="0" ref="F11:F28">D11+E11</f>
        <v>0</v>
      </c>
      <c r="G11" s="52">
        <f>'Stavební rozpočet'!L12</f>
        <v>0.0786</v>
      </c>
      <c r="H11" s="40" t="s">
        <v>403</v>
      </c>
      <c r="I11" s="40">
        <f aca="true" t="shared" si="1" ref="I11:I28">IF(H11="F",0,F11)</f>
        <v>0</v>
      </c>
    </row>
    <row r="12" spans="1:9" ht="12.75">
      <c r="A12" s="20"/>
      <c r="B12" s="20" t="s">
        <v>19</v>
      </c>
      <c r="C12" s="20" t="s">
        <v>165</v>
      </c>
      <c r="D12" s="40">
        <f>'Stavební rozpočet'!H19</f>
        <v>0</v>
      </c>
      <c r="E12" s="40">
        <f>'Stavební rozpočet'!I19</f>
        <v>0</v>
      </c>
      <c r="F12" s="40">
        <f t="shared" si="0"/>
        <v>0</v>
      </c>
      <c r="G12" s="40">
        <f>'Stavební rozpočet'!L19</f>
        <v>0</v>
      </c>
      <c r="H12" s="40" t="s">
        <v>403</v>
      </c>
      <c r="I12" s="40">
        <f t="shared" si="1"/>
        <v>0</v>
      </c>
    </row>
    <row r="13" spans="1:9" ht="12.75">
      <c r="A13" s="20"/>
      <c r="B13" s="20" t="s">
        <v>21</v>
      </c>
      <c r="C13" s="20" t="s">
        <v>176</v>
      </c>
      <c r="D13" s="40">
        <f>'Stavební rozpočet'!H30</f>
        <v>0</v>
      </c>
      <c r="E13" s="40">
        <f>'Stavební rozpočet'!I30</f>
        <v>0</v>
      </c>
      <c r="F13" s="40">
        <f t="shared" si="0"/>
        <v>0</v>
      </c>
      <c r="G13" s="40">
        <f>'Stavební rozpočet'!L30</f>
        <v>0.11682799999999999</v>
      </c>
      <c r="H13" s="40" t="s">
        <v>403</v>
      </c>
      <c r="I13" s="40">
        <f t="shared" si="1"/>
        <v>0</v>
      </c>
    </row>
    <row r="14" spans="1:9" ht="12.75">
      <c r="A14" s="20"/>
      <c r="B14" s="20" t="s">
        <v>22</v>
      </c>
      <c r="C14" s="20" t="s">
        <v>189</v>
      </c>
      <c r="D14" s="40">
        <f>'Stavební rozpočet'!H44</f>
        <v>0</v>
      </c>
      <c r="E14" s="40">
        <f>'Stavební rozpočet'!I44</f>
        <v>0</v>
      </c>
      <c r="F14" s="40">
        <f t="shared" si="0"/>
        <v>0</v>
      </c>
      <c r="G14" s="40">
        <f>'Stavební rozpočet'!L44</f>
        <v>0</v>
      </c>
      <c r="H14" s="40" t="s">
        <v>403</v>
      </c>
      <c r="I14" s="40">
        <f t="shared" si="1"/>
        <v>0</v>
      </c>
    </row>
    <row r="15" spans="1:9" ht="12.75">
      <c r="A15" s="20"/>
      <c r="B15" s="20" t="s">
        <v>23</v>
      </c>
      <c r="C15" s="20" t="s">
        <v>200</v>
      </c>
      <c r="D15" s="40">
        <f>'Stavební rozpočet'!H55</f>
        <v>0</v>
      </c>
      <c r="E15" s="40">
        <f>'Stavební rozpočet'!I55</f>
        <v>0</v>
      </c>
      <c r="F15" s="40">
        <f t="shared" si="0"/>
        <v>0</v>
      </c>
      <c r="G15" s="40">
        <f>'Stavební rozpočet'!L55</f>
        <v>22.439999999999998</v>
      </c>
      <c r="H15" s="40" t="s">
        <v>403</v>
      </c>
      <c r="I15" s="40">
        <f t="shared" si="1"/>
        <v>0</v>
      </c>
    </row>
    <row r="16" spans="1:9" ht="12.75">
      <c r="A16" s="20"/>
      <c r="B16" s="20" t="s">
        <v>24</v>
      </c>
      <c r="C16" s="20" t="s">
        <v>217</v>
      </c>
      <c r="D16" s="40">
        <f>'Stavební rozpočet'!H74</f>
        <v>0</v>
      </c>
      <c r="E16" s="40">
        <f>'Stavební rozpočet'!I74</f>
        <v>0</v>
      </c>
      <c r="F16" s="40">
        <f t="shared" si="0"/>
        <v>0</v>
      </c>
      <c r="G16" s="40">
        <f>'Stavební rozpočet'!L74</f>
        <v>0</v>
      </c>
      <c r="H16" s="40" t="s">
        <v>403</v>
      </c>
      <c r="I16" s="40">
        <f t="shared" si="1"/>
        <v>0</v>
      </c>
    </row>
    <row r="17" spans="1:9" ht="12.75">
      <c r="A17" s="20"/>
      <c r="B17" s="20" t="s">
        <v>25</v>
      </c>
      <c r="C17" s="20" t="s">
        <v>220</v>
      </c>
      <c r="D17" s="40">
        <f>'Stavební rozpočet'!H77</f>
        <v>0</v>
      </c>
      <c r="E17" s="40">
        <f>'Stavební rozpočet'!I77</f>
        <v>0</v>
      </c>
      <c r="F17" s="40">
        <f t="shared" si="0"/>
        <v>0</v>
      </c>
      <c r="G17" s="40">
        <f>'Stavební rozpočet'!L77</f>
        <v>0</v>
      </c>
      <c r="H17" s="40" t="s">
        <v>403</v>
      </c>
      <c r="I17" s="40">
        <f t="shared" si="1"/>
        <v>0</v>
      </c>
    </row>
    <row r="18" spans="1:9" ht="12.75">
      <c r="A18" s="20"/>
      <c r="B18" s="20" t="s">
        <v>33</v>
      </c>
      <c r="C18" s="20" t="s">
        <v>222</v>
      </c>
      <c r="D18" s="40">
        <f>'Stavební rozpočet'!H80</f>
        <v>0</v>
      </c>
      <c r="E18" s="40">
        <f>'Stavební rozpočet'!I80</f>
        <v>0</v>
      </c>
      <c r="F18" s="40">
        <f t="shared" si="0"/>
        <v>0</v>
      </c>
      <c r="G18" s="40">
        <f>'Stavební rozpočet'!L80</f>
        <v>0.0105474</v>
      </c>
      <c r="H18" s="40" t="s">
        <v>403</v>
      </c>
      <c r="I18" s="40">
        <f t="shared" si="1"/>
        <v>0</v>
      </c>
    </row>
    <row r="19" spans="1:9" ht="12.75">
      <c r="A19" s="20"/>
      <c r="B19" s="20" t="s">
        <v>51</v>
      </c>
      <c r="C19" s="20" t="s">
        <v>227</v>
      </c>
      <c r="D19" s="40">
        <f>'Stavební rozpočet'!H85</f>
        <v>0</v>
      </c>
      <c r="E19" s="40">
        <f>'Stavební rozpočet'!I85</f>
        <v>0</v>
      </c>
      <c r="F19" s="40">
        <f t="shared" si="0"/>
        <v>0</v>
      </c>
      <c r="G19" s="40">
        <f>'Stavební rozpočet'!L85</f>
        <v>6.3141448</v>
      </c>
      <c r="H19" s="40" t="s">
        <v>403</v>
      </c>
      <c r="I19" s="40">
        <f t="shared" si="1"/>
        <v>0</v>
      </c>
    </row>
    <row r="20" spans="1:9" ht="12.75">
      <c r="A20" s="20"/>
      <c r="B20" s="20" t="s">
        <v>102</v>
      </c>
      <c r="C20" s="20" t="s">
        <v>240</v>
      </c>
      <c r="D20" s="40">
        <f>'Stavební rozpočet'!H98</f>
        <v>0</v>
      </c>
      <c r="E20" s="40">
        <f>'Stavební rozpočet'!I98</f>
        <v>0</v>
      </c>
      <c r="F20" s="40">
        <f t="shared" si="0"/>
        <v>0</v>
      </c>
      <c r="G20" s="40">
        <f>'Stavební rozpočet'!L98</f>
        <v>0.01836</v>
      </c>
      <c r="H20" s="40" t="s">
        <v>403</v>
      </c>
      <c r="I20" s="40">
        <f t="shared" si="1"/>
        <v>0</v>
      </c>
    </row>
    <row r="21" spans="1:9" ht="12.75">
      <c r="A21" s="20"/>
      <c r="B21" s="20" t="s">
        <v>107</v>
      </c>
      <c r="C21" s="20" t="s">
        <v>247</v>
      </c>
      <c r="D21" s="40">
        <f>'Stavební rozpočet'!H111</f>
        <v>0</v>
      </c>
      <c r="E21" s="40">
        <f>'Stavební rozpočet'!I111</f>
        <v>0</v>
      </c>
      <c r="F21" s="40">
        <f t="shared" si="0"/>
        <v>0</v>
      </c>
      <c r="G21" s="40">
        <f>'Stavební rozpočet'!L111</f>
        <v>0.00014000000000000001</v>
      </c>
      <c r="H21" s="40" t="s">
        <v>403</v>
      </c>
      <c r="I21" s="40">
        <f t="shared" si="1"/>
        <v>0</v>
      </c>
    </row>
    <row r="22" spans="1:9" ht="12.75">
      <c r="A22" s="20"/>
      <c r="B22" s="20" t="s">
        <v>111</v>
      </c>
      <c r="C22" s="20" t="s">
        <v>254</v>
      </c>
      <c r="D22" s="40">
        <f>'Stavební rozpočet'!H121</f>
        <v>0</v>
      </c>
      <c r="E22" s="40">
        <f>'Stavební rozpočet'!I121</f>
        <v>0</v>
      </c>
      <c r="F22" s="40">
        <f t="shared" si="0"/>
        <v>0</v>
      </c>
      <c r="G22" s="40">
        <f>'Stavební rozpočet'!L121</f>
        <v>0.7117600000000001</v>
      </c>
      <c r="H22" s="40" t="s">
        <v>403</v>
      </c>
      <c r="I22" s="40">
        <f t="shared" si="1"/>
        <v>0</v>
      </c>
    </row>
    <row r="23" spans="1:9" ht="12.75">
      <c r="A23" s="20"/>
      <c r="B23" s="20" t="s">
        <v>122</v>
      </c>
      <c r="C23" s="20" t="s">
        <v>272</v>
      </c>
      <c r="D23" s="40">
        <f>'Stavební rozpočet'!H150</f>
        <v>0</v>
      </c>
      <c r="E23" s="40">
        <f>'Stavební rozpočet'!I150</f>
        <v>0</v>
      </c>
      <c r="F23" s="40">
        <f t="shared" si="0"/>
        <v>0</v>
      </c>
      <c r="G23" s="40">
        <f>'Stavební rozpočet'!L150</f>
        <v>0</v>
      </c>
      <c r="H23" s="40" t="s">
        <v>403</v>
      </c>
      <c r="I23" s="40">
        <f t="shared" si="1"/>
        <v>0</v>
      </c>
    </row>
    <row r="24" spans="1:9" ht="12.75">
      <c r="A24" s="20"/>
      <c r="B24" s="20" t="s">
        <v>124</v>
      </c>
      <c r="C24" s="20" t="s">
        <v>276</v>
      </c>
      <c r="D24" s="40">
        <f>'Stavební rozpočet'!H155</f>
        <v>0</v>
      </c>
      <c r="E24" s="40">
        <f>'Stavební rozpočet'!I155</f>
        <v>0</v>
      </c>
      <c r="F24" s="40">
        <f t="shared" si="0"/>
        <v>0</v>
      </c>
      <c r="G24" s="40">
        <f>'Stavební rozpočet'!L155</f>
        <v>0.82236</v>
      </c>
      <c r="H24" s="40" t="s">
        <v>403</v>
      </c>
      <c r="I24" s="40">
        <f t="shared" si="1"/>
        <v>0</v>
      </c>
    </row>
    <row r="25" spans="1:9" ht="12.75">
      <c r="A25" s="20"/>
      <c r="B25" s="20" t="s">
        <v>126</v>
      </c>
      <c r="C25" s="20" t="s">
        <v>279</v>
      </c>
      <c r="D25" s="40">
        <f>'Stavební rozpočet'!H159</f>
        <v>0</v>
      </c>
      <c r="E25" s="40">
        <f>'Stavební rozpočet'!I159</f>
        <v>0</v>
      </c>
      <c r="F25" s="40">
        <f t="shared" si="0"/>
        <v>0</v>
      </c>
      <c r="G25" s="40">
        <f>'Stavební rozpočet'!L159</f>
        <v>0</v>
      </c>
      <c r="H25" s="40" t="s">
        <v>403</v>
      </c>
      <c r="I25" s="40">
        <f t="shared" si="1"/>
        <v>0</v>
      </c>
    </row>
    <row r="26" spans="1:9" ht="12.75">
      <c r="A26" s="20"/>
      <c r="B26" s="20" t="s">
        <v>128</v>
      </c>
      <c r="C26" s="20" t="s">
        <v>282</v>
      </c>
      <c r="D26" s="40">
        <f>'Stavební rozpočet'!H162</f>
        <v>0</v>
      </c>
      <c r="E26" s="40">
        <f>'Stavební rozpočet'!I162</f>
        <v>0</v>
      </c>
      <c r="F26" s="40">
        <f t="shared" si="0"/>
        <v>0</v>
      </c>
      <c r="G26" s="40">
        <f>'Stavební rozpočet'!L162</f>
        <v>0</v>
      </c>
      <c r="H26" s="40" t="s">
        <v>403</v>
      </c>
      <c r="I26" s="40">
        <f t="shared" si="1"/>
        <v>0</v>
      </c>
    </row>
    <row r="27" spans="1:9" ht="12.75">
      <c r="A27" s="20"/>
      <c r="B27" s="20" t="s">
        <v>130</v>
      </c>
      <c r="C27" s="20" t="s">
        <v>286</v>
      </c>
      <c r="D27" s="40">
        <f>'Stavební rozpočet'!H166</f>
        <v>0</v>
      </c>
      <c r="E27" s="40">
        <f>'Stavební rozpočet'!I166</f>
        <v>0</v>
      </c>
      <c r="F27" s="40">
        <f t="shared" si="0"/>
        <v>0</v>
      </c>
      <c r="G27" s="40">
        <f>'Stavební rozpočet'!L166</f>
        <v>0</v>
      </c>
      <c r="H27" s="40" t="s">
        <v>403</v>
      </c>
      <c r="I27" s="40">
        <f t="shared" si="1"/>
        <v>0</v>
      </c>
    </row>
    <row r="28" spans="1:9" ht="12.75">
      <c r="A28" s="20"/>
      <c r="B28" s="20"/>
      <c r="C28" s="20" t="s">
        <v>288</v>
      </c>
      <c r="D28" s="40">
        <f>'Stavební rozpočet'!H169</f>
        <v>0</v>
      </c>
      <c r="E28" s="40">
        <f>'Stavební rozpočet'!I169</f>
        <v>0</v>
      </c>
      <c r="F28" s="40">
        <f t="shared" si="0"/>
        <v>0</v>
      </c>
      <c r="G28" s="40">
        <f>'Stavební rozpočet'!L169</f>
        <v>87.18838</v>
      </c>
      <c r="H28" s="40" t="s">
        <v>403</v>
      </c>
      <c r="I28" s="40">
        <f t="shared" si="1"/>
        <v>0</v>
      </c>
    </row>
    <row r="30" spans="5:6" ht="12.75">
      <c r="E30" s="50" t="s">
        <v>348</v>
      </c>
      <c r="F30" s="53">
        <f>ROUND(SUM(I11:I28),1)</f>
        <v>0</v>
      </c>
    </row>
  </sheetData>
  <sheetProtection/>
  <mergeCells count="17">
    <mergeCell ref="A6:A7"/>
    <mergeCell ref="B6:C7"/>
    <mergeCell ref="D6:D7"/>
    <mergeCell ref="E6:G7"/>
    <mergeCell ref="A8:A9"/>
    <mergeCell ref="B8:C9"/>
    <mergeCell ref="D8:D9"/>
    <mergeCell ref="E8:G9"/>
    <mergeCell ref="A1:G1"/>
    <mergeCell ref="A2:A3"/>
    <mergeCell ref="B2:C3"/>
    <mergeCell ref="D2:D3"/>
    <mergeCell ref="E2:G3"/>
    <mergeCell ref="A4:A5"/>
    <mergeCell ref="B4:C5"/>
    <mergeCell ref="D4:D5"/>
    <mergeCell ref="E4:G5"/>
  </mergeCells>
  <printOptions/>
  <pageMargins left="0.394" right="0.394" top="0.591" bottom="0.591" header="0.5" footer="0.5"/>
  <pageSetup fitToHeight="0" fitToWidth="1"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I220"/>
  <sheetViews>
    <sheetView zoomScalePageLayoutView="0" workbookViewId="0" topLeftCell="A1">
      <pane ySplit="10" topLeftCell="A11" activePane="bottomLeft" state="frozen"/>
      <selection pane="topLeft" activeCell="A1" sqref="A1"/>
      <selection pane="bottomLeft" activeCell="A1" sqref="A1:H1"/>
    </sheetView>
  </sheetViews>
  <sheetFormatPr defaultColWidth="11.57421875" defaultRowHeight="12.75"/>
  <cols>
    <col min="1" max="2" width="9.140625" style="0" customWidth="1"/>
    <col min="3" max="3" width="13.28125" style="0" customWidth="1"/>
    <col min="4" max="4" width="63.7109375" style="0" customWidth="1"/>
    <col min="5" max="5" width="14.57421875" style="0" customWidth="1"/>
    <col min="6" max="6" width="24.140625" style="0" customWidth="1"/>
    <col min="7" max="7" width="20.421875" style="0" customWidth="1"/>
    <col min="8" max="8" width="16.421875" style="0" customWidth="1"/>
  </cols>
  <sheetData>
    <row r="1" spans="1:8" ht="72.75" customHeight="1">
      <c r="A1" s="74" t="s">
        <v>404</v>
      </c>
      <c r="B1" s="75"/>
      <c r="C1" s="75"/>
      <c r="D1" s="75"/>
      <c r="E1" s="75"/>
      <c r="F1" s="75"/>
      <c r="G1" s="75"/>
      <c r="H1" s="75"/>
    </row>
    <row r="2" spans="1:9" ht="12.75">
      <c r="A2" s="76" t="s">
        <v>1</v>
      </c>
      <c r="B2" s="77"/>
      <c r="C2" s="80" t="str">
        <f>'Stavební rozpočet'!D2</f>
        <v>III/1051 Psáry, most ev.č.1051-1</v>
      </c>
      <c r="D2" s="98"/>
      <c r="E2" s="83" t="s">
        <v>349</v>
      </c>
      <c r="F2" s="83" t="str">
        <f>'Stavební rozpočet'!J2</f>
        <v>KSÚS Středočeského kraje</v>
      </c>
      <c r="G2" s="77"/>
      <c r="H2" s="84"/>
      <c r="I2" s="1"/>
    </row>
    <row r="3" spans="1:9" ht="12.75">
      <c r="A3" s="78"/>
      <c r="B3" s="79"/>
      <c r="C3" s="81"/>
      <c r="D3" s="81"/>
      <c r="E3" s="79"/>
      <c r="F3" s="79"/>
      <c r="G3" s="79"/>
      <c r="H3" s="85"/>
      <c r="I3" s="1"/>
    </row>
    <row r="4" spans="1:9" ht="12.75">
      <c r="A4" s="86" t="s">
        <v>2</v>
      </c>
      <c r="B4" s="79"/>
      <c r="C4" s="87" t="str">
        <f>'Stavební rozpočet'!D4</f>
        <v>SO301 - přeložka vodovodu</v>
      </c>
      <c r="D4" s="79"/>
      <c r="E4" s="87" t="s">
        <v>350</v>
      </c>
      <c r="F4" s="87" t="str">
        <f>'Stavební rozpočet'!J4</f>
        <v>ing.Machovec</v>
      </c>
      <c r="G4" s="79"/>
      <c r="H4" s="85"/>
      <c r="I4" s="1"/>
    </row>
    <row r="5" spans="1:9" ht="12.75">
      <c r="A5" s="78"/>
      <c r="B5" s="79"/>
      <c r="C5" s="79"/>
      <c r="D5" s="79"/>
      <c r="E5" s="79"/>
      <c r="F5" s="79"/>
      <c r="G5" s="79"/>
      <c r="H5" s="85"/>
      <c r="I5" s="1"/>
    </row>
    <row r="6" spans="1:9" ht="12.75">
      <c r="A6" s="86" t="s">
        <v>3</v>
      </c>
      <c r="B6" s="79"/>
      <c r="C6" s="87" t="str">
        <f>'Stavební rozpočet'!D6</f>
        <v>k.ú. Psáry</v>
      </c>
      <c r="D6" s="79"/>
      <c r="E6" s="87" t="s">
        <v>351</v>
      </c>
      <c r="F6" s="87" t="str">
        <f>'Stavební rozpočet'!J6</f>
        <v> </v>
      </c>
      <c r="G6" s="79"/>
      <c r="H6" s="85"/>
      <c r="I6" s="1"/>
    </row>
    <row r="7" spans="1:9" ht="12.75">
      <c r="A7" s="78"/>
      <c r="B7" s="79"/>
      <c r="C7" s="79"/>
      <c r="D7" s="79"/>
      <c r="E7" s="79"/>
      <c r="F7" s="79"/>
      <c r="G7" s="79"/>
      <c r="H7" s="85"/>
      <c r="I7" s="1"/>
    </row>
    <row r="8" spans="1:9" ht="12.75">
      <c r="A8" s="86" t="s">
        <v>352</v>
      </c>
      <c r="B8" s="79"/>
      <c r="C8" s="87" t="str">
        <f>'Stavební rozpočet'!J8</f>
        <v>ing.Machovec</v>
      </c>
      <c r="D8" s="79"/>
      <c r="E8" s="87" t="s">
        <v>333</v>
      </c>
      <c r="F8" s="87" t="str">
        <f>'Stavební rozpočet'!G8</f>
        <v>19.03.2018</v>
      </c>
      <c r="G8" s="79"/>
      <c r="H8" s="85"/>
      <c r="I8" s="1"/>
    </row>
    <row r="9" spans="1:9" ht="12.75">
      <c r="A9" s="89"/>
      <c r="B9" s="90"/>
      <c r="C9" s="90"/>
      <c r="D9" s="90"/>
      <c r="E9" s="90"/>
      <c r="F9" s="90"/>
      <c r="G9" s="90"/>
      <c r="H9" s="91"/>
      <c r="I9" s="1"/>
    </row>
    <row r="10" spans="1:9" ht="12.75">
      <c r="A10" s="47" t="s">
        <v>5</v>
      </c>
      <c r="B10" s="48" t="s">
        <v>77</v>
      </c>
      <c r="C10" s="48" t="s">
        <v>78</v>
      </c>
      <c r="D10" s="99" t="s">
        <v>158</v>
      </c>
      <c r="E10" s="100"/>
      <c r="F10" s="48" t="s">
        <v>334</v>
      </c>
      <c r="G10" s="56" t="s">
        <v>342</v>
      </c>
      <c r="H10" s="45" t="s">
        <v>415</v>
      </c>
      <c r="I10" s="39"/>
    </row>
    <row r="11" spans="1:8" ht="12.75">
      <c r="A11" s="54" t="s">
        <v>7</v>
      </c>
      <c r="B11" s="54"/>
      <c r="C11" s="54" t="s">
        <v>79</v>
      </c>
      <c r="D11" s="101" t="s">
        <v>161</v>
      </c>
      <c r="E11" s="102"/>
      <c r="F11" s="54" t="s">
        <v>335</v>
      </c>
      <c r="G11" s="57">
        <v>5</v>
      </c>
      <c r="H11" s="58" t="s">
        <v>360</v>
      </c>
    </row>
    <row r="12" spans="1:7" ht="12.75">
      <c r="A12" s="5"/>
      <c r="B12" s="5"/>
      <c r="C12" s="5"/>
      <c r="D12" s="103" t="s">
        <v>11</v>
      </c>
      <c r="E12" s="104"/>
      <c r="F12" s="5"/>
      <c r="G12" s="22">
        <v>5</v>
      </c>
    </row>
    <row r="13" spans="3:7" ht="12.75" customHeight="1">
      <c r="C13" s="55" t="s">
        <v>80</v>
      </c>
      <c r="D13" s="95" t="s">
        <v>162</v>
      </c>
      <c r="E13" s="96"/>
      <c r="F13" s="96"/>
      <c r="G13" s="96"/>
    </row>
    <row r="14" spans="1:8" ht="12.75">
      <c r="A14" s="5" t="s">
        <v>8</v>
      </c>
      <c r="B14" s="5"/>
      <c r="C14" s="5" t="s">
        <v>81</v>
      </c>
      <c r="D14" s="103" t="s">
        <v>163</v>
      </c>
      <c r="E14" s="104"/>
      <c r="F14" s="5" t="s">
        <v>336</v>
      </c>
      <c r="G14" s="22">
        <v>60</v>
      </c>
      <c r="H14" s="37" t="s">
        <v>360</v>
      </c>
    </row>
    <row r="15" spans="4:7" ht="12.75">
      <c r="D15" s="18" t="s">
        <v>164</v>
      </c>
      <c r="G15" s="22">
        <v>0</v>
      </c>
    </row>
    <row r="16" spans="1:7" ht="12.75">
      <c r="A16" s="5"/>
      <c r="B16" s="5"/>
      <c r="C16" s="5"/>
      <c r="D16" s="103" t="s">
        <v>66</v>
      </c>
      <c r="E16" s="104"/>
      <c r="F16" s="5"/>
      <c r="G16" s="22">
        <v>60</v>
      </c>
    </row>
    <row r="17" spans="1:8" ht="12.75">
      <c r="A17" s="5" t="s">
        <v>9</v>
      </c>
      <c r="B17" s="5"/>
      <c r="C17" s="5" t="s">
        <v>82</v>
      </c>
      <c r="D17" s="103" t="s">
        <v>166</v>
      </c>
      <c r="E17" s="104"/>
      <c r="F17" s="5" t="s">
        <v>337</v>
      </c>
      <c r="G17" s="22">
        <v>72.82</v>
      </c>
      <c r="H17" s="37" t="s">
        <v>360</v>
      </c>
    </row>
    <row r="18" spans="1:7" ht="12.75">
      <c r="A18" s="5"/>
      <c r="B18" s="5"/>
      <c r="C18" s="5"/>
      <c r="D18" s="103" t="s">
        <v>167</v>
      </c>
      <c r="E18" s="104"/>
      <c r="F18" s="5"/>
      <c r="G18" s="22">
        <v>21.78</v>
      </c>
    </row>
    <row r="19" spans="1:7" ht="12.75">
      <c r="A19" s="5"/>
      <c r="B19" s="5"/>
      <c r="C19" s="5"/>
      <c r="D19" s="103" t="s">
        <v>168</v>
      </c>
      <c r="E19" s="104"/>
      <c r="F19" s="5"/>
      <c r="G19" s="22">
        <v>10.56</v>
      </c>
    </row>
    <row r="20" spans="1:7" ht="12.75">
      <c r="A20" s="5"/>
      <c r="B20" s="5"/>
      <c r="C20" s="5"/>
      <c r="D20" s="103" t="s">
        <v>169</v>
      </c>
      <c r="E20" s="104"/>
      <c r="F20" s="5"/>
      <c r="G20" s="22">
        <v>12.54</v>
      </c>
    </row>
    <row r="21" spans="1:7" ht="12.75">
      <c r="A21" s="5"/>
      <c r="B21" s="5"/>
      <c r="C21" s="5"/>
      <c r="D21" s="103" t="s">
        <v>170</v>
      </c>
      <c r="E21" s="104"/>
      <c r="F21" s="5"/>
      <c r="G21" s="22">
        <v>7.92</v>
      </c>
    </row>
    <row r="22" spans="1:7" ht="12.75">
      <c r="A22" s="5"/>
      <c r="B22" s="5"/>
      <c r="C22" s="5"/>
      <c r="D22" s="103" t="s">
        <v>171</v>
      </c>
      <c r="E22" s="104"/>
      <c r="F22" s="5"/>
      <c r="G22" s="22">
        <v>20.02</v>
      </c>
    </row>
    <row r="23" spans="3:7" ht="38.25" customHeight="1">
      <c r="C23" s="55" t="s">
        <v>80</v>
      </c>
      <c r="D23" s="95" t="s">
        <v>172</v>
      </c>
      <c r="E23" s="96"/>
      <c r="F23" s="96"/>
      <c r="G23" s="96"/>
    </row>
    <row r="24" spans="1:8" ht="12.75">
      <c r="A24" s="5" t="s">
        <v>10</v>
      </c>
      <c r="B24" s="5"/>
      <c r="C24" s="5" t="s">
        <v>83</v>
      </c>
      <c r="D24" s="103" t="s">
        <v>173</v>
      </c>
      <c r="E24" s="104"/>
      <c r="F24" s="5" t="s">
        <v>337</v>
      </c>
      <c r="G24" s="22">
        <v>21.85</v>
      </c>
      <c r="H24" s="37" t="s">
        <v>360</v>
      </c>
    </row>
    <row r="25" spans="1:7" ht="12.75">
      <c r="A25" s="5"/>
      <c r="B25" s="5"/>
      <c r="C25" s="5"/>
      <c r="D25" s="103" t="s">
        <v>174</v>
      </c>
      <c r="E25" s="104"/>
      <c r="F25" s="5"/>
      <c r="G25" s="22">
        <v>21.85</v>
      </c>
    </row>
    <row r="26" spans="3:7" ht="12.75" customHeight="1">
      <c r="C26" s="55" t="s">
        <v>80</v>
      </c>
      <c r="D26" s="95" t="s">
        <v>175</v>
      </c>
      <c r="E26" s="96"/>
      <c r="F26" s="96"/>
      <c r="G26" s="96"/>
    </row>
    <row r="27" spans="1:8" ht="12.75">
      <c r="A27" s="5" t="s">
        <v>11</v>
      </c>
      <c r="B27" s="5"/>
      <c r="C27" s="5" t="s">
        <v>84</v>
      </c>
      <c r="D27" s="103" t="s">
        <v>177</v>
      </c>
      <c r="E27" s="104"/>
      <c r="F27" s="5" t="s">
        <v>338</v>
      </c>
      <c r="G27" s="22">
        <v>22.8</v>
      </c>
      <c r="H27" s="37" t="s">
        <v>360</v>
      </c>
    </row>
    <row r="28" spans="1:7" ht="12.75">
      <c r="A28" s="5"/>
      <c r="B28" s="5"/>
      <c r="C28" s="5"/>
      <c r="D28" s="103" t="s">
        <v>178</v>
      </c>
      <c r="E28" s="104"/>
      <c r="F28" s="5"/>
      <c r="G28" s="22">
        <v>22.8</v>
      </c>
    </row>
    <row r="29" spans="3:7" ht="12.75" customHeight="1">
      <c r="C29" s="55" t="s">
        <v>80</v>
      </c>
      <c r="D29" s="95" t="s">
        <v>179</v>
      </c>
      <c r="E29" s="96"/>
      <c r="F29" s="96"/>
      <c r="G29" s="96"/>
    </row>
    <row r="30" spans="1:8" ht="12.75">
      <c r="A30" s="5" t="s">
        <v>12</v>
      </c>
      <c r="B30" s="5"/>
      <c r="C30" s="5" t="s">
        <v>85</v>
      </c>
      <c r="D30" s="103" t="s">
        <v>180</v>
      </c>
      <c r="E30" s="104"/>
      <c r="F30" s="5" t="s">
        <v>338</v>
      </c>
      <c r="G30" s="22">
        <v>109.6</v>
      </c>
      <c r="H30" s="37" t="s">
        <v>360</v>
      </c>
    </row>
    <row r="31" spans="1:7" ht="12.75">
      <c r="A31" s="5"/>
      <c r="B31" s="5"/>
      <c r="C31" s="5"/>
      <c r="D31" s="103" t="s">
        <v>181</v>
      </c>
      <c r="E31" s="104"/>
      <c r="F31" s="5"/>
      <c r="G31" s="22">
        <v>39.6</v>
      </c>
    </row>
    <row r="32" spans="1:7" ht="12.75">
      <c r="A32" s="5"/>
      <c r="B32" s="5"/>
      <c r="C32" s="5"/>
      <c r="D32" s="103" t="s">
        <v>182</v>
      </c>
      <c r="E32" s="104"/>
      <c r="F32" s="5"/>
      <c r="G32" s="22">
        <v>19.2</v>
      </c>
    </row>
    <row r="33" spans="1:7" ht="12.75">
      <c r="A33" s="5"/>
      <c r="B33" s="5"/>
      <c r="C33" s="5"/>
      <c r="D33" s="103" t="s">
        <v>183</v>
      </c>
      <c r="E33" s="104"/>
      <c r="F33" s="5"/>
      <c r="G33" s="22">
        <v>14.4</v>
      </c>
    </row>
    <row r="34" spans="1:7" ht="12.75">
      <c r="A34" s="5"/>
      <c r="B34" s="5"/>
      <c r="C34" s="5"/>
      <c r="D34" s="103" t="s">
        <v>184</v>
      </c>
      <c r="E34" s="104"/>
      <c r="F34" s="5"/>
      <c r="G34" s="22">
        <v>36.4</v>
      </c>
    </row>
    <row r="35" spans="3:7" ht="12.75" customHeight="1">
      <c r="C35" s="55" t="s">
        <v>80</v>
      </c>
      <c r="D35" s="95" t="s">
        <v>179</v>
      </c>
      <c r="E35" s="96"/>
      <c r="F35" s="96"/>
      <c r="G35" s="96"/>
    </row>
    <row r="36" spans="1:8" ht="12.75">
      <c r="A36" s="5" t="s">
        <v>13</v>
      </c>
      <c r="B36" s="5"/>
      <c r="C36" s="5" t="s">
        <v>86</v>
      </c>
      <c r="D36" s="103" t="s">
        <v>185</v>
      </c>
      <c r="E36" s="104"/>
      <c r="F36" s="5" t="s">
        <v>338</v>
      </c>
      <c r="G36" s="22">
        <v>22.8</v>
      </c>
      <c r="H36" s="37" t="s">
        <v>360</v>
      </c>
    </row>
    <row r="37" spans="1:7" ht="12.75">
      <c r="A37" s="5"/>
      <c r="B37" s="5"/>
      <c r="C37" s="5"/>
      <c r="D37" s="103" t="s">
        <v>186</v>
      </c>
      <c r="E37" s="104"/>
      <c r="F37" s="5"/>
      <c r="G37" s="22">
        <v>22.8</v>
      </c>
    </row>
    <row r="38" spans="1:8" ht="12.75">
      <c r="A38" s="5" t="s">
        <v>14</v>
      </c>
      <c r="B38" s="5"/>
      <c r="C38" s="5" t="s">
        <v>87</v>
      </c>
      <c r="D38" s="103" t="s">
        <v>187</v>
      </c>
      <c r="E38" s="104"/>
      <c r="F38" s="5" t="s">
        <v>338</v>
      </c>
      <c r="G38" s="22">
        <v>109.6</v>
      </c>
      <c r="H38" s="37" t="s">
        <v>360</v>
      </c>
    </row>
    <row r="39" spans="1:7" ht="12.75">
      <c r="A39" s="5"/>
      <c r="B39" s="5"/>
      <c r="C39" s="5"/>
      <c r="D39" s="103" t="s">
        <v>188</v>
      </c>
      <c r="E39" s="104"/>
      <c r="F39" s="5"/>
      <c r="G39" s="22">
        <v>109.6</v>
      </c>
    </row>
    <row r="40" spans="1:8" ht="12.75">
      <c r="A40" s="5" t="s">
        <v>15</v>
      </c>
      <c r="B40" s="5"/>
      <c r="C40" s="5" t="s">
        <v>88</v>
      </c>
      <c r="D40" s="103" t="s">
        <v>190</v>
      </c>
      <c r="E40" s="104"/>
      <c r="F40" s="5" t="s">
        <v>337</v>
      </c>
      <c r="G40" s="22">
        <v>12.54</v>
      </c>
      <c r="H40" s="37" t="s">
        <v>360</v>
      </c>
    </row>
    <row r="41" spans="1:7" ht="12.75">
      <c r="A41" s="5"/>
      <c r="B41" s="5"/>
      <c r="C41" s="5"/>
      <c r="D41" s="103" t="s">
        <v>191</v>
      </c>
      <c r="E41" s="104"/>
      <c r="F41" s="5"/>
      <c r="G41" s="22">
        <v>12.54</v>
      </c>
    </row>
    <row r="42" spans="3:7" ht="63.75" customHeight="1">
      <c r="C42" s="55" t="s">
        <v>80</v>
      </c>
      <c r="D42" s="95" t="s">
        <v>192</v>
      </c>
      <c r="E42" s="96"/>
      <c r="F42" s="96"/>
      <c r="G42" s="96"/>
    </row>
    <row r="43" spans="1:8" ht="12.75">
      <c r="A43" s="5" t="s">
        <v>16</v>
      </c>
      <c r="B43" s="5"/>
      <c r="C43" s="5" t="s">
        <v>89</v>
      </c>
      <c r="D43" s="103" t="s">
        <v>193</v>
      </c>
      <c r="E43" s="104"/>
      <c r="F43" s="5" t="s">
        <v>337</v>
      </c>
      <c r="G43" s="22">
        <v>60.28</v>
      </c>
      <c r="H43" s="37" t="s">
        <v>360</v>
      </c>
    </row>
    <row r="44" spans="1:7" ht="12.75">
      <c r="A44" s="5"/>
      <c r="B44" s="5"/>
      <c r="C44" s="5"/>
      <c r="D44" s="103" t="s">
        <v>194</v>
      </c>
      <c r="E44" s="104"/>
      <c r="F44" s="5"/>
      <c r="G44" s="22">
        <v>60.28</v>
      </c>
    </row>
    <row r="45" spans="3:7" ht="63.75" customHeight="1">
      <c r="C45" s="55" t="s">
        <v>80</v>
      </c>
      <c r="D45" s="95" t="s">
        <v>195</v>
      </c>
      <c r="E45" s="96"/>
      <c r="F45" s="96"/>
      <c r="G45" s="96"/>
    </row>
    <row r="46" spans="1:8" ht="12.75">
      <c r="A46" s="5" t="s">
        <v>17</v>
      </c>
      <c r="B46" s="5"/>
      <c r="C46" s="5" t="s">
        <v>90</v>
      </c>
      <c r="D46" s="103" t="s">
        <v>196</v>
      </c>
      <c r="E46" s="104"/>
      <c r="F46" s="5" t="s">
        <v>337</v>
      </c>
      <c r="G46" s="22">
        <v>39.38</v>
      </c>
      <c r="H46" s="37" t="s">
        <v>360</v>
      </c>
    </row>
    <row r="47" spans="1:7" ht="12.75">
      <c r="A47" s="5"/>
      <c r="B47" s="5"/>
      <c r="C47" s="5"/>
      <c r="D47" s="103" t="s">
        <v>197</v>
      </c>
      <c r="E47" s="104"/>
      <c r="F47" s="5"/>
      <c r="G47" s="22">
        <v>39.38</v>
      </c>
    </row>
    <row r="48" spans="1:8" ht="12.75">
      <c r="A48" s="5" t="s">
        <v>18</v>
      </c>
      <c r="B48" s="5"/>
      <c r="C48" s="5" t="s">
        <v>90</v>
      </c>
      <c r="D48" s="103" t="s">
        <v>198</v>
      </c>
      <c r="E48" s="104"/>
      <c r="F48" s="5" t="s">
        <v>337</v>
      </c>
      <c r="G48" s="22">
        <v>53.4</v>
      </c>
      <c r="H48" s="37" t="s">
        <v>360</v>
      </c>
    </row>
    <row r="49" spans="1:7" ht="12.75">
      <c r="A49" s="5"/>
      <c r="B49" s="5"/>
      <c r="C49" s="5"/>
      <c r="D49" s="103" t="s">
        <v>199</v>
      </c>
      <c r="E49" s="104"/>
      <c r="F49" s="5"/>
      <c r="G49" s="22">
        <v>53.4</v>
      </c>
    </row>
    <row r="50" spans="1:8" ht="12.75">
      <c r="A50" s="5" t="s">
        <v>19</v>
      </c>
      <c r="B50" s="5"/>
      <c r="C50" s="5" t="s">
        <v>91</v>
      </c>
      <c r="D50" s="103" t="s">
        <v>201</v>
      </c>
      <c r="E50" s="104"/>
      <c r="F50" s="5" t="s">
        <v>337</v>
      </c>
      <c r="G50" s="22">
        <v>53.4</v>
      </c>
      <c r="H50" s="37" t="s">
        <v>360</v>
      </c>
    </row>
    <row r="51" spans="1:7" ht="12.75">
      <c r="A51" s="5"/>
      <c r="B51" s="5"/>
      <c r="C51" s="5"/>
      <c r="D51" s="103" t="s">
        <v>202</v>
      </c>
      <c r="E51" s="104"/>
      <c r="F51" s="5"/>
      <c r="G51" s="22">
        <v>53.4</v>
      </c>
    </row>
    <row r="52" spans="3:7" ht="25.5" customHeight="1">
      <c r="C52" s="55" t="s">
        <v>80</v>
      </c>
      <c r="D52" s="95" t="s">
        <v>203</v>
      </c>
      <c r="E52" s="96"/>
      <c r="F52" s="96"/>
      <c r="G52" s="96"/>
    </row>
    <row r="53" spans="1:8" ht="12.75">
      <c r="A53" s="5" t="s">
        <v>20</v>
      </c>
      <c r="B53" s="5"/>
      <c r="C53" s="5" t="s">
        <v>92</v>
      </c>
      <c r="D53" s="103" t="s">
        <v>204</v>
      </c>
      <c r="E53" s="104"/>
      <c r="F53" s="5" t="s">
        <v>337</v>
      </c>
      <c r="G53" s="22">
        <v>2.4</v>
      </c>
      <c r="H53" s="37" t="s">
        <v>360</v>
      </c>
    </row>
    <row r="54" spans="1:7" ht="12.75">
      <c r="A54" s="5"/>
      <c r="B54" s="5"/>
      <c r="C54" s="5"/>
      <c r="D54" s="103" t="s">
        <v>205</v>
      </c>
      <c r="E54" s="104"/>
      <c r="F54" s="5"/>
      <c r="G54" s="22">
        <v>2.4</v>
      </c>
    </row>
    <row r="55" spans="1:8" ht="12.75">
      <c r="A55" s="5" t="s">
        <v>21</v>
      </c>
      <c r="B55" s="5"/>
      <c r="C55" s="5" t="s">
        <v>93</v>
      </c>
      <c r="D55" s="103" t="s">
        <v>206</v>
      </c>
      <c r="E55" s="104"/>
      <c r="F55" s="5" t="s">
        <v>337</v>
      </c>
      <c r="G55" s="22">
        <v>39.38</v>
      </c>
      <c r="H55" s="37" t="s">
        <v>360</v>
      </c>
    </row>
    <row r="56" spans="4:7" ht="12.75">
      <c r="D56" s="18" t="s">
        <v>207</v>
      </c>
      <c r="G56" s="22">
        <v>0</v>
      </c>
    </row>
    <row r="57" spans="1:7" ht="12.75">
      <c r="A57" s="5"/>
      <c r="B57" s="5"/>
      <c r="C57" s="5"/>
      <c r="D57" s="103" t="s">
        <v>208</v>
      </c>
      <c r="E57" s="104"/>
      <c r="F57" s="5"/>
      <c r="G57" s="22">
        <v>39.38</v>
      </c>
    </row>
    <row r="58" spans="3:7" ht="12.75" customHeight="1">
      <c r="C58" s="55" t="s">
        <v>80</v>
      </c>
      <c r="D58" s="95" t="s">
        <v>209</v>
      </c>
      <c r="E58" s="96"/>
      <c r="F58" s="96"/>
      <c r="G58" s="96"/>
    </row>
    <row r="59" spans="1:8" ht="12.75">
      <c r="A59" s="5" t="s">
        <v>22</v>
      </c>
      <c r="B59" s="5"/>
      <c r="C59" s="5" t="s">
        <v>93</v>
      </c>
      <c r="D59" s="103" t="s">
        <v>206</v>
      </c>
      <c r="E59" s="104"/>
      <c r="F59" s="5" t="s">
        <v>337</v>
      </c>
      <c r="G59" s="22">
        <v>17.16</v>
      </c>
      <c r="H59" s="37" t="s">
        <v>360</v>
      </c>
    </row>
    <row r="60" spans="1:7" ht="12.75">
      <c r="A60" s="5"/>
      <c r="B60" s="5"/>
      <c r="C60" s="5"/>
      <c r="D60" s="103" t="s">
        <v>210</v>
      </c>
      <c r="E60" s="104"/>
      <c r="F60" s="5"/>
      <c r="G60" s="22">
        <v>17.16</v>
      </c>
    </row>
    <row r="61" spans="3:7" ht="12.75" customHeight="1">
      <c r="C61" s="55" t="s">
        <v>80</v>
      </c>
      <c r="D61" s="95" t="s">
        <v>209</v>
      </c>
      <c r="E61" s="96"/>
      <c r="F61" s="96"/>
      <c r="G61" s="96"/>
    </row>
    <row r="62" spans="1:8" ht="12.75">
      <c r="A62" s="5" t="s">
        <v>23</v>
      </c>
      <c r="B62" s="5"/>
      <c r="C62" s="5" t="s">
        <v>94</v>
      </c>
      <c r="D62" s="103" t="s">
        <v>211</v>
      </c>
      <c r="E62" s="104"/>
      <c r="F62" s="5" t="s">
        <v>337</v>
      </c>
      <c r="G62" s="22">
        <v>13.2</v>
      </c>
      <c r="H62" s="37" t="s">
        <v>360</v>
      </c>
    </row>
    <row r="63" spans="4:7" ht="12.75">
      <c r="D63" s="18" t="s">
        <v>212</v>
      </c>
      <c r="G63" s="22">
        <v>0</v>
      </c>
    </row>
    <row r="64" spans="1:7" ht="12.75">
      <c r="A64" s="5"/>
      <c r="B64" s="5"/>
      <c r="C64" s="5"/>
      <c r="D64" s="103" t="s">
        <v>213</v>
      </c>
      <c r="E64" s="104"/>
      <c r="F64" s="5"/>
      <c r="G64" s="22">
        <v>13.2</v>
      </c>
    </row>
    <row r="65" spans="3:7" ht="12.75" customHeight="1">
      <c r="C65" s="55" t="s">
        <v>80</v>
      </c>
      <c r="D65" s="95" t="s">
        <v>214</v>
      </c>
      <c r="E65" s="96"/>
      <c r="F65" s="96"/>
      <c r="G65" s="96"/>
    </row>
    <row r="66" spans="1:8" ht="12.75">
      <c r="A66" s="5" t="s">
        <v>24</v>
      </c>
      <c r="B66" s="5"/>
      <c r="C66" s="5" t="s">
        <v>95</v>
      </c>
      <c r="D66" s="103" t="s">
        <v>215</v>
      </c>
      <c r="E66" s="104"/>
      <c r="F66" s="5" t="s">
        <v>337</v>
      </c>
      <c r="G66" s="22">
        <v>17.16</v>
      </c>
      <c r="H66" s="37" t="s">
        <v>360</v>
      </c>
    </row>
    <row r="67" spans="1:7" ht="12.75">
      <c r="A67" s="5"/>
      <c r="B67" s="5"/>
      <c r="C67" s="5"/>
      <c r="D67" s="103" t="s">
        <v>216</v>
      </c>
      <c r="E67" s="104"/>
      <c r="F67" s="5"/>
      <c r="G67" s="22">
        <v>17.16</v>
      </c>
    </row>
    <row r="68" spans="1:8" ht="12.75">
      <c r="A68" s="5" t="s">
        <v>25</v>
      </c>
      <c r="B68" s="5"/>
      <c r="C68" s="5" t="s">
        <v>96</v>
      </c>
      <c r="D68" s="103" t="s">
        <v>218</v>
      </c>
      <c r="E68" s="104"/>
      <c r="F68" s="5" t="s">
        <v>338</v>
      </c>
      <c r="G68" s="22">
        <v>36</v>
      </c>
      <c r="H68" s="37" t="s">
        <v>360</v>
      </c>
    </row>
    <row r="69" spans="1:7" ht="12.75">
      <c r="A69" s="5"/>
      <c r="B69" s="5"/>
      <c r="C69" s="5"/>
      <c r="D69" s="103" t="s">
        <v>219</v>
      </c>
      <c r="E69" s="104"/>
      <c r="F69" s="5"/>
      <c r="G69" s="22">
        <v>36</v>
      </c>
    </row>
    <row r="70" spans="1:8" ht="12.75">
      <c r="A70" s="5" t="s">
        <v>26</v>
      </c>
      <c r="B70" s="5"/>
      <c r="C70" s="5" t="s">
        <v>97</v>
      </c>
      <c r="D70" s="103" t="s">
        <v>221</v>
      </c>
      <c r="E70" s="104"/>
      <c r="F70" s="5" t="s">
        <v>337</v>
      </c>
      <c r="G70" s="22">
        <v>53.4</v>
      </c>
      <c r="H70" s="37" t="s">
        <v>360</v>
      </c>
    </row>
    <row r="71" spans="1:7" ht="12.75">
      <c r="A71" s="5"/>
      <c r="B71" s="5"/>
      <c r="C71" s="5"/>
      <c r="D71" s="103" t="s">
        <v>202</v>
      </c>
      <c r="E71" s="104"/>
      <c r="F71" s="5"/>
      <c r="G71" s="22">
        <v>53.4</v>
      </c>
    </row>
    <row r="72" spans="1:8" ht="12.75">
      <c r="A72" s="5" t="s">
        <v>27</v>
      </c>
      <c r="B72" s="5"/>
      <c r="C72" s="5" t="s">
        <v>98</v>
      </c>
      <c r="D72" s="103" t="s">
        <v>223</v>
      </c>
      <c r="E72" s="104"/>
      <c r="F72" s="5" t="s">
        <v>339</v>
      </c>
      <c r="G72" s="22">
        <v>0.01</v>
      </c>
      <c r="H72" s="37" t="s">
        <v>360</v>
      </c>
    </row>
    <row r="73" spans="4:7" ht="12.75">
      <c r="D73" s="18" t="s">
        <v>224</v>
      </c>
      <c r="G73" s="22">
        <v>0</v>
      </c>
    </row>
    <row r="74" spans="1:7" ht="12.75">
      <c r="A74" s="5"/>
      <c r="B74" s="5"/>
      <c r="C74" s="5"/>
      <c r="D74" s="103" t="s">
        <v>225</v>
      </c>
      <c r="E74" s="104"/>
      <c r="F74" s="5"/>
      <c r="G74" s="22">
        <v>0.01</v>
      </c>
    </row>
    <row r="75" spans="3:7" ht="25.5" customHeight="1">
      <c r="C75" s="55" t="s">
        <v>80</v>
      </c>
      <c r="D75" s="95" t="s">
        <v>226</v>
      </c>
      <c r="E75" s="96"/>
      <c r="F75" s="96"/>
      <c r="G75" s="96"/>
    </row>
    <row r="76" spans="1:8" ht="12.75">
      <c r="A76" s="5" t="s">
        <v>28</v>
      </c>
      <c r="B76" s="5"/>
      <c r="C76" s="5" t="s">
        <v>99</v>
      </c>
      <c r="D76" s="103" t="s">
        <v>228</v>
      </c>
      <c r="E76" s="104"/>
      <c r="F76" s="5" t="s">
        <v>337</v>
      </c>
      <c r="G76" s="22">
        <v>2.64</v>
      </c>
      <c r="H76" s="37" t="s">
        <v>360</v>
      </c>
    </row>
    <row r="77" spans="4:7" ht="12.75">
      <c r="D77" s="18" t="s">
        <v>229</v>
      </c>
      <c r="G77" s="22">
        <v>0</v>
      </c>
    </row>
    <row r="78" spans="1:7" ht="12.75">
      <c r="A78" s="5"/>
      <c r="B78" s="5"/>
      <c r="C78" s="5"/>
      <c r="D78" s="103" t="s">
        <v>230</v>
      </c>
      <c r="E78" s="104"/>
      <c r="F78" s="5"/>
      <c r="G78" s="22">
        <v>2.64</v>
      </c>
    </row>
    <row r="79" spans="3:7" ht="12.75" customHeight="1">
      <c r="C79" s="55" t="s">
        <v>80</v>
      </c>
      <c r="D79" s="95" t="s">
        <v>231</v>
      </c>
      <c r="E79" s="96"/>
      <c r="F79" s="96"/>
      <c r="G79" s="96"/>
    </row>
    <row r="80" spans="1:8" ht="12.75">
      <c r="A80" s="5" t="s">
        <v>29</v>
      </c>
      <c r="B80" s="5"/>
      <c r="C80" s="5" t="s">
        <v>100</v>
      </c>
      <c r="D80" s="103" t="s">
        <v>232</v>
      </c>
      <c r="E80" s="104"/>
      <c r="F80" s="5" t="s">
        <v>337</v>
      </c>
      <c r="G80" s="22">
        <v>0.52</v>
      </c>
      <c r="H80" s="37" t="s">
        <v>360</v>
      </c>
    </row>
    <row r="81" spans="1:7" ht="12.75">
      <c r="A81" s="5"/>
      <c r="B81" s="5"/>
      <c r="C81" s="5"/>
      <c r="D81" s="103" t="s">
        <v>233</v>
      </c>
      <c r="E81" s="104"/>
      <c r="F81" s="5"/>
      <c r="G81" s="22">
        <v>0.19</v>
      </c>
    </row>
    <row r="82" spans="1:7" ht="12.75">
      <c r="A82" s="5"/>
      <c r="B82" s="5"/>
      <c r="C82" s="5"/>
      <c r="D82" s="103" t="s">
        <v>234</v>
      </c>
      <c r="E82" s="104"/>
      <c r="F82" s="5"/>
      <c r="G82" s="22">
        <v>0.22</v>
      </c>
    </row>
    <row r="83" spans="1:7" ht="12.75">
      <c r="A83" s="5"/>
      <c r="B83" s="5"/>
      <c r="C83" s="5"/>
      <c r="D83" s="103" t="s">
        <v>235</v>
      </c>
      <c r="E83" s="104"/>
      <c r="F83" s="5"/>
      <c r="G83" s="22">
        <v>0.11</v>
      </c>
    </row>
    <row r="84" spans="3:7" ht="12.75" customHeight="1">
      <c r="C84" s="55" t="s">
        <v>80</v>
      </c>
      <c r="D84" s="95" t="s">
        <v>236</v>
      </c>
      <c r="E84" s="96"/>
      <c r="F84" s="96"/>
      <c r="G84" s="96"/>
    </row>
    <row r="85" spans="1:8" ht="12.75">
      <c r="A85" s="5" t="s">
        <v>30</v>
      </c>
      <c r="B85" s="5"/>
      <c r="C85" s="5" t="s">
        <v>101</v>
      </c>
      <c r="D85" s="103" t="s">
        <v>237</v>
      </c>
      <c r="E85" s="104"/>
      <c r="F85" s="5" t="s">
        <v>338</v>
      </c>
      <c r="G85" s="22">
        <v>4.69</v>
      </c>
      <c r="H85" s="37" t="s">
        <v>360</v>
      </c>
    </row>
    <row r="86" spans="1:7" ht="12.75">
      <c r="A86" s="5"/>
      <c r="B86" s="5"/>
      <c r="C86" s="5"/>
      <c r="D86" s="103" t="s">
        <v>238</v>
      </c>
      <c r="E86" s="104"/>
      <c r="F86" s="5"/>
      <c r="G86" s="22">
        <v>4.69</v>
      </c>
    </row>
    <row r="87" spans="3:7" ht="25.5" customHeight="1">
      <c r="C87" s="55" t="s">
        <v>80</v>
      </c>
      <c r="D87" s="95" t="s">
        <v>239</v>
      </c>
      <c r="E87" s="96"/>
      <c r="F87" s="96"/>
      <c r="G87" s="96"/>
    </row>
    <row r="88" spans="1:8" ht="12.75">
      <c r="A88" s="5" t="s">
        <v>31</v>
      </c>
      <c r="B88" s="5"/>
      <c r="C88" s="5" t="s">
        <v>103</v>
      </c>
      <c r="D88" s="103" t="s">
        <v>241</v>
      </c>
      <c r="E88" s="104"/>
      <c r="F88" s="5" t="s">
        <v>340</v>
      </c>
      <c r="G88" s="22">
        <v>3</v>
      </c>
      <c r="H88" s="37" t="s">
        <v>360</v>
      </c>
    </row>
    <row r="89" spans="1:7" ht="12.75">
      <c r="A89" s="5"/>
      <c r="B89" s="5"/>
      <c r="C89" s="5"/>
      <c r="D89" s="103" t="s">
        <v>9</v>
      </c>
      <c r="E89" s="104"/>
      <c r="F89" s="5"/>
      <c r="G89" s="22">
        <v>3</v>
      </c>
    </row>
    <row r="90" spans="3:7" ht="25.5" customHeight="1">
      <c r="C90" s="55" t="s">
        <v>80</v>
      </c>
      <c r="D90" s="95" t="s">
        <v>242</v>
      </c>
      <c r="E90" s="96"/>
      <c r="F90" s="96"/>
      <c r="G90" s="96"/>
    </row>
    <row r="91" spans="1:8" ht="12.75">
      <c r="A91" s="5" t="s">
        <v>32</v>
      </c>
      <c r="B91" s="5"/>
      <c r="C91" s="5" t="s">
        <v>104</v>
      </c>
      <c r="D91" s="103" t="s">
        <v>243</v>
      </c>
      <c r="E91" s="104"/>
      <c r="F91" s="5" t="s">
        <v>340</v>
      </c>
      <c r="G91" s="22">
        <v>2</v>
      </c>
      <c r="H91" s="37" t="s">
        <v>360</v>
      </c>
    </row>
    <row r="92" spans="1:7" ht="12.75">
      <c r="A92" s="5"/>
      <c r="B92" s="5"/>
      <c r="C92" s="5"/>
      <c r="D92" s="103" t="s">
        <v>8</v>
      </c>
      <c r="E92" s="104"/>
      <c r="F92" s="5"/>
      <c r="G92" s="22">
        <v>2</v>
      </c>
    </row>
    <row r="93" spans="3:7" ht="25.5" customHeight="1">
      <c r="C93" s="55" t="s">
        <v>80</v>
      </c>
      <c r="D93" s="95" t="s">
        <v>242</v>
      </c>
      <c r="E93" s="96"/>
      <c r="F93" s="96"/>
      <c r="G93" s="96"/>
    </row>
    <row r="94" spans="1:8" ht="12.75">
      <c r="A94" s="5" t="s">
        <v>33</v>
      </c>
      <c r="B94" s="5"/>
      <c r="C94" s="5" t="s">
        <v>105</v>
      </c>
      <c r="D94" s="103" t="s">
        <v>244</v>
      </c>
      <c r="E94" s="104"/>
      <c r="F94" s="5" t="s">
        <v>340</v>
      </c>
      <c r="G94" s="22">
        <v>5</v>
      </c>
      <c r="H94" s="37" t="s">
        <v>360</v>
      </c>
    </row>
    <row r="95" spans="1:7" ht="12.75">
      <c r="A95" s="5"/>
      <c r="B95" s="5"/>
      <c r="C95" s="5"/>
      <c r="D95" s="103" t="s">
        <v>11</v>
      </c>
      <c r="E95" s="104"/>
      <c r="F95" s="5"/>
      <c r="G95" s="22">
        <v>5</v>
      </c>
    </row>
    <row r="96" spans="3:7" ht="25.5" customHeight="1">
      <c r="C96" s="55" t="s">
        <v>80</v>
      </c>
      <c r="D96" s="95" t="s">
        <v>242</v>
      </c>
      <c r="E96" s="96"/>
      <c r="F96" s="96"/>
      <c r="G96" s="96"/>
    </row>
    <row r="97" spans="1:8" ht="12.75">
      <c r="A97" s="5" t="s">
        <v>34</v>
      </c>
      <c r="B97" s="5"/>
      <c r="C97" s="5" t="s">
        <v>106</v>
      </c>
      <c r="D97" s="103" t="s">
        <v>245</v>
      </c>
      <c r="E97" s="104"/>
      <c r="F97" s="5" t="s">
        <v>340</v>
      </c>
      <c r="G97" s="22">
        <v>1</v>
      </c>
      <c r="H97" s="37" t="s">
        <v>360</v>
      </c>
    </row>
    <row r="98" spans="1:7" ht="12.75">
      <c r="A98" s="5"/>
      <c r="B98" s="5"/>
      <c r="C98" s="5"/>
      <c r="D98" s="103" t="s">
        <v>7</v>
      </c>
      <c r="E98" s="104"/>
      <c r="F98" s="5"/>
      <c r="G98" s="22">
        <v>1</v>
      </c>
    </row>
    <row r="99" spans="3:7" ht="38.25" customHeight="1">
      <c r="C99" s="55" t="s">
        <v>80</v>
      </c>
      <c r="D99" s="95" t="s">
        <v>246</v>
      </c>
      <c r="E99" s="96"/>
      <c r="F99" s="96"/>
      <c r="G99" s="96"/>
    </row>
    <row r="100" spans="1:8" ht="12.75">
      <c r="A100" s="5" t="s">
        <v>35</v>
      </c>
      <c r="B100" s="5"/>
      <c r="C100" s="5" t="s">
        <v>108</v>
      </c>
      <c r="D100" s="103" t="s">
        <v>248</v>
      </c>
      <c r="E100" s="104"/>
      <c r="F100" s="5" t="s">
        <v>335</v>
      </c>
      <c r="G100" s="22">
        <v>14</v>
      </c>
      <c r="H100" s="37" t="s">
        <v>360</v>
      </c>
    </row>
    <row r="101" spans="1:7" ht="12.75">
      <c r="A101" s="5"/>
      <c r="B101" s="5"/>
      <c r="C101" s="5"/>
      <c r="D101" s="103" t="s">
        <v>20</v>
      </c>
      <c r="E101" s="104"/>
      <c r="F101" s="5"/>
      <c r="G101" s="22">
        <v>14</v>
      </c>
    </row>
    <row r="102" spans="3:7" ht="38.25" customHeight="1">
      <c r="C102" s="55" t="s">
        <v>80</v>
      </c>
      <c r="D102" s="95" t="s">
        <v>249</v>
      </c>
      <c r="E102" s="96"/>
      <c r="F102" s="96"/>
      <c r="G102" s="96"/>
    </row>
    <row r="103" spans="1:8" ht="12.75">
      <c r="A103" s="5" t="s">
        <v>36</v>
      </c>
      <c r="B103" s="5"/>
      <c r="C103" s="5" t="s">
        <v>109</v>
      </c>
      <c r="D103" s="103" t="s">
        <v>250</v>
      </c>
      <c r="E103" s="104"/>
      <c r="F103" s="5" t="s">
        <v>335</v>
      </c>
      <c r="G103" s="22">
        <v>24</v>
      </c>
      <c r="H103" s="37" t="s">
        <v>360</v>
      </c>
    </row>
    <row r="104" spans="1:7" ht="12.75">
      <c r="A104" s="5"/>
      <c r="B104" s="5"/>
      <c r="C104" s="5"/>
      <c r="D104" s="103" t="s">
        <v>30</v>
      </c>
      <c r="E104" s="104"/>
      <c r="F104" s="5"/>
      <c r="G104" s="22">
        <v>24</v>
      </c>
    </row>
    <row r="105" spans="3:7" ht="38.25" customHeight="1">
      <c r="C105" s="55" t="s">
        <v>80</v>
      </c>
      <c r="D105" s="95" t="s">
        <v>251</v>
      </c>
      <c r="E105" s="96"/>
      <c r="F105" s="96"/>
      <c r="G105" s="96"/>
    </row>
    <row r="106" spans="1:8" ht="12.75">
      <c r="A106" s="5" t="s">
        <v>37</v>
      </c>
      <c r="B106" s="5"/>
      <c r="C106" s="5" t="s">
        <v>110</v>
      </c>
      <c r="D106" s="103" t="s">
        <v>252</v>
      </c>
      <c r="E106" s="104"/>
      <c r="F106" s="5" t="s">
        <v>340</v>
      </c>
      <c r="G106" s="22">
        <v>17</v>
      </c>
      <c r="H106" s="37" t="s">
        <v>360</v>
      </c>
    </row>
    <row r="107" spans="1:7" ht="12.75">
      <c r="A107" s="5"/>
      <c r="B107" s="5"/>
      <c r="C107" s="5"/>
      <c r="D107" s="103" t="s">
        <v>23</v>
      </c>
      <c r="E107" s="104"/>
      <c r="F107" s="5"/>
      <c r="G107" s="22">
        <v>17</v>
      </c>
    </row>
    <row r="108" spans="3:7" ht="25.5" customHeight="1">
      <c r="C108" s="55" t="s">
        <v>80</v>
      </c>
      <c r="D108" s="95" t="s">
        <v>253</v>
      </c>
      <c r="E108" s="96"/>
      <c r="F108" s="96"/>
      <c r="G108" s="96"/>
    </row>
    <row r="109" spans="1:8" ht="12.75">
      <c r="A109" s="5" t="s">
        <v>38</v>
      </c>
      <c r="B109" s="5"/>
      <c r="C109" s="5" t="s">
        <v>112</v>
      </c>
      <c r="D109" s="103" t="s">
        <v>255</v>
      </c>
      <c r="E109" s="104"/>
      <c r="F109" s="5" t="s">
        <v>340</v>
      </c>
      <c r="G109" s="22">
        <v>1</v>
      </c>
      <c r="H109" s="37" t="s">
        <v>360</v>
      </c>
    </row>
    <row r="110" spans="1:7" ht="12.75">
      <c r="A110" s="5"/>
      <c r="B110" s="5"/>
      <c r="C110" s="5"/>
      <c r="D110" s="103" t="s">
        <v>7</v>
      </c>
      <c r="E110" s="104"/>
      <c r="F110" s="5"/>
      <c r="G110" s="22">
        <v>1</v>
      </c>
    </row>
    <row r="111" spans="3:7" ht="63.75" customHeight="1">
      <c r="C111" s="55" t="s">
        <v>80</v>
      </c>
      <c r="D111" s="95" t="s">
        <v>256</v>
      </c>
      <c r="E111" s="96"/>
      <c r="F111" s="96"/>
      <c r="G111" s="96"/>
    </row>
    <row r="112" spans="1:8" ht="12.75">
      <c r="A112" s="5" t="s">
        <v>39</v>
      </c>
      <c r="B112" s="5"/>
      <c r="C112" s="5" t="s">
        <v>113</v>
      </c>
      <c r="D112" s="103" t="s">
        <v>257</v>
      </c>
      <c r="E112" s="104"/>
      <c r="F112" s="5" t="s">
        <v>340</v>
      </c>
      <c r="G112" s="22">
        <v>1</v>
      </c>
      <c r="H112" s="37" t="s">
        <v>360</v>
      </c>
    </row>
    <row r="113" spans="1:7" ht="12.75">
      <c r="A113" s="5"/>
      <c r="B113" s="5"/>
      <c r="C113" s="5"/>
      <c r="D113" s="103" t="s">
        <v>7</v>
      </c>
      <c r="E113" s="104"/>
      <c r="F113" s="5"/>
      <c r="G113" s="22">
        <v>1</v>
      </c>
    </row>
    <row r="114" spans="3:7" ht="76.5" customHeight="1">
      <c r="C114" s="55" t="s">
        <v>80</v>
      </c>
      <c r="D114" s="95" t="s">
        <v>258</v>
      </c>
      <c r="E114" s="96"/>
      <c r="F114" s="96"/>
      <c r="G114" s="96"/>
    </row>
    <row r="115" spans="1:8" ht="12.75">
      <c r="A115" s="5" t="s">
        <v>40</v>
      </c>
      <c r="B115" s="5"/>
      <c r="C115" s="5" t="s">
        <v>114</v>
      </c>
      <c r="D115" s="103" t="s">
        <v>259</v>
      </c>
      <c r="E115" s="104"/>
      <c r="F115" s="5" t="s">
        <v>340</v>
      </c>
      <c r="G115" s="22">
        <v>2</v>
      </c>
      <c r="H115" s="37" t="s">
        <v>360</v>
      </c>
    </row>
    <row r="116" spans="1:7" ht="12.75">
      <c r="A116" s="5"/>
      <c r="B116" s="5"/>
      <c r="C116" s="5"/>
      <c r="D116" s="103" t="s">
        <v>8</v>
      </c>
      <c r="E116" s="104"/>
      <c r="F116" s="5"/>
      <c r="G116" s="22">
        <v>2</v>
      </c>
    </row>
    <row r="117" spans="3:7" ht="63.75" customHeight="1">
      <c r="C117" s="55" t="s">
        <v>80</v>
      </c>
      <c r="D117" s="95" t="s">
        <v>256</v>
      </c>
      <c r="E117" s="96"/>
      <c r="F117" s="96"/>
      <c r="G117" s="96"/>
    </row>
    <row r="118" spans="1:8" ht="12.75">
      <c r="A118" s="5" t="s">
        <v>41</v>
      </c>
      <c r="B118" s="5"/>
      <c r="C118" s="5" t="s">
        <v>115</v>
      </c>
      <c r="D118" s="103" t="s">
        <v>260</v>
      </c>
      <c r="E118" s="104"/>
      <c r="F118" s="5" t="s">
        <v>335</v>
      </c>
      <c r="G118" s="22">
        <v>24</v>
      </c>
      <c r="H118" s="37" t="s">
        <v>360</v>
      </c>
    </row>
    <row r="119" spans="1:7" ht="12.75">
      <c r="A119" s="5"/>
      <c r="B119" s="5"/>
      <c r="C119" s="5"/>
      <c r="D119" s="103" t="s">
        <v>30</v>
      </c>
      <c r="E119" s="104"/>
      <c r="F119" s="5"/>
      <c r="G119" s="22">
        <v>24</v>
      </c>
    </row>
    <row r="120" spans="3:7" ht="25.5" customHeight="1">
      <c r="C120" s="55" t="s">
        <v>80</v>
      </c>
      <c r="D120" s="95" t="s">
        <v>261</v>
      </c>
      <c r="E120" s="96"/>
      <c r="F120" s="96"/>
      <c r="G120" s="96"/>
    </row>
    <row r="121" spans="1:8" ht="12.75">
      <c r="A121" s="5" t="s">
        <v>42</v>
      </c>
      <c r="B121" s="5"/>
      <c r="C121" s="5" t="s">
        <v>116</v>
      </c>
      <c r="D121" s="103" t="s">
        <v>262</v>
      </c>
      <c r="E121" s="104"/>
      <c r="F121" s="5" t="s">
        <v>335</v>
      </c>
      <c r="G121" s="22">
        <v>24</v>
      </c>
      <c r="H121" s="37" t="s">
        <v>360</v>
      </c>
    </row>
    <row r="122" spans="1:7" ht="12.75">
      <c r="A122" s="5"/>
      <c r="B122" s="5"/>
      <c r="C122" s="5"/>
      <c r="D122" s="103" t="s">
        <v>30</v>
      </c>
      <c r="E122" s="104"/>
      <c r="F122" s="5"/>
      <c r="G122" s="22">
        <v>24</v>
      </c>
    </row>
    <row r="123" spans="3:7" ht="12.75" customHeight="1">
      <c r="C123" s="55" t="s">
        <v>80</v>
      </c>
      <c r="D123" s="95" t="s">
        <v>263</v>
      </c>
      <c r="E123" s="96"/>
      <c r="F123" s="96"/>
      <c r="G123" s="96"/>
    </row>
    <row r="124" spans="1:8" ht="12.75">
      <c r="A124" s="5" t="s">
        <v>43</v>
      </c>
      <c r="B124" s="5"/>
      <c r="C124" s="5" t="s">
        <v>117</v>
      </c>
      <c r="D124" s="103" t="s">
        <v>264</v>
      </c>
      <c r="E124" s="104"/>
      <c r="F124" s="5" t="s">
        <v>341</v>
      </c>
      <c r="G124" s="22">
        <v>2</v>
      </c>
      <c r="H124" s="37" t="s">
        <v>360</v>
      </c>
    </row>
    <row r="125" spans="1:7" ht="12.75">
      <c r="A125" s="5"/>
      <c r="B125" s="5"/>
      <c r="C125" s="5"/>
      <c r="D125" s="103" t="s">
        <v>8</v>
      </c>
      <c r="E125" s="104"/>
      <c r="F125" s="5"/>
      <c r="G125" s="22">
        <v>2</v>
      </c>
    </row>
    <row r="126" spans="3:7" ht="38.25" customHeight="1">
      <c r="C126" s="55" t="s">
        <v>80</v>
      </c>
      <c r="D126" s="95" t="s">
        <v>265</v>
      </c>
      <c r="E126" s="96"/>
      <c r="F126" s="96"/>
      <c r="G126" s="96"/>
    </row>
    <row r="127" spans="1:8" ht="12.75">
      <c r="A127" s="5" t="s">
        <v>44</v>
      </c>
      <c r="B127" s="5"/>
      <c r="C127" s="5" t="s">
        <v>118</v>
      </c>
      <c r="D127" s="103" t="s">
        <v>266</v>
      </c>
      <c r="E127" s="104"/>
      <c r="F127" s="5" t="s">
        <v>340</v>
      </c>
      <c r="G127" s="22">
        <v>3</v>
      </c>
      <c r="H127" s="37" t="s">
        <v>360</v>
      </c>
    </row>
    <row r="128" spans="1:7" ht="12.75">
      <c r="A128" s="5"/>
      <c r="B128" s="5"/>
      <c r="C128" s="5"/>
      <c r="D128" s="103" t="s">
        <v>9</v>
      </c>
      <c r="E128" s="104"/>
      <c r="F128" s="5"/>
      <c r="G128" s="22">
        <v>3</v>
      </c>
    </row>
    <row r="129" spans="3:7" ht="25.5" customHeight="1">
      <c r="C129" s="55" t="s">
        <v>80</v>
      </c>
      <c r="D129" s="95" t="s">
        <v>267</v>
      </c>
      <c r="E129" s="96"/>
      <c r="F129" s="96"/>
      <c r="G129" s="96"/>
    </row>
    <row r="130" spans="1:8" ht="12.75">
      <c r="A130" s="5" t="s">
        <v>45</v>
      </c>
      <c r="B130" s="5"/>
      <c r="C130" s="5" t="s">
        <v>119</v>
      </c>
      <c r="D130" s="103" t="s">
        <v>268</v>
      </c>
      <c r="E130" s="104"/>
      <c r="F130" s="5" t="s">
        <v>340</v>
      </c>
      <c r="G130" s="22">
        <v>1</v>
      </c>
      <c r="H130" s="37" t="s">
        <v>360</v>
      </c>
    </row>
    <row r="131" spans="1:7" ht="12.75">
      <c r="A131" s="5"/>
      <c r="B131" s="5"/>
      <c r="C131" s="5"/>
      <c r="D131" s="103" t="s">
        <v>7</v>
      </c>
      <c r="E131" s="104"/>
      <c r="F131" s="5"/>
      <c r="G131" s="22">
        <v>1</v>
      </c>
    </row>
    <row r="132" spans="3:7" ht="25.5" customHeight="1">
      <c r="C132" s="55" t="s">
        <v>80</v>
      </c>
      <c r="D132" s="95" t="s">
        <v>267</v>
      </c>
      <c r="E132" s="96"/>
      <c r="F132" s="96"/>
      <c r="G132" s="96"/>
    </row>
    <row r="133" spans="1:8" ht="12.75">
      <c r="A133" s="5" t="s">
        <v>46</v>
      </c>
      <c r="B133" s="5"/>
      <c r="C133" s="5" t="s">
        <v>120</v>
      </c>
      <c r="D133" s="103" t="s">
        <v>269</v>
      </c>
      <c r="E133" s="104"/>
      <c r="F133" s="5" t="s">
        <v>335</v>
      </c>
      <c r="G133" s="22">
        <v>24</v>
      </c>
      <c r="H133" s="37" t="s">
        <v>360</v>
      </c>
    </row>
    <row r="134" spans="1:7" ht="12.75">
      <c r="A134" s="5"/>
      <c r="B134" s="5"/>
      <c r="C134" s="5"/>
      <c r="D134" s="103" t="s">
        <v>270</v>
      </c>
      <c r="E134" s="104"/>
      <c r="F134" s="5"/>
      <c r="G134" s="22">
        <v>24</v>
      </c>
    </row>
    <row r="135" spans="1:8" ht="12.75">
      <c r="A135" s="5" t="s">
        <v>47</v>
      </c>
      <c r="B135" s="5"/>
      <c r="C135" s="5" t="s">
        <v>121</v>
      </c>
      <c r="D135" s="103" t="s">
        <v>271</v>
      </c>
      <c r="E135" s="104"/>
      <c r="F135" s="5" t="s">
        <v>335</v>
      </c>
      <c r="G135" s="22">
        <v>28</v>
      </c>
      <c r="H135" s="37" t="s">
        <v>360</v>
      </c>
    </row>
    <row r="136" spans="1:7" ht="12.75">
      <c r="A136" s="5"/>
      <c r="B136" s="5"/>
      <c r="C136" s="5"/>
      <c r="D136" s="103" t="s">
        <v>34</v>
      </c>
      <c r="E136" s="104"/>
      <c r="F136" s="5"/>
      <c r="G136" s="22">
        <v>28</v>
      </c>
    </row>
    <row r="137" spans="1:8" ht="12.75">
      <c r="A137" s="5" t="s">
        <v>48</v>
      </c>
      <c r="B137" s="5"/>
      <c r="C137" s="5" t="s">
        <v>123</v>
      </c>
      <c r="D137" s="103" t="s">
        <v>273</v>
      </c>
      <c r="E137" s="104"/>
      <c r="F137" s="5" t="s">
        <v>336</v>
      </c>
      <c r="G137" s="22">
        <v>15</v>
      </c>
      <c r="H137" s="37" t="s">
        <v>360</v>
      </c>
    </row>
    <row r="138" spans="1:7" ht="12.75">
      <c r="A138" s="5"/>
      <c r="B138" s="5"/>
      <c r="C138" s="5"/>
      <c r="D138" s="103" t="s">
        <v>21</v>
      </c>
      <c r="E138" s="104"/>
      <c r="F138" s="5"/>
      <c r="G138" s="22">
        <v>15</v>
      </c>
    </row>
    <row r="139" spans="3:7" ht="76.5" customHeight="1">
      <c r="C139" s="55" t="s">
        <v>80</v>
      </c>
      <c r="D139" s="95" t="s">
        <v>405</v>
      </c>
      <c r="E139" s="96"/>
      <c r="F139" s="96"/>
      <c r="G139" s="96"/>
    </row>
    <row r="140" spans="4:7" ht="76.5" customHeight="1">
      <c r="D140" s="95" t="s">
        <v>406</v>
      </c>
      <c r="E140" s="96"/>
      <c r="F140" s="96"/>
      <c r="G140" s="96"/>
    </row>
    <row r="141" spans="1:8" ht="12.75">
      <c r="A141" s="5" t="s">
        <v>49</v>
      </c>
      <c r="B141" s="5"/>
      <c r="C141" s="5" t="s">
        <v>125</v>
      </c>
      <c r="D141" s="103" t="s">
        <v>277</v>
      </c>
      <c r="E141" s="104"/>
      <c r="F141" s="5" t="s">
        <v>335</v>
      </c>
      <c r="G141" s="22">
        <v>22</v>
      </c>
      <c r="H141" s="37" t="s">
        <v>360</v>
      </c>
    </row>
    <row r="142" spans="1:7" ht="12.75">
      <c r="A142" s="5"/>
      <c r="B142" s="5"/>
      <c r="C142" s="5"/>
      <c r="D142" s="103" t="s">
        <v>28</v>
      </c>
      <c r="E142" s="104"/>
      <c r="F142" s="5"/>
      <c r="G142" s="22">
        <v>22</v>
      </c>
    </row>
    <row r="143" spans="3:7" ht="12.75" customHeight="1">
      <c r="C143" s="55" t="s">
        <v>80</v>
      </c>
      <c r="D143" s="95" t="s">
        <v>278</v>
      </c>
      <c r="E143" s="96"/>
      <c r="F143" s="96"/>
      <c r="G143" s="96"/>
    </row>
    <row r="144" spans="1:8" ht="12.75">
      <c r="A144" s="5" t="s">
        <v>50</v>
      </c>
      <c r="B144" s="5"/>
      <c r="C144" s="5" t="s">
        <v>127</v>
      </c>
      <c r="D144" s="103" t="s">
        <v>280</v>
      </c>
      <c r="E144" s="104"/>
      <c r="F144" s="5" t="s">
        <v>339</v>
      </c>
      <c r="G144" s="22">
        <v>0.82</v>
      </c>
      <c r="H144" s="37" t="s">
        <v>360</v>
      </c>
    </row>
    <row r="145" spans="1:7" ht="12.75">
      <c r="A145" s="5"/>
      <c r="B145" s="5"/>
      <c r="C145" s="5"/>
      <c r="D145" s="103" t="s">
        <v>281</v>
      </c>
      <c r="E145" s="104"/>
      <c r="F145" s="5"/>
      <c r="G145" s="22">
        <v>0.82</v>
      </c>
    </row>
    <row r="146" spans="1:8" ht="12.75">
      <c r="A146" s="5" t="s">
        <v>51</v>
      </c>
      <c r="B146" s="5"/>
      <c r="C146" s="5" t="s">
        <v>129</v>
      </c>
      <c r="D146" s="103" t="s">
        <v>283</v>
      </c>
      <c r="E146" s="104"/>
      <c r="F146" s="5" t="s">
        <v>339</v>
      </c>
      <c r="G146" s="22">
        <v>1.28</v>
      </c>
      <c r="H146" s="37" t="s">
        <v>360</v>
      </c>
    </row>
    <row r="147" spans="1:7" ht="12.75">
      <c r="A147" s="5"/>
      <c r="B147" s="5"/>
      <c r="C147" s="5"/>
      <c r="D147" s="103" t="s">
        <v>284</v>
      </c>
      <c r="E147" s="104"/>
      <c r="F147" s="5"/>
      <c r="G147" s="22">
        <v>1.28</v>
      </c>
    </row>
    <row r="148" spans="3:7" ht="51" customHeight="1">
      <c r="C148" s="55" t="s">
        <v>80</v>
      </c>
      <c r="D148" s="95" t="s">
        <v>285</v>
      </c>
      <c r="E148" s="96"/>
      <c r="F148" s="96"/>
      <c r="G148" s="96"/>
    </row>
    <row r="149" spans="1:8" ht="12.75">
      <c r="A149" s="5" t="s">
        <v>52</v>
      </c>
      <c r="B149" s="5"/>
      <c r="C149" s="5" t="s">
        <v>131</v>
      </c>
      <c r="D149" s="103" t="s">
        <v>287</v>
      </c>
      <c r="E149" s="104"/>
      <c r="F149" s="5" t="s">
        <v>339</v>
      </c>
      <c r="G149" s="22">
        <v>0.82</v>
      </c>
      <c r="H149" s="37" t="s">
        <v>360</v>
      </c>
    </row>
    <row r="150" spans="1:7" ht="12.75">
      <c r="A150" s="5"/>
      <c r="B150" s="5"/>
      <c r="C150" s="5"/>
      <c r="D150" s="103" t="s">
        <v>281</v>
      </c>
      <c r="E150" s="104"/>
      <c r="F150" s="5"/>
      <c r="G150" s="22">
        <v>0.82</v>
      </c>
    </row>
    <row r="151" spans="1:8" ht="12.75">
      <c r="A151" s="7" t="s">
        <v>53</v>
      </c>
      <c r="B151" s="7"/>
      <c r="C151" s="7" t="s">
        <v>132</v>
      </c>
      <c r="D151" s="105" t="s">
        <v>289</v>
      </c>
      <c r="E151" s="106"/>
      <c r="F151" s="7" t="s">
        <v>340</v>
      </c>
      <c r="G151" s="24">
        <v>13</v>
      </c>
      <c r="H151" s="38" t="s">
        <v>361</v>
      </c>
    </row>
    <row r="152" spans="1:7" ht="12.75">
      <c r="A152" s="7"/>
      <c r="B152" s="7"/>
      <c r="C152" s="7"/>
      <c r="D152" s="105" t="s">
        <v>19</v>
      </c>
      <c r="E152" s="106"/>
      <c r="F152" s="7"/>
      <c r="G152" s="24">
        <v>13</v>
      </c>
    </row>
    <row r="153" spans="3:7" ht="12.75" customHeight="1">
      <c r="C153" s="55" t="s">
        <v>80</v>
      </c>
      <c r="D153" s="95" t="s">
        <v>290</v>
      </c>
      <c r="E153" s="96"/>
      <c r="F153" s="96"/>
      <c r="G153" s="96"/>
    </row>
    <row r="154" spans="1:8" ht="12.75">
      <c r="A154" s="7" t="s">
        <v>54</v>
      </c>
      <c r="B154" s="7"/>
      <c r="C154" s="7" t="s">
        <v>133</v>
      </c>
      <c r="D154" s="105" t="s">
        <v>291</v>
      </c>
      <c r="E154" s="106"/>
      <c r="F154" s="7" t="s">
        <v>340</v>
      </c>
      <c r="G154" s="24">
        <v>2</v>
      </c>
      <c r="H154" s="38" t="s">
        <v>361</v>
      </c>
    </row>
    <row r="155" spans="1:7" ht="12.75">
      <c r="A155" s="7"/>
      <c r="B155" s="7"/>
      <c r="C155" s="7"/>
      <c r="D155" s="105" t="s">
        <v>8</v>
      </c>
      <c r="E155" s="106"/>
      <c r="F155" s="7"/>
      <c r="G155" s="24">
        <v>2</v>
      </c>
    </row>
    <row r="156" spans="1:8" ht="12.75">
      <c r="A156" s="7" t="s">
        <v>55</v>
      </c>
      <c r="B156" s="7"/>
      <c r="C156" s="7" t="s">
        <v>134</v>
      </c>
      <c r="D156" s="105" t="s">
        <v>292</v>
      </c>
      <c r="E156" s="106"/>
      <c r="F156" s="7" t="s">
        <v>335</v>
      </c>
      <c r="G156" s="24">
        <v>14</v>
      </c>
      <c r="H156" s="38" t="s">
        <v>361</v>
      </c>
    </row>
    <row r="157" spans="1:7" ht="12.75">
      <c r="A157" s="7"/>
      <c r="B157" s="7"/>
      <c r="C157" s="7"/>
      <c r="D157" s="105" t="s">
        <v>20</v>
      </c>
      <c r="E157" s="106"/>
      <c r="F157" s="7"/>
      <c r="G157" s="24">
        <v>14</v>
      </c>
    </row>
    <row r="158" spans="1:8" ht="12.75">
      <c r="A158" s="7" t="s">
        <v>56</v>
      </c>
      <c r="B158" s="7"/>
      <c r="C158" s="7" t="s">
        <v>135</v>
      </c>
      <c r="D158" s="105" t="s">
        <v>293</v>
      </c>
      <c r="E158" s="106"/>
      <c r="F158" s="7" t="s">
        <v>335</v>
      </c>
      <c r="G158" s="24">
        <v>26.4</v>
      </c>
      <c r="H158" s="38" t="s">
        <v>360</v>
      </c>
    </row>
    <row r="159" spans="1:7" ht="12.75">
      <c r="A159" s="7"/>
      <c r="B159" s="7"/>
      <c r="C159" s="7"/>
      <c r="D159" s="105" t="s">
        <v>30</v>
      </c>
      <c r="E159" s="106"/>
      <c r="F159" s="7"/>
      <c r="G159" s="24">
        <v>24</v>
      </c>
    </row>
    <row r="160" spans="1:7" ht="12.75">
      <c r="A160" s="7"/>
      <c r="B160" s="7"/>
      <c r="C160" s="7"/>
      <c r="D160" s="105" t="s">
        <v>294</v>
      </c>
      <c r="E160" s="106"/>
      <c r="F160" s="7"/>
      <c r="G160" s="24">
        <v>2.4</v>
      </c>
    </row>
    <row r="161" spans="3:7" ht="51" customHeight="1">
      <c r="C161" s="55" t="s">
        <v>80</v>
      </c>
      <c r="D161" s="95" t="s">
        <v>295</v>
      </c>
      <c r="E161" s="96"/>
      <c r="F161" s="96"/>
      <c r="G161" s="96"/>
    </row>
    <row r="162" spans="1:8" ht="12.75">
      <c r="A162" s="7" t="s">
        <v>57</v>
      </c>
      <c r="B162" s="7"/>
      <c r="C162" s="7" t="s">
        <v>136</v>
      </c>
      <c r="D162" s="105" t="s">
        <v>296</v>
      </c>
      <c r="E162" s="106"/>
      <c r="F162" s="7" t="s">
        <v>340</v>
      </c>
      <c r="G162" s="24">
        <v>4</v>
      </c>
      <c r="H162" s="38" t="s">
        <v>360</v>
      </c>
    </row>
    <row r="163" spans="1:7" ht="12.75">
      <c r="A163" s="7"/>
      <c r="B163" s="7"/>
      <c r="C163" s="7"/>
      <c r="D163" s="105" t="s">
        <v>10</v>
      </c>
      <c r="E163" s="106"/>
      <c r="F163" s="7"/>
      <c r="G163" s="24">
        <v>4</v>
      </c>
    </row>
    <row r="164" spans="3:7" ht="38.25" customHeight="1">
      <c r="C164" s="55" t="s">
        <v>80</v>
      </c>
      <c r="D164" s="95" t="s">
        <v>297</v>
      </c>
      <c r="E164" s="96"/>
      <c r="F164" s="96"/>
      <c r="G164" s="96"/>
    </row>
    <row r="165" spans="1:8" ht="12.75">
      <c r="A165" s="7" t="s">
        <v>58</v>
      </c>
      <c r="B165" s="7"/>
      <c r="C165" s="7" t="s">
        <v>137</v>
      </c>
      <c r="D165" s="105" t="s">
        <v>298</v>
      </c>
      <c r="E165" s="106"/>
      <c r="F165" s="7" t="s">
        <v>340</v>
      </c>
      <c r="G165" s="24">
        <v>4</v>
      </c>
      <c r="H165" s="38" t="s">
        <v>360</v>
      </c>
    </row>
    <row r="166" spans="1:7" ht="12.75">
      <c r="A166" s="7"/>
      <c r="B166" s="7"/>
      <c r="C166" s="7"/>
      <c r="D166" s="105" t="s">
        <v>10</v>
      </c>
      <c r="E166" s="106"/>
      <c r="F166" s="7"/>
      <c r="G166" s="24">
        <v>4</v>
      </c>
    </row>
    <row r="167" spans="3:7" ht="38.25" customHeight="1">
      <c r="C167" s="55" t="s">
        <v>80</v>
      </c>
      <c r="D167" s="95" t="s">
        <v>297</v>
      </c>
      <c r="E167" s="96"/>
      <c r="F167" s="96"/>
      <c r="G167" s="96"/>
    </row>
    <row r="168" spans="1:8" ht="12.75">
      <c r="A168" s="7" t="s">
        <v>59</v>
      </c>
      <c r="B168" s="7"/>
      <c r="C168" s="7" t="s">
        <v>138</v>
      </c>
      <c r="D168" s="105" t="s">
        <v>299</v>
      </c>
      <c r="E168" s="106"/>
      <c r="F168" s="7" t="s">
        <v>340</v>
      </c>
      <c r="G168" s="24">
        <v>8</v>
      </c>
      <c r="H168" s="38" t="s">
        <v>360</v>
      </c>
    </row>
    <row r="169" spans="1:7" ht="12.75">
      <c r="A169" s="7"/>
      <c r="B169" s="7"/>
      <c r="C169" s="7"/>
      <c r="D169" s="105" t="s">
        <v>14</v>
      </c>
      <c r="E169" s="106"/>
      <c r="F169" s="7"/>
      <c r="G169" s="24">
        <v>8</v>
      </c>
    </row>
    <row r="170" spans="1:8" ht="12.75">
      <c r="A170" s="7" t="s">
        <v>60</v>
      </c>
      <c r="B170" s="7"/>
      <c r="C170" s="7" t="s">
        <v>139</v>
      </c>
      <c r="D170" s="105" t="s">
        <v>300</v>
      </c>
      <c r="E170" s="106"/>
      <c r="F170" s="7" t="s">
        <v>340</v>
      </c>
      <c r="G170" s="24">
        <v>2</v>
      </c>
      <c r="H170" s="38" t="s">
        <v>361</v>
      </c>
    </row>
    <row r="171" spans="1:7" ht="12.75">
      <c r="A171" s="7"/>
      <c r="B171" s="7"/>
      <c r="C171" s="7"/>
      <c r="D171" s="105" t="s">
        <v>8</v>
      </c>
      <c r="E171" s="106"/>
      <c r="F171" s="7"/>
      <c r="G171" s="24">
        <v>2</v>
      </c>
    </row>
    <row r="172" spans="1:8" ht="12.75">
      <c r="A172" s="7" t="s">
        <v>61</v>
      </c>
      <c r="B172" s="7"/>
      <c r="C172" s="7" t="s">
        <v>140</v>
      </c>
      <c r="D172" s="105" t="s">
        <v>301</v>
      </c>
      <c r="E172" s="106"/>
      <c r="F172" s="7" t="s">
        <v>340</v>
      </c>
      <c r="G172" s="24">
        <v>3</v>
      </c>
      <c r="H172" s="38" t="s">
        <v>361</v>
      </c>
    </row>
    <row r="173" spans="1:7" ht="12.75">
      <c r="A173" s="7"/>
      <c r="B173" s="7"/>
      <c r="C173" s="7"/>
      <c r="D173" s="105" t="s">
        <v>9</v>
      </c>
      <c r="E173" s="106"/>
      <c r="F173" s="7"/>
      <c r="G173" s="24">
        <v>3</v>
      </c>
    </row>
    <row r="174" spans="1:8" ht="12.75">
      <c r="A174" s="7" t="s">
        <v>62</v>
      </c>
      <c r="B174" s="7"/>
      <c r="C174" s="7" t="s">
        <v>141</v>
      </c>
      <c r="D174" s="105" t="s">
        <v>302</v>
      </c>
      <c r="E174" s="106"/>
      <c r="F174" s="7" t="s">
        <v>340</v>
      </c>
      <c r="G174" s="24">
        <v>3</v>
      </c>
      <c r="H174" s="38" t="s">
        <v>360</v>
      </c>
    </row>
    <row r="175" spans="1:7" ht="12.75">
      <c r="A175" s="7"/>
      <c r="B175" s="7"/>
      <c r="C175" s="7"/>
      <c r="D175" s="105" t="s">
        <v>9</v>
      </c>
      <c r="E175" s="106"/>
      <c r="F175" s="7"/>
      <c r="G175" s="24">
        <v>3</v>
      </c>
    </row>
    <row r="176" spans="3:7" ht="12.75" customHeight="1">
      <c r="C176" s="55" t="s">
        <v>80</v>
      </c>
      <c r="D176" s="95" t="s">
        <v>303</v>
      </c>
      <c r="E176" s="96"/>
      <c r="F176" s="96"/>
      <c r="G176" s="96"/>
    </row>
    <row r="177" spans="1:8" ht="12.75">
      <c r="A177" s="7" t="s">
        <v>63</v>
      </c>
      <c r="B177" s="7"/>
      <c r="C177" s="7" t="s">
        <v>142</v>
      </c>
      <c r="D177" s="105" t="s">
        <v>304</v>
      </c>
      <c r="E177" s="106"/>
      <c r="F177" s="7" t="s">
        <v>340</v>
      </c>
      <c r="G177" s="24">
        <v>1</v>
      </c>
      <c r="H177" s="38" t="s">
        <v>360</v>
      </c>
    </row>
    <row r="178" spans="1:7" ht="12.75">
      <c r="A178" s="7"/>
      <c r="B178" s="7"/>
      <c r="C178" s="7"/>
      <c r="D178" s="105" t="s">
        <v>7</v>
      </c>
      <c r="E178" s="106"/>
      <c r="F178" s="7"/>
      <c r="G178" s="24">
        <v>1</v>
      </c>
    </row>
    <row r="179" spans="3:7" ht="12.75" customHeight="1">
      <c r="C179" s="55" t="s">
        <v>80</v>
      </c>
      <c r="D179" s="95" t="s">
        <v>305</v>
      </c>
      <c r="E179" s="96"/>
      <c r="F179" s="96"/>
      <c r="G179" s="96"/>
    </row>
    <row r="180" spans="1:8" ht="12.75">
      <c r="A180" s="7" t="s">
        <v>64</v>
      </c>
      <c r="B180" s="7"/>
      <c r="C180" s="7" t="s">
        <v>143</v>
      </c>
      <c r="D180" s="105" t="s">
        <v>306</v>
      </c>
      <c r="E180" s="106"/>
      <c r="F180" s="7" t="s">
        <v>340</v>
      </c>
      <c r="G180" s="24">
        <v>1</v>
      </c>
      <c r="H180" s="38" t="s">
        <v>360</v>
      </c>
    </row>
    <row r="181" spans="1:7" ht="12.75">
      <c r="A181" s="7"/>
      <c r="B181" s="7"/>
      <c r="C181" s="7"/>
      <c r="D181" s="105" t="s">
        <v>7</v>
      </c>
      <c r="E181" s="106"/>
      <c r="F181" s="7"/>
      <c r="G181" s="24">
        <v>1</v>
      </c>
    </row>
    <row r="182" spans="1:8" ht="12.75">
      <c r="A182" s="7" t="s">
        <v>65</v>
      </c>
      <c r="B182" s="7"/>
      <c r="C182" s="7" t="s">
        <v>144</v>
      </c>
      <c r="D182" s="105" t="s">
        <v>307</v>
      </c>
      <c r="E182" s="106"/>
      <c r="F182" s="7" t="s">
        <v>340</v>
      </c>
      <c r="G182" s="24">
        <v>2</v>
      </c>
      <c r="H182" s="38" t="s">
        <v>360</v>
      </c>
    </row>
    <row r="183" spans="1:7" ht="12.75">
      <c r="A183" s="7"/>
      <c r="B183" s="7"/>
      <c r="C183" s="7"/>
      <c r="D183" s="105" t="s">
        <v>8</v>
      </c>
      <c r="E183" s="106"/>
      <c r="F183" s="7"/>
      <c r="G183" s="24">
        <v>2</v>
      </c>
    </row>
    <row r="184" spans="1:8" ht="12.75">
      <c r="A184" s="7" t="s">
        <v>66</v>
      </c>
      <c r="B184" s="7"/>
      <c r="C184" s="7" t="s">
        <v>145</v>
      </c>
      <c r="D184" s="105" t="s">
        <v>308</v>
      </c>
      <c r="E184" s="106"/>
      <c r="F184" s="7" t="s">
        <v>340</v>
      </c>
      <c r="G184" s="24">
        <v>1</v>
      </c>
      <c r="H184" s="38" t="s">
        <v>360</v>
      </c>
    </row>
    <row r="185" spans="1:7" ht="12.75">
      <c r="A185" s="7"/>
      <c r="B185" s="7"/>
      <c r="C185" s="7"/>
      <c r="D185" s="105" t="s">
        <v>7</v>
      </c>
      <c r="E185" s="106"/>
      <c r="F185" s="7"/>
      <c r="G185" s="24">
        <v>1</v>
      </c>
    </row>
    <row r="186" spans="3:7" ht="76.5" customHeight="1">
      <c r="C186" s="55" t="s">
        <v>80</v>
      </c>
      <c r="D186" s="95" t="s">
        <v>407</v>
      </c>
      <c r="E186" s="96"/>
      <c r="F186" s="96"/>
      <c r="G186" s="96"/>
    </row>
    <row r="187" spans="4:7" ht="38.25" customHeight="1">
      <c r="D187" s="95" t="s">
        <v>408</v>
      </c>
      <c r="E187" s="96"/>
      <c r="F187" s="96"/>
      <c r="G187" s="96"/>
    </row>
    <row r="188" spans="1:8" ht="12.75">
      <c r="A188" s="7" t="s">
        <v>67</v>
      </c>
      <c r="B188" s="7"/>
      <c r="C188" s="7" t="s">
        <v>146</v>
      </c>
      <c r="D188" s="105" t="s">
        <v>311</v>
      </c>
      <c r="E188" s="106"/>
      <c r="F188" s="7" t="s">
        <v>340</v>
      </c>
      <c r="G188" s="24">
        <v>1</v>
      </c>
      <c r="H188" s="38" t="s">
        <v>360</v>
      </c>
    </row>
    <row r="189" spans="1:7" ht="12.75">
      <c r="A189" s="7"/>
      <c r="B189" s="7"/>
      <c r="C189" s="7"/>
      <c r="D189" s="105" t="s">
        <v>7</v>
      </c>
      <c r="E189" s="106"/>
      <c r="F189" s="7"/>
      <c r="G189" s="24">
        <v>1</v>
      </c>
    </row>
    <row r="190" spans="3:7" ht="76.5" customHeight="1">
      <c r="C190" s="55" t="s">
        <v>80</v>
      </c>
      <c r="D190" s="95" t="s">
        <v>409</v>
      </c>
      <c r="E190" s="96"/>
      <c r="F190" s="96"/>
      <c r="G190" s="96"/>
    </row>
    <row r="191" spans="4:7" ht="63.75" customHeight="1">
      <c r="D191" s="95" t="s">
        <v>410</v>
      </c>
      <c r="E191" s="96"/>
      <c r="F191" s="96"/>
      <c r="G191" s="96"/>
    </row>
    <row r="192" spans="1:8" ht="12.75">
      <c r="A192" s="7" t="s">
        <v>68</v>
      </c>
      <c r="B192" s="7"/>
      <c r="C192" s="7" t="s">
        <v>147</v>
      </c>
      <c r="D192" s="105" t="s">
        <v>314</v>
      </c>
      <c r="E192" s="106"/>
      <c r="F192" s="7" t="s">
        <v>340</v>
      </c>
      <c r="G192" s="24">
        <v>2</v>
      </c>
      <c r="H192" s="38" t="s">
        <v>360</v>
      </c>
    </row>
    <row r="193" spans="1:7" ht="12.75">
      <c r="A193" s="7"/>
      <c r="B193" s="7"/>
      <c r="C193" s="7"/>
      <c r="D193" s="105" t="s">
        <v>8</v>
      </c>
      <c r="E193" s="106"/>
      <c r="F193" s="7"/>
      <c r="G193" s="24">
        <v>2</v>
      </c>
    </row>
    <row r="194" spans="3:7" ht="76.5" customHeight="1">
      <c r="C194" s="55" t="s">
        <v>80</v>
      </c>
      <c r="D194" s="95" t="s">
        <v>411</v>
      </c>
      <c r="E194" s="96"/>
      <c r="F194" s="96"/>
      <c r="G194" s="96"/>
    </row>
    <row r="195" spans="4:7" ht="63.75" customHeight="1">
      <c r="D195" s="95" t="s">
        <v>412</v>
      </c>
      <c r="E195" s="96"/>
      <c r="F195" s="96"/>
      <c r="G195" s="96"/>
    </row>
    <row r="196" spans="4:7" ht="38.25" customHeight="1">
      <c r="D196" s="95" t="s">
        <v>413</v>
      </c>
      <c r="E196" s="96"/>
      <c r="F196" s="96"/>
      <c r="G196" s="96"/>
    </row>
    <row r="197" spans="4:7" ht="12.75">
      <c r="D197" s="95" t="s">
        <v>414</v>
      </c>
      <c r="E197" s="96"/>
      <c r="F197" s="96"/>
      <c r="G197" s="96"/>
    </row>
    <row r="198" spans="1:8" ht="12.75">
      <c r="A198" s="7" t="s">
        <v>69</v>
      </c>
      <c r="B198" s="7"/>
      <c r="C198" s="7" t="s">
        <v>148</v>
      </c>
      <c r="D198" s="105" t="s">
        <v>319</v>
      </c>
      <c r="E198" s="106"/>
      <c r="F198" s="7" t="s">
        <v>340</v>
      </c>
      <c r="G198" s="24">
        <v>1</v>
      </c>
      <c r="H198" s="38" t="s">
        <v>360</v>
      </c>
    </row>
    <row r="199" spans="1:7" ht="12.75">
      <c r="A199" s="7"/>
      <c r="B199" s="7"/>
      <c r="C199" s="7"/>
      <c r="D199" s="105" t="s">
        <v>7</v>
      </c>
      <c r="E199" s="106"/>
      <c r="F199" s="7"/>
      <c r="G199" s="24">
        <v>1</v>
      </c>
    </row>
    <row r="200" spans="3:7" ht="12.75" customHeight="1">
      <c r="C200" s="55" t="s">
        <v>80</v>
      </c>
      <c r="D200" s="95" t="s">
        <v>320</v>
      </c>
      <c r="E200" s="96"/>
      <c r="F200" s="96"/>
      <c r="G200" s="96"/>
    </row>
    <row r="201" spans="1:8" ht="12.75">
      <c r="A201" s="7" t="s">
        <v>70</v>
      </c>
      <c r="B201" s="7"/>
      <c r="C201" s="7" t="s">
        <v>149</v>
      </c>
      <c r="D201" s="105" t="s">
        <v>321</v>
      </c>
      <c r="E201" s="106"/>
      <c r="F201" s="7" t="s">
        <v>340</v>
      </c>
      <c r="G201" s="24">
        <v>1</v>
      </c>
      <c r="H201" s="38" t="s">
        <v>360</v>
      </c>
    </row>
    <row r="202" spans="1:7" ht="12.75">
      <c r="A202" s="7"/>
      <c r="B202" s="7"/>
      <c r="C202" s="7"/>
      <c r="D202" s="105" t="s">
        <v>7</v>
      </c>
      <c r="E202" s="106"/>
      <c r="F202" s="7"/>
      <c r="G202" s="24">
        <v>1</v>
      </c>
    </row>
    <row r="203" spans="3:7" ht="12.75" customHeight="1">
      <c r="C203" s="55" t="s">
        <v>80</v>
      </c>
      <c r="D203" s="95" t="s">
        <v>320</v>
      </c>
      <c r="E203" s="96"/>
      <c r="F203" s="96"/>
      <c r="G203" s="96"/>
    </row>
    <row r="204" spans="1:8" ht="12.75">
      <c r="A204" s="7" t="s">
        <v>71</v>
      </c>
      <c r="B204" s="7"/>
      <c r="C204" s="7" t="s">
        <v>150</v>
      </c>
      <c r="D204" s="105" t="s">
        <v>322</v>
      </c>
      <c r="E204" s="106"/>
      <c r="F204" s="7" t="s">
        <v>340</v>
      </c>
      <c r="G204" s="24">
        <v>2</v>
      </c>
      <c r="H204" s="38" t="s">
        <v>360</v>
      </c>
    </row>
    <row r="205" spans="1:7" ht="12.75">
      <c r="A205" s="7"/>
      <c r="B205" s="7"/>
      <c r="C205" s="7"/>
      <c r="D205" s="105" t="s">
        <v>8</v>
      </c>
      <c r="E205" s="106"/>
      <c r="F205" s="7"/>
      <c r="G205" s="24">
        <v>2</v>
      </c>
    </row>
    <row r="206" spans="3:7" ht="12.75" customHeight="1">
      <c r="C206" s="55" t="s">
        <v>80</v>
      </c>
      <c r="D206" s="95" t="s">
        <v>323</v>
      </c>
      <c r="E206" s="96"/>
      <c r="F206" s="96"/>
      <c r="G206" s="96"/>
    </row>
    <row r="207" spans="1:8" ht="12.75">
      <c r="A207" s="7" t="s">
        <v>72</v>
      </c>
      <c r="B207" s="7"/>
      <c r="C207" s="7" t="s">
        <v>151</v>
      </c>
      <c r="D207" s="105" t="s">
        <v>324</v>
      </c>
      <c r="E207" s="106"/>
      <c r="F207" s="7" t="s">
        <v>340</v>
      </c>
      <c r="G207" s="24">
        <v>1</v>
      </c>
      <c r="H207" s="38" t="s">
        <v>360</v>
      </c>
    </row>
    <row r="208" spans="1:7" ht="12.75">
      <c r="A208" s="7"/>
      <c r="B208" s="7"/>
      <c r="C208" s="7"/>
      <c r="D208" s="105" t="s">
        <v>7</v>
      </c>
      <c r="E208" s="106"/>
      <c r="F208" s="7"/>
      <c r="G208" s="24">
        <v>1</v>
      </c>
    </row>
    <row r="209" spans="3:7" ht="12.75" customHeight="1">
      <c r="C209" s="55" t="s">
        <v>80</v>
      </c>
      <c r="D209" s="95" t="s">
        <v>323</v>
      </c>
      <c r="E209" s="96"/>
      <c r="F209" s="96"/>
      <c r="G209" s="96"/>
    </row>
    <row r="210" spans="1:8" ht="12.75">
      <c r="A210" s="7" t="s">
        <v>73</v>
      </c>
      <c r="B210" s="7"/>
      <c r="C210" s="7" t="s">
        <v>152</v>
      </c>
      <c r="D210" s="105" t="s">
        <v>325</v>
      </c>
      <c r="E210" s="106"/>
      <c r="F210" s="7" t="s">
        <v>340</v>
      </c>
      <c r="G210" s="24">
        <v>1</v>
      </c>
      <c r="H210" s="38" t="s">
        <v>360</v>
      </c>
    </row>
    <row r="211" spans="1:7" ht="12.75">
      <c r="A211" s="7"/>
      <c r="B211" s="7"/>
      <c r="C211" s="7"/>
      <c r="D211" s="105" t="s">
        <v>7</v>
      </c>
      <c r="E211" s="106"/>
      <c r="F211" s="7"/>
      <c r="G211" s="24">
        <v>1</v>
      </c>
    </row>
    <row r="212" spans="3:7" ht="12.75" customHeight="1">
      <c r="C212" s="55" t="s">
        <v>80</v>
      </c>
      <c r="D212" s="95" t="s">
        <v>323</v>
      </c>
      <c r="E212" s="96"/>
      <c r="F212" s="96"/>
      <c r="G212" s="96"/>
    </row>
    <row r="213" spans="1:8" ht="12.75">
      <c r="A213" s="7" t="s">
        <v>74</v>
      </c>
      <c r="B213" s="7"/>
      <c r="C213" s="7" t="s">
        <v>153</v>
      </c>
      <c r="D213" s="105" t="s">
        <v>326</v>
      </c>
      <c r="E213" s="106"/>
      <c r="F213" s="7" t="s">
        <v>340</v>
      </c>
      <c r="G213" s="24">
        <v>4</v>
      </c>
      <c r="H213" s="38" t="s">
        <v>360</v>
      </c>
    </row>
    <row r="214" spans="1:7" ht="12.75">
      <c r="A214" s="7"/>
      <c r="B214" s="7"/>
      <c r="C214" s="7"/>
      <c r="D214" s="105" t="s">
        <v>10</v>
      </c>
      <c r="E214" s="106"/>
      <c r="F214" s="7"/>
      <c r="G214" s="24">
        <v>4</v>
      </c>
    </row>
    <row r="215" spans="3:7" ht="12.75" customHeight="1">
      <c r="C215" s="55" t="s">
        <v>80</v>
      </c>
      <c r="D215" s="95" t="s">
        <v>327</v>
      </c>
      <c r="E215" s="96"/>
      <c r="F215" s="96"/>
      <c r="G215" s="96"/>
    </row>
    <row r="216" spans="1:8" ht="12.75">
      <c r="A216" s="7" t="s">
        <v>75</v>
      </c>
      <c r="B216" s="7"/>
      <c r="C216" s="7" t="s">
        <v>154</v>
      </c>
      <c r="D216" s="105" t="s">
        <v>328</v>
      </c>
      <c r="E216" s="106"/>
      <c r="F216" s="7" t="s">
        <v>339</v>
      </c>
      <c r="G216" s="24">
        <v>86.64</v>
      </c>
      <c r="H216" s="38" t="s">
        <v>360</v>
      </c>
    </row>
    <row r="217" spans="1:7" ht="12.75">
      <c r="A217" s="7"/>
      <c r="B217" s="7"/>
      <c r="C217" s="7"/>
      <c r="D217" s="105" t="s">
        <v>329</v>
      </c>
      <c r="E217" s="106"/>
      <c r="F217" s="7"/>
      <c r="G217" s="24">
        <v>86.64</v>
      </c>
    </row>
    <row r="219" ht="11.25" customHeight="1">
      <c r="A219" s="10" t="s">
        <v>76</v>
      </c>
    </row>
    <row r="220" spans="1:7" ht="12.75">
      <c r="A220" s="87"/>
      <c r="B220" s="79"/>
      <c r="C220" s="79"/>
      <c r="D220" s="79"/>
      <c r="E220" s="79"/>
      <c r="F220" s="79"/>
      <c r="G220" s="79"/>
    </row>
  </sheetData>
  <sheetProtection/>
  <mergeCells count="221">
    <mergeCell ref="D213:E213"/>
    <mergeCell ref="D214:E214"/>
    <mergeCell ref="D215:G215"/>
    <mergeCell ref="D216:E216"/>
    <mergeCell ref="D217:E217"/>
    <mergeCell ref="A220:G220"/>
    <mergeCell ref="D207:E207"/>
    <mergeCell ref="D208:E208"/>
    <mergeCell ref="D209:G209"/>
    <mergeCell ref="D210:E210"/>
    <mergeCell ref="D211:E211"/>
    <mergeCell ref="D212:G212"/>
    <mergeCell ref="D201:E201"/>
    <mergeCell ref="D202:E202"/>
    <mergeCell ref="D203:G203"/>
    <mergeCell ref="D204:E204"/>
    <mergeCell ref="D205:E205"/>
    <mergeCell ref="D206:G206"/>
    <mergeCell ref="D195:G195"/>
    <mergeCell ref="D196:G196"/>
    <mergeCell ref="D197:G197"/>
    <mergeCell ref="D198:E198"/>
    <mergeCell ref="D199:E199"/>
    <mergeCell ref="D200:G200"/>
    <mergeCell ref="D189:E189"/>
    <mergeCell ref="D190:G190"/>
    <mergeCell ref="D191:G191"/>
    <mergeCell ref="D192:E192"/>
    <mergeCell ref="D193:E193"/>
    <mergeCell ref="D194:G194"/>
    <mergeCell ref="D183:E183"/>
    <mergeCell ref="D184:E184"/>
    <mergeCell ref="D185:E185"/>
    <mergeCell ref="D186:G186"/>
    <mergeCell ref="D187:G187"/>
    <mergeCell ref="D188:E188"/>
    <mergeCell ref="D177:E177"/>
    <mergeCell ref="D178:E178"/>
    <mergeCell ref="D179:G179"/>
    <mergeCell ref="D180:E180"/>
    <mergeCell ref="D181:E181"/>
    <mergeCell ref="D182:E182"/>
    <mergeCell ref="D171:E171"/>
    <mergeCell ref="D172:E172"/>
    <mergeCell ref="D173:E173"/>
    <mergeCell ref="D174:E174"/>
    <mergeCell ref="D175:E175"/>
    <mergeCell ref="D176:G176"/>
    <mergeCell ref="D165:E165"/>
    <mergeCell ref="D166:E166"/>
    <mergeCell ref="D167:G167"/>
    <mergeCell ref="D168:E168"/>
    <mergeCell ref="D169:E169"/>
    <mergeCell ref="D170:E170"/>
    <mergeCell ref="D159:E159"/>
    <mergeCell ref="D160:E160"/>
    <mergeCell ref="D161:G161"/>
    <mergeCell ref="D162:E162"/>
    <mergeCell ref="D163:E163"/>
    <mergeCell ref="D164:G164"/>
    <mergeCell ref="D153:G153"/>
    <mergeCell ref="D154:E154"/>
    <mergeCell ref="D155:E155"/>
    <mergeCell ref="D156:E156"/>
    <mergeCell ref="D157:E157"/>
    <mergeCell ref="D158:E158"/>
    <mergeCell ref="D147:E147"/>
    <mergeCell ref="D148:G148"/>
    <mergeCell ref="D149:E149"/>
    <mergeCell ref="D150:E150"/>
    <mergeCell ref="D151:E151"/>
    <mergeCell ref="D152:E152"/>
    <mergeCell ref="D141:E141"/>
    <mergeCell ref="D142:E142"/>
    <mergeCell ref="D143:G143"/>
    <mergeCell ref="D144:E144"/>
    <mergeCell ref="D145:E145"/>
    <mergeCell ref="D146:E146"/>
    <mergeCell ref="D135:E135"/>
    <mergeCell ref="D136:E136"/>
    <mergeCell ref="D137:E137"/>
    <mergeCell ref="D138:E138"/>
    <mergeCell ref="D139:G139"/>
    <mergeCell ref="D140:G140"/>
    <mergeCell ref="D129:G129"/>
    <mergeCell ref="D130:E130"/>
    <mergeCell ref="D131:E131"/>
    <mergeCell ref="D132:G132"/>
    <mergeCell ref="D133:E133"/>
    <mergeCell ref="D134:E134"/>
    <mergeCell ref="D123:G123"/>
    <mergeCell ref="D124:E124"/>
    <mergeCell ref="D125:E125"/>
    <mergeCell ref="D126:G126"/>
    <mergeCell ref="D127:E127"/>
    <mergeCell ref="D128:E128"/>
    <mergeCell ref="D117:G117"/>
    <mergeCell ref="D118:E118"/>
    <mergeCell ref="D119:E119"/>
    <mergeCell ref="D120:G120"/>
    <mergeCell ref="D121:E121"/>
    <mergeCell ref="D122:E122"/>
    <mergeCell ref="D111:G111"/>
    <mergeCell ref="D112:E112"/>
    <mergeCell ref="D113:E113"/>
    <mergeCell ref="D114:G114"/>
    <mergeCell ref="D115:E115"/>
    <mergeCell ref="D116:E116"/>
    <mergeCell ref="D105:G105"/>
    <mergeCell ref="D106:E106"/>
    <mergeCell ref="D107:E107"/>
    <mergeCell ref="D108:G108"/>
    <mergeCell ref="D109:E109"/>
    <mergeCell ref="D110:E110"/>
    <mergeCell ref="D99:G99"/>
    <mergeCell ref="D100:E100"/>
    <mergeCell ref="D101:E101"/>
    <mergeCell ref="D102:G102"/>
    <mergeCell ref="D103:E103"/>
    <mergeCell ref="D104:E104"/>
    <mergeCell ref="D93:G93"/>
    <mergeCell ref="D94:E94"/>
    <mergeCell ref="D95:E95"/>
    <mergeCell ref="D96:G96"/>
    <mergeCell ref="D97:E97"/>
    <mergeCell ref="D98:E98"/>
    <mergeCell ref="D87:G87"/>
    <mergeCell ref="D88:E88"/>
    <mergeCell ref="D89:E89"/>
    <mergeCell ref="D90:G90"/>
    <mergeCell ref="D91:E91"/>
    <mergeCell ref="D92:E92"/>
    <mergeCell ref="D81:E81"/>
    <mergeCell ref="D82:E82"/>
    <mergeCell ref="D83:E83"/>
    <mergeCell ref="D84:G84"/>
    <mergeCell ref="D85:E85"/>
    <mergeCell ref="D86:E86"/>
    <mergeCell ref="D74:E74"/>
    <mergeCell ref="D75:G75"/>
    <mergeCell ref="D76:E76"/>
    <mergeCell ref="D78:E78"/>
    <mergeCell ref="D79:G79"/>
    <mergeCell ref="D80:E80"/>
    <mergeCell ref="D67:E67"/>
    <mergeCell ref="D68:E68"/>
    <mergeCell ref="D69:E69"/>
    <mergeCell ref="D70:E70"/>
    <mergeCell ref="D71:E71"/>
    <mergeCell ref="D72:E72"/>
    <mergeCell ref="D60:E60"/>
    <mergeCell ref="D61:G61"/>
    <mergeCell ref="D62:E62"/>
    <mergeCell ref="D64:E64"/>
    <mergeCell ref="D65:G65"/>
    <mergeCell ref="D66:E66"/>
    <mergeCell ref="D53:E53"/>
    <mergeCell ref="D54:E54"/>
    <mergeCell ref="D55:E55"/>
    <mergeCell ref="D57:E57"/>
    <mergeCell ref="D58:G58"/>
    <mergeCell ref="D59:E59"/>
    <mergeCell ref="D47:E47"/>
    <mergeCell ref="D48:E48"/>
    <mergeCell ref="D49:E49"/>
    <mergeCell ref="D50:E50"/>
    <mergeCell ref="D51:E51"/>
    <mergeCell ref="D52:G52"/>
    <mergeCell ref="D41:E41"/>
    <mergeCell ref="D42:G42"/>
    <mergeCell ref="D43:E43"/>
    <mergeCell ref="D44:E44"/>
    <mergeCell ref="D45:G45"/>
    <mergeCell ref="D46:E46"/>
    <mergeCell ref="D35:G35"/>
    <mergeCell ref="D36:E36"/>
    <mergeCell ref="D37:E37"/>
    <mergeCell ref="D38:E38"/>
    <mergeCell ref="D39:E39"/>
    <mergeCell ref="D40:E40"/>
    <mergeCell ref="D29:G29"/>
    <mergeCell ref="D30:E30"/>
    <mergeCell ref="D31:E31"/>
    <mergeCell ref="D32:E32"/>
    <mergeCell ref="D33:E33"/>
    <mergeCell ref="D34:E34"/>
    <mergeCell ref="D23:G23"/>
    <mergeCell ref="D24:E24"/>
    <mergeCell ref="D25:E25"/>
    <mergeCell ref="D26:G26"/>
    <mergeCell ref="D27:E27"/>
    <mergeCell ref="D28:E28"/>
    <mergeCell ref="D17:E17"/>
    <mergeCell ref="D18:E18"/>
    <mergeCell ref="D19:E19"/>
    <mergeCell ref="D20:E20"/>
    <mergeCell ref="D21:E21"/>
    <mergeCell ref="D22:E22"/>
    <mergeCell ref="D10:E10"/>
    <mergeCell ref="D11:E11"/>
    <mergeCell ref="D12:E12"/>
    <mergeCell ref="D13:G13"/>
    <mergeCell ref="D14:E14"/>
    <mergeCell ref="D16:E16"/>
    <mergeCell ref="A6:B7"/>
    <mergeCell ref="C6:D7"/>
    <mergeCell ref="E6:E7"/>
    <mergeCell ref="F6:H7"/>
    <mergeCell ref="A8:B9"/>
    <mergeCell ref="C8:D9"/>
    <mergeCell ref="E8:E9"/>
    <mergeCell ref="F8:H9"/>
    <mergeCell ref="A1:H1"/>
    <mergeCell ref="A2:B3"/>
    <mergeCell ref="C2:D3"/>
    <mergeCell ref="E2:E3"/>
    <mergeCell ref="F2:H3"/>
    <mergeCell ref="A4:B5"/>
    <mergeCell ref="C4:D5"/>
    <mergeCell ref="E4:E5"/>
    <mergeCell ref="F4:H5"/>
  </mergeCells>
  <printOptions/>
  <pageMargins left="0.394" right="0.394" top="0.591" bottom="0.591" header="0.5" footer="0.5"/>
  <pageSetup fitToHeight="0" fitToWidth="1" horizontalDpi="600" verticalDpi="600" orientation="landscape"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11.57421875" defaultRowHeight="12.75"/>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2.8515625" style="0" customWidth="1"/>
    <col min="9" max="9" width="22.8515625" style="0" customWidth="1"/>
  </cols>
  <sheetData>
    <row r="1" spans="1:9" ht="72.75" customHeight="1">
      <c r="A1" s="73"/>
      <c r="B1" s="8"/>
      <c r="C1" s="107" t="s">
        <v>430</v>
      </c>
      <c r="D1" s="108"/>
      <c r="E1" s="108"/>
      <c r="F1" s="108"/>
      <c r="G1" s="108"/>
      <c r="H1" s="108"/>
      <c r="I1" s="108"/>
    </row>
    <row r="2" spans="1:10" ht="12.75">
      <c r="A2" s="76" t="s">
        <v>1</v>
      </c>
      <c r="B2" s="77"/>
      <c r="C2" s="80" t="str">
        <f>'Stavební rozpočet'!D2</f>
        <v>III/1051 Psáry, most ev.č.1051-1</v>
      </c>
      <c r="D2" s="98"/>
      <c r="E2" s="83" t="s">
        <v>349</v>
      </c>
      <c r="F2" s="83" t="str">
        <f>'Stavební rozpočet'!J2</f>
        <v>KSÚS Středočeského kraje</v>
      </c>
      <c r="G2" s="77"/>
      <c r="H2" s="83" t="s">
        <v>455</v>
      </c>
      <c r="I2" s="109"/>
      <c r="J2" s="1"/>
    </row>
    <row r="3" spans="1:10" ht="12.75">
      <c r="A3" s="78"/>
      <c r="B3" s="79"/>
      <c r="C3" s="81"/>
      <c r="D3" s="81"/>
      <c r="E3" s="79"/>
      <c r="F3" s="79"/>
      <c r="G3" s="79"/>
      <c r="H3" s="79"/>
      <c r="I3" s="85"/>
      <c r="J3" s="1"/>
    </row>
    <row r="4" spans="1:10" ht="12.75">
      <c r="A4" s="86" t="s">
        <v>2</v>
      </c>
      <c r="B4" s="79"/>
      <c r="C4" s="87" t="str">
        <f>'Stavební rozpočet'!D4</f>
        <v>SO301 - přeložka vodovodu</v>
      </c>
      <c r="D4" s="79"/>
      <c r="E4" s="87" t="s">
        <v>350</v>
      </c>
      <c r="F4" s="87" t="str">
        <f>'Stavební rozpočet'!J4</f>
        <v>ing.Machovec</v>
      </c>
      <c r="G4" s="79"/>
      <c r="H4" s="87" t="s">
        <v>455</v>
      </c>
      <c r="I4" s="110"/>
      <c r="J4" s="1"/>
    </row>
    <row r="5" spans="1:10" ht="12.75">
      <c r="A5" s="78"/>
      <c r="B5" s="79"/>
      <c r="C5" s="79"/>
      <c r="D5" s="79"/>
      <c r="E5" s="79"/>
      <c r="F5" s="79"/>
      <c r="G5" s="79"/>
      <c r="H5" s="79"/>
      <c r="I5" s="85"/>
      <c r="J5" s="1"/>
    </row>
    <row r="6" spans="1:10" ht="12.75">
      <c r="A6" s="86" t="s">
        <v>3</v>
      </c>
      <c r="B6" s="79"/>
      <c r="C6" s="87" t="str">
        <f>'Stavební rozpočet'!D6</f>
        <v>k.ú. Psáry</v>
      </c>
      <c r="D6" s="79"/>
      <c r="E6" s="87" t="s">
        <v>351</v>
      </c>
      <c r="F6" s="87" t="str">
        <f>'Stavební rozpočet'!J6</f>
        <v> </v>
      </c>
      <c r="G6" s="79"/>
      <c r="H6" s="87" t="s">
        <v>455</v>
      </c>
      <c r="I6" s="110"/>
      <c r="J6" s="1"/>
    </row>
    <row r="7" spans="1:10" ht="12.75">
      <c r="A7" s="78"/>
      <c r="B7" s="79"/>
      <c r="C7" s="79"/>
      <c r="D7" s="79"/>
      <c r="E7" s="79"/>
      <c r="F7" s="79"/>
      <c r="G7" s="79"/>
      <c r="H7" s="79"/>
      <c r="I7" s="85"/>
      <c r="J7" s="1"/>
    </row>
    <row r="8" spans="1:10" ht="12.75">
      <c r="A8" s="86" t="s">
        <v>331</v>
      </c>
      <c r="B8" s="79"/>
      <c r="C8" s="87" t="str">
        <f>'Stavební rozpočet'!G4</f>
        <v> </v>
      </c>
      <c r="D8" s="79"/>
      <c r="E8" s="87" t="s">
        <v>332</v>
      </c>
      <c r="F8" s="87" t="str">
        <f>'Stavební rozpočet'!G6</f>
        <v> </v>
      </c>
      <c r="G8" s="79"/>
      <c r="H8" s="88" t="s">
        <v>456</v>
      </c>
      <c r="I8" s="110" t="s">
        <v>75</v>
      </c>
      <c r="J8" s="1"/>
    </row>
    <row r="9" spans="1:10" ht="12.75">
      <c r="A9" s="78"/>
      <c r="B9" s="79"/>
      <c r="C9" s="79"/>
      <c r="D9" s="79"/>
      <c r="E9" s="79"/>
      <c r="F9" s="79"/>
      <c r="G9" s="79"/>
      <c r="H9" s="79"/>
      <c r="I9" s="85"/>
      <c r="J9" s="1"/>
    </row>
    <row r="10" spans="1:10" ht="12.75">
      <c r="A10" s="86" t="s">
        <v>4</v>
      </c>
      <c r="B10" s="79"/>
      <c r="C10" s="87" t="str">
        <f>'Stavební rozpočet'!D8</f>
        <v> </v>
      </c>
      <c r="D10" s="79"/>
      <c r="E10" s="87" t="s">
        <v>352</v>
      </c>
      <c r="F10" s="87" t="str">
        <f>'Stavební rozpočet'!J8</f>
        <v>ing.Machovec</v>
      </c>
      <c r="G10" s="79"/>
      <c r="H10" s="88" t="s">
        <v>457</v>
      </c>
      <c r="I10" s="113" t="str">
        <f>'Stavební rozpočet'!G8</f>
        <v>19.03.2018</v>
      </c>
      <c r="J10" s="1"/>
    </row>
    <row r="11" spans="1:10" ht="12.75">
      <c r="A11" s="111"/>
      <c r="B11" s="112"/>
      <c r="C11" s="112"/>
      <c r="D11" s="112"/>
      <c r="E11" s="112"/>
      <c r="F11" s="112"/>
      <c r="G11" s="112"/>
      <c r="H11" s="112"/>
      <c r="I11" s="114"/>
      <c r="J11" s="1"/>
    </row>
    <row r="12" spans="1:9" ht="23.25" customHeight="1">
      <c r="A12" s="115" t="s">
        <v>416</v>
      </c>
      <c r="B12" s="116"/>
      <c r="C12" s="116"/>
      <c r="D12" s="116"/>
      <c r="E12" s="116"/>
      <c r="F12" s="116"/>
      <c r="G12" s="116"/>
      <c r="H12" s="116"/>
      <c r="I12" s="116"/>
    </row>
    <row r="13" spans="1:10" ht="26.25" customHeight="1">
      <c r="A13" s="60" t="s">
        <v>417</v>
      </c>
      <c r="B13" s="117" t="s">
        <v>428</v>
      </c>
      <c r="C13" s="118"/>
      <c r="D13" s="60" t="s">
        <v>431</v>
      </c>
      <c r="E13" s="117" t="s">
        <v>440</v>
      </c>
      <c r="F13" s="118"/>
      <c r="G13" s="60" t="s">
        <v>441</v>
      </c>
      <c r="H13" s="117" t="s">
        <v>458</v>
      </c>
      <c r="I13" s="118"/>
      <c r="J13" s="1"/>
    </row>
    <row r="14" spans="1:10" ht="15" customHeight="1">
      <c r="A14" s="61" t="s">
        <v>418</v>
      </c>
      <c r="B14" s="65" t="s">
        <v>429</v>
      </c>
      <c r="C14" s="67">
        <f>SUM('Stavební rozpočet'!R12:R236)</f>
        <v>0</v>
      </c>
      <c r="D14" s="119" t="s">
        <v>432</v>
      </c>
      <c r="E14" s="120"/>
      <c r="F14" s="67">
        <v>0</v>
      </c>
      <c r="G14" s="119" t="s">
        <v>442</v>
      </c>
      <c r="H14" s="120"/>
      <c r="I14" s="67">
        <v>0</v>
      </c>
      <c r="J14" s="1"/>
    </row>
    <row r="15" spans="1:10" ht="15" customHeight="1">
      <c r="A15" s="62"/>
      <c r="B15" s="65" t="s">
        <v>353</v>
      </c>
      <c r="C15" s="67">
        <f>SUM('Stavební rozpočet'!S12:S236)</f>
        <v>0</v>
      </c>
      <c r="D15" s="119" t="s">
        <v>433</v>
      </c>
      <c r="E15" s="120"/>
      <c r="F15" s="67">
        <v>0</v>
      </c>
      <c r="G15" s="119" t="s">
        <v>443</v>
      </c>
      <c r="H15" s="120"/>
      <c r="I15" s="67">
        <v>0</v>
      </c>
      <c r="J15" s="1"/>
    </row>
    <row r="16" spans="1:10" ht="15" customHeight="1">
      <c r="A16" s="61" t="s">
        <v>419</v>
      </c>
      <c r="B16" s="65" t="s">
        <v>429</v>
      </c>
      <c r="C16" s="67">
        <f>SUM('Stavební rozpočet'!T12:T236)</f>
        <v>0</v>
      </c>
      <c r="D16" s="119" t="s">
        <v>434</v>
      </c>
      <c r="E16" s="120"/>
      <c r="F16" s="67">
        <v>0</v>
      </c>
      <c r="G16" s="119" t="s">
        <v>444</v>
      </c>
      <c r="H16" s="120"/>
      <c r="I16" s="67">
        <v>0</v>
      </c>
      <c r="J16" s="1"/>
    </row>
    <row r="17" spans="1:10" ht="15" customHeight="1">
      <c r="A17" s="62"/>
      <c r="B17" s="65" t="s">
        <v>353</v>
      </c>
      <c r="C17" s="67">
        <f>SUM('Stavební rozpočet'!U12:U236)</f>
        <v>0</v>
      </c>
      <c r="D17" s="119"/>
      <c r="E17" s="120"/>
      <c r="F17" s="68"/>
      <c r="G17" s="119" t="s">
        <v>445</v>
      </c>
      <c r="H17" s="120"/>
      <c r="I17" s="67">
        <v>0</v>
      </c>
      <c r="J17" s="1"/>
    </row>
    <row r="18" spans="1:10" ht="15" customHeight="1">
      <c r="A18" s="61" t="s">
        <v>420</v>
      </c>
      <c r="B18" s="65" t="s">
        <v>429</v>
      </c>
      <c r="C18" s="67">
        <f>SUM('Stavební rozpočet'!V12:V236)</f>
        <v>0</v>
      </c>
      <c r="D18" s="119"/>
      <c r="E18" s="120"/>
      <c r="F18" s="68"/>
      <c r="G18" s="119" t="s">
        <v>446</v>
      </c>
      <c r="H18" s="120"/>
      <c r="I18" s="67">
        <v>0</v>
      </c>
      <c r="J18" s="1"/>
    </row>
    <row r="19" spans="1:10" ht="15" customHeight="1">
      <c r="A19" s="62"/>
      <c r="B19" s="65" t="s">
        <v>353</v>
      </c>
      <c r="C19" s="67">
        <f>SUM('Stavební rozpočet'!W12:W236)</f>
        <v>0</v>
      </c>
      <c r="D19" s="119"/>
      <c r="E19" s="120"/>
      <c r="F19" s="68"/>
      <c r="G19" s="119" t="s">
        <v>447</v>
      </c>
      <c r="H19" s="120"/>
      <c r="I19" s="67">
        <v>0</v>
      </c>
      <c r="J19" s="1"/>
    </row>
    <row r="20" spans="1:10" ht="15" customHeight="1">
      <c r="A20" s="121" t="s">
        <v>288</v>
      </c>
      <c r="B20" s="122"/>
      <c r="C20" s="67">
        <f>SUM('Stavební rozpočet'!X12:X236)</f>
        <v>0</v>
      </c>
      <c r="D20" s="119"/>
      <c r="E20" s="120"/>
      <c r="F20" s="68"/>
      <c r="G20" s="119"/>
      <c r="H20" s="120"/>
      <c r="I20" s="68"/>
      <c r="J20" s="1"/>
    </row>
    <row r="21" spans="1:10" ht="15" customHeight="1">
      <c r="A21" s="121" t="s">
        <v>421</v>
      </c>
      <c r="B21" s="122"/>
      <c r="C21" s="67">
        <f>SUM('Stavební rozpočet'!P12:P236)</f>
        <v>0</v>
      </c>
      <c r="D21" s="119"/>
      <c r="E21" s="120"/>
      <c r="F21" s="68"/>
      <c r="G21" s="119"/>
      <c r="H21" s="120"/>
      <c r="I21" s="68"/>
      <c r="J21" s="1"/>
    </row>
    <row r="22" spans="1:10" ht="16.5" customHeight="1">
      <c r="A22" s="121" t="s">
        <v>422</v>
      </c>
      <c r="B22" s="122"/>
      <c r="C22" s="67">
        <f>ROUND(SUM(C14:C21),1)</f>
        <v>0</v>
      </c>
      <c r="D22" s="121" t="s">
        <v>435</v>
      </c>
      <c r="E22" s="122"/>
      <c r="F22" s="67">
        <f>SUM(F14:F21)</f>
        <v>0</v>
      </c>
      <c r="G22" s="121" t="s">
        <v>448</v>
      </c>
      <c r="H22" s="122"/>
      <c r="I22" s="67">
        <f>SUM(I14:I21)</f>
        <v>0</v>
      </c>
      <c r="J22" s="1"/>
    </row>
    <row r="23" spans="1:10" ht="15" customHeight="1">
      <c r="A23" s="9"/>
      <c r="B23" s="9"/>
      <c r="C23" s="33"/>
      <c r="D23" s="121" t="s">
        <v>436</v>
      </c>
      <c r="E23" s="122"/>
      <c r="F23" s="69">
        <v>0</v>
      </c>
      <c r="G23" s="121" t="s">
        <v>449</v>
      </c>
      <c r="H23" s="122"/>
      <c r="I23" s="67">
        <v>0</v>
      </c>
      <c r="J23" s="1"/>
    </row>
    <row r="24" spans="4:9" ht="15" customHeight="1">
      <c r="D24" s="9"/>
      <c r="E24" s="9"/>
      <c r="F24" s="70"/>
      <c r="G24" s="121" t="s">
        <v>450</v>
      </c>
      <c r="H24" s="122"/>
      <c r="I24" s="71"/>
    </row>
    <row r="25" spans="6:10" ht="15" customHeight="1">
      <c r="F25" s="34"/>
      <c r="G25" s="121" t="s">
        <v>451</v>
      </c>
      <c r="H25" s="122"/>
      <c r="I25" s="67">
        <v>0</v>
      </c>
      <c r="J25" s="1"/>
    </row>
    <row r="26" spans="1:9" ht="12.75">
      <c r="A26" s="8"/>
      <c r="B26" s="8"/>
      <c r="C26" s="8"/>
      <c r="G26" s="9"/>
      <c r="H26" s="9"/>
      <c r="I26" s="9"/>
    </row>
    <row r="27" spans="1:9" ht="15" customHeight="1">
      <c r="A27" s="123" t="s">
        <v>423</v>
      </c>
      <c r="B27" s="124"/>
      <c r="C27" s="72">
        <f>ROUND(SUM('Stavební rozpočet'!Z12:Z236),1)</f>
        <v>0</v>
      </c>
      <c r="D27" s="59"/>
      <c r="E27" s="8"/>
      <c r="F27" s="8"/>
      <c r="G27" s="8"/>
      <c r="H27" s="8"/>
      <c r="I27" s="8"/>
    </row>
    <row r="28" spans="1:10" ht="15" customHeight="1">
      <c r="A28" s="123" t="s">
        <v>424</v>
      </c>
      <c r="B28" s="124"/>
      <c r="C28" s="72">
        <f>ROUND(SUM('Stavební rozpočet'!AA12:AA236),1)</f>
        <v>0</v>
      </c>
      <c r="D28" s="123" t="s">
        <v>437</v>
      </c>
      <c r="E28" s="124"/>
      <c r="F28" s="72">
        <f>ROUND(C28*(15/100),2)</f>
        <v>0</v>
      </c>
      <c r="G28" s="123" t="s">
        <v>452</v>
      </c>
      <c r="H28" s="124"/>
      <c r="I28" s="72">
        <f>ROUND(SUM(C27:C29),1)</f>
        <v>0</v>
      </c>
      <c r="J28" s="1"/>
    </row>
    <row r="29" spans="1:10" ht="15" customHeight="1">
      <c r="A29" s="123" t="s">
        <v>425</v>
      </c>
      <c r="B29" s="124"/>
      <c r="C29" s="72">
        <f>ROUND(SUM('Stavební rozpočet'!AB12:AB236)+(F22+I22+F23+I23+I24+I25),1)</f>
        <v>0</v>
      </c>
      <c r="D29" s="123" t="s">
        <v>438</v>
      </c>
      <c r="E29" s="124"/>
      <c r="F29" s="72">
        <f>ROUND(C29*(21/100),2)</f>
        <v>0</v>
      </c>
      <c r="G29" s="123" t="s">
        <v>453</v>
      </c>
      <c r="H29" s="124"/>
      <c r="I29" s="72">
        <f>ROUND(SUM(F28:F29)+I28,1)</f>
        <v>0</v>
      </c>
      <c r="J29" s="1"/>
    </row>
    <row r="30" spans="1:9" ht="12.75">
      <c r="A30" s="63"/>
      <c r="B30" s="63"/>
      <c r="C30" s="63"/>
      <c r="D30" s="63"/>
      <c r="E30" s="63"/>
      <c r="F30" s="63"/>
      <c r="G30" s="63"/>
      <c r="H30" s="63"/>
      <c r="I30" s="63"/>
    </row>
    <row r="31" spans="1:10" ht="14.25" customHeight="1">
      <c r="A31" s="125" t="s">
        <v>426</v>
      </c>
      <c r="B31" s="126"/>
      <c r="C31" s="127"/>
      <c r="D31" s="125" t="s">
        <v>439</v>
      </c>
      <c r="E31" s="126"/>
      <c r="F31" s="127"/>
      <c r="G31" s="125" t="s">
        <v>454</v>
      </c>
      <c r="H31" s="126"/>
      <c r="I31" s="127"/>
      <c r="J31" s="39"/>
    </row>
    <row r="32" spans="1:10" ht="14.25" customHeight="1">
      <c r="A32" s="128"/>
      <c r="B32" s="129"/>
      <c r="C32" s="130"/>
      <c r="D32" s="128"/>
      <c r="E32" s="129"/>
      <c r="F32" s="130"/>
      <c r="G32" s="128"/>
      <c r="H32" s="129"/>
      <c r="I32" s="130"/>
      <c r="J32" s="39"/>
    </row>
    <row r="33" spans="1:10" ht="14.25" customHeight="1">
      <c r="A33" s="128"/>
      <c r="B33" s="129"/>
      <c r="C33" s="130"/>
      <c r="D33" s="128"/>
      <c r="E33" s="129"/>
      <c r="F33" s="130"/>
      <c r="G33" s="128"/>
      <c r="H33" s="129"/>
      <c r="I33" s="130"/>
      <c r="J33" s="39"/>
    </row>
    <row r="34" spans="1:10" ht="14.25" customHeight="1">
      <c r="A34" s="128"/>
      <c r="B34" s="129"/>
      <c r="C34" s="130"/>
      <c r="D34" s="128"/>
      <c r="E34" s="129"/>
      <c r="F34" s="130"/>
      <c r="G34" s="128"/>
      <c r="H34" s="129"/>
      <c r="I34" s="130"/>
      <c r="J34" s="39"/>
    </row>
    <row r="35" spans="1:10" ht="14.25" customHeight="1">
      <c r="A35" s="131" t="s">
        <v>427</v>
      </c>
      <c r="B35" s="132"/>
      <c r="C35" s="133"/>
      <c r="D35" s="131" t="s">
        <v>427</v>
      </c>
      <c r="E35" s="132"/>
      <c r="F35" s="133"/>
      <c r="G35" s="131" t="s">
        <v>427</v>
      </c>
      <c r="H35" s="132"/>
      <c r="I35" s="133"/>
      <c r="J35" s="39"/>
    </row>
    <row r="36" spans="1:9" ht="11.25" customHeight="1">
      <c r="A36" s="64" t="s">
        <v>76</v>
      </c>
      <c r="B36" s="66"/>
      <c r="C36" s="66"/>
      <c r="D36" s="66"/>
      <c r="E36" s="66"/>
      <c r="F36" s="66"/>
      <c r="G36" s="66"/>
      <c r="H36" s="66"/>
      <c r="I36" s="66"/>
    </row>
    <row r="37" spans="1:9" ht="12.75">
      <c r="A37" s="87"/>
      <c r="B37" s="79"/>
      <c r="C37" s="79"/>
      <c r="D37" s="79"/>
      <c r="E37" s="79"/>
      <c r="F37" s="79"/>
      <c r="G37" s="79"/>
      <c r="H37" s="79"/>
      <c r="I37" s="79"/>
    </row>
  </sheetData>
  <sheetProtection/>
  <mergeCells count="83">
    <mergeCell ref="A37:I37"/>
    <mergeCell ref="A34:C34"/>
    <mergeCell ref="D34:F34"/>
    <mergeCell ref="G34:I34"/>
    <mergeCell ref="A35:C35"/>
    <mergeCell ref="D35:F35"/>
    <mergeCell ref="G35:I35"/>
    <mergeCell ref="A32:C32"/>
    <mergeCell ref="D32:F32"/>
    <mergeCell ref="G32:I32"/>
    <mergeCell ref="A33:C33"/>
    <mergeCell ref="D33:F33"/>
    <mergeCell ref="G33:I33"/>
    <mergeCell ref="A29:B29"/>
    <mergeCell ref="D29:E29"/>
    <mergeCell ref="G29:H29"/>
    <mergeCell ref="A31:C31"/>
    <mergeCell ref="D31:F31"/>
    <mergeCell ref="G31:I31"/>
    <mergeCell ref="D23:E23"/>
    <mergeCell ref="G23:H23"/>
    <mergeCell ref="G24:H24"/>
    <mergeCell ref="G25:H25"/>
    <mergeCell ref="A27:B27"/>
    <mergeCell ref="A28:B28"/>
    <mergeCell ref="D28:E28"/>
    <mergeCell ref="G28:H28"/>
    <mergeCell ref="A21:B21"/>
    <mergeCell ref="D21:E21"/>
    <mergeCell ref="G21:H21"/>
    <mergeCell ref="A22:B22"/>
    <mergeCell ref="D22:E22"/>
    <mergeCell ref="G22:H22"/>
    <mergeCell ref="D18:E18"/>
    <mergeCell ref="G18:H18"/>
    <mergeCell ref="D19:E19"/>
    <mergeCell ref="G19:H19"/>
    <mergeCell ref="A20:B20"/>
    <mergeCell ref="D20:E20"/>
    <mergeCell ref="G20:H20"/>
    <mergeCell ref="D15:E15"/>
    <mergeCell ref="G15:H15"/>
    <mergeCell ref="D16:E16"/>
    <mergeCell ref="G16:H16"/>
    <mergeCell ref="D17:E17"/>
    <mergeCell ref="G17:H17"/>
    <mergeCell ref="A12:I12"/>
    <mergeCell ref="B13:C13"/>
    <mergeCell ref="E13:F13"/>
    <mergeCell ref="H13:I13"/>
    <mergeCell ref="D14:E14"/>
    <mergeCell ref="G14:H14"/>
    <mergeCell ref="A10:B11"/>
    <mergeCell ref="C10:D11"/>
    <mergeCell ref="E10:E11"/>
    <mergeCell ref="F10:G11"/>
    <mergeCell ref="H10:H11"/>
    <mergeCell ref="I10:I11"/>
    <mergeCell ref="A8:B9"/>
    <mergeCell ref="C8:D9"/>
    <mergeCell ref="E8:E9"/>
    <mergeCell ref="F8:G9"/>
    <mergeCell ref="H8:H9"/>
    <mergeCell ref="I8:I9"/>
    <mergeCell ref="A6:B7"/>
    <mergeCell ref="C6:D7"/>
    <mergeCell ref="E6:E7"/>
    <mergeCell ref="F6:G7"/>
    <mergeCell ref="H6:H7"/>
    <mergeCell ref="I6:I7"/>
    <mergeCell ref="A4:B5"/>
    <mergeCell ref="C4:D5"/>
    <mergeCell ref="E4:E5"/>
    <mergeCell ref="F4:G5"/>
    <mergeCell ref="H4:H5"/>
    <mergeCell ref="I4:I5"/>
    <mergeCell ref="C1:I1"/>
    <mergeCell ref="A2:B3"/>
    <mergeCell ref="C2:D3"/>
    <mergeCell ref="E2:E3"/>
    <mergeCell ref="F2:G3"/>
    <mergeCell ref="H2:H3"/>
    <mergeCell ref="I2:I3"/>
  </mergeCells>
  <printOptions/>
  <pageMargins left="0.394" right="0.394" top="0.591" bottom="0.591" header="0.5" footer="0.5"/>
  <pageSetup fitToHeight="1" fitToWidth="1"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Sabina Kolocová</dc:creator>
  <cp:keywords/>
  <dc:description/>
  <cp:lastModifiedBy>sabina.kolocova</cp:lastModifiedBy>
  <dcterms:created xsi:type="dcterms:W3CDTF">2018-06-13T06:10:55Z</dcterms:created>
  <dcterms:modified xsi:type="dcterms:W3CDTF">2018-06-13T06:10:56Z</dcterms:modified>
  <cp:category/>
  <cp:version/>
  <cp:contentType/>
  <cp:contentStatus/>
</cp:coreProperties>
</file>