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<sst xmlns="http://schemas.openxmlformats.org/spreadsheetml/2006/main" count="563" uniqueCount="244">
  <si>
    <t>Doba výstavby:</t>
  </si>
  <si>
    <t>73,04</t>
  </si>
  <si>
    <t>Projektant</t>
  </si>
  <si>
    <t>Základ 15%</t>
  </si>
  <si>
    <t>Malby</t>
  </si>
  <si>
    <t>2,4*3,5+4,8*3,5</t>
  </si>
  <si>
    <t>043103R2</t>
  </si>
  <si>
    <t>Základ 21%</t>
  </si>
  <si>
    <t>20</t>
  </si>
  <si>
    <t>40,6*12,1+3,5*12,1*2</t>
  </si>
  <si>
    <t>03VRN</t>
  </si>
  <si>
    <t>NUS celkem z obj.</t>
  </si>
  <si>
    <t>den</t>
  </si>
  <si>
    <t>3_</t>
  </si>
  <si>
    <t>0,3*3,5</t>
  </si>
  <si>
    <t>Název stavby:</t>
  </si>
  <si>
    <t>Ostatní materiál</t>
  </si>
  <si>
    <t>Zdeňka Altová</t>
  </si>
  <si>
    <t>Č</t>
  </si>
  <si>
    <t>Poznámka:</t>
  </si>
  <si>
    <t>Lokalita:</t>
  </si>
  <si>
    <t>16</t>
  </si>
  <si>
    <t>PSV</t>
  </si>
  <si>
    <t>Bez pevné podl.</t>
  </si>
  <si>
    <t>Celkem</t>
  </si>
  <si>
    <t>Zařízení staveniště</t>
  </si>
  <si>
    <t>4</t>
  </si>
  <si>
    <t>94</t>
  </si>
  <si>
    <t>Základní rozpočtové náklady</t>
  </si>
  <si>
    <t>Montáž akustických vložek z minerálních pásů, volné uložení</t>
  </si>
  <si>
    <t>347013116R00</t>
  </si>
  <si>
    <t>Celkem bez DPH</t>
  </si>
  <si>
    <t>;ztratné 3%; 0,7848</t>
  </si>
  <si>
    <t>Hmotnost (t)</t>
  </si>
  <si>
    <t>6</t>
  </si>
  <si>
    <t>Rozpočtové náklady v Kč</t>
  </si>
  <si>
    <t>347014111R00</t>
  </si>
  <si>
    <t>B</t>
  </si>
  <si>
    <t>Náklady na umístění stavby (NUS)</t>
  </si>
  <si>
    <t>Montáž</t>
  </si>
  <si>
    <t>Datum, razítko a podpis</t>
  </si>
  <si>
    <t>ZRN celkem</t>
  </si>
  <si>
    <t>sada</t>
  </si>
  <si>
    <t>DPH 15%</t>
  </si>
  <si>
    <t>Krycí list slepého rozpočtu</t>
  </si>
  <si>
    <t>Technický dozor</t>
  </si>
  <si>
    <t>03VRN_</t>
  </si>
  <si>
    <t>SOŠ a SOU Neratovice, Školní 664, 277 11 Neratovice</t>
  </si>
  <si>
    <t>Stěny a příčky</t>
  </si>
  <si>
    <t>Měření doby dozvuku závěrečné, součástí je vyhodnocení a zpracování výsledků</t>
  </si>
  <si>
    <t>Montáž pojízdného Alu lešení, 2,5 x 1,45 m</t>
  </si>
  <si>
    <t>kus</t>
  </si>
  <si>
    <t>Podhled SDK,ocel.dvouúrov.kříž.rošt, 1x MA 12,5 mm (perforované akustické desky) závěs 100mm</t>
  </si>
  <si>
    <t>Dodávky</t>
  </si>
  <si>
    <t>38,01+14,72</t>
  </si>
  <si>
    <t>Ostatní mat.</t>
  </si>
  <si>
    <t>52963*0,01</t>
  </si>
  <si>
    <t>;ztratné 3%; 4,6587</t>
  </si>
  <si>
    <t>416022121R00</t>
  </si>
  <si>
    <t>HSV prac</t>
  </si>
  <si>
    <t>2,4*5,45+2,4*5,45</t>
  </si>
  <si>
    <t> _</t>
  </si>
  <si>
    <t>714182011R00</t>
  </si>
  <si>
    <t>13</t>
  </si>
  <si>
    <t>"M"</t>
  </si>
  <si>
    <t>13,08</t>
  </si>
  <si>
    <t>Vyčištění budov o výšce podlaží do 4 m</t>
  </si>
  <si>
    <t>4,8*5,45+2,4*5,45-1,1*0,65</t>
  </si>
  <si>
    <t>Cena/MJ</t>
  </si>
  <si>
    <t>Konec výstavby:</t>
  </si>
  <si>
    <t>2,4*5,45</t>
  </si>
  <si>
    <t>Kód</t>
  </si>
  <si>
    <t>04VRN</t>
  </si>
  <si>
    <t>38,53+19,08</t>
  </si>
  <si>
    <t>MJ</t>
  </si>
  <si>
    <t>Malba klih.2x, 1bar.+strop,pačok 2x, míst. do 3,8m na konstrukce SDK</t>
  </si>
  <si>
    <t>učebna č.4</t>
  </si>
  <si>
    <t>9_</t>
  </si>
  <si>
    <t>Doplňkové náklady</t>
  </si>
  <si>
    <t>998714202R00</t>
  </si>
  <si>
    <t>PSV prac</t>
  </si>
  <si>
    <t>HSV</t>
  </si>
  <si>
    <t>041002VRN</t>
  </si>
  <si>
    <t>9</t>
  </si>
  <si>
    <t>15</t>
  </si>
  <si>
    <t>95</t>
  </si>
  <si>
    <t>57,61</t>
  </si>
  <si>
    <t>ISWORK</t>
  </si>
  <si>
    <t>Celkem včetně DPH</t>
  </si>
  <si>
    <t>Základ 0%</t>
  </si>
  <si>
    <t>Mont prac</t>
  </si>
  <si>
    <t>52,73</t>
  </si>
  <si>
    <t>78_</t>
  </si>
  <si>
    <t>38,53</t>
  </si>
  <si>
    <t>t</t>
  </si>
  <si>
    <t> </t>
  </si>
  <si>
    <t>39,24</t>
  </si>
  <si>
    <t>99</t>
  </si>
  <si>
    <t>Průzkumy, geodetické a projektové práce</t>
  </si>
  <si>
    <t>01VRN_</t>
  </si>
  <si>
    <t>Ing. Jolana Váňová</t>
  </si>
  <si>
    <t>JKSO:</t>
  </si>
  <si>
    <t>784414301R01</t>
  </si>
  <si>
    <t>Minerální izolace v tl.50mm s objemovou hmotností 15kg/m3 (izolace ze skalné plsti Lambda = 0,035 W.m-1.K-1</t>
  </si>
  <si>
    <t>416072121R00</t>
  </si>
  <si>
    <t>DN celkem</t>
  </si>
  <si>
    <t>Předstěna SDK,tl.55mm,1x ocel.kce CD,1xMAI 12,5mm (perforované akustické desky) bez izolace</t>
  </si>
  <si>
    <t>46,38</t>
  </si>
  <si>
    <t>GROUPCODE</t>
  </si>
  <si>
    <t>0</t>
  </si>
  <si>
    <t>Provozní vlivy</t>
  </si>
  <si>
    <t>5</t>
  </si>
  <si>
    <t>Akustika</t>
  </si>
  <si>
    <t>Projektová dokumentace skutečného stavu</t>
  </si>
  <si>
    <t>Druh stavby:</t>
  </si>
  <si>
    <t>946941501R00</t>
  </si>
  <si>
    <t>784</t>
  </si>
  <si>
    <t>Zpracováno dne:</t>
  </si>
  <si>
    <t>učebna č.3</t>
  </si>
  <si>
    <t>946941192R00</t>
  </si>
  <si>
    <t>10</t>
  </si>
  <si>
    <t>14</t>
  </si>
  <si>
    <t>VORN - Vedlejší a ostatní rozpočtové náklady</t>
  </si>
  <si>
    <t>Přesun hmot pro opravy a údržbu do v. 12 m,nošením</t>
  </si>
  <si>
    <t>Množství</t>
  </si>
  <si>
    <t>95_</t>
  </si>
  <si>
    <t>Typ skupiny</t>
  </si>
  <si>
    <t>Akustická opatření učeben SOŠ a SOU Neratovice</t>
  </si>
  <si>
    <t>25,2</t>
  </si>
  <si>
    <t>4,8*5,45+2,4*5,45</t>
  </si>
  <si>
    <t>2*20</t>
  </si>
  <si>
    <t>040001VRN</t>
  </si>
  <si>
    <t>19</t>
  </si>
  <si>
    <t>C</t>
  </si>
  <si>
    <t>Náklady (Kč)</t>
  </si>
  <si>
    <t>IČO/DIČ:</t>
  </si>
  <si>
    <t>Ostatní</t>
  </si>
  <si>
    <t>030001VRN</t>
  </si>
  <si>
    <t>Zpracoval:</t>
  </si>
  <si>
    <t>Soubor</t>
  </si>
  <si>
    <t>Zhotovitel</t>
  </si>
  <si>
    <t>učebna č.1</t>
  </si>
  <si>
    <t>2</t>
  </si>
  <si>
    <t>Projektant:</t>
  </si>
  <si>
    <t>ORN celkem</t>
  </si>
  <si>
    <t/>
  </si>
  <si>
    <t>17</t>
  </si>
  <si>
    <t>013002VRN</t>
  </si>
  <si>
    <t>784433271R00</t>
  </si>
  <si>
    <t>Autorský dozor</t>
  </si>
  <si>
    <t>Lešení a stavební výtahy</t>
  </si>
  <si>
    <t>21</t>
  </si>
  <si>
    <t>714_</t>
  </si>
  <si>
    <t>34_</t>
  </si>
  <si>
    <t>Práce přesčas</t>
  </si>
  <si>
    <t>Jedná se o závěrečné měření doby dozvuku dle ČSN EN ISO 3382-1 učeben, součástíí měření je také vyhodnocení a protokolární zpracování výsledků</t>
  </si>
  <si>
    <t>41_</t>
  </si>
  <si>
    <t>12</t>
  </si>
  <si>
    <t>01VRN</t>
  </si>
  <si>
    <t>946941802R00</t>
  </si>
  <si>
    <t>Kulturní památka</t>
  </si>
  <si>
    <t>Objekt</t>
  </si>
  <si>
    <t>Různé dokončovací konstrukce a práce na pozemních stavbách</t>
  </si>
  <si>
    <t>Stropy a stropní konstrukce (pro pozemní stavby)</t>
  </si>
  <si>
    <t>kompl</t>
  </si>
  <si>
    <t>53,96</t>
  </si>
  <si>
    <t>DPH 21%</t>
  </si>
  <si>
    <t>_</t>
  </si>
  <si>
    <t>ORN celkem z obj.</t>
  </si>
  <si>
    <t>učebna č.5</t>
  </si>
  <si>
    <t>Přesuny</t>
  </si>
  <si>
    <t>MAT</t>
  </si>
  <si>
    <t>SOŠ a SOU Neratovice</t>
  </si>
  <si>
    <t>8</t>
  </si>
  <si>
    <t>Mimostav. doprava</t>
  </si>
  <si>
    <t>18</t>
  </si>
  <si>
    <t>DN celkem z obj.</t>
  </si>
  <si>
    <t>26,16+13,08</t>
  </si>
  <si>
    <t>71_</t>
  </si>
  <si>
    <t>4_</t>
  </si>
  <si>
    <t>Inženýrské činnosti</t>
  </si>
  <si>
    <t>26,16</t>
  </si>
  <si>
    <t>04VRN_</t>
  </si>
  <si>
    <t>11</t>
  </si>
  <si>
    <t>Objednatel:</t>
  </si>
  <si>
    <t>učebna č.2</t>
  </si>
  <si>
    <t>PSV mat</t>
  </si>
  <si>
    <t>631508395</t>
  </si>
  <si>
    <t>Návoz a odvoz pojízného lešení</t>
  </si>
  <si>
    <t>3</t>
  </si>
  <si>
    <t>Zhotovitel:</t>
  </si>
  <si>
    <t>043103R1</t>
  </si>
  <si>
    <t>%</t>
  </si>
  <si>
    <t>952901111R00</t>
  </si>
  <si>
    <t>784_</t>
  </si>
  <si>
    <t>Začátek výstavby:</t>
  </si>
  <si>
    <t>A</t>
  </si>
  <si>
    <t>Měření doby dozvuku prvotní</t>
  </si>
  <si>
    <t>Mont mat</t>
  </si>
  <si>
    <t>K04_</t>
  </si>
  <si>
    <t>Slepý stavební rozpočet</t>
  </si>
  <si>
    <t>Minerální izolace v tl.75mm s objemovou hmotností 15kg/m3 (izolace ze skelné plstí  Lambda = 0,035 W.m-1.K-1</t>
  </si>
  <si>
    <t>714</t>
  </si>
  <si>
    <t>39,24+19,08+14,72</t>
  </si>
  <si>
    <t xml:space="preserve"> </t>
  </si>
  <si>
    <t>2,175*5,45</t>
  </si>
  <si>
    <t>Objednatel</t>
  </si>
  <si>
    <t>946941102R00</t>
  </si>
  <si>
    <t>(Kč)</t>
  </si>
  <si>
    <t>22</t>
  </si>
  <si>
    <t>Předstěna SDK, tl.55 mm,1 x ocel. kce CD, 1 x RB 12,5 mm, bez izolace</t>
  </si>
  <si>
    <t>Územní vlivy</t>
  </si>
  <si>
    <t>3,35*3,5</t>
  </si>
  <si>
    <t>Datum:</t>
  </si>
  <si>
    <t>K04</t>
  </si>
  <si>
    <t>m2</t>
  </si>
  <si>
    <t>41</t>
  </si>
  <si>
    <t>Přesun hmot a sutí</t>
  </si>
  <si>
    <t>NUS z rozpočtu</t>
  </si>
  <si>
    <t>1</t>
  </si>
  <si>
    <t>7</t>
  </si>
  <si>
    <t>Rozměry</t>
  </si>
  <si>
    <t>2,4*3,5</t>
  </si>
  <si>
    <t>Položek:</t>
  </si>
  <si>
    <t>NUS celkem</t>
  </si>
  <si>
    <t>WORK</t>
  </si>
  <si>
    <t>Přesun hmot pro akustická opatření, výšky do 12 m</t>
  </si>
  <si>
    <t>Penetrace SDK podkladu nátěrem</t>
  </si>
  <si>
    <t>HSV mat</t>
  </si>
  <si>
    <t>6315083950</t>
  </si>
  <si>
    <t>36,93+9,45</t>
  </si>
  <si>
    <t>3,5*5,45</t>
  </si>
  <si>
    <t>0,3*5,45</t>
  </si>
  <si>
    <t>Demontáž pojízdného Alu lešení, 2,5 x 1,45 m</t>
  </si>
  <si>
    <t>Zkrácený popis</t>
  </si>
  <si>
    <t>Izolace akustické a protiotřesová opatření</t>
  </si>
  <si>
    <t>CELK</t>
  </si>
  <si>
    <t>999281148R00</t>
  </si>
  <si>
    <t>94_</t>
  </si>
  <si>
    <t>Nájemné pojízdného Alu lešení, 2,5 x 1,45 m</t>
  </si>
  <si>
    <t>39,24+14,72</t>
  </si>
  <si>
    <t>34</t>
  </si>
  <si>
    <t>03.01.2024</t>
  </si>
  <si>
    <t>Podhledy SDK,ocel.dvouúrov.křížový rošt,1x RB 12,5, závěs 100mm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</si>
</sst>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_);\-#,##0.00\ &quot;Kč&quot;"/>
    <numFmt numFmtId="167" formatCode="#,##0\ &quot;Kč&quot;_);\-#,##0\ &quot;Kč&quot;"/>
    <numFmt numFmtId="168" formatCode="#,##0\ &quot;Kč&quot;_);[Red]\-#,##0\ &quot;Kč&quot;"/>
    <numFmt numFmtId="169" formatCode="#,##0.00\ &quot;Kč&quot;_);[Red]\-#,##0.00\ &quot;Kč&quot;"/>
    <numFmt numFmtId="170" formatCode="_(* #,##0\ _);_(\-* #,##0\ ;_(* &quot;-&quot;\ _);_(@_)"/>
    <numFmt numFmtId="171" formatCode="_(* #,##0\ &quot;Kč&quot;_);_(\-* #,##0\ &quot;Kč&quot;;_(* &quot;-&quot;\ &quot;Kč&quot;_);_(@_)"/>
    <numFmt numFmtId="172" formatCode="_(* #,##0.00\ &quot;Kč&quot;_);_(\-* #,##0.00\ &quot;Kč&quot;;_(* &quot;-&quot;??\ &quot;Kč&quot;_);_(@_)"/>
    <numFmt numFmtId="173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i/>
      <sz val="10"/>
      <color rgb="FF000000"/>
      <name val="Arial"/>
      <family val="0"/>
    </font>
    <font>
      <sz val="10"/>
      <color rgb="FF000000"/>
      <name val="Arial"/>
      <family val="0"/>
    </font>
    <font>
      <b/>
      <sz val="2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thin">
        <color rgb="FF000000"/>
      </right>
      <top>
        <color rgb="FF000000"/>
      </top>
      <bottom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6">
    <xf numFmtId="0" fontId="1" fillId="0" borderId="0" xfId="0" applyNumberFormat="1" applyFont="1" applyFill="1" applyBorder="1" applyAlignment="1" applyProtection="1">
      <alignment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4" fontId="46" fillId="33" borderId="11" xfId="0" applyNumberFormat="1" applyFont="1" applyFill="1" applyBorder="1" applyAlignment="1" applyProtection="1">
      <alignment horizontal="right" vertical="center"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12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50" fillId="33" borderId="13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 locked="0"/>
    </xf>
    <xf numFmtId="4" fontId="47" fillId="33" borderId="15" xfId="0" applyNumberFormat="1" applyFont="1" applyFill="1" applyBorder="1" applyAlignment="1" applyProtection="1">
      <alignment horizontal="right" vertical="center"/>
      <protection/>
    </xf>
    <xf numFmtId="4" fontId="49" fillId="0" borderId="11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4" fontId="51" fillId="0" borderId="16" xfId="0" applyNumberFormat="1" applyFont="1" applyFill="1" applyBorder="1" applyAlignment="1" applyProtection="1">
      <alignment horizontal="righ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center" vertical="center"/>
      <protection/>
    </xf>
    <xf numFmtId="4" fontId="49" fillId="35" borderId="19" xfId="0" applyNumberFormat="1" applyFont="1" applyFill="1" applyBorder="1" applyAlignment="1" applyProtection="1">
      <alignment horizontal="right" vertical="center"/>
      <protection locked="0"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 locked="0"/>
    </xf>
    <xf numFmtId="0" fontId="50" fillId="33" borderId="12" xfId="0" applyNumberFormat="1" applyFont="1" applyFill="1" applyBorder="1" applyAlignment="1" applyProtection="1">
      <alignment horizontal="center" vertical="center"/>
      <protection/>
    </xf>
    <xf numFmtId="4" fontId="49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Border="1" applyAlignment="1" applyProtection="1">
      <alignment/>
      <protection locked="0"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49" fillId="33" borderId="21" xfId="0" applyNumberFormat="1" applyFont="1" applyFill="1" applyBorder="1" applyAlignment="1" applyProtection="1">
      <alignment horizontal="left" vertical="center"/>
      <protection/>
    </xf>
    <xf numFmtId="4" fontId="51" fillId="0" borderId="12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4" fontId="51" fillId="0" borderId="15" xfId="0" applyNumberFormat="1" applyFont="1" applyFill="1" applyBorder="1" applyAlignment="1" applyProtection="1">
      <alignment horizontal="right" vertical="center"/>
      <protection/>
    </xf>
    <xf numFmtId="0" fontId="49" fillId="0" borderId="22" xfId="0" applyNumberFormat="1" applyFont="1" applyFill="1" applyBorder="1" applyAlignment="1" applyProtection="1">
      <alignment horizontal="left" vertical="center"/>
      <protection/>
    </xf>
    <xf numFmtId="0" fontId="49" fillId="33" borderId="21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center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4" fontId="49" fillId="0" borderId="19" xfId="0" applyNumberFormat="1" applyFont="1" applyFill="1" applyBorder="1" applyAlignment="1" applyProtection="1">
      <alignment horizontal="right" vertical="center"/>
      <protection/>
    </xf>
    <xf numFmtId="4" fontId="51" fillId="0" borderId="11" xfId="0" applyNumberFormat="1" applyFont="1" applyFill="1" applyBorder="1" applyAlignment="1" applyProtection="1">
      <alignment horizontal="righ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4" fontId="46" fillId="33" borderId="11" xfId="0" applyNumberFormat="1" applyFont="1" applyFill="1" applyBorder="1" applyAlignment="1" applyProtection="1">
      <alignment horizontal="right" vertical="center"/>
      <protection/>
    </xf>
    <xf numFmtId="0" fontId="51" fillId="0" borderId="15" xfId="0" applyNumberFormat="1" applyFont="1" applyFill="1" applyBorder="1" applyAlignment="1" applyProtection="1">
      <alignment horizontal="right" vertical="center"/>
      <protection/>
    </xf>
    <xf numFmtId="0" fontId="51" fillId="0" borderId="11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4" fontId="49" fillId="35" borderId="0" xfId="0" applyNumberFormat="1" applyFont="1" applyFill="1" applyBorder="1" applyAlignment="1" applyProtection="1">
      <alignment horizontal="right" vertical="center"/>
      <protection locked="0"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35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9" fillId="35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27" xfId="0" applyNumberFormat="1" applyFont="1" applyFill="1" applyBorder="1" applyAlignment="1" applyProtection="1">
      <alignment horizontal="left" vertical="center" wrapText="1"/>
      <protection/>
    </xf>
    <xf numFmtId="0" fontId="49" fillId="0" borderId="27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35" borderId="11" xfId="0" applyNumberFormat="1" applyFont="1" applyFill="1" applyBorder="1" applyAlignment="1" applyProtection="1">
      <alignment horizontal="left" vertical="center"/>
      <protection locked="0"/>
    </xf>
    <xf numFmtId="0" fontId="49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 wrapText="1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9" fillId="35" borderId="27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29" xfId="0" applyNumberFormat="1" applyFont="1" applyFill="1" applyBorder="1" applyAlignment="1" applyProtection="1">
      <alignment horizontal="left" vertical="center" wrapText="1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0" fontId="49" fillId="0" borderId="21" xfId="0" applyNumberFormat="1" applyFont="1" applyFill="1" applyBorder="1" applyAlignment="1" applyProtection="1">
      <alignment horizontal="left" vertical="center" wrapText="1"/>
      <protection/>
    </xf>
    <xf numFmtId="0" fontId="51" fillId="0" borderId="23" xfId="0" applyNumberFormat="1" applyFont="1" applyFill="1" applyBorder="1" applyAlignment="1" applyProtection="1">
      <alignment horizontal="left" vertical="center"/>
      <protection/>
    </xf>
    <xf numFmtId="0" fontId="51" fillId="0" borderId="3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31" xfId="0" applyNumberFormat="1" applyFont="1" applyFill="1" applyBorder="1" applyAlignment="1" applyProtection="1">
      <alignment horizontal="left" vertical="center"/>
      <protection/>
    </xf>
    <xf numFmtId="0" fontId="51" fillId="0" borderId="18" xfId="0" applyNumberFormat="1" applyFont="1" applyFill="1" applyBorder="1" applyAlignment="1" applyProtection="1">
      <alignment horizontal="left" vertical="center"/>
      <protection/>
    </xf>
    <xf numFmtId="0" fontId="51" fillId="0" borderId="32" xfId="0" applyNumberFormat="1" applyFont="1" applyFill="1" applyBorder="1" applyAlignment="1" applyProtection="1">
      <alignment horizontal="left" vertical="center"/>
      <protection/>
    </xf>
    <xf numFmtId="0" fontId="51" fillId="0" borderId="33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1" fillId="0" borderId="35" xfId="0" applyNumberFormat="1" applyFont="1" applyFill="1" applyBorder="1" applyAlignment="1" applyProtection="1">
      <alignment horizontal="left" vertical="center"/>
      <protection/>
    </xf>
    <xf numFmtId="0" fontId="47" fillId="33" borderId="36" xfId="0" applyNumberFormat="1" applyFont="1" applyFill="1" applyBorder="1" applyAlignment="1" applyProtection="1">
      <alignment horizontal="left" vertical="center"/>
      <protection/>
    </xf>
    <xf numFmtId="0" fontId="47" fillId="33" borderId="37" xfId="0" applyNumberFormat="1" applyFont="1" applyFill="1" applyBorder="1" applyAlignment="1" applyProtection="1">
      <alignment horizontal="left" vertical="center"/>
      <protection/>
    </xf>
    <xf numFmtId="0" fontId="47" fillId="33" borderId="20" xfId="0" applyNumberFormat="1" applyFont="1" applyFill="1" applyBorder="1" applyAlignment="1" applyProtection="1">
      <alignment horizontal="left" vertical="center"/>
      <protection/>
    </xf>
    <xf numFmtId="0" fontId="47" fillId="33" borderId="19" xfId="0" applyNumberFormat="1" applyFont="1" applyFill="1" applyBorder="1" applyAlignment="1" applyProtection="1">
      <alignment horizontal="left" vertical="center"/>
      <protection/>
    </xf>
    <xf numFmtId="0" fontId="51" fillId="0" borderId="19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51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7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54" fillId="0" borderId="37" xfId="0" applyNumberFormat="1" applyFont="1" applyFill="1" applyBorder="1" applyAlignment="1" applyProtection="1">
      <alignment horizontal="left" vertical="center"/>
      <protection/>
    </xf>
    <xf numFmtId="0" fontId="54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1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5"/>
  <sheetViews>
    <sheetView tabSelected="1" showOutlineSymbols="0" zoomScalePageLayoutView="0" workbookViewId="0" topLeftCell="A1">
      <pane ySplit="11" topLeftCell="A12" activePane="bottomLeft" state="frozen"/>
      <selection pane="topLeft" activeCell="A95" sqref="A95:N95"/>
      <selection pane="bottomLeft" activeCell="A1" sqref="A1:N1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27.66015625" style="0" customWidth="1"/>
    <col min="5" max="5" width="82.33203125" style="0" customWidth="1"/>
    <col min="6" max="9" width="14.16015625" style="0" customWidth="1"/>
    <col min="10" max="10" width="7.83203125" style="0" customWidth="1"/>
    <col min="11" max="11" width="15" style="0" customWidth="1"/>
    <col min="12" max="12" width="14" style="0" customWidth="1"/>
    <col min="13" max="13" width="18.33203125" style="0" customWidth="1"/>
    <col min="14" max="14" width="13.66015625" style="0" customWidth="1"/>
    <col min="15" max="24" width="14.16015625" style="0" customWidth="1"/>
    <col min="25" max="74" width="14.16015625" style="0" hidden="1" customWidth="1"/>
  </cols>
  <sheetData>
    <row r="1" spans="1:14" ht="54.75" customHeight="1">
      <c r="A1" s="80" t="s">
        <v>200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 customHeight="1">
      <c r="A2" s="81" t="s">
        <v>15</v>
      </c>
      <c r="B2" s="69"/>
      <c r="C2" s="69"/>
      <c r="D2" s="76" t="s">
        <v>127</v>
      </c>
      <c r="E2" s="77"/>
      <c r="F2" s="69" t="s">
        <v>0</v>
      </c>
      <c r="G2" s="69"/>
      <c r="H2" s="79" t="s">
        <v>204</v>
      </c>
      <c r="I2" s="68" t="s">
        <v>184</v>
      </c>
      <c r="J2" s="68" t="s">
        <v>172</v>
      </c>
      <c r="K2" s="69"/>
      <c r="L2" s="69"/>
      <c r="M2" s="69"/>
      <c r="N2" s="70"/>
    </row>
    <row r="3" spans="1:14" ht="15" customHeight="1">
      <c r="A3" s="82"/>
      <c r="B3" s="58"/>
      <c r="C3" s="58"/>
      <c r="D3" s="78"/>
      <c r="E3" s="78"/>
      <c r="F3" s="58"/>
      <c r="G3" s="58"/>
      <c r="H3" s="67"/>
      <c r="I3" s="58"/>
      <c r="J3" s="58"/>
      <c r="K3" s="58"/>
      <c r="L3" s="58"/>
      <c r="M3" s="58"/>
      <c r="N3" s="71"/>
    </row>
    <row r="4" spans="1:14" ht="15" customHeight="1">
      <c r="A4" s="83" t="s">
        <v>114</v>
      </c>
      <c r="B4" s="58"/>
      <c r="C4" s="58"/>
      <c r="D4" s="60" t="s">
        <v>204</v>
      </c>
      <c r="E4" s="58"/>
      <c r="F4" s="58" t="s">
        <v>195</v>
      </c>
      <c r="G4" s="58"/>
      <c r="H4" s="67" t="s">
        <v>204</v>
      </c>
      <c r="I4" s="60" t="s">
        <v>143</v>
      </c>
      <c r="J4" s="60" t="s">
        <v>100</v>
      </c>
      <c r="K4" s="58"/>
      <c r="L4" s="58"/>
      <c r="M4" s="58"/>
      <c r="N4" s="71"/>
    </row>
    <row r="5" spans="1:14" ht="15" customHeight="1">
      <c r="A5" s="82"/>
      <c r="B5" s="58"/>
      <c r="C5" s="58"/>
      <c r="D5" s="58"/>
      <c r="E5" s="58"/>
      <c r="F5" s="58"/>
      <c r="G5" s="58"/>
      <c r="H5" s="67"/>
      <c r="I5" s="58"/>
      <c r="J5" s="58"/>
      <c r="K5" s="58"/>
      <c r="L5" s="58"/>
      <c r="M5" s="58"/>
      <c r="N5" s="71"/>
    </row>
    <row r="6" spans="1:14" ht="15" customHeight="1">
      <c r="A6" s="83" t="s">
        <v>20</v>
      </c>
      <c r="B6" s="58"/>
      <c r="C6" s="58"/>
      <c r="D6" s="60" t="s">
        <v>47</v>
      </c>
      <c r="E6" s="58"/>
      <c r="F6" s="58" t="s">
        <v>69</v>
      </c>
      <c r="G6" s="58"/>
      <c r="H6" s="67" t="s">
        <v>204</v>
      </c>
      <c r="I6" s="60" t="s">
        <v>190</v>
      </c>
      <c r="J6" s="67" t="s">
        <v>95</v>
      </c>
      <c r="K6" s="67"/>
      <c r="L6" s="67"/>
      <c r="M6" s="67"/>
      <c r="N6" s="72"/>
    </row>
    <row r="7" spans="1:14" ht="15" customHeight="1">
      <c r="A7" s="82"/>
      <c r="B7" s="58"/>
      <c r="C7" s="58"/>
      <c r="D7" s="58"/>
      <c r="E7" s="58"/>
      <c r="F7" s="58"/>
      <c r="G7" s="58"/>
      <c r="H7" s="67"/>
      <c r="I7" s="58"/>
      <c r="J7" s="67"/>
      <c r="K7" s="67"/>
      <c r="L7" s="67"/>
      <c r="M7" s="67"/>
      <c r="N7" s="72"/>
    </row>
    <row r="8" spans="1:14" ht="15" customHeight="1">
      <c r="A8" s="83" t="s">
        <v>101</v>
      </c>
      <c r="B8" s="58"/>
      <c r="C8" s="58"/>
      <c r="D8" s="60" t="s">
        <v>204</v>
      </c>
      <c r="E8" s="58"/>
      <c r="F8" s="58" t="s">
        <v>117</v>
      </c>
      <c r="G8" s="58"/>
      <c r="H8" s="67" t="s">
        <v>242</v>
      </c>
      <c r="I8" s="60" t="s">
        <v>138</v>
      </c>
      <c r="J8" s="73" t="s">
        <v>17</v>
      </c>
      <c r="K8" s="67"/>
      <c r="L8" s="67"/>
      <c r="M8" s="67"/>
      <c r="N8" s="72"/>
    </row>
    <row r="9" spans="1:14" ht="15" customHeight="1">
      <c r="A9" s="82"/>
      <c r="B9" s="58"/>
      <c r="C9" s="58"/>
      <c r="D9" s="58"/>
      <c r="E9" s="58"/>
      <c r="F9" s="58"/>
      <c r="G9" s="58"/>
      <c r="H9" s="67"/>
      <c r="I9" s="58"/>
      <c r="J9" s="67"/>
      <c r="K9" s="67"/>
      <c r="L9" s="67"/>
      <c r="M9" s="67"/>
      <c r="N9" s="72"/>
    </row>
    <row r="10" spans="1:64" ht="15" customHeight="1">
      <c r="A10" s="56" t="s">
        <v>18</v>
      </c>
      <c r="B10" s="19" t="s">
        <v>161</v>
      </c>
      <c r="C10" s="19" t="s">
        <v>71</v>
      </c>
      <c r="D10" s="74" t="s">
        <v>234</v>
      </c>
      <c r="E10" s="74"/>
      <c r="F10" s="74"/>
      <c r="G10" s="74"/>
      <c r="H10" s="74"/>
      <c r="I10" s="75"/>
      <c r="J10" s="19" t="s">
        <v>74</v>
      </c>
      <c r="K10" s="8" t="s">
        <v>124</v>
      </c>
      <c r="L10" s="34" t="s">
        <v>68</v>
      </c>
      <c r="M10" s="54" t="s">
        <v>134</v>
      </c>
      <c r="N10" s="8" t="s">
        <v>33</v>
      </c>
      <c r="BK10" s="16" t="s">
        <v>87</v>
      </c>
      <c r="BL10" s="46" t="s">
        <v>108</v>
      </c>
    </row>
    <row r="11" spans="1:62" ht="15" customHeight="1">
      <c r="A11" s="32" t="s">
        <v>204</v>
      </c>
      <c r="B11" s="38" t="s">
        <v>204</v>
      </c>
      <c r="C11" s="38" t="s">
        <v>204</v>
      </c>
      <c r="D11" s="65" t="s">
        <v>221</v>
      </c>
      <c r="E11" s="65"/>
      <c r="F11" s="65"/>
      <c r="G11" s="65"/>
      <c r="H11" s="65"/>
      <c r="I11" s="66"/>
      <c r="J11" s="38" t="s">
        <v>204</v>
      </c>
      <c r="K11" s="38" t="s">
        <v>204</v>
      </c>
      <c r="L11" s="36" t="s">
        <v>208</v>
      </c>
      <c r="M11" s="17" t="s">
        <v>24</v>
      </c>
      <c r="N11" s="37" t="s">
        <v>24</v>
      </c>
      <c r="Z11" s="16" t="s">
        <v>170</v>
      </c>
      <c r="AA11" s="16" t="s">
        <v>126</v>
      </c>
      <c r="AB11" s="16" t="s">
        <v>228</v>
      </c>
      <c r="AC11" s="16" t="s">
        <v>59</v>
      </c>
      <c r="AD11" s="16" t="s">
        <v>186</v>
      </c>
      <c r="AE11" s="16" t="s">
        <v>80</v>
      </c>
      <c r="AF11" s="16" t="s">
        <v>198</v>
      </c>
      <c r="AG11" s="16" t="s">
        <v>90</v>
      </c>
      <c r="AH11" s="16" t="s">
        <v>55</v>
      </c>
      <c r="BH11" s="16" t="s">
        <v>171</v>
      </c>
      <c r="BI11" s="16" t="s">
        <v>225</v>
      </c>
      <c r="BJ11" s="16" t="s">
        <v>236</v>
      </c>
    </row>
    <row r="12" spans="1:47" ht="15" customHeight="1">
      <c r="A12" s="27" t="s">
        <v>145</v>
      </c>
      <c r="B12" s="43" t="s">
        <v>145</v>
      </c>
      <c r="C12" s="43" t="s">
        <v>241</v>
      </c>
      <c r="D12" s="57" t="s">
        <v>48</v>
      </c>
      <c r="E12" s="57"/>
      <c r="F12" s="57"/>
      <c r="G12" s="57"/>
      <c r="H12" s="57"/>
      <c r="I12" s="57"/>
      <c r="J12" s="51" t="s">
        <v>204</v>
      </c>
      <c r="K12" s="51" t="s">
        <v>204</v>
      </c>
      <c r="L12" s="20" t="s">
        <v>204</v>
      </c>
      <c r="M12" s="29">
        <f>SUM(M13:M19)</f>
        <v>0</v>
      </c>
      <c r="N12" s="3">
        <f>SUM(N13:N19)</f>
        <v>933.57</v>
      </c>
      <c r="AI12" s="16" t="s">
        <v>145</v>
      </c>
      <c r="AS12" s="1">
        <f>SUM(AJ13:AJ19)</f>
        <v>0</v>
      </c>
      <c r="AT12" s="1">
        <f>SUM(AK13:AK19)</f>
        <v>0</v>
      </c>
      <c r="AU12" s="1">
        <f>SUM(AL13:AL19)</f>
        <v>0</v>
      </c>
    </row>
    <row r="13" spans="1:64" ht="15" customHeight="1">
      <c r="A13" s="41" t="s">
        <v>219</v>
      </c>
      <c r="B13" s="6" t="s">
        <v>145</v>
      </c>
      <c r="C13" s="6" t="s">
        <v>30</v>
      </c>
      <c r="D13" s="58" t="s">
        <v>106</v>
      </c>
      <c r="E13" s="58"/>
      <c r="F13" s="58"/>
      <c r="G13" s="58"/>
      <c r="H13" s="58"/>
      <c r="I13" s="58"/>
      <c r="J13" s="6" t="s">
        <v>215</v>
      </c>
      <c r="K13" s="44">
        <v>60.72</v>
      </c>
      <c r="L13" s="52">
        <v>0</v>
      </c>
      <c r="M13" s="44">
        <f>K13*L13</f>
        <v>0</v>
      </c>
      <c r="N13" s="12">
        <f>K13*13</f>
        <v>789.36</v>
      </c>
      <c r="Z13" s="44">
        <f>IF(AQ13="5",BJ13,0)</f>
        <v>0</v>
      </c>
      <c r="AB13" s="44">
        <f>IF(AQ13="1",BH13,0)</f>
        <v>0</v>
      </c>
      <c r="AC13" s="44">
        <f>IF(AQ13="1",BI13,0)</f>
        <v>0</v>
      </c>
      <c r="AD13" s="44">
        <f>IF(AQ13="7",BH13,0)</f>
        <v>0</v>
      </c>
      <c r="AE13" s="44">
        <f>IF(AQ13="7",BI13,0)</f>
        <v>0</v>
      </c>
      <c r="AF13" s="44">
        <f>IF(AQ13="2",BH13,0)</f>
        <v>0</v>
      </c>
      <c r="AG13" s="44">
        <f>IF(AQ13="2",BI13,0)</f>
        <v>0</v>
      </c>
      <c r="AH13" s="44">
        <f>IF(AQ13="0",BJ13,0)</f>
        <v>0</v>
      </c>
      <c r="AI13" s="16" t="s">
        <v>145</v>
      </c>
      <c r="AJ13" s="44">
        <f>IF(AN13=0,M13,0)</f>
        <v>0</v>
      </c>
      <c r="AK13" s="44">
        <f>IF(AN13=15,M13,0)</f>
        <v>0</v>
      </c>
      <c r="AL13" s="44">
        <f>IF(AN13=21,M13,0)</f>
        <v>0</v>
      </c>
      <c r="AN13" s="44">
        <v>21</v>
      </c>
      <c r="AO13" s="44">
        <f>L13*0.534284029865182</f>
        <v>0</v>
      </c>
      <c r="AP13" s="44">
        <f>L13*(1-0.534284029865182)</f>
        <v>0</v>
      </c>
      <c r="AQ13" s="30" t="s">
        <v>219</v>
      </c>
      <c r="AV13" s="44">
        <f>AW13+AX13</f>
        <v>0</v>
      </c>
      <c r="AW13" s="44">
        <f>K13*AO13</f>
        <v>0</v>
      </c>
      <c r="AX13" s="44">
        <f>K13*AP13</f>
        <v>0</v>
      </c>
      <c r="AY13" s="30" t="s">
        <v>153</v>
      </c>
      <c r="AZ13" s="30" t="s">
        <v>13</v>
      </c>
      <c r="BA13" s="16" t="s">
        <v>167</v>
      </c>
      <c r="BC13" s="44">
        <f>AW13+AX13</f>
        <v>0</v>
      </c>
      <c r="BD13" s="44">
        <f>L13/(100-BE13)*100</f>
        <v>0</v>
      </c>
      <c r="BE13" s="44">
        <v>0</v>
      </c>
      <c r="BF13" s="44">
        <f>N13</f>
        <v>789.36</v>
      </c>
      <c r="BH13" s="44">
        <f>K13*AO13</f>
        <v>0</v>
      </c>
      <c r="BI13" s="44">
        <f>K13*AP13</f>
        <v>0</v>
      </c>
      <c r="BJ13" s="44">
        <f>K13*L13</f>
        <v>0</v>
      </c>
      <c r="BK13" s="44"/>
      <c r="BL13" s="44">
        <v>34</v>
      </c>
    </row>
    <row r="14" spans="1:14" ht="15" customHeight="1">
      <c r="A14" s="45"/>
      <c r="D14" s="35" t="s">
        <v>222</v>
      </c>
      <c r="I14" s="35" t="s">
        <v>141</v>
      </c>
      <c r="K14" s="4">
        <v>8.4</v>
      </c>
      <c r="L14" s="25"/>
      <c r="N14" s="23"/>
    </row>
    <row r="15" spans="1:14" ht="15" customHeight="1">
      <c r="A15" s="45"/>
      <c r="D15" s="35" t="s">
        <v>70</v>
      </c>
      <c r="I15" s="35" t="s">
        <v>185</v>
      </c>
      <c r="K15" s="4">
        <v>13.080000000000002</v>
      </c>
      <c r="L15" s="25"/>
      <c r="N15" s="23"/>
    </row>
    <row r="16" spans="1:14" ht="15" customHeight="1">
      <c r="A16" s="45"/>
      <c r="D16" s="35" t="s">
        <v>70</v>
      </c>
      <c r="I16" s="35" t="s">
        <v>118</v>
      </c>
      <c r="K16" s="4">
        <v>13.080000000000002</v>
      </c>
      <c r="L16" s="25"/>
      <c r="N16" s="23"/>
    </row>
    <row r="17" spans="1:14" ht="15" customHeight="1">
      <c r="A17" s="45"/>
      <c r="D17" s="35" t="s">
        <v>70</v>
      </c>
      <c r="I17" s="35" t="s">
        <v>76</v>
      </c>
      <c r="K17" s="4">
        <v>13.080000000000002</v>
      </c>
      <c r="L17" s="25"/>
      <c r="N17" s="23"/>
    </row>
    <row r="18" spans="1:14" ht="15" customHeight="1">
      <c r="A18" s="45"/>
      <c r="D18" s="35" t="s">
        <v>70</v>
      </c>
      <c r="I18" s="35" t="s">
        <v>169</v>
      </c>
      <c r="K18" s="4">
        <v>13.080000000000002</v>
      </c>
      <c r="L18" s="25"/>
      <c r="N18" s="23"/>
    </row>
    <row r="19" spans="1:64" ht="15" customHeight="1">
      <c r="A19" s="41" t="s">
        <v>142</v>
      </c>
      <c r="B19" s="6" t="s">
        <v>145</v>
      </c>
      <c r="C19" s="6" t="s">
        <v>36</v>
      </c>
      <c r="D19" s="58" t="s">
        <v>210</v>
      </c>
      <c r="E19" s="58"/>
      <c r="F19" s="58"/>
      <c r="G19" s="58"/>
      <c r="H19" s="58"/>
      <c r="I19" s="58"/>
      <c r="J19" s="6" t="s">
        <v>215</v>
      </c>
      <c r="K19" s="44">
        <v>7.59</v>
      </c>
      <c r="L19" s="52">
        <v>0</v>
      </c>
      <c r="M19" s="44">
        <f>K19*L19</f>
        <v>0</v>
      </c>
      <c r="N19" s="12">
        <f>K19*19</f>
        <v>144.21</v>
      </c>
      <c r="Z19" s="44">
        <f>IF(AQ19="5",BJ19,0)</f>
        <v>0</v>
      </c>
      <c r="AB19" s="44">
        <f>IF(AQ19="1",BH19,0)</f>
        <v>0</v>
      </c>
      <c r="AC19" s="44">
        <f>IF(AQ19="1",BI19,0)</f>
        <v>0</v>
      </c>
      <c r="AD19" s="44">
        <f>IF(AQ19="7",BH19,0)</f>
        <v>0</v>
      </c>
      <c r="AE19" s="44">
        <f>IF(AQ19="7",BI19,0)</f>
        <v>0</v>
      </c>
      <c r="AF19" s="44">
        <f>IF(AQ19="2",BH19,0)</f>
        <v>0</v>
      </c>
      <c r="AG19" s="44">
        <f>IF(AQ19="2",BI19,0)</f>
        <v>0</v>
      </c>
      <c r="AH19" s="44">
        <f>IF(AQ19="0",BJ19,0)</f>
        <v>0</v>
      </c>
      <c r="AI19" s="16" t="s">
        <v>145</v>
      </c>
      <c r="AJ19" s="44">
        <f>IF(AN19=0,M19,0)</f>
        <v>0</v>
      </c>
      <c r="AK19" s="44">
        <f>IF(AN19=15,M19,0)</f>
        <v>0</v>
      </c>
      <c r="AL19" s="44">
        <f>IF(AN19=21,M19,0)</f>
        <v>0</v>
      </c>
      <c r="AN19" s="44">
        <v>21</v>
      </c>
      <c r="AO19" s="44">
        <f>L19*0.429452603471295</f>
        <v>0</v>
      </c>
      <c r="AP19" s="44">
        <f>L19*(1-0.429452603471295)</f>
        <v>0</v>
      </c>
      <c r="AQ19" s="30" t="s">
        <v>219</v>
      </c>
      <c r="AV19" s="44">
        <f>AW19+AX19</f>
        <v>0</v>
      </c>
      <c r="AW19" s="44">
        <f>K19*AO19</f>
        <v>0</v>
      </c>
      <c r="AX19" s="44">
        <f>K19*AP19</f>
        <v>0</v>
      </c>
      <c r="AY19" s="30" t="s">
        <v>153</v>
      </c>
      <c r="AZ19" s="30" t="s">
        <v>13</v>
      </c>
      <c r="BA19" s="16" t="s">
        <v>167</v>
      </c>
      <c r="BC19" s="44">
        <f>AW19+AX19</f>
        <v>0</v>
      </c>
      <c r="BD19" s="44">
        <f>L19/(100-BE19)*100</f>
        <v>0</v>
      </c>
      <c r="BE19" s="44">
        <v>0</v>
      </c>
      <c r="BF19" s="44">
        <f>N19</f>
        <v>144.21</v>
      </c>
      <c r="BH19" s="44">
        <f>K19*AO19</f>
        <v>0</v>
      </c>
      <c r="BI19" s="44">
        <f>K19*AP19</f>
        <v>0</v>
      </c>
      <c r="BJ19" s="44">
        <f>K19*L19</f>
        <v>0</v>
      </c>
      <c r="BK19" s="44"/>
      <c r="BL19" s="44">
        <v>34</v>
      </c>
    </row>
    <row r="20" spans="1:14" ht="15" customHeight="1">
      <c r="A20" s="45"/>
      <c r="D20" s="35" t="s">
        <v>14</v>
      </c>
      <c r="I20" s="35" t="s">
        <v>141</v>
      </c>
      <c r="K20" s="4">
        <v>1.05</v>
      </c>
      <c r="L20" s="25"/>
      <c r="N20" s="23"/>
    </row>
    <row r="21" spans="1:14" ht="15" customHeight="1">
      <c r="A21" s="45"/>
      <c r="D21" s="35" t="s">
        <v>232</v>
      </c>
      <c r="I21" s="35" t="s">
        <v>185</v>
      </c>
      <c r="K21" s="4">
        <v>1.6350000000000002</v>
      </c>
      <c r="L21" s="25"/>
      <c r="N21" s="23"/>
    </row>
    <row r="22" spans="1:14" ht="15" customHeight="1">
      <c r="A22" s="45"/>
      <c r="D22" s="35" t="s">
        <v>232</v>
      </c>
      <c r="I22" s="35" t="s">
        <v>118</v>
      </c>
      <c r="K22" s="4">
        <v>1.6350000000000002</v>
      </c>
      <c r="L22" s="25"/>
      <c r="N22" s="23"/>
    </row>
    <row r="23" spans="1:14" ht="15" customHeight="1">
      <c r="A23" s="45"/>
      <c r="D23" s="35" t="s">
        <v>232</v>
      </c>
      <c r="I23" s="35" t="s">
        <v>76</v>
      </c>
      <c r="K23" s="4">
        <v>1.6350000000000002</v>
      </c>
      <c r="L23" s="25"/>
      <c r="N23" s="23"/>
    </row>
    <row r="24" spans="1:14" ht="15" customHeight="1">
      <c r="A24" s="45"/>
      <c r="D24" s="35" t="s">
        <v>232</v>
      </c>
      <c r="I24" s="35" t="s">
        <v>169</v>
      </c>
      <c r="K24" s="4">
        <v>1.6350000000000002</v>
      </c>
      <c r="L24" s="25"/>
      <c r="N24" s="23"/>
    </row>
    <row r="25" spans="1:47" ht="15" customHeight="1">
      <c r="A25" s="33" t="s">
        <v>145</v>
      </c>
      <c r="B25" s="42" t="s">
        <v>145</v>
      </c>
      <c r="C25" s="42" t="s">
        <v>216</v>
      </c>
      <c r="D25" s="57" t="s">
        <v>163</v>
      </c>
      <c r="E25" s="57"/>
      <c r="F25" s="57"/>
      <c r="G25" s="57"/>
      <c r="H25" s="57"/>
      <c r="I25" s="57"/>
      <c r="J25" s="26" t="s">
        <v>204</v>
      </c>
      <c r="K25" s="26" t="s">
        <v>204</v>
      </c>
      <c r="L25" s="10" t="s">
        <v>204</v>
      </c>
      <c r="M25" s="1">
        <f>SUM(M26:M38)</f>
        <v>0</v>
      </c>
      <c r="N25" s="47">
        <f>SUM(N26:N38)</f>
        <v>6616.16076</v>
      </c>
      <c r="AI25" s="16" t="s">
        <v>145</v>
      </c>
      <c r="AS25" s="1">
        <f>SUM(AJ26:AJ38)</f>
        <v>0</v>
      </c>
      <c r="AT25" s="1">
        <f>SUM(AK26:AK38)</f>
        <v>0</v>
      </c>
      <c r="AU25" s="1">
        <f>SUM(AL26:AL38)</f>
        <v>0</v>
      </c>
    </row>
    <row r="26" spans="1:64" ht="15" customHeight="1">
      <c r="A26" s="41" t="s">
        <v>189</v>
      </c>
      <c r="B26" s="6" t="s">
        <v>145</v>
      </c>
      <c r="C26" s="6" t="s">
        <v>104</v>
      </c>
      <c r="D26" s="58" t="s">
        <v>52</v>
      </c>
      <c r="E26" s="58"/>
      <c r="F26" s="58"/>
      <c r="G26" s="58"/>
      <c r="H26" s="58"/>
      <c r="I26" s="58"/>
      <c r="J26" s="6" t="s">
        <v>215</v>
      </c>
      <c r="K26" s="44">
        <v>155.285</v>
      </c>
      <c r="L26" s="52">
        <v>0</v>
      </c>
      <c r="M26" s="44">
        <f>K26*L26</f>
        <v>0</v>
      </c>
      <c r="N26" s="12">
        <f>K26*26</f>
        <v>4037.41</v>
      </c>
      <c r="Z26" s="44">
        <f>IF(AQ26="5",BJ26,0)</f>
        <v>0</v>
      </c>
      <c r="AB26" s="44">
        <f>IF(AQ26="1",BH26,0)</f>
        <v>0</v>
      </c>
      <c r="AC26" s="44">
        <f>IF(AQ26="1",BI26,0)</f>
        <v>0</v>
      </c>
      <c r="AD26" s="44">
        <f>IF(AQ26="7",BH26,0)</f>
        <v>0</v>
      </c>
      <c r="AE26" s="44">
        <f>IF(AQ26="7",BI26,0)</f>
        <v>0</v>
      </c>
      <c r="AF26" s="44">
        <f>IF(AQ26="2",BH26,0)</f>
        <v>0</v>
      </c>
      <c r="AG26" s="44">
        <f>IF(AQ26="2",BI26,0)</f>
        <v>0</v>
      </c>
      <c r="AH26" s="44">
        <f>IF(AQ26="0",BJ26,0)</f>
        <v>0</v>
      </c>
      <c r="AI26" s="16" t="s">
        <v>145</v>
      </c>
      <c r="AJ26" s="44">
        <f>IF(AN26=0,M26,0)</f>
        <v>0</v>
      </c>
      <c r="AK26" s="44">
        <f>IF(AN26=15,M26,0)</f>
        <v>0</v>
      </c>
      <c r="AL26" s="44">
        <f>IF(AN26=21,M26,0)</f>
        <v>0</v>
      </c>
      <c r="AN26" s="44">
        <v>21</v>
      </c>
      <c r="AO26" s="44">
        <f>L26*0.538979310841204</f>
        <v>0</v>
      </c>
      <c r="AP26" s="44">
        <f>L26*(1-0.538979310841204)</f>
        <v>0</v>
      </c>
      <c r="AQ26" s="30" t="s">
        <v>219</v>
      </c>
      <c r="AV26" s="44">
        <f>AW26+AX26</f>
        <v>0</v>
      </c>
      <c r="AW26" s="44">
        <f>K26*AO26</f>
        <v>0</v>
      </c>
      <c r="AX26" s="44">
        <f>K26*AP26</f>
        <v>0</v>
      </c>
      <c r="AY26" s="30" t="s">
        <v>156</v>
      </c>
      <c r="AZ26" s="30" t="s">
        <v>179</v>
      </c>
      <c r="BA26" s="16" t="s">
        <v>167</v>
      </c>
      <c r="BC26" s="44">
        <f>AW26+AX26</f>
        <v>0</v>
      </c>
      <c r="BD26" s="44">
        <f>L26/(100-BE26)*100</f>
        <v>0</v>
      </c>
      <c r="BE26" s="44">
        <v>0</v>
      </c>
      <c r="BF26" s="44">
        <f>N26</f>
        <v>4037.41</v>
      </c>
      <c r="BH26" s="44">
        <f>K26*AO26</f>
        <v>0</v>
      </c>
      <c r="BI26" s="44">
        <f>K26*AP26</f>
        <v>0</v>
      </c>
      <c r="BJ26" s="44">
        <f>K26*L26</f>
        <v>0</v>
      </c>
      <c r="BK26" s="44"/>
      <c r="BL26" s="44">
        <v>41</v>
      </c>
    </row>
    <row r="27" spans="1:14" ht="15" customHeight="1">
      <c r="A27" s="45"/>
      <c r="D27" s="35" t="s">
        <v>5</v>
      </c>
      <c r="I27" s="35" t="s">
        <v>141</v>
      </c>
      <c r="K27" s="4">
        <v>25.200000000000003</v>
      </c>
      <c r="L27" s="25"/>
      <c r="N27" s="23"/>
    </row>
    <row r="28" spans="1:14" ht="15" customHeight="1">
      <c r="A28" s="45"/>
      <c r="D28" s="35" t="s">
        <v>60</v>
      </c>
      <c r="I28" s="35" t="s">
        <v>185</v>
      </c>
      <c r="K28" s="4">
        <v>26.160000000000004</v>
      </c>
      <c r="L28" s="25"/>
      <c r="N28" s="23"/>
    </row>
    <row r="29" spans="1:14" ht="15" customHeight="1">
      <c r="A29" s="45"/>
      <c r="D29" s="35" t="s">
        <v>129</v>
      </c>
      <c r="I29" s="35" t="s">
        <v>118</v>
      </c>
      <c r="K29" s="4">
        <v>39.24</v>
      </c>
      <c r="L29" s="25"/>
      <c r="N29" s="23"/>
    </row>
    <row r="30" spans="1:14" ht="15" customHeight="1">
      <c r="A30" s="45"/>
      <c r="D30" s="35" t="s">
        <v>60</v>
      </c>
      <c r="I30" s="35" t="s">
        <v>76</v>
      </c>
      <c r="K30" s="4">
        <v>26.160000000000004</v>
      </c>
      <c r="L30" s="25"/>
      <c r="N30" s="23"/>
    </row>
    <row r="31" spans="1:14" ht="15" customHeight="1">
      <c r="A31" s="45"/>
      <c r="D31" s="35" t="s">
        <v>67</v>
      </c>
      <c r="I31" s="35" t="s">
        <v>169</v>
      </c>
      <c r="K31" s="4">
        <v>38.525000000000006</v>
      </c>
      <c r="L31" s="25"/>
      <c r="N31" s="23"/>
    </row>
    <row r="32" spans="1:64" ht="15" customHeight="1">
      <c r="A32" s="41" t="s">
        <v>26</v>
      </c>
      <c r="B32" s="6" t="s">
        <v>145</v>
      </c>
      <c r="C32" s="6" t="s">
        <v>58</v>
      </c>
      <c r="D32" s="58" t="s">
        <v>243</v>
      </c>
      <c r="E32" s="58"/>
      <c r="F32" s="58"/>
      <c r="G32" s="58"/>
      <c r="H32" s="58"/>
      <c r="I32" s="58"/>
      <c r="J32" s="6" t="s">
        <v>215</v>
      </c>
      <c r="K32" s="44">
        <v>74.80875</v>
      </c>
      <c r="L32" s="52">
        <v>0</v>
      </c>
      <c r="M32" s="44">
        <f>K32*L32</f>
        <v>0</v>
      </c>
      <c r="N32" s="12">
        <f>K32*32</f>
        <v>2393.88</v>
      </c>
      <c r="Z32" s="44">
        <f>IF(AQ32="5",BJ32,0)</f>
        <v>0</v>
      </c>
      <c r="AB32" s="44">
        <f>IF(AQ32="1",BH32,0)</f>
        <v>0</v>
      </c>
      <c r="AC32" s="44">
        <f>IF(AQ32="1",BI32,0)</f>
        <v>0</v>
      </c>
      <c r="AD32" s="44">
        <f>IF(AQ32="7",BH32,0)</f>
        <v>0</v>
      </c>
      <c r="AE32" s="44">
        <f>IF(AQ32="7",BI32,0)</f>
        <v>0</v>
      </c>
      <c r="AF32" s="44">
        <f>IF(AQ32="2",BH32,0)</f>
        <v>0</v>
      </c>
      <c r="AG32" s="44">
        <f>IF(AQ32="2",BI32,0)</f>
        <v>0</v>
      </c>
      <c r="AH32" s="44">
        <f>IF(AQ32="0",BJ32,0)</f>
        <v>0</v>
      </c>
      <c r="AI32" s="16" t="s">
        <v>145</v>
      </c>
      <c r="AJ32" s="44">
        <f>IF(AN32=0,M32,0)</f>
        <v>0</v>
      </c>
      <c r="AK32" s="44">
        <f>IF(AN32=15,M32,0)</f>
        <v>0</v>
      </c>
      <c r="AL32" s="44">
        <f>IF(AN32=21,M32,0)</f>
        <v>0</v>
      </c>
      <c r="AN32" s="44">
        <v>21</v>
      </c>
      <c r="AO32" s="44">
        <f>L32*0.461613939942046</f>
        <v>0</v>
      </c>
      <c r="AP32" s="44">
        <f>L32*(1-0.461613939942046)</f>
        <v>0</v>
      </c>
      <c r="AQ32" s="30" t="s">
        <v>219</v>
      </c>
      <c r="AV32" s="44">
        <f>AW32+AX32</f>
        <v>0</v>
      </c>
      <c r="AW32" s="44">
        <f>K32*AO32</f>
        <v>0</v>
      </c>
      <c r="AX32" s="44">
        <f>K32*AP32</f>
        <v>0</v>
      </c>
      <c r="AY32" s="30" t="s">
        <v>156</v>
      </c>
      <c r="AZ32" s="30" t="s">
        <v>179</v>
      </c>
      <c r="BA32" s="16" t="s">
        <v>167</v>
      </c>
      <c r="BC32" s="44">
        <f>AW32+AX32</f>
        <v>0</v>
      </c>
      <c r="BD32" s="44">
        <f>L32/(100-BE32)*100</f>
        <v>0</v>
      </c>
      <c r="BE32" s="44">
        <v>0</v>
      </c>
      <c r="BF32" s="44">
        <f>N32</f>
        <v>2393.88</v>
      </c>
      <c r="BH32" s="44">
        <f>K32*AO32</f>
        <v>0</v>
      </c>
      <c r="BI32" s="44">
        <f>K32*AP32</f>
        <v>0</v>
      </c>
      <c r="BJ32" s="44">
        <f>K32*L32</f>
        <v>0</v>
      </c>
      <c r="BK32" s="44"/>
      <c r="BL32" s="44">
        <v>41</v>
      </c>
    </row>
    <row r="33" spans="1:14" ht="15" customHeight="1">
      <c r="A33" s="45"/>
      <c r="D33" s="35" t="s">
        <v>212</v>
      </c>
      <c r="I33" s="35" t="s">
        <v>141</v>
      </c>
      <c r="K33" s="4">
        <v>11.725000000000001</v>
      </c>
      <c r="L33" s="25"/>
      <c r="N33" s="23"/>
    </row>
    <row r="34" spans="1:14" ht="15" customHeight="1">
      <c r="A34" s="45"/>
      <c r="D34" s="35" t="s">
        <v>70</v>
      </c>
      <c r="I34" s="35" t="s">
        <v>185</v>
      </c>
      <c r="K34" s="4">
        <v>13.080000000000002</v>
      </c>
      <c r="L34" s="25"/>
      <c r="N34" s="23"/>
    </row>
    <row r="35" spans="1:14" ht="15" customHeight="1">
      <c r="A35" s="45"/>
      <c r="D35" s="35" t="s">
        <v>231</v>
      </c>
      <c r="I35" s="35" t="s">
        <v>118</v>
      </c>
      <c r="K35" s="4">
        <v>19.075000000000003</v>
      </c>
      <c r="L35" s="25"/>
      <c r="N35" s="23"/>
    </row>
    <row r="36" spans="1:14" ht="15" customHeight="1">
      <c r="A36" s="45"/>
      <c r="D36" s="35" t="s">
        <v>205</v>
      </c>
      <c r="I36" s="35" t="s">
        <v>76</v>
      </c>
      <c r="K36" s="4">
        <v>11.853750000000002</v>
      </c>
      <c r="L36" s="25"/>
      <c r="N36" s="23"/>
    </row>
    <row r="37" spans="1:14" ht="15" customHeight="1">
      <c r="A37" s="45"/>
      <c r="D37" s="35" t="s">
        <v>231</v>
      </c>
      <c r="I37" s="35" t="s">
        <v>169</v>
      </c>
      <c r="K37" s="4">
        <v>19.075000000000003</v>
      </c>
      <c r="L37" s="25"/>
      <c r="N37" s="23"/>
    </row>
    <row r="38" spans="1:64" ht="15" customHeight="1">
      <c r="A38" s="41" t="s">
        <v>111</v>
      </c>
      <c r="B38" s="6" t="s">
        <v>145</v>
      </c>
      <c r="C38" s="6" t="s">
        <v>237</v>
      </c>
      <c r="D38" s="58" t="s">
        <v>123</v>
      </c>
      <c r="E38" s="58"/>
      <c r="F38" s="58"/>
      <c r="G38" s="58"/>
      <c r="H38" s="58"/>
      <c r="I38" s="58"/>
      <c r="J38" s="6" t="s">
        <v>94</v>
      </c>
      <c r="K38" s="44">
        <v>4.86502</v>
      </c>
      <c r="L38" s="52">
        <v>0</v>
      </c>
      <c r="M38" s="44">
        <f>K38*L38</f>
        <v>0</v>
      </c>
      <c r="N38" s="12">
        <f>K38*38</f>
        <v>184.87076000000002</v>
      </c>
      <c r="Z38" s="44">
        <f>IF(AQ38="5",BJ38,0)</f>
        <v>0</v>
      </c>
      <c r="AB38" s="44">
        <f>IF(AQ38="1",BH38,0)</f>
        <v>0</v>
      </c>
      <c r="AC38" s="44">
        <f>IF(AQ38="1",BI38,0)</f>
        <v>0</v>
      </c>
      <c r="AD38" s="44">
        <f>IF(AQ38="7",BH38,0)</f>
        <v>0</v>
      </c>
      <c r="AE38" s="44">
        <f>IF(AQ38="7",BI38,0)</f>
        <v>0</v>
      </c>
      <c r="AF38" s="44">
        <f>IF(AQ38="2",BH38,0)</f>
        <v>0</v>
      </c>
      <c r="AG38" s="44">
        <f>IF(AQ38="2",BI38,0)</f>
        <v>0</v>
      </c>
      <c r="AH38" s="44">
        <f>IF(AQ38="0",BJ38,0)</f>
        <v>0</v>
      </c>
      <c r="AI38" s="16" t="s">
        <v>145</v>
      </c>
      <c r="AJ38" s="44">
        <f>IF(AN38=0,M38,0)</f>
        <v>0</v>
      </c>
      <c r="AK38" s="44">
        <f>IF(AN38=15,M38,0)</f>
        <v>0</v>
      </c>
      <c r="AL38" s="44">
        <f>IF(AN38=21,M38,0)</f>
        <v>0</v>
      </c>
      <c r="AN38" s="44">
        <v>21</v>
      </c>
      <c r="AO38" s="44">
        <f>L38*0</f>
        <v>0</v>
      </c>
      <c r="AP38" s="44">
        <f>L38*(1-0)</f>
        <v>0</v>
      </c>
      <c r="AQ38" s="30" t="s">
        <v>111</v>
      </c>
      <c r="AV38" s="44">
        <f>AW38+AX38</f>
        <v>0</v>
      </c>
      <c r="AW38" s="44">
        <f>K38*AO38</f>
        <v>0</v>
      </c>
      <c r="AX38" s="44">
        <f>K38*AP38</f>
        <v>0</v>
      </c>
      <c r="AY38" s="30" t="s">
        <v>156</v>
      </c>
      <c r="AZ38" s="30" t="s">
        <v>179</v>
      </c>
      <c r="BA38" s="16" t="s">
        <v>167</v>
      </c>
      <c r="BC38" s="44">
        <f>AW38+AX38</f>
        <v>0</v>
      </c>
      <c r="BD38" s="44">
        <f>L38/(100-BE38)*100</f>
        <v>0</v>
      </c>
      <c r="BE38" s="44">
        <v>0</v>
      </c>
      <c r="BF38" s="44">
        <f>N38</f>
        <v>184.87076000000002</v>
      </c>
      <c r="BH38" s="44">
        <f>K38*AO38</f>
        <v>0</v>
      </c>
      <c r="BI38" s="44">
        <f>K38*AP38</f>
        <v>0</v>
      </c>
      <c r="BJ38" s="44">
        <f>K38*L38</f>
        <v>0</v>
      </c>
      <c r="BK38" s="44"/>
      <c r="BL38" s="44">
        <v>41</v>
      </c>
    </row>
    <row r="39" spans="1:47" ht="15" customHeight="1">
      <c r="A39" s="33" t="s">
        <v>145</v>
      </c>
      <c r="B39" s="42" t="s">
        <v>145</v>
      </c>
      <c r="C39" s="42" t="s">
        <v>202</v>
      </c>
      <c r="D39" s="57" t="s">
        <v>235</v>
      </c>
      <c r="E39" s="57"/>
      <c r="F39" s="57"/>
      <c r="G39" s="57"/>
      <c r="H39" s="57"/>
      <c r="I39" s="57"/>
      <c r="J39" s="26" t="s">
        <v>204</v>
      </c>
      <c r="K39" s="26" t="s">
        <v>204</v>
      </c>
      <c r="L39" s="10" t="s">
        <v>204</v>
      </c>
      <c r="M39" s="1">
        <f>SUM(M40:M57)</f>
        <v>0</v>
      </c>
      <c r="N39" s="47">
        <f>SUM(N40:N57)</f>
        <v>46995.8246</v>
      </c>
      <c r="AI39" s="16" t="s">
        <v>145</v>
      </c>
      <c r="AS39" s="1">
        <f>SUM(AJ40:AJ57)</f>
        <v>0</v>
      </c>
      <c r="AT39" s="1">
        <f>SUM(AK40:AK57)</f>
        <v>0</v>
      </c>
      <c r="AU39" s="1">
        <f>SUM(AL40:AL57)</f>
        <v>0</v>
      </c>
    </row>
    <row r="40" spans="1:64" ht="15" customHeight="1">
      <c r="A40" s="41" t="s">
        <v>34</v>
      </c>
      <c r="B40" s="6" t="s">
        <v>145</v>
      </c>
      <c r="C40" s="6" t="s">
        <v>62</v>
      </c>
      <c r="D40" s="58" t="s">
        <v>29</v>
      </c>
      <c r="E40" s="58"/>
      <c r="F40" s="58"/>
      <c r="G40" s="58"/>
      <c r="H40" s="58"/>
      <c r="I40" s="58"/>
      <c r="J40" s="6" t="s">
        <v>215</v>
      </c>
      <c r="K40" s="44">
        <v>200.53</v>
      </c>
      <c r="L40" s="52">
        <v>0</v>
      </c>
      <c r="M40" s="44">
        <f>K40*L40</f>
        <v>0</v>
      </c>
      <c r="N40" s="12">
        <f>K40*40</f>
        <v>8021.2</v>
      </c>
      <c r="Z40" s="44">
        <f>IF(AQ40="5",BJ40,0)</f>
        <v>0</v>
      </c>
      <c r="AB40" s="44">
        <f>IF(AQ40="1",BH40,0)</f>
        <v>0</v>
      </c>
      <c r="AC40" s="44">
        <f>IF(AQ40="1",BI40,0)</f>
        <v>0</v>
      </c>
      <c r="AD40" s="44">
        <f>IF(AQ40="7",BH40,0)</f>
        <v>0</v>
      </c>
      <c r="AE40" s="44">
        <f>IF(AQ40="7",BI40,0)</f>
        <v>0</v>
      </c>
      <c r="AF40" s="44">
        <f>IF(AQ40="2",BH40,0)</f>
        <v>0</v>
      </c>
      <c r="AG40" s="44">
        <f>IF(AQ40="2",BI40,0)</f>
        <v>0</v>
      </c>
      <c r="AH40" s="44">
        <f>IF(AQ40="0",BJ40,0)</f>
        <v>0</v>
      </c>
      <c r="AI40" s="16" t="s">
        <v>145</v>
      </c>
      <c r="AJ40" s="44">
        <f>IF(AN40=0,M40,0)</f>
        <v>0</v>
      </c>
      <c r="AK40" s="44">
        <f>IF(AN40=15,M40,0)</f>
        <v>0</v>
      </c>
      <c r="AL40" s="44">
        <f>IF(AN40=21,M40,0)</f>
        <v>0</v>
      </c>
      <c r="AN40" s="44">
        <v>21</v>
      </c>
      <c r="AO40" s="44">
        <f>L40*0</f>
        <v>0</v>
      </c>
      <c r="AP40" s="44">
        <f>L40*(1-0)</f>
        <v>0</v>
      </c>
      <c r="AQ40" s="30" t="s">
        <v>220</v>
      </c>
      <c r="AV40" s="44">
        <f>AW40+AX40</f>
        <v>0</v>
      </c>
      <c r="AW40" s="44">
        <f>K40*AO40</f>
        <v>0</v>
      </c>
      <c r="AX40" s="44">
        <f>K40*AP40</f>
        <v>0</v>
      </c>
      <c r="AY40" s="30" t="s">
        <v>152</v>
      </c>
      <c r="AZ40" s="30" t="s">
        <v>178</v>
      </c>
      <c r="BA40" s="16" t="s">
        <v>167</v>
      </c>
      <c r="BC40" s="44">
        <f>AW40+AX40</f>
        <v>0</v>
      </c>
      <c r="BD40" s="44">
        <f>L40/(100-BE40)*100</f>
        <v>0</v>
      </c>
      <c r="BE40" s="44">
        <v>0</v>
      </c>
      <c r="BF40" s="44">
        <f>N40</f>
        <v>8021.2</v>
      </c>
      <c r="BH40" s="44">
        <f>K40*AO40</f>
        <v>0</v>
      </c>
      <c r="BI40" s="44">
        <f>K40*AP40</f>
        <v>0</v>
      </c>
      <c r="BJ40" s="44">
        <f>K40*L40</f>
        <v>0</v>
      </c>
      <c r="BK40" s="44"/>
      <c r="BL40" s="44">
        <v>714</v>
      </c>
    </row>
    <row r="41" spans="1:14" ht="15" customHeight="1">
      <c r="A41" s="45"/>
      <c r="D41" s="35" t="s">
        <v>128</v>
      </c>
      <c r="I41" s="35" t="s">
        <v>141</v>
      </c>
      <c r="K41" s="4">
        <v>25.200000000000003</v>
      </c>
      <c r="L41" s="25"/>
      <c r="N41" s="23"/>
    </row>
    <row r="42" spans="1:14" ht="15" customHeight="1">
      <c r="A42" s="45"/>
      <c r="D42" s="35" t="s">
        <v>177</v>
      </c>
      <c r="I42" s="35" t="s">
        <v>185</v>
      </c>
      <c r="K42" s="4">
        <v>39.24</v>
      </c>
      <c r="L42" s="25"/>
      <c r="N42" s="23"/>
    </row>
    <row r="43" spans="1:14" ht="15" customHeight="1">
      <c r="A43" s="45"/>
      <c r="D43" s="35" t="s">
        <v>96</v>
      </c>
      <c r="I43" s="35" t="s">
        <v>118</v>
      </c>
      <c r="K43" s="4">
        <v>39.24</v>
      </c>
      <c r="L43" s="25"/>
      <c r="N43" s="23"/>
    </row>
    <row r="44" spans="1:14" ht="15" customHeight="1">
      <c r="A44" s="45"/>
      <c r="D44" s="35" t="s">
        <v>177</v>
      </c>
      <c r="I44" s="35" t="s">
        <v>76</v>
      </c>
      <c r="K44" s="4">
        <v>39.24</v>
      </c>
      <c r="L44" s="25"/>
      <c r="N44" s="23"/>
    </row>
    <row r="45" spans="1:14" ht="15" customHeight="1">
      <c r="A45" s="45"/>
      <c r="D45" s="35" t="s">
        <v>73</v>
      </c>
      <c r="I45" s="35" t="s">
        <v>169</v>
      </c>
      <c r="K45" s="4">
        <v>57.61000000000001</v>
      </c>
      <c r="L45" s="25"/>
      <c r="N45" s="23"/>
    </row>
    <row r="46" spans="1:64" ht="15" customHeight="1">
      <c r="A46" s="41" t="s">
        <v>220</v>
      </c>
      <c r="B46" s="6" t="s">
        <v>145</v>
      </c>
      <c r="C46" s="6" t="s">
        <v>187</v>
      </c>
      <c r="D46" s="58" t="s">
        <v>201</v>
      </c>
      <c r="E46" s="58"/>
      <c r="F46" s="58"/>
      <c r="G46" s="58"/>
      <c r="H46" s="58"/>
      <c r="I46" s="58"/>
      <c r="J46" s="6" t="s">
        <v>215</v>
      </c>
      <c r="K46" s="44">
        <v>159.9487</v>
      </c>
      <c r="L46" s="52">
        <v>0</v>
      </c>
      <c r="M46" s="44">
        <f>K46*L46</f>
        <v>0</v>
      </c>
      <c r="N46" s="12">
        <f>K46*46</f>
        <v>7357.6402</v>
      </c>
      <c r="Z46" s="44">
        <f>IF(AQ46="5",BJ46,0)</f>
        <v>0</v>
      </c>
      <c r="AB46" s="44">
        <f>IF(AQ46="1",BH46,0)</f>
        <v>0</v>
      </c>
      <c r="AC46" s="44">
        <f>IF(AQ46="1",BI46,0)</f>
        <v>0</v>
      </c>
      <c r="AD46" s="44">
        <f>IF(AQ46="7",BH46,0)</f>
        <v>0</v>
      </c>
      <c r="AE46" s="44">
        <f>IF(AQ46="7",BI46,0)</f>
        <v>0</v>
      </c>
      <c r="AF46" s="44">
        <f>IF(AQ46="2",BH46,0)</f>
        <v>0</v>
      </c>
      <c r="AG46" s="44">
        <f>IF(AQ46="2",BI46,0)</f>
        <v>0</v>
      </c>
      <c r="AH46" s="44">
        <f>IF(AQ46="0",BJ46,0)</f>
        <v>0</v>
      </c>
      <c r="AI46" s="16" t="s">
        <v>145</v>
      </c>
      <c r="AJ46" s="44">
        <f>IF(AN46=0,M46,0)</f>
        <v>0</v>
      </c>
      <c r="AK46" s="44">
        <f>IF(AN46=15,M46,0)</f>
        <v>0</v>
      </c>
      <c r="AL46" s="44">
        <f>IF(AN46=21,M46,0)</f>
        <v>0</v>
      </c>
      <c r="AN46" s="44">
        <v>21</v>
      </c>
      <c r="AO46" s="44">
        <f>L46*1</f>
        <v>0</v>
      </c>
      <c r="AP46" s="44">
        <f>L46*(1-1)</f>
        <v>0</v>
      </c>
      <c r="AQ46" s="30" t="s">
        <v>220</v>
      </c>
      <c r="AV46" s="44">
        <f>AW46+AX46</f>
        <v>0</v>
      </c>
      <c r="AW46" s="44">
        <f>K46*AO46</f>
        <v>0</v>
      </c>
      <c r="AX46" s="44">
        <f>K46*AP46</f>
        <v>0</v>
      </c>
      <c r="AY46" s="30" t="s">
        <v>152</v>
      </c>
      <c r="AZ46" s="30" t="s">
        <v>178</v>
      </c>
      <c r="BA46" s="16" t="s">
        <v>167</v>
      </c>
      <c r="BC46" s="44">
        <f>AW46+AX46</f>
        <v>0</v>
      </c>
      <c r="BD46" s="44">
        <f>L46/(100-BE46)*100</f>
        <v>0</v>
      </c>
      <c r="BE46" s="44">
        <v>0</v>
      </c>
      <c r="BF46" s="44">
        <f>N46</f>
        <v>7357.6402</v>
      </c>
      <c r="BH46" s="44">
        <f>K46*AO46</f>
        <v>0</v>
      </c>
      <c r="BI46" s="44">
        <f>K46*AP46</f>
        <v>0</v>
      </c>
      <c r="BJ46" s="44">
        <f>K46*L46</f>
        <v>0</v>
      </c>
      <c r="BK46" s="44"/>
      <c r="BL46" s="44">
        <v>714</v>
      </c>
    </row>
    <row r="47" spans="1:14" ht="15" customHeight="1">
      <c r="A47" s="45"/>
      <c r="D47" s="35" t="s">
        <v>128</v>
      </c>
      <c r="I47" s="35" t="s">
        <v>141</v>
      </c>
      <c r="K47" s="4">
        <v>25.200000000000003</v>
      </c>
      <c r="L47" s="25"/>
      <c r="N47" s="23"/>
    </row>
    <row r="48" spans="1:14" ht="15" customHeight="1">
      <c r="A48" s="45"/>
      <c r="D48" s="35" t="s">
        <v>181</v>
      </c>
      <c r="I48" s="35" t="s">
        <v>185</v>
      </c>
      <c r="K48" s="4">
        <v>26.160000000000004</v>
      </c>
      <c r="L48" s="25"/>
      <c r="N48" s="23"/>
    </row>
    <row r="49" spans="1:14" ht="15" customHeight="1">
      <c r="A49" s="45"/>
      <c r="D49" s="35" t="s">
        <v>96</v>
      </c>
      <c r="I49" s="35" t="s">
        <v>118</v>
      </c>
      <c r="K49" s="4">
        <v>39.24</v>
      </c>
      <c r="L49" s="25"/>
      <c r="N49" s="23"/>
    </row>
    <row r="50" spans="1:14" ht="15" customHeight="1">
      <c r="A50" s="45"/>
      <c r="D50" s="35" t="s">
        <v>181</v>
      </c>
      <c r="I50" s="35" t="s">
        <v>76</v>
      </c>
      <c r="K50" s="4">
        <v>26.160000000000004</v>
      </c>
      <c r="L50" s="25"/>
      <c r="N50" s="23"/>
    </row>
    <row r="51" spans="1:14" ht="15" customHeight="1">
      <c r="A51" s="45"/>
      <c r="D51" s="35" t="s">
        <v>93</v>
      </c>
      <c r="I51" s="35" t="s">
        <v>169</v>
      </c>
      <c r="K51" s="4">
        <v>38.53</v>
      </c>
      <c r="L51" s="25"/>
      <c r="N51" s="23"/>
    </row>
    <row r="52" spans="1:14" ht="15" customHeight="1">
      <c r="A52" s="45"/>
      <c r="D52" s="35" t="s">
        <v>57</v>
      </c>
      <c r="I52" s="35" t="s">
        <v>145</v>
      </c>
      <c r="K52" s="4">
        <v>4.6587000000000005</v>
      </c>
      <c r="L52" s="25"/>
      <c r="N52" s="23"/>
    </row>
    <row r="53" spans="1:64" ht="15" customHeight="1">
      <c r="A53" s="41" t="s">
        <v>173</v>
      </c>
      <c r="B53" s="6" t="s">
        <v>145</v>
      </c>
      <c r="C53" s="6" t="s">
        <v>229</v>
      </c>
      <c r="D53" s="58" t="s">
        <v>103</v>
      </c>
      <c r="E53" s="58"/>
      <c r="F53" s="58"/>
      <c r="G53" s="58"/>
      <c r="H53" s="58"/>
      <c r="I53" s="58"/>
      <c r="J53" s="6" t="s">
        <v>215</v>
      </c>
      <c r="K53" s="44">
        <v>26.9448</v>
      </c>
      <c r="L53" s="52">
        <v>0</v>
      </c>
      <c r="M53" s="44">
        <f>K53*L53</f>
        <v>0</v>
      </c>
      <c r="N53" s="12">
        <f>K53*53</f>
        <v>1428.0744</v>
      </c>
      <c r="Z53" s="44">
        <f>IF(AQ53="5",BJ53,0)</f>
        <v>0</v>
      </c>
      <c r="AB53" s="44">
        <f>IF(AQ53="1",BH53,0)</f>
        <v>0</v>
      </c>
      <c r="AC53" s="44">
        <f>IF(AQ53="1",BI53,0)</f>
        <v>0</v>
      </c>
      <c r="AD53" s="44">
        <f>IF(AQ53="7",BH53,0)</f>
        <v>0</v>
      </c>
      <c r="AE53" s="44">
        <f>IF(AQ53="7",BI53,0)</f>
        <v>0</v>
      </c>
      <c r="AF53" s="44">
        <f>IF(AQ53="2",BH53,0)</f>
        <v>0</v>
      </c>
      <c r="AG53" s="44">
        <f>IF(AQ53="2",BI53,0)</f>
        <v>0</v>
      </c>
      <c r="AH53" s="44">
        <f>IF(AQ53="0",BJ53,0)</f>
        <v>0</v>
      </c>
      <c r="AI53" s="16" t="s">
        <v>145</v>
      </c>
      <c r="AJ53" s="44">
        <f>IF(AN53=0,M53,0)</f>
        <v>0</v>
      </c>
      <c r="AK53" s="44">
        <f>IF(AN53=15,M53,0)</f>
        <v>0</v>
      </c>
      <c r="AL53" s="44">
        <f>IF(AN53=21,M53,0)</f>
        <v>0</v>
      </c>
      <c r="AN53" s="44">
        <v>21</v>
      </c>
      <c r="AO53" s="44">
        <f>L53*1</f>
        <v>0</v>
      </c>
      <c r="AP53" s="44">
        <f>L53*(1-1)</f>
        <v>0</v>
      </c>
      <c r="AQ53" s="30" t="s">
        <v>220</v>
      </c>
      <c r="AV53" s="44">
        <f>AW53+AX53</f>
        <v>0</v>
      </c>
      <c r="AW53" s="44">
        <f>K53*AO53</f>
        <v>0</v>
      </c>
      <c r="AX53" s="44">
        <f>K53*AP53</f>
        <v>0</v>
      </c>
      <c r="AY53" s="30" t="s">
        <v>152</v>
      </c>
      <c r="AZ53" s="30" t="s">
        <v>178</v>
      </c>
      <c r="BA53" s="16" t="s">
        <v>167</v>
      </c>
      <c r="BC53" s="44">
        <f>AW53+AX53</f>
        <v>0</v>
      </c>
      <c r="BD53" s="44">
        <f>L53/(100-BE53)*100</f>
        <v>0</v>
      </c>
      <c r="BE53" s="44">
        <v>0</v>
      </c>
      <c r="BF53" s="44">
        <f>N53</f>
        <v>1428.0744</v>
      </c>
      <c r="BH53" s="44">
        <f>K53*AO53</f>
        <v>0</v>
      </c>
      <c r="BI53" s="44">
        <f>K53*AP53</f>
        <v>0</v>
      </c>
      <c r="BJ53" s="44">
        <f>K53*L53</f>
        <v>0</v>
      </c>
      <c r="BK53" s="44"/>
      <c r="BL53" s="44">
        <v>714</v>
      </c>
    </row>
    <row r="54" spans="1:14" ht="15" customHeight="1">
      <c r="A54" s="45"/>
      <c r="D54" s="35" t="s">
        <v>65</v>
      </c>
      <c r="I54" s="35" t="s">
        <v>185</v>
      </c>
      <c r="K54" s="4">
        <v>13.080000000000002</v>
      </c>
      <c r="L54" s="25"/>
      <c r="N54" s="23"/>
    </row>
    <row r="55" spans="1:14" ht="15" customHeight="1">
      <c r="A55" s="45"/>
      <c r="D55" s="35" t="s">
        <v>65</v>
      </c>
      <c r="I55" s="35" t="s">
        <v>76</v>
      </c>
      <c r="K55" s="4">
        <v>13.080000000000002</v>
      </c>
      <c r="L55" s="25"/>
      <c r="N55" s="23"/>
    </row>
    <row r="56" spans="1:14" ht="15" customHeight="1">
      <c r="A56" s="45"/>
      <c r="D56" s="35" t="s">
        <v>32</v>
      </c>
      <c r="I56" s="35" t="s">
        <v>145</v>
      </c>
      <c r="K56" s="4">
        <v>0.7848</v>
      </c>
      <c r="L56" s="25"/>
      <c r="N56" s="23"/>
    </row>
    <row r="57" spans="1:64" ht="15" customHeight="1">
      <c r="A57" s="41" t="s">
        <v>83</v>
      </c>
      <c r="B57" s="6" t="s">
        <v>145</v>
      </c>
      <c r="C57" s="6" t="s">
        <v>79</v>
      </c>
      <c r="D57" s="58" t="s">
        <v>226</v>
      </c>
      <c r="E57" s="58"/>
      <c r="F57" s="58"/>
      <c r="G57" s="58"/>
      <c r="H57" s="58"/>
      <c r="I57" s="58"/>
      <c r="J57" s="6" t="s">
        <v>192</v>
      </c>
      <c r="K57" s="44">
        <v>529.63</v>
      </c>
      <c r="L57" s="52">
        <v>0</v>
      </c>
      <c r="M57" s="44">
        <f>K57*L57</f>
        <v>0</v>
      </c>
      <c r="N57" s="12">
        <f>K57*57</f>
        <v>30188.91</v>
      </c>
      <c r="Z57" s="44">
        <f>IF(AQ57="5",BJ57,0)</f>
        <v>0</v>
      </c>
      <c r="AB57" s="44">
        <f>IF(AQ57="1",BH57,0)</f>
        <v>0</v>
      </c>
      <c r="AC57" s="44">
        <f>IF(AQ57="1",BI57,0)</f>
        <v>0</v>
      </c>
      <c r="AD57" s="44">
        <f>IF(AQ57="7",BH57,0)</f>
        <v>0</v>
      </c>
      <c r="AE57" s="44">
        <f>IF(AQ57="7",BI57,0)</f>
        <v>0</v>
      </c>
      <c r="AF57" s="44">
        <f>IF(AQ57="2",BH57,0)</f>
        <v>0</v>
      </c>
      <c r="AG57" s="44">
        <f>IF(AQ57="2",BI57,0)</f>
        <v>0</v>
      </c>
      <c r="AH57" s="44">
        <f>IF(AQ57="0",BJ57,0)</f>
        <v>0</v>
      </c>
      <c r="AI57" s="16" t="s">
        <v>145</v>
      </c>
      <c r="AJ57" s="44">
        <f>IF(AN57=0,M57,0)</f>
        <v>0</v>
      </c>
      <c r="AK57" s="44">
        <f>IF(AN57=15,M57,0)</f>
        <v>0</v>
      </c>
      <c r="AL57" s="44">
        <f>IF(AN57=21,M57,0)</f>
        <v>0</v>
      </c>
      <c r="AN57" s="44">
        <v>21</v>
      </c>
      <c r="AO57" s="44">
        <f>L57*0</f>
        <v>0</v>
      </c>
      <c r="AP57" s="44">
        <f>L57*(1-0)</f>
        <v>0</v>
      </c>
      <c r="AQ57" s="30" t="s">
        <v>111</v>
      </c>
      <c r="AV57" s="44">
        <f>AW57+AX57</f>
        <v>0</v>
      </c>
      <c r="AW57" s="44">
        <f>K57*AO57</f>
        <v>0</v>
      </c>
      <c r="AX57" s="44">
        <f>K57*AP57</f>
        <v>0</v>
      </c>
      <c r="AY57" s="30" t="s">
        <v>152</v>
      </c>
      <c r="AZ57" s="30" t="s">
        <v>178</v>
      </c>
      <c r="BA57" s="16" t="s">
        <v>167</v>
      </c>
      <c r="BC57" s="44">
        <f>AW57+AX57</f>
        <v>0</v>
      </c>
      <c r="BD57" s="44">
        <f>L57/(100-BE57)*100</f>
        <v>0</v>
      </c>
      <c r="BE57" s="44">
        <v>0</v>
      </c>
      <c r="BF57" s="44">
        <f>N57</f>
        <v>30188.91</v>
      </c>
      <c r="BH57" s="44">
        <f>K57*AO57</f>
        <v>0</v>
      </c>
      <c r="BI57" s="44">
        <f>K57*AP57</f>
        <v>0</v>
      </c>
      <c r="BJ57" s="44">
        <f>K57*L57</f>
        <v>0</v>
      </c>
      <c r="BK57" s="44"/>
      <c r="BL57" s="44">
        <v>714</v>
      </c>
    </row>
    <row r="58" spans="1:14" ht="15" customHeight="1">
      <c r="A58" s="45"/>
      <c r="D58" s="35" t="s">
        <v>56</v>
      </c>
      <c r="I58" s="35" t="s">
        <v>145</v>
      </c>
      <c r="K58" s="4">
        <v>529.63</v>
      </c>
      <c r="L58" s="25"/>
      <c r="N58" s="23"/>
    </row>
    <row r="59" spans="1:47" ht="15" customHeight="1">
      <c r="A59" s="33" t="s">
        <v>145</v>
      </c>
      <c r="B59" s="42" t="s">
        <v>145</v>
      </c>
      <c r="C59" s="42" t="s">
        <v>116</v>
      </c>
      <c r="D59" s="57" t="s">
        <v>4</v>
      </c>
      <c r="E59" s="57"/>
      <c r="F59" s="57"/>
      <c r="G59" s="57"/>
      <c r="H59" s="57"/>
      <c r="I59" s="57"/>
      <c r="J59" s="26" t="s">
        <v>204</v>
      </c>
      <c r="K59" s="26" t="s">
        <v>204</v>
      </c>
      <c r="L59" s="10" t="s">
        <v>204</v>
      </c>
      <c r="M59" s="1">
        <f>SUM(M60:M66)</f>
        <v>0</v>
      </c>
      <c r="N59" s="47">
        <f>SUM(N60:N66)</f>
        <v>35748.72</v>
      </c>
      <c r="AI59" s="16" t="s">
        <v>145</v>
      </c>
      <c r="AS59" s="1">
        <f>SUM(AJ60:AJ66)</f>
        <v>0</v>
      </c>
      <c r="AT59" s="1">
        <f>SUM(AK60:AK66)</f>
        <v>0</v>
      </c>
      <c r="AU59" s="1">
        <f>SUM(AL60:AL66)</f>
        <v>0</v>
      </c>
    </row>
    <row r="60" spans="1:64" ht="15" customHeight="1">
      <c r="A60" s="41" t="s">
        <v>120</v>
      </c>
      <c r="B60" s="6" t="s">
        <v>145</v>
      </c>
      <c r="C60" s="6" t="s">
        <v>102</v>
      </c>
      <c r="D60" s="58" t="s">
        <v>227</v>
      </c>
      <c r="E60" s="58"/>
      <c r="F60" s="58"/>
      <c r="G60" s="58"/>
      <c r="H60" s="58"/>
      <c r="I60" s="58"/>
      <c r="J60" s="6" t="s">
        <v>215</v>
      </c>
      <c r="K60" s="44">
        <v>283.72</v>
      </c>
      <c r="L60" s="52">
        <v>0</v>
      </c>
      <c r="M60" s="44">
        <f>K60*L60</f>
        <v>0</v>
      </c>
      <c r="N60" s="12">
        <f>K60*60</f>
        <v>17023.2</v>
      </c>
      <c r="Z60" s="44">
        <f>IF(AQ60="5",BJ60,0)</f>
        <v>0</v>
      </c>
      <c r="AB60" s="44">
        <f>IF(AQ60="1",BH60,0)</f>
        <v>0</v>
      </c>
      <c r="AC60" s="44">
        <f>IF(AQ60="1",BI60,0)</f>
        <v>0</v>
      </c>
      <c r="AD60" s="44">
        <f>IF(AQ60="7",BH60,0)</f>
        <v>0</v>
      </c>
      <c r="AE60" s="44">
        <f>IF(AQ60="7",BI60,0)</f>
        <v>0</v>
      </c>
      <c r="AF60" s="44">
        <f>IF(AQ60="2",BH60,0)</f>
        <v>0</v>
      </c>
      <c r="AG60" s="44">
        <f>IF(AQ60="2",BI60,0)</f>
        <v>0</v>
      </c>
      <c r="AH60" s="44">
        <f>IF(AQ60="0",BJ60,0)</f>
        <v>0</v>
      </c>
      <c r="AI60" s="16" t="s">
        <v>145</v>
      </c>
      <c r="AJ60" s="44">
        <f>IF(AN60=0,M60,0)</f>
        <v>0</v>
      </c>
      <c r="AK60" s="44">
        <f>IF(AN60=15,M60,0)</f>
        <v>0</v>
      </c>
      <c r="AL60" s="44">
        <f>IF(AN60=21,M60,0)</f>
        <v>0</v>
      </c>
      <c r="AN60" s="44">
        <v>21</v>
      </c>
      <c r="AO60" s="44">
        <f>L60*0.313043558214048</f>
        <v>0</v>
      </c>
      <c r="AP60" s="44">
        <f>L60*(1-0.313043558214048)</f>
        <v>0</v>
      </c>
      <c r="AQ60" s="30" t="s">
        <v>220</v>
      </c>
      <c r="AV60" s="44">
        <f>AW60+AX60</f>
        <v>0</v>
      </c>
      <c r="AW60" s="44">
        <f>K60*AO60</f>
        <v>0</v>
      </c>
      <c r="AX60" s="44">
        <f>K60*AP60</f>
        <v>0</v>
      </c>
      <c r="AY60" s="30" t="s">
        <v>194</v>
      </c>
      <c r="AZ60" s="30" t="s">
        <v>92</v>
      </c>
      <c r="BA60" s="16" t="s">
        <v>167</v>
      </c>
      <c r="BC60" s="44">
        <f>AW60+AX60</f>
        <v>0</v>
      </c>
      <c r="BD60" s="44">
        <f>L60/(100-BE60)*100</f>
        <v>0</v>
      </c>
      <c r="BE60" s="44">
        <v>0</v>
      </c>
      <c r="BF60" s="44">
        <f>N60</f>
        <v>17023.2</v>
      </c>
      <c r="BH60" s="44">
        <f>K60*AO60</f>
        <v>0</v>
      </c>
      <c r="BI60" s="44">
        <f>K60*AP60</f>
        <v>0</v>
      </c>
      <c r="BJ60" s="44">
        <f>K60*L60</f>
        <v>0</v>
      </c>
      <c r="BK60" s="44"/>
      <c r="BL60" s="44">
        <v>784</v>
      </c>
    </row>
    <row r="61" spans="1:14" ht="15" customHeight="1">
      <c r="A61" s="45"/>
      <c r="D61" s="35" t="s">
        <v>230</v>
      </c>
      <c r="I61" s="35" t="s">
        <v>141</v>
      </c>
      <c r="K61" s="4">
        <v>46.38</v>
      </c>
      <c r="L61" s="25"/>
      <c r="N61" s="23"/>
    </row>
    <row r="62" spans="1:14" ht="15" customHeight="1">
      <c r="A62" s="45"/>
      <c r="D62" s="35" t="s">
        <v>240</v>
      </c>
      <c r="I62" s="35" t="s">
        <v>185</v>
      </c>
      <c r="K62" s="4">
        <v>53.96000000000001</v>
      </c>
      <c r="L62" s="25"/>
      <c r="N62" s="23"/>
    </row>
    <row r="63" spans="1:14" ht="15" customHeight="1">
      <c r="A63" s="45"/>
      <c r="D63" s="35" t="s">
        <v>203</v>
      </c>
      <c r="I63" s="35" t="s">
        <v>118</v>
      </c>
      <c r="K63" s="4">
        <v>73.04</v>
      </c>
      <c r="L63" s="25"/>
      <c r="N63" s="23"/>
    </row>
    <row r="64" spans="1:14" ht="15" customHeight="1">
      <c r="A64" s="45"/>
      <c r="D64" s="35" t="s">
        <v>54</v>
      </c>
      <c r="I64" s="35" t="s">
        <v>76</v>
      </c>
      <c r="K64" s="4">
        <v>52.730000000000004</v>
      </c>
      <c r="L64" s="25"/>
      <c r="N64" s="23"/>
    </row>
    <row r="65" spans="1:14" ht="15" customHeight="1">
      <c r="A65" s="45"/>
      <c r="D65" s="35" t="s">
        <v>73</v>
      </c>
      <c r="I65" s="35" t="s">
        <v>169</v>
      </c>
      <c r="K65" s="4">
        <v>57.61000000000001</v>
      </c>
      <c r="L65" s="25"/>
      <c r="N65" s="23"/>
    </row>
    <row r="66" spans="1:64" ht="15" customHeight="1">
      <c r="A66" s="41" t="s">
        <v>183</v>
      </c>
      <c r="B66" s="6" t="s">
        <v>145</v>
      </c>
      <c r="C66" s="6" t="s">
        <v>148</v>
      </c>
      <c r="D66" s="58" t="s">
        <v>75</v>
      </c>
      <c r="E66" s="58"/>
      <c r="F66" s="58"/>
      <c r="G66" s="58"/>
      <c r="H66" s="58"/>
      <c r="I66" s="58"/>
      <c r="J66" s="6" t="s">
        <v>215</v>
      </c>
      <c r="K66" s="44">
        <v>283.72</v>
      </c>
      <c r="L66" s="52">
        <v>0</v>
      </c>
      <c r="M66" s="44">
        <f>K66*L66</f>
        <v>0</v>
      </c>
      <c r="N66" s="12">
        <f>K66*66</f>
        <v>18725.52</v>
      </c>
      <c r="Z66" s="44">
        <f>IF(AQ66="5",BJ66,0)</f>
        <v>0</v>
      </c>
      <c r="AB66" s="44">
        <f>IF(AQ66="1",BH66,0)</f>
        <v>0</v>
      </c>
      <c r="AC66" s="44">
        <f>IF(AQ66="1",BI66,0)</f>
        <v>0</v>
      </c>
      <c r="AD66" s="44">
        <f>IF(AQ66="7",BH66,0)</f>
        <v>0</v>
      </c>
      <c r="AE66" s="44">
        <f>IF(AQ66="7",BI66,0)</f>
        <v>0</v>
      </c>
      <c r="AF66" s="44">
        <f>IF(AQ66="2",BH66,0)</f>
        <v>0</v>
      </c>
      <c r="AG66" s="44">
        <f>IF(AQ66="2",BI66,0)</f>
        <v>0</v>
      </c>
      <c r="AH66" s="44">
        <f>IF(AQ66="0",BJ66,0)</f>
        <v>0</v>
      </c>
      <c r="AI66" s="16" t="s">
        <v>145</v>
      </c>
      <c r="AJ66" s="44">
        <f>IF(AN66=0,M66,0)</f>
        <v>0</v>
      </c>
      <c r="AK66" s="44">
        <f>IF(AN66=15,M66,0)</f>
        <v>0</v>
      </c>
      <c r="AL66" s="44">
        <f>IF(AN66=21,M66,0)</f>
        <v>0</v>
      </c>
      <c r="AN66" s="44">
        <v>21</v>
      </c>
      <c r="AO66" s="44">
        <f>L66*0.120568533447755</f>
        <v>0</v>
      </c>
      <c r="AP66" s="44">
        <f>L66*(1-0.120568533447755)</f>
        <v>0</v>
      </c>
      <c r="AQ66" s="30" t="s">
        <v>220</v>
      </c>
      <c r="AV66" s="44">
        <f>AW66+AX66</f>
        <v>0</v>
      </c>
      <c r="AW66" s="44">
        <f>K66*AO66</f>
        <v>0</v>
      </c>
      <c r="AX66" s="44">
        <f>K66*AP66</f>
        <v>0</v>
      </c>
      <c r="AY66" s="30" t="s">
        <v>194</v>
      </c>
      <c r="AZ66" s="30" t="s">
        <v>92</v>
      </c>
      <c r="BA66" s="16" t="s">
        <v>167</v>
      </c>
      <c r="BC66" s="44">
        <f>AW66+AX66</f>
        <v>0</v>
      </c>
      <c r="BD66" s="44">
        <f>L66/(100-BE66)*100</f>
        <v>0</v>
      </c>
      <c r="BE66" s="44">
        <v>0</v>
      </c>
      <c r="BF66" s="44">
        <f>N66</f>
        <v>18725.52</v>
      </c>
      <c r="BH66" s="44">
        <f>K66*AO66</f>
        <v>0</v>
      </c>
      <c r="BI66" s="44">
        <f>K66*AP66</f>
        <v>0</v>
      </c>
      <c r="BJ66" s="44">
        <f>K66*L66</f>
        <v>0</v>
      </c>
      <c r="BK66" s="44"/>
      <c r="BL66" s="44">
        <v>784</v>
      </c>
    </row>
    <row r="67" spans="1:14" ht="15" customHeight="1">
      <c r="A67" s="45"/>
      <c r="D67" s="35" t="s">
        <v>107</v>
      </c>
      <c r="I67" s="35" t="s">
        <v>141</v>
      </c>
      <c r="K67" s="4">
        <v>46.38</v>
      </c>
      <c r="L67" s="25"/>
      <c r="N67" s="23"/>
    </row>
    <row r="68" spans="1:14" ht="15" customHeight="1">
      <c r="A68" s="45"/>
      <c r="D68" s="35" t="s">
        <v>165</v>
      </c>
      <c r="I68" s="35" t="s">
        <v>185</v>
      </c>
      <c r="K68" s="4">
        <v>53.96000000000001</v>
      </c>
      <c r="L68" s="25"/>
      <c r="N68" s="23"/>
    </row>
    <row r="69" spans="1:14" ht="15" customHeight="1">
      <c r="A69" s="45"/>
      <c r="D69" s="35" t="s">
        <v>1</v>
      </c>
      <c r="I69" s="35" t="s">
        <v>118</v>
      </c>
      <c r="K69" s="4">
        <v>73.04</v>
      </c>
      <c r="L69" s="25"/>
      <c r="N69" s="23"/>
    </row>
    <row r="70" spans="1:14" ht="15" customHeight="1">
      <c r="A70" s="45"/>
      <c r="D70" s="35" t="s">
        <v>91</v>
      </c>
      <c r="I70" s="35" t="s">
        <v>76</v>
      </c>
      <c r="K70" s="4">
        <v>52.730000000000004</v>
      </c>
      <c r="L70" s="25"/>
      <c r="N70" s="23"/>
    </row>
    <row r="71" spans="1:14" ht="15" customHeight="1">
      <c r="A71" s="45"/>
      <c r="D71" s="35" t="s">
        <v>86</v>
      </c>
      <c r="I71" s="35" t="s">
        <v>169</v>
      </c>
      <c r="K71" s="4">
        <v>57.61000000000001</v>
      </c>
      <c r="L71" s="25"/>
      <c r="N71" s="23"/>
    </row>
    <row r="72" spans="1:47" ht="15" customHeight="1">
      <c r="A72" s="33" t="s">
        <v>145</v>
      </c>
      <c r="B72" s="42" t="s">
        <v>145</v>
      </c>
      <c r="C72" s="42" t="s">
        <v>27</v>
      </c>
      <c r="D72" s="57" t="s">
        <v>150</v>
      </c>
      <c r="E72" s="57"/>
      <c r="F72" s="57"/>
      <c r="G72" s="57"/>
      <c r="H72" s="57"/>
      <c r="I72" s="57"/>
      <c r="J72" s="26" t="s">
        <v>204</v>
      </c>
      <c r="K72" s="26" t="s">
        <v>204</v>
      </c>
      <c r="L72" s="10" t="s">
        <v>204</v>
      </c>
      <c r="M72" s="1">
        <f>SUM(M73:M77)</f>
        <v>0</v>
      </c>
      <c r="N72" s="47">
        <f>SUM(N73:N77)</f>
        <v>3412</v>
      </c>
      <c r="AI72" s="16" t="s">
        <v>145</v>
      </c>
      <c r="AS72" s="1">
        <f>SUM(AJ73:AJ77)</f>
        <v>0</v>
      </c>
      <c r="AT72" s="1">
        <f>SUM(AK73:AK77)</f>
        <v>0</v>
      </c>
      <c r="AU72" s="1">
        <f>SUM(AL73:AL77)</f>
        <v>0</v>
      </c>
    </row>
    <row r="73" spans="1:64" ht="15" customHeight="1">
      <c r="A73" s="41" t="s">
        <v>157</v>
      </c>
      <c r="B73" s="6" t="s">
        <v>145</v>
      </c>
      <c r="C73" s="6" t="s">
        <v>207</v>
      </c>
      <c r="D73" s="58" t="s">
        <v>50</v>
      </c>
      <c r="E73" s="58"/>
      <c r="F73" s="58"/>
      <c r="G73" s="58"/>
      <c r="H73" s="58"/>
      <c r="I73" s="58"/>
      <c r="J73" s="6" t="s">
        <v>42</v>
      </c>
      <c r="K73" s="44">
        <v>2</v>
      </c>
      <c r="L73" s="52">
        <v>0</v>
      </c>
      <c r="M73" s="44">
        <f>K73*L73</f>
        <v>0</v>
      </c>
      <c r="N73" s="12">
        <f>K73*73</f>
        <v>146</v>
      </c>
      <c r="Z73" s="44">
        <f>IF(AQ73="5",BJ73,0)</f>
        <v>0</v>
      </c>
      <c r="AB73" s="44">
        <f>IF(AQ73="1",BH73,0)</f>
        <v>0</v>
      </c>
      <c r="AC73" s="44">
        <f>IF(AQ73="1",BI73,0)</f>
        <v>0</v>
      </c>
      <c r="AD73" s="44">
        <f>IF(AQ73="7",BH73,0)</f>
        <v>0</v>
      </c>
      <c r="AE73" s="44">
        <f>IF(AQ73="7",BI73,0)</f>
        <v>0</v>
      </c>
      <c r="AF73" s="44">
        <f>IF(AQ73="2",BH73,0)</f>
        <v>0</v>
      </c>
      <c r="AG73" s="44">
        <f>IF(AQ73="2",BI73,0)</f>
        <v>0</v>
      </c>
      <c r="AH73" s="44">
        <f>IF(AQ73="0",BJ73,0)</f>
        <v>0</v>
      </c>
      <c r="AI73" s="16" t="s">
        <v>145</v>
      </c>
      <c r="AJ73" s="44">
        <f>IF(AN73=0,M73,0)</f>
        <v>0</v>
      </c>
      <c r="AK73" s="44">
        <f>IF(AN73=15,M73,0)</f>
        <v>0</v>
      </c>
      <c r="AL73" s="44">
        <f>IF(AN73=21,M73,0)</f>
        <v>0</v>
      </c>
      <c r="AN73" s="44">
        <v>21</v>
      </c>
      <c r="AO73" s="44">
        <f>L73*0</f>
        <v>0</v>
      </c>
      <c r="AP73" s="44">
        <f>L73*(1-0)</f>
        <v>0</v>
      </c>
      <c r="AQ73" s="30" t="s">
        <v>219</v>
      </c>
      <c r="AV73" s="44">
        <f>AW73+AX73</f>
        <v>0</v>
      </c>
      <c r="AW73" s="44">
        <f>K73*AO73</f>
        <v>0</v>
      </c>
      <c r="AX73" s="44">
        <f>K73*AP73</f>
        <v>0</v>
      </c>
      <c r="AY73" s="30" t="s">
        <v>238</v>
      </c>
      <c r="AZ73" s="30" t="s">
        <v>77</v>
      </c>
      <c r="BA73" s="16" t="s">
        <v>167</v>
      </c>
      <c r="BC73" s="44">
        <f>AW73+AX73</f>
        <v>0</v>
      </c>
      <c r="BD73" s="44">
        <f>L73/(100-BE73)*100</f>
        <v>0</v>
      </c>
      <c r="BE73" s="44">
        <v>0</v>
      </c>
      <c r="BF73" s="44">
        <f>N73</f>
        <v>146</v>
      </c>
      <c r="BH73" s="44">
        <f>K73*AO73</f>
        <v>0</v>
      </c>
      <c r="BI73" s="44">
        <f>K73*AP73</f>
        <v>0</v>
      </c>
      <c r="BJ73" s="44">
        <f>K73*L73</f>
        <v>0</v>
      </c>
      <c r="BK73" s="44"/>
      <c r="BL73" s="44">
        <v>94</v>
      </c>
    </row>
    <row r="74" spans="1:64" ht="15" customHeight="1">
      <c r="A74" s="41" t="s">
        <v>63</v>
      </c>
      <c r="B74" s="6" t="s">
        <v>145</v>
      </c>
      <c r="C74" s="6" t="s">
        <v>119</v>
      </c>
      <c r="D74" s="58" t="s">
        <v>239</v>
      </c>
      <c r="E74" s="58"/>
      <c r="F74" s="58"/>
      <c r="G74" s="58"/>
      <c r="H74" s="58"/>
      <c r="I74" s="58"/>
      <c r="J74" s="6" t="s">
        <v>12</v>
      </c>
      <c r="K74" s="44">
        <v>40</v>
      </c>
      <c r="L74" s="52">
        <v>0</v>
      </c>
      <c r="M74" s="44">
        <f>K74*L74</f>
        <v>0</v>
      </c>
      <c r="N74" s="12">
        <f>K74*74</f>
        <v>2960</v>
      </c>
      <c r="Z74" s="44">
        <f>IF(AQ74="5",BJ74,0)</f>
        <v>0</v>
      </c>
      <c r="AB74" s="44">
        <f>IF(AQ74="1",BH74,0)</f>
        <v>0</v>
      </c>
      <c r="AC74" s="44">
        <f>IF(AQ74="1",BI74,0)</f>
        <v>0</v>
      </c>
      <c r="AD74" s="44">
        <f>IF(AQ74="7",BH74,0)</f>
        <v>0</v>
      </c>
      <c r="AE74" s="44">
        <f>IF(AQ74="7",BI74,0)</f>
        <v>0</v>
      </c>
      <c r="AF74" s="44">
        <f>IF(AQ74="2",BH74,0)</f>
        <v>0</v>
      </c>
      <c r="AG74" s="44">
        <f>IF(AQ74="2",BI74,0)</f>
        <v>0</v>
      </c>
      <c r="AH74" s="44">
        <f>IF(AQ74="0",BJ74,0)</f>
        <v>0</v>
      </c>
      <c r="AI74" s="16" t="s">
        <v>145</v>
      </c>
      <c r="AJ74" s="44">
        <f>IF(AN74=0,M74,0)</f>
        <v>0</v>
      </c>
      <c r="AK74" s="44">
        <f>IF(AN74=15,M74,0)</f>
        <v>0</v>
      </c>
      <c r="AL74" s="44">
        <f>IF(AN74=21,M74,0)</f>
        <v>0</v>
      </c>
      <c r="AN74" s="44">
        <v>21</v>
      </c>
      <c r="AO74" s="44">
        <f>L74*0</f>
        <v>0</v>
      </c>
      <c r="AP74" s="44">
        <f>L74*(1-0)</f>
        <v>0</v>
      </c>
      <c r="AQ74" s="30" t="s">
        <v>219</v>
      </c>
      <c r="AV74" s="44">
        <f>AW74+AX74</f>
        <v>0</v>
      </c>
      <c r="AW74" s="44">
        <f>K74*AO74</f>
        <v>0</v>
      </c>
      <c r="AX74" s="44">
        <f>K74*AP74</f>
        <v>0</v>
      </c>
      <c r="AY74" s="30" t="s">
        <v>238</v>
      </c>
      <c r="AZ74" s="30" t="s">
        <v>77</v>
      </c>
      <c r="BA74" s="16" t="s">
        <v>167</v>
      </c>
      <c r="BC74" s="44">
        <f>AW74+AX74</f>
        <v>0</v>
      </c>
      <c r="BD74" s="44">
        <f>L74/(100-BE74)*100</f>
        <v>0</v>
      </c>
      <c r="BE74" s="44">
        <v>0</v>
      </c>
      <c r="BF74" s="44">
        <f>N74</f>
        <v>2960</v>
      </c>
      <c r="BH74" s="44">
        <f>K74*AO74</f>
        <v>0</v>
      </c>
      <c r="BI74" s="44">
        <f>K74*AP74</f>
        <v>0</v>
      </c>
      <c r="BJ74" s="44">
        <f>K74*L74</f>
        <v>0</v>
      </c>
      <c r="BK74" s="44"/>
      <c r="BL74" s="44">
        <v>94</v>
      </c>
    </row>
    <row r="75" spans="1:14" ht="15" customHeight="1">
      <c r="A75" s="45"/>
      <c r="D75" s="35" t="s">
        <v>130</v>
      </c>
      <c r="I75" s="35" t="s">
        <v>145</v>
      </c>
      <c r="K75" s="4">
        <v>40</v>
      </c>
      <c r="L75" s="25"/>
      <c r="N75" s="23"/>
    </row>
    <row r="76" spans="1:64" ht="15" customHeight="1">
      <c r="A76" s="41" t="s">
        <v>121</v>
      </c>
      <c r="B76" s="6" t="s">
        <v>145</v>
      </c>
      <c r="C76" s="6" t="s">
        <v>115</v>
      </c>
      <c r="D76" s="58" t="s">
        <v>188</v>
      </c>
      <c r="E76" s="58"/>
      <c r="F76" s="58"/>
      <c r="G76" s="58"/>
      <c r="H76" s="58"/>
      <c r="I76" s="58"/>
      <c r="J76" s="6" t="s">
        <v>164</v>
      </c>
      <c r="K76" s="44">
        <v>2</v>
      </c>
      <c r="L76" s="52">
        <v>0</v>
      </c>
      <c r="M76" s="44">
        <f>K76*L76</f>
        <v>0</v>
      </c>
      <c r="N76" s="12">
        <f>K76*76</f>
        <v>152</v>
      </c>
      <c r="Z76" s="44">
        <f>IF(AQ76="5",BJ76,0)</f>
        <v>0</v>
      </c>
      <c r="AB76" s="44">
        <f>IF(AQ76="1",BH76,0)</f>
        <v>0</v>
      </c>
      <c r="AC76" s="44">
        <f>IF(AQ76="1",BI76,0)</f>
        <v>0</v>
      </c>
      <c r="AD76" s="44">
        <f>IF(AQ76="7",BH76,0)</f>
        <v>0</v>
      </c>
      <c r="AE76" s="44">
        <f>IF(AQ76="7",BI76,0)</f>
        <v>0</v>
      </c>
      <c r="AF76" s="44">
        <f>IF(AQ76="2",BH76,0)</f>
        <v>0</v>
      </c>
      <c r="AG76" s="44">
        <f>IF(AQ76="2",BI76,0)</f>
        <v>0</v>
      </c>
      <c r="AH76" s="44">
        <f>IF(AQ76="0",BJ76,0)</f>
        <v>0</v>
      </c>
      <c r="AI76" s="16" t="s">
        <v>145</v>
      </c>
      <c r="AJ76" s="44">
        <f>IF(AN76=0,M76,0)</f>
        <v>0</v>
      </c>
      <c r="AK76" s="44">
        <f>IF(AN76=15,M76,0)</f>
        <v>0</v>
      </c>
      <c r="AL76" s="44">
        <f>IF(AN76=21,M76,0)</f>
        <v>0</v>
      </c>
      <c r="AN76" s="44">
        <v>21</v>
      </c>
      <c r="AO76" s="44">
        <f>L76*0</f>
        <v>0</v>
      </c>
      <c r="AP76" s="44">
        <f>L76*(1-0)</f>
        <v>0</v>
      </c>
      <c r="AQ76" s="30" t="s">
        <v>219</v>
      </c>
      <c r="AV76" s="44">
        <f>AW76+AX76</f>
        <v>0</v>
      </c>
      <c r="AW76" s="44">
        <f>K76*AO76</f>
        <v>0</v>
      </c>
      <c r="AX76" s="44">
        <f>K76*AP76</f>
        <v>0</v>
      </c>
      <c r="AY76" s="30" t="s">
        <v>238</v>
      </c>
      <c r="AZ76" s="30" t="s">
        <v>77</v>
      </c>
      <c r="BA76" s="16" t="s">
        <v>167</v>
      </c>
      <c r="BC76" s="44">
        <f>AW76+AX76</f>
        <v>0</v>
      </c>
      <c r="BD76" s="44">
        <f>L76/(100-BE76)*100</f>
        <v>0</v>
      </c>
      <c r="BE76" s="44">
        <v>0</v>
      </c>
      <c r="BF76" s="44">
        <f>N76</f>
        <v>152</v>
      </c>
      <c r="BH76" s="44">
        <f>K76*AO76</f>
        <v>0</v>
      </c>
      <c r="BI76" s="44">
        <f>K76*AP76</f>
        <v>0</v>
      </c>
      <c r="BJ76" s="44">
        <f>K76*L76</f>
        <v>0</v>
      </c>
      <c r="BK76" s="44"/>
      <c r="BL76" s="44">
        <v>94</v>
      </c>
    </row>
    <row r="77" spans="1:64" ht="15" customHeight="1">
      <c r="A77" s="41" t="s">
        <v>84</v>
      </c>
      <c r="B77" s="6" t="s">
        <v>145</v>
      </c>
      <c r="C77" s="6" t="s">
        <v>159</v>
      </c>
      <c r="D77" s="58" t="s">
        <v>233</v>
      </c>
      <c r="E77" s="58"/>
      <c r="F77" s="58"/>
      <c r="G77" s="58"/>
      <c r="H77" s="58"/>
      <c r="I77" s="58"/>
      <c r="J77" s="6" t="s">
        <v>42</v>
      </c>
      <c r="K77" s="44">
        <v>2</v>
      </c>
      <c r="L77" s="52">
        <v>0</v>
      </c>
      <c r="M77" s="44">
        <f>K77*L77</f>
        <v>0</v>
      </c>
      <c r="N77" s="12">
        <f>K77*77</f>
        <v>154</v>
      </c>
      <c r="Z77" s="44">
        <f>IF(AQ77="5",BJ77,0)</f>
        <v>0</v>
      </c>
      <c r="AB77" s="44">
        <f>IF(AQ77="1",BH77,0)</f>
        <v>0</v>
      </c>
      <c r="AC77" s="44">
        <f>IF(AQ77="1",BI77,0)</f>
        <v>0</v>
      </c>
      <c r="AD77" s="44">
        <f>IF(AQ77="7",BH77,0)</f>
        <v>0</v>
      </c>
      <c r="AE77" s="44">
        <f>IF(AQ77="7",BI77,0)</f>
        <v>0</v>
      </c>
      <c r="AF77" s="44">
        <f>IF(AQ77="2",BH77,0)</f>
        <v>0</v>
      </c>
      <c r="AG77" s="44">
        <f>IF(AQ77="2",BI77,0)</f>
        <v>0</v>
      </c>
      <c r="AH77" s="44">
        <f>IF(AQ77="0",BJ77,0)</f>
        <v>0</v>
      </c>
      <c r="AI77" s="16" t="s">
        <v>145</v>
      </c>
      <c r="AJ77" s="44">
        <f>IF(AN77=0,M77,0)</f>
        <v>0</v>
      </c>
      <c r="AK77" s="44">
        <f>IF(AN77=15,M77,0)</f>
        <v>0</v>
      </c>
      <c r="AL77" s="44">
        <f>IF(AN77=21,M77,0)</f>
        <v>0</v>
      </c>
      <c r="AN77" s="44">
        <v>21</v>
      </c>
      <c r="AO77" s="44">
        <f>L77*0</f>
        <v>0</v>
      </c>
      <c r="AP77" s="44">
        <f>L77*(1-0)</f>
        <v>0</v>
      </c>
      <c r="AQ77" s="30" t="s">
        <v>219</v>
      </c>
      <c r="AV77" s="44">
        <f>AW77+AX77</f>
        <v>0</v>
      </c>
      <c r="AW77" s="44">
        <f>K77*AO77</f>
        <v>0</v>
      </c>
      <c r="AX77" s="44">
        <f>K77*AP77</f>
        <v>0</v>
      </c>
      <c r="AY77" s="30" t="s">
        <v>238</v>
      </c>
      <c r="AZ77" s="30" t="s">
        <v>77</v>
      </c>
      <c r="BA77" s="16" t="s">
        <v>167</v>
      </c>
      <c r="BC77" s="44">
        <f>AW77+AX77</f>
        <v>0</v>
      </c>
      <c r="BD77" s="44">
        <f>L77/(100-BE77)*100</f>
        <v>0</v>
      </c>
      <c r="BE77" s="44">
        <v>0</v>
      </c>
      <c r="BF77" s="44">
        <f>N77</f>
        <v>154</v>
      </c>
      <c r="BH77" s="44">
        <f>K77*AO77</f>
        <v>0</v>
      </c>
      <c r="BI77" s="44">
        <f>K77*AP77</f>
        <v>0</v>
      </c>
      <c r="BJ77" s="44">
        <f>K77*L77</f>
        <v>0</v>
      </c>
      <c r="BK77" s="44"/>
      <c r="BL77" s="44">
        <v>94</v>
      </c>
    </row>
    <row r="78" spans="1:47" ht="15" customHeight="1">
      <c r="A78" s="33" t="s">
        <v>145</v>
      </c>
      <c r="B78" s="42" t="s">
        <v>145</v>
      </c>
      <c r="C78" s="42" t="s">
        <v>85</v>
      </c>
      <c r="D78" s="57" t="s">
        <v>162</v>
      </c>
      <c r="E78" s="57"/>
      <c r="F78" s="57"/>
      <c r="G78" s="57"/>
      <c r="H78" s="57"/>
      <c r="I78" s="57"/>
      <c r="J78" s="26" t="s">
        <v>204</v>
      </c>
      <c r="K78" s="26" t="s">
        <v>204</v>
      </c>
      <c r="L78" s="10" t="s">
        <v>204</v>
      </c>
      <c r="M78" s="1">
        <f>SUM(M79:M79)</f>
        <v>0</v>
      </c>
      <c r="N78" s="47">
        <f>SUM(N79:N79)</f>
        <v>45500.840000000004</v>
      </c>
      <c r="AI78" s="16" t="s">
        <v>145</v>
      </c>
      <c r="AS78" s="1">
        <f>SUM(AJ79:AJ79)</f>
        <v>0</v>
      </c>
      <c r="AT78" s="1">
        <f>SUM(AK79:AK79)</f>
        <v>0</v>
      </c>
      <c r="AU78" s="1">
        <f>SUM(AL79:AL79)</f>
        <v>0</v>
      </c>
    </row>
    <row r="79" spans="1:64" ht="15" customHeight="1">
      <c r="A79" s="41" t="s">
        <v>21</v>
      </c>
      <c r="B79" s="6" t="s">
        <v>145</v>
      </c>
      <c r="C79" s="6" t="s">
        <v>193</v>
      </c>
      <c r="D79" s="58" t="s">
        <v>66</v>
      </c>
      <c r="E79" s="58"/>
      <c r="F79" s="58"/>
      <c r="G79" s="58"/>
      <c r="H79" s="58"/>
      <c r="I79" s="58"/>
      <c r="J79" s="6" t="s">
        <v>215</v>
      </c>
      <c r="K79" s="44">
        <v>575.96</v>
      </c>
      <c r="L79" s="52">
        <v>0</v>
      </c>
      <c r="M79" s="44">
        <f>K79*L79</f>
        <v>0</v>
      </c>
      <c r="N79" s="12">
        <f>K79*79</f>
        <v>45500.840000000004</v>
      </c>
      <c r="Z79" s="44">
        <f>IF(AQ79="5",BJ79,0)</f>
        <v>0</v>
      </c>
      <c r="AB79" s="44">
        <f>IF(AQ79="1",BH79,0)</f>
        <v>0</v>
      </c>
      <c r="AC79" s="44">
        <f>IF(AQ79="1",BI79,0)</f>
        <v>0</v>
      </c>
      <c r="AD79" s="44">
        <f>IF(AQ79="7",BH79,0)</f>
        <v>0</v>
      </c>
      <c r="AE79" s="44">
        <f>IF(AQ79="7",BI79,0)</f>
        <v>0</v>
      </c>
      <c r="AF79" s="44">
        <f>IF(AQ79="2",BH79,0)</f>
        <v>0</v>
      </c>
      <c r="AG79" s="44">
        <f>IF(AQ79="2",BI79,0)</f>
        <v>0</v>
      </c>
      <c r="AH79" s="44">
        <f>IF(AQ79="0",BJ79,0)</f>
        <v>0</v>
      </c>
      <c r="AI79" s="16" t="s">
        <v>145</v>
      </c>
      <c r="AJ79" s="44">
        <f>IF(AN79=0,M79,0)</f>
        <v>0</v>
      </c>
      <c r="AK79" s="44">
        <f>IF(AN79=15,M79,0)</f>
        <v>0</v>
      </c>
      <c r="AL79" s="44">
        <f>IF(AN79=21,M79,0)</f>
        <v>0</v>
      </c>
      <c r="AN79" s="44">
        <v>21</v>
      </c>
      <c r="AO79" s="44">
        <f>L79*0.0121374045801527</f>
        <v>0</v>
      </c>
      <c r="AP79" s="44">
        <f>L79*(1-0.0121374045801527)</f>
        <v>0</v>
      </c>
      <c r="AQ79" s="30" t="s">
        <v>219</v>
      </c>
      <c r="AV79" s="44">
        <f>AW79+AX79</f>
        <v>0</v>
      </c>
      <c r="AW79" s="44">
        <f>K79*AO79</f>
        <v>0</v>
      </c>
      <c r="AX79" s="44">
        <f>K79*AP79</f>
        <v>0</v>
      </c>
      <c r="AY79" s="30" t="s">
        <v>125</v>
      </c>
      <c r="AZ79" s="30" t="s">
        <v>77</v>
      </c>
      <c r="BA79" s="16" t="s">
        <v>167</v>
      </c>
      <c r="BC79" s="44">
        <f>AW79+AX79</f>
        <v>0</v>
      </c>
      <c r="BD79" s="44">
        <f>L79/(100-BE79)*100</f>
        <v>0</v>
      </c>
      <c r="BE79" s="44">
        <v>0</v>
      </c>
      <c r="BF79" s="44">
        <f>N79</f>
        <v>45500.840000000004</v>
      </c>
      <c r="BH79" s="44">
        <f>K79*AO79</f>
        <v>0</v>
      </c>
      <c r="BI79" s="44">
        <f>K79*AP79</f>
        <v>0</v>
      </c>
      <c r="BJ79" s="44">
        <f>K79*L79</f>
        <v>0</v>
      </c>
      <c r="BK79" s="44"/>
      <c r="BL79" s="44">
        <v>95</v>
      </c>
    </row>
    <row r="80" spans="1:14" ht="15" customHeight="1">
      <c r="A80" s="45"/>
      <c r="D80" s="35" t="s">
        <v>9</v>
      </c>
      <c r="I80" s="35" t="s">
        <v>145</v>
      </c>
      <c r="K80" s="4">
        <v>575.96</v>
      </c>
      <c r="L80" s="25"/>
      <c r="N80" s="23"/>
    </row>
    <row r="81" spans="1:47" ht="15" customHeight="1">
      <c r="A81" s="33" t="s">
        <v>145</v>
      </c>
      <c r="B81" s="42" t="s">
        <v>145</v>
      </c>
      <c r="C81" s="42" t="s">
        <v>214</v>
      </c>
      <c r="D81" s="57" t="s">
        <v>112</v>
      </c>
      <c r="E81" s="57"/>
      <c r="F81" s="57"/>
      <c r="G81" s="57"/>
      <c r="H81" s="57"/>
      <c r="I81" s="57"/>
      <c r="J81" s="26" t="s">
        <v>204</v>
      </c>
      <c r="K81" s="26" t="s">
        <v>204</v>
      </c>
      <c r="L81" s="10" t="s">
        <v>204</v>
      </c>
      <c r="M81" s="1">
        <f>SUM(M82:M83)</f>
        <v>0</v>
      </c>
      <c r="N81" s="47">
        <f>SUM(N82:N83)</f>
        <v>413</v>
      </c>
      <c r="AI81" s="16" t="s">
        <v>145</v>
      </c>
      <c r="AS81" s="1">
        <f>SUM(AJ82:AJ83)</f>
        <v>0</v>
      </c>
      <c r="AT81" s="1">
        <f>SUM(AK82:AK83)</f>
        <v>0</v>
      </c>
      <c r="AU81" s="1">
        <f>SUM(AL82:AL83)</f>
        <v>0</v>
      </c>
    </row>
    <row r="82" spans="1:64" ht="15" customHeight="1">
      <c r="A82" s="41" t="s">
        <v>146</v>
      </c>
      <c r="B82" s="6" t="s">
        <v>145</v>
      </c>
      <c r="C82" s="6" t="s">
        <v>191</v>
      </c>
      <c r="D82" s="58" t="s">
        <v>197</v>
      </c>
      <c r="E82" s="58"/>
      <c r="F82" s="58"/>
      <c r="G82" s="58"/>
      <c r="H82" s="58"/>
      <c r="I82" s="58"/>
      <c r="J82" s="6" t="s">
        <v>51</v>
      </c>
      <c r="K82" s="44">
        <v>2</v>
      </c>
      <c r="L82" s="52">
        <v>0</v>
      </c>
      <c r="M82" s="44">
        <f>K82*L82</f>
        <v>0</v>
      </c>
      <c r="N82" s="12">
        <f>K82*82</f>
        <v>164</v>
      </c>
      <c r="Z82" s="44">
        <f>IF(AQ82="5",BJ82,0)</f>
        <v>0</v>
      </c>
      <c r="AB82" s="44">
        <f>IF(AQ82="1",BH82,0)</f>
        <v>0</v>
      </c>
      <c r="AC82" s="44">
        <f>IF(AQ82="1",BI82,0)</f>
        <v>0</v>
      </c>
      <c r="AD82" s="44">
        <f>IF(AQ82="7",BH82,0)</f>
        <v>0</v>
      </c>
      <c r="AE82" s="44">
        <f>IF(AQ82="7",BI82,0)</f>
        <v>0</v>
      </c>
      <c r="AF82" s="44">
        <f>IF(AQ82="2",BH82,0)</f>
        <v>0</v>
      </c>
      <c r="AG82" s="44">
        <f>IF(AQ82="2",BI82,0)</f>
        <v>0</v>
      </c>
      <c r="AH82" s="44">
        <f>IF(AQ82="0",BJ82,0)</f>
        <v>0</v>
      </c>
      <c r="AI82" s="16" t="s">
        <v>145</v>
      </c>
      <c r="AJ82" s="44">
        <f>IF(AN82=0,M82,0)</f>
        <v>0</v>
      </c>
      <c r="AK82" s="44">
        <f>IF(AN82=15,M82,0)</f>
        <v>0</v>
      </c>
      <c r="AL82" s="44">
        <f>IF(AN82=21,M82,0)</f>
        <v>0</v>
      </c>
      <c r="AN82" s="44">
        <v>21</v>
      </c>
      <c r="AO82" s="44">
        <f>L82*0</f>
        <v>0</v>
      </c>
      <c r="AP82" s="44">
        <f>L82*(1-0)</f>
        <v>0</v>
      </c>
      <c r="AQ82" s="30" t="s">
        <v>219</v>
      </c>
      <c r="AV82" s="44">
        <f>AW82+AX82</f>
        <v>0</v>
      </c>
      <c r="AW82" s="44">
        <f>K82*AO82</f>
        <v>0</v>
      </c>
      <c r="AX82" s="44">
        <f>K82*AP82</f>
        <v>0</v>
      </c>
      <c r="AY82" s="30" t="s">
        <v>199</v>
      </c>
      <c r="AZ82" s="30" t="s">
        <v>77</v>
      </c>
      <c r="BA82" s="16" t="s">
        <v>167</v>
      </c>
      <c r="BC82" s="44">
        <f>AW82+AX82</f>
        <v>0</v>
      </c>
      <c r="BD82" s="44">
        <f>L82/(100-BE82)*100</f>
        <v>0</v>
      </c>
      <c r="BE82" s="44">
        <v>0</v>
      </c>
      <c r="BF82" s="44">
        <f>N82</f>
        <v>164</v>
      </c>
      <c r="BH82" s="44">
        <f>K82*AO82</f>
        <v>0</v>
      </c>
      <c r="BI82" s="44">
        <f>K82*AP82</f>
        <v>0</v>
      </c>
      <c r="BJ82" s="44">
        <f>K82*L82</f>
        <v>0</v>
      </c>
      <c r="BK82" s="44"/>
      <c r="BL82" s="44"/>
    </row>
    <row r="83" spans="1:64" ht="15" customHeight="1">
      <c r="A83" s="41" t="s">
        <v>175</v>
      </c>
      <c r="B83" s="6" t="s">
        <v>145</v>
      </c>
      <c r="C83" s="6" t="s">
        <v>6</v>
      </c>
      <c r="D83" s="58" t="s">
        <v>49</v>
      </c>
      <c r="E83" s="58"/>
      <c r="F83" s="58"/>
      <c r="G83" s="58"/>
      <c r="H83" s="58"/>
      <c r="I83" s="58"/>
      <c r="J83" s="6" t="s">
        <v>51</v>
      </c>
      <c r="K83" s="44">
        <v>3</v>
      </c>
      <c r="L83" s="52">
        <v>0</v>
      </c>
      <c r="M83" s="44">
        <f>K83*L83</f>
        <v>0</v>
      </c>
      <c r="N83" s="12">
        <f>K83*83</f>
        <v>249</v>
      </c>
      <c r="Z83" s="44">
        <f>IF(AQ83="5",BJ83,0)</f>
        <v>0</v>
      </c>
      <c r="AB83" s="44">
        <f>IF(AQ83="1",BH83,0)</f>
        <v>0</v>
      </c>
      <c r="AC83" s="44">
        <f>IF(AQ83="1",BI83,0)</f>
        <v>0</v>
      </c>
      <c r="AD83" s="44">
        <f>IF(AQ83="7",BH83,0)</f>
        <v>0</v>
      </c>
      <c r="AE83" s="44">
        <f>IF(AQ83="7",BI83,0)</f>
        <v>0</v>
      </c>
      <c r="AF83" s="44">
        <f>IF(AQ83="2",BH83,0)</f>
        <v>0</v>
      </c>
      <c r="AG83" s="44">
        <f>IF(AQ83="2",BI83,0)</f>
        <v>0</v>
      </c>
      <c r="AH83" s="44">
        <f>IF(AQ83="0",BJ83,0)</f>
        <v>0</v>
      </c>
      <c r="AI83" s="16" t="s">
        <v>145</v>
      </c>
      <c r="AJ83" s="44">
        <f>IF(AN83=0,M83,0)</f>
        <v>0</v>
      </c>
      <c r="AK83" s="44">
        <f>IF(AN83=15,M83,0)</f>
        <v>0</v>
      </c>
      <c r="AL83" s="44">
        <f>IF(AN83=21,M83,0)</f>
        <v>0</v>
      </c>
      <c r="AN83" s="44">
        <v>21</v>
      </c>
      <c r="AO83" s="44">
        <f>L83*0</f>
        <v>0</v>
      </c>
      <c r="AP83" s="44">
        <f>L83*(1-0)</f>
        <v>0</v>
      </c>
      <c r="AQ83" s="30" t="s">
        <v>219</v>
      </c>
      <c r="AV83" s="44">
        <f>AW83+AX83</f>
        <v>0</v>
      </c>
      <c r="AW83" s="44">
        <f>K83*AO83</f>
        <v>0</v>
      </c>
      <c r="AX83" s="44">
        <f>K83*AP83</f>
        <v>0</v>
      </c>
      <c r="AY83" s="30" t="s">
        <v>199</v>
      </c>
      <c r="AZ83" s="30" t="s">
        <v>77</v>
      </c>
      <c r="BA83" s="16" t="s">
        <v>167</v>
      </c>
      <c r="BC83" s="44">
        <f>AW83+AX83</f>
        <v>0</v>
      </c>
      <c r="BD83" s="44">
        <f>L83/(100-BE83)*100</f>
        <v>0</v>
      </c>
      <c r="BE83" s="44">
        <v>0</v>
      </c>
      <c r="BF83" s="44">
        <f>N83</f>
        <v>249</v>
      </c>
      <c r="BH83" s="44">
        <f>K83*AO83</f>
        <v>0</v>
      </c>
      <c r="BI83" s="44">
        <f>K83*AP83</f>
        <v>0</v>
      </c>
      <c r="BJ83" s="44">
        <f>K83*L83</f>
        <v>0</v>
      </c>
      <c r="BK83" s="44"/>
      <c r="BL83" s="44"/>
    </row>
    <row r="84" spans="1:14" ht="27" customHeight="1">
      <c r="A84" s="45"/>
      <c r="C84" s="13" t="s">
        <v>19</v>
      </c>
      <c r="D84" s="61" t="s">
        <v>155</v>
      </c>
      <c r="E84" s="62"/>
      <c r="F84" s="62"/>
      <c r="G84" s="62"/>
      <c r="H84" s="62"/>
      <c r="I84" s="62"/>
      <c r="J84" s="62"/>
      <c r="K84" s="62"/>
      <c r="L84" s="63"/>
      <c r="M84" s="62"/>
      <c r="N84" s="64"/>
    </row>
    <row r="85" spans="1:35" ht="15" customHeight="1">
      <c r="A85" s="33" t="s">
        <v>145</v>
      </c>
      <c r="B85" s="42" t="s">
        <v>145</v>
      </c>
      <c r="C85" s="42" t="s">
        <v>145</v>
      </c>
      <c r="D85" s="57" t="s">
        <v>122</v>
      </c>
      <c r="E85" s="57"/>
      <c r="F85" s="57"/>
      <c r="G85" s="57"/>
      <c r="H85" s="57"/>
      <c r="I85" s="57"/>
      <c r="J85" s="26" t="s">
        <v>204</v>
      </c>
      <c r="K85" s="26" t="s">
        <v>204</v>
      </c>
      <c r="L85" s="10" t="s">
        <v>204</v>
      </c>
      <c r="M85" s="1">
        <f>M86+M88+M90</f>
        <v>0</v>
      </c>
      <c r="N85" s="47">
        <f>N86+N88+N90</f>
        <v>359</v>
      </c>
      <c r="AI85" s="16" t="s">
        <v>145</v>
      </c>
    </row>
    <row r="86" spans="1:47" ht="15" customHeight="1">
      <c r="A86" s="33" t="s">
        <v>145</v>
      </c>
      <c r="B86" s="42" t="s">
        <v>145</v>
      </c>
      <c r="C86" s="42" t="s">
        <v>158</v>
      </c>
      <c r="D86" s="57" t="s">
        <v>98</v>
      </c>
      <c r="E86" s="57"/>
      <c r="F86" s="57"/>
      <c r="G86" s="57"/>
      <c r="H86" s="57"/>
      <c r="I86" s="57"/>
      <c r="J86" s="26" t="s">
        <v>204</v>
      </c>
      <c r="K86" s="26" t="s">
        <v>204</v>
      </c>
      <c r="L86" s="10" t="s">
        <v>204</v>
      </c>
      <c r="M86" s="1">
        <f>SUM(M87:M87)</f>
        <v>0</v>
      </c>
      <c r="N86" s="47">
        <f>SUM(N87:N87)</f>
        <v>87</v>
      </c>
      <c r="AI86" s="16" t="s">
        <v>145</v>
      </c>
      <c r="AS86" s="1">
        <f>SUM(AJ87:AJ87)</f>
        <v>0</v>
      </c>
      <c r="AT86" s="1">
        <f>SUM(AK87:AK87)</f>
        <v>0</v>
      </c>
      <c r="AU86" s="1">
        <f>SUM(AL87:AL87)</f>
        <v>0</v>
      </c>
    </row>
    <row r="87" spans="1:65" ht="15" customHeight="1">
      <c r="A87" s="41" t="s">
        <v>132</v>
      </c>
      <c r="B87" s="6" t="s">
        <v>145</v>
      </c>
      <c r="C87" s="6" t="s">
        <v>147</v>
      </c>
      <c r="D87" s="58" t="s">
        <v>113</v>
      </c>
      <c r="E87" s="58"/>
      <c r="F87" s="58"/>
      <c r="G87" s="58"/>
      <c r="H87" s="58"/>
      <c r="I87" s="58"/>
      <c r="J87" s="6" t="s">
        <v>139</v>
      </c>
      <c r="K87" s="44">
        <v>1</v>
      </c>
      <c r="L87" s="52">
        <v>0</v>
      </c>
      <c r="M87" s="44">
        <f>K87*L87</f>
        <v>0</v>
      </c>
      <c r="N87" s="12">
        <f>K87*87</f>
        <v>87</v>
      </c>
      <c r="Z87" s="44">
        <f>IF(AQ87="5",BJ87,0)</f>
        <v>0</v>
      </c>
      <c r="AB87" s="44">
        <f>IF(AQ87="1",BH87,0)</f>
        <v>0</v>
      </c>
      <c r="AC87" s="44">
        <f>IF(AQ87="1",BI87,0)</f>
        <v>0</v>
      </c>
      <c r="AD87" s="44">
        <f>IF(AQ87="7",BH87,0)</f>
        <v>0</v>
      </c>
      <c r="AE87" s="44">
        <f>IF(AQ87="7",BI87,0)</f>
        <v>0</v>
      </c>
      <c r="AF87" s="44">
        <f>IF(AQ87="2",BH87,0)</f>
        <v>0</v>
      </c>
      <c r="AG87" s="44">
        <f>IF(AQ87="2",BI87,0)</f>
        <v>0</v>
      </c>
      <c r="AH87" s="44">
        <f>IF(AQ87="0",BJ87,0)</f>
        <v>0</v>
      </c>
      <c r="AI87" s="16" t="s">
        <v>145</v>
      </c>
      <c r="AJ87" s="44">
        <f>IF(AN87=0,M87,0)</f>
        <v>0</v>
      </c>
      <c r="AK87" s="44">
        <f>IF(AN87=15,M87,0)</f>
        <v>0</v>
      </c>
      <c r="AL87" s="44">
        <f>IF(AN87=21,M87,0)</f>
        <v>0</v>
      </c>
      <c r="AN87" s="44">
        <v>21</v>
      </c>
      <c r="AO87" s="44">
        <f>L87*0</f>
        <v>0</v>
      </c>
      <c r="AP87" s="44">
        <f>L87*(1-0)</f>
        <v>0</v>
      </c>
      <c r="AQ87" s="30" t="s">
        <v>97</v>
      </c>
      <c r="AV87" s="44">
        <f>AW87+AX87</f>
        <v>0</v>
      </c>
      <c r="AW87" s="44">
        <f>K87*AO87</f>
        <v>0</v>
      </c>
      <c r="AX87" s="44">
        <f>K87*AP87</f>
        <v>0</v>
      </c>
      <c r="AY87" s="30" t="s">
        <v>99</v>
      </c>
      <c r="AZ87" s="30" t="s">
        <v>61</v>
      </c>
      <c r="BA87" s="16" t="s">
        <v>167</v>
      </c>
      <c r="BC87" s="44">
        <f>AW87+AX87</f>
        <v>0</v>
      </c>
      <c r="BD87" s="44">
        <f>L87/(100-BE87)*100</f>
        <v>0</v>
      </c>
      <c r="BE87" s="44">
        <v>0</v>
      </c>
      <c r="BF87" s="44">
        <f>N87</f>
        <v>87</v>
      </c>
      <c r="BH87" s="44">
        <f>K87*AO87</f>
        <v>0</v>
      </c>
      <c r="BI87" s="44">
        <f>K87*AP87</f>
        <v>0</v>
      </c>
      <c r="BJ87" s="44">
        <f>K87*L87</f>
        <v>0</v>
      </c>
      <c r="BK87" s="44"/>
      <c r="BL87" s="44"/>
      <c r="BM87" s="44">
        <f>K87*L87</f>
        <v>0</v>
      </c>
    </row>
    <row r="88" spans="1:47" ht="15" customHeight="1">
      <c r="A88" s="33" t="s">
        <v>145</v>
      </c>
      <c r="B88" s="42" t="s">
        <v>145</v>
      </c>
      <c r="C88" s="42" t="s">
        <v>10</v>
      </c>
      <c r="D88" s="57" t="s">
        <v>25</v>
      </c>
      <c r="E88" s="57"/>
      <c r="F88" s="57"/>
      <c r="G88" s="57"/>
      <c r="H88" s="57"/>
      <c r="I88" s="57"/>
      <c r="J88" s="26" t="s">
        <v>204</v>
      </c>
      <c r="K88" s="26" t="s">
        <v>204</v>
      </c>
      <c r="L88" s="10" t="s">
        <v>204</v>
      </c>
      <c r="M88" s="1">
        <f>SUM(M89:M89)</f>
        <v>0</v>
      </c>
      <c r="N88" s="47">
        <f>SUM(N89:N89)</f>
        <v>89</v>
      </c>
      <c r="AI88" s="16" t="s">
        <v>145</v>
      </c>
      <c r="AS88" s="1">
        <f>SUM(AJ89:AJ89)</f>
        <v>0</v>
      </c>
      <c r="AT88" s="1">
        <f>SUM(AK89:AK89)</f>
        <v>0</v>
      </c>
      <c r="AU88" s="1">
        <f>SUM(AL89:AL89)</f>
        <v>0</v>
      </c>
    </row>
    <row r="89" spans="1:67" ht="15" customHeight="1">
      <c r="A89" s="41" t="s">
        <v>8</v>
      </c>
      <c r="B89" s="6" t="s">
        <v>145</v>
      </c>
      <c r="C89" s="6" t="s">
        <v>137</v>
      </c>
      <c r="D89" s="58" t="s">
        <v>25</v>
      </c>
      <c r="E89" s="58"/>
      <c r="F89" s="58"/>
      <c r="G89" s="58"/>
      <c r="H89" s="58"/>
      <c r="I89" s="58"/>
      <c r="J89" s="6" t="s">
        <v>139</v>
      </c>
      <c r="K89" s="44">
        <v>1</v>
      </c>
      <c r="L89" s="52">
        <v>0</v>
      </c>
      <c r="M89" s="44">
        <f>K89*L89</f>
        <v>0</v>
      </c>
      <c r="N89" s="12">
        <f>K89*89</f>
        <v>89</v>
      </c>
      <c r="Z89" s="44">
        <f>IF(AQ89="5",BJ89,0)</f>
        <v>0</v>
      </c>
      <c r="AB89" s="44">
        <f>IF(AQ89="1",BH89,0)</f>
        <v>0</v>
      </c>
      <c r="AC89" s="44">
        <f>IF(AQ89="1",BI89,0)</f>
        <v>0</v>
      </c>
      <c r="AD89" s="44">
        <f>IF(AQ89="7",BH89,0)</f>
        <v>0</v>
      </c>
      <c r="AE89" s="44">
        <f>IF(AQ89="7",BI89,0)</f>
        <v>0</v>
      </c>
      <c r="AF89" s="44">
        <f>IF(AQ89="2",BH89,0)</f>
        <v>0</v>
      </c>
      <c r="AG89" s="44">
        <f>IF(AQ89="2",BI89,0)</f>
        <v>0</v>
      </c>
      <c r="AH89" s="44">
        <f>IF(AQ89="0",BJ89,0)</f>
        <v>0</v>
      </c>
      <c r="AI89" s="16" t="s">
        <v>145</v>
      </c>
      <c r="AJ89" s="44">
        <f>IF(AN89=0,M89,0)</f>
        <v>0</v>
      </c>
      <c r="AK89" s="44">
        <f>IF(AN89=15,M89,0)</f>
        <v>0</v>
      </c>
      <c r="AL89" s="44">
        <f>IF(AN89=21,M89,0)</f>
        <v>0</v>
      </c>
      <c r="AN89" s="44">
        <v>21</v>
      </c>
      <c r="AO89" s="44">
        <f>L89*0</f>
        <v>0</v>
      </c>
      <c r="AP89" s="44">
        <f>L89*(1-0)</f>
        <v>0</v>
      </c>
      <c r="AQ89" s="30" t="s">
        <v>97</v>
      </c>
      <c r="AV89" s="44">
        <f>AW89+AX89</f>
        <v>0</v>
      </c>
      <c r="AW89" s="44">
        <f>K89*AO89</f>
        <v>0</v>
      </c>
      <c r="AX89" s="44">
        <f>K89*AP89</f>
        <v>0</v>
      </c>
      <c r="AY89" s="30" t="s">
        <v>46</v>
      </c>
      <c r="AZ89" s="30" t="s">
        <v>61</v>
      </c>
      <c r="BA89" s="16" t="s">
        <v>167</v>
      </c>
      <c r="BC89" s="44">
        <f>AW89+AX89</f>
        <v>0</v>
      </c>
      <c r="BD89" s="44">
        <f>L89/(100-BE89)*100</f>
        <v>0</v>
      </c>
      <c r="BE89" s="44">
        <v>0</v>
      </c>
      <c r="BF89" s="44">
        <f>N89</f>
        <v>89</v>
      </c>
      <c r="BH89" s="44">
        <f>K89*AO89</f>
        <v>0</v>
      </c>
      <c r="BI89" s="44">
        <f>K89*AP89</f>
        <v>0</v>
      </c>
      <c r="BJ89" s="44">
        <f>K89*L89</f>
        <v>0</v>
      </c>
      <c r="BK89" s="44"/>
      <c r="BL89" s="44"/>
      <c r="BO89" s="44">
        <f>K89*L89</f>
        <v>0</v>
      </c>
    </row>
    <row r="90" spans="1:47" ht="15" customHeight="1">
      <c r="A90" s="33" t="s">
        <v>145</v>
      </c>
      <c r="B90" s="42" t="s">
        <v>145</v>
      </c>
      <c r="C90" s="42" t="s">
        <v>72</v>
      </c>
      <c r="D90" s="57" t="s">
        <v>180</v>
      </c>
      <c r="E90" s="57"/>
      <c r="F90" s="57"/>
      <c r="G90" s="57"/>
      <c r="H90" s="57"/>
      <c r="I90" s="57"/>
      <c r="J90" s="26" t="s">
        <v>204</v>
      </c>
      <c r="K90" s="26" t="s">
        <v>204</v>
      </c>
      <c r="L90" s="10" t="s">
        <v>204</v>
      </c>
      <c r="M90" s="1">
        <f>SUM(M91:M92)</f>
        <v>0</v>
      </c>
      <c r="N90" s="47">
        <f>SUM(N91:N92)</f>
        <v>183</v>
      </c>
      <c r="AI90" s="16" t="s">
        <v>145</v>
      </c>
      <c r="AS90" s="1">
        <f>SUM(AJ91:AJ92)</f>
        <v>0</v>
      </c>
      <c r="AT90" s="1">
        <f>SUM(AK91:AK92)</f>
        <v>0</v>
      </c>
      <c r="AU90" s="1">
        <f>SUM(AL91:AL92)</f>
        <v>0</v>
      </c>
    </row>
    <row r="91" spans="1:68" ht="15" customHeight="1">
      <c r="A91" s="41" t="s">
        <v>151</v>
      </c>
      <c r="B91" s="6" t="s">
        <v>145</v>
      </c>
      <c r="C91" s="6" t="s">
        <v>131</v>
      </c>
      <c r="D91" s="58" t="s">
        <v>45</v>
      </c>
      <c r="E91" s="58"/>
      <c r="F91" s="58"/>
      <c r="G91" s="58"/>
      <c r="H91" s="58"/>
      <c r="I91" s="58"/>
      <c r="J91" s="6" t="s">
        <v>139</v>
      </c>
      <c r="K91" s="44">
        <v>1</v>
      </c>
      <c r="L91" s="52">
        <v>0</v>
      </c>
      <c r="M91" s="44">
        <f>K91*L91</f>
        <v>0</v>
      </c>
      <c r="N91" s="12">
        <f>K91*91</f>
        <v>91</v>
      </c>
      <c r="Z91" s="44">
        <f>IF(AQ91="5",BJ91,0)</f>
        <v>0</v>
      </c>
      <c r="AB91" s="44">
        <f>IF(AQ91="1",BH91,0)</f>
        <v>0</v>
      </c>
      <c r="AC91" s="44">
        <f>IF(AQ91="1",BI91,0)</f>
        <v>0</v>
      </c>
      <c r="AD91" s="44">
        <f>IF(AQ91="7",BH91,0)</f>
        <v>0</v>
      </c>
      <c r="AE91" s="44">
        <f>IF(AQ91="7",BI91,0)</f>
        <v>0</v>
      </c>
      <c r="AF91" s="44">
        <f>IF(AQ91="2",BH91,0)</f>
        <v>0</v>
      </c>
      <c r="AG91" s="44">
        <f>IF(AQ91="2",BI91,0)</f>
        <v>0</v>
      </c>
      <c r="AH91" s="44">
        <f>IF(AQ91="0",BJ91,0)</f>
        <v>0</v>
      </c>
      <c r="AI91" s="16" t="s">
        <v>145</v>
      </c>
      <c r="AJ91" s="44">
        <f>IF(AN91=0,M91,0)</f>
        <v>0</v>
      </c>
      <c r="AK91" s="44">
        <f>IF(AN91=15,M91,0)</f>
        <v>0</v>
      </c>
      <c r="AL91" s="44">
        <f>IF(AN91=21,M91,0)</f>
        <v>0</v>
      </c>
      <c r="AN91" s="44">
        <v>21</v>
      </c>
      <c r="AO91" s="44">
        <f>L91*0</f>
        <v>0</v>
      </c>
      <c r="AP91" s="44">
        <f>L91*(1-0)</f>
        <v>0</v>
      </c>
      <c r="AQ91" s="30" t="s">
        <v>97</v>
      </c>
      <c r="AV91" s="44">
        <f>AW91+AX91</f>
        <v>0</v>
      </c>
      <c r="AW91" s="44">
        <f>K91*AO91</f>
        <v>0</v>
      </c>
      <c r="AX91" s="44">
        <f>K91*AP91</f>
        <v>0</v>
      </c>
      <c r="AY91" s="30" t="s">
        <v>182</v>
      </c>
      <c r="AZ91" s="30" t="s">
        <v>61</v>
      </c>
      <c r="BA91" s="16" t="s">
        <v>167</v>
      </c>
      <c r="BC91" s="44">
        <f>AW91+AX91</f>
        <v>0</v>
      </c>
      <c r="BD91" s="44">
        <f>L91/(100-BE91)*100</f>
        <v>0</v>
      </c>
      <c r="BE91" s="44">
        <v>0</v>
      </c>
      <c r="BF91" s="44">
        <f>N91</f>
        <v>91</v>
      </c>
      <c r="BH91" s="44">
        <f>K91*AO91</f>
        <v>0</v>
      </c>
      <c r="BI91" s="44">
        <f>K91*AP91</f>
        <v>0</v>
      </c>
      <c r="BJ91" s="44">
        <f>K91*L91</f>
        <v>0</v>
      </c>
      <c r="BK91" s="44"/>
      <c r="BL91" s="44"/>
      <c r="BP91" s="44">
        <f>K91*L91</f>
        <v>0</v>
      </c>
    </row>
    <row r="92" spans="1:68" ht="15" customHeight="1">
      <c r="A92" s="24" t="s">
        <v>209</v>
      </c>
      <c r="B92" s="55" t="s">
        <v>145</v>
      </c>
      <c r="C92" s="55" t="s">
        <v>82</v>
      </c>
      <c r="D92" s="59" t="s">
        <v>149</v>
      </c>
      <c r="E92" s="59"/>
      <c r="F92" s="59"/>
      <c r="G92" s="59"/>
      <c r="H92" s="59"/>
      <c r="I92" s="59"/>
      <c r="J92" s="55" t="s">
        <v>139</v>
      </c>
      <c r="K92" s="39">
        <v>1</v>
      </c>
      <c r="L92" s="18">
        <v>0</v>
      </c>
      <c r="M92" s="39">
        <f>K92*L92</f>
        <v>0</v>
      </c>
      <c r="N92" s="22">
        <f>K92*92</f>
        <v>92</v>
      </c>
      <c r="Z92" s="44">
        <f>IF(AQ92="5",BJ92,0)</f>
        <v>0</v>
      </c>
      <c r="AB92" s="44">
        <f>IF(AQ92="1",BH92,0)</f>
        <v>0</v>
      </c>
      <c r="AC92" s="44">
        <f>IF(AQ92="1",BI92,0)</f>
        <v>0</v>
      </c>
      <c r="AD92" s="44">
        <f>IF(AQ92="7",BH92,0)</f>
        <v>0</v>
      </c>
      <c r="AE92" s="44">
        <f>IF(AQ92="7",BI92,0)</f>
        <v>0</v>
      </c>
      <c r="AF92" s="44">
        <f>IF(AQ92="2",BH92,0)</f>
        <v>0</v>
      </c>
      <c r="AG92" s="44">
        <f>IF(AQ92="2",BI92,0)</f>
        <v>0</v>
      </c>
      <c r="AH92" s="44">
        <f>IF(AQ92="0",BJ92,0)</f>
        <v>0</v>
      </c>
      <c r="AI92" s="16" t="s">
        <v>145</v>
      </c>
      <c r="AJ92" s="44">
        <f>IF(AN92=0,M92,0)</f>
        <v>0</v>
      </c>
      <c r="AK92" s="44">
        <f>IF(AN92=15,M92,0)</f>
        <v>0</v>
      </c>
      <c r="AL92" s="44">
        <f>IF(AN92=21,M92,0)</f>
        <v>0</v>
      </c>
      <c r="AN92" s="44">
        <v>21</v>
      </c>
      <c r="AO92" s="44">
        <f>L92*0</f>
        <v>0</v>
      </c>
      <c r="AP92" s="44">
        <f>L92*(1-0)</f>
        <v>0</v>
      </c>
      <c r="AQ92" s="30" t="s">
        <v>97</v>
      </c>
      <c r="AV92" s="44">
        <f>AW92+AX92</f>
        <v>0</v>
      </c>
      <c r="AW92" s="44">
        <f>K92*AO92</f>
        <v>0</v>
      </c>
      <c r="AX92" s="44">
        <f>K92*AP92</f>
        <v>0</v>
      </c>
      <c r="AY92" s="30" t="s">
        <v>182</v>
      </c>
      <c r="AZ92" s="30" t="s">
        <v>61</v>
      </c>
      <c r="BA92" s="16" t="s">
        <v>167</v>
      </c>
      <c r="BC92" s="44">
        <f>AW92+AX92</f>
        <v>0</v>
      </c>
      <c r="BD92" s="44">
        <f>L92/(100-BE92)*100</f>
        <v>0</v>
      </c>
      <c r="BE92" s="44">
        <v>0</v>
      </c>
      <c r="BF92" s="44">
        <f>N92</f>
        <v>92</v>
      </c>
      <c r="BH92" s="44">
        <f>K92*AO92</f>
        <v>0</v>
      </c>
      <c r="BI92" s="44">
        <f>K92*AP92</f>
        <v>0</v>
      </c>
      <c r="BJ92" s="44">
        <f>K92*L92</f>
        <v>0</v>
      </c>
      <c r="BK92" s="44"/>
      <c r="BL92" s="44"/>
      <c r="BP92" s="44">
        <f>K92*L92</f>
        <v>0</v>
      </c>
    </row>
    <row r="93" ht="15" customHeight="1">
      <c r="M93" s="53">
        <f>M12+M25+M39+M59+M72+M78+M81+M86+M88+M90</f>
        <v>0</v>
      </c>
    </row>
    <row r="94" ht="15" customHeight="1">
      <c r="A94" s="50" t="s">
        <v>19</v>
      </c>
    </row>
    <row r="95" spans="1:14" ht="12.75" customHeight="1">
      <c r="A95" s="60" t="s">
        <v>145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</sheetData>
  <sheetProtection password="CF7A" sheet="1"/>
  <mergeCells count="62"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4:E5"/>
    <mergeCell ref="D6:E7"/>
    <mergeCell ref="D8:E9"/>
    <mergeCell ref="H2:H3"/>
    <mergeCell ref="H4:H5"/>
    <mergeCell ref="H6:H7"/>
    <mergeCell ref="H8:H9"/>
    <mergeCell ref="J2:N3"/>
    <mergeCell ref="J4:N5"/>
    <mergeCell ref="J6:N7"/>
    <mergeCell ref="J8:N9"/>
    <mergeCell ref="D10:I10"/>
    <mergeCell ref="I4:I5"/>
    <mergeCell ref="I6:I7"/>
    <mergeCell ref="I8:I9"/>
    <mergeCell ref="D2:E3"/>
    <mergeCell ref="D11:I11"/>
    <mergeCell ref="D12:I12"/>
    <mergeCell ref="D13:I13"/>
    <mergeCell ref="D19:I19"/>
    <mergeCell ref="D25:I25"/>
    <mergeCell ref="D26:I26"/>
    <mergeCell ref="D32:I32"/>
    <mergeCell ref="D38:I38"/>
    <mergeCell ref="D39:I39"/>
    <mergeCell ref="D40:I40"/>
    <mergeCell ref="D46:I46"/>
    <mergeCell ref="D53:I53"/>
    <mergeCell ref="D57:I57"/>
    <mergeCell ref="D59:I59"/>
    <mergeCell ref="D60:I60"/>
    <mergeCell ref="D66:I66"/>
    <mergeCell ref="D72:I72"/>
    <mergeCell ref="D73:I73"/>
    <mergeCell ref="D74:I74"/>
    <mergeCell ref="D76:I76"/>
    <mergeCell ref="D77:I77"/>
    <mergeCell ref="D78:I78"/>
    <mergeCell ref="D79:I79"/>
    <mergeCell ref="D81:I81"/>
    <mergeCell ref="D82:I82"/>
    <mergeCell ref="D83:I83"/>
    <mergeCell ref="D84:N84"/>
    <mergeCell ref="D85:I85"/>
    <mergeCell ref="D86:I86"/>
    <mergeCell ref="D87:I87"/>
    <mergeCell ref="D88:I88"/>
    <mergeCell ref="D89:I89"/>
    <mergeCell ref="D90:I90"/>
    <mergeCell ref="D91:I91"/>
    <mergeCell ref="D92:I92"/>
    <mergeCell ref="A95:N95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14" t="s">
        <v>44</v>
      </c>
      <c r="B1" s="80"/>
      <c r="C1" s="80"/>
      <c r="D1" s="80"/>
      <c r="E1" s="80"/>
      <c r="F1" s="80"/>
      <c r="G1" s="80"/>
      <c r="H1" s="80"/>
      <c r="I1" s="80"/>
    </row>
    <row r="2" spans="1:9" ht="15" customHeight="1">
      <c r="A2" s="81" t="s">
        <v>15</v>
      </c>
      <c r="B2" s="69"/>
      <c r="C2" s="76" t="str">
        <f>'Stavební rozpočet'!D2</f>
        <v>Akustická opatření učeben SOŠ a SOU Neratovice</v>
      </c>
      <c r="D2" s="77"/>
      <c r="E2" s="68" t="s">
        <v>184</v>
      </c>
      <c r="F2" s="68" t="str">
        <f>'Stavební rozpočet'!J2</f>
        <v>SOŠ a SOU Neratovice</v>
      </c>
      <c r="G2" s="69"/>
      <c r="H2" s="68" t="s">
        <v>135</v>
      </c>
      <c r="I2" s="70" t="s">
        <v>145</v>
      </c>
    </row>
    <row r="3" spans="1:9" ht="15" customHeight="1">
      <c r="A3" s="82"/>
      <c r="B3" s="58"/>
      <c r="C3" s="78"/>
      <c r="D3" s="78"/>
      <c r="E3" s="58"/>
      <c r="F3" s="58"/>
      <c r="G3" s="58"/>
      <c r="H3" s="58"/>
      <c r="I3" s="71"/>
    </row>
    <row r="4" spans="1:9" ht="15" customHeight="1">
      <c r="A4" s="83" t="s">
        <v>114</v>
      </c>
      <c r="B4" s="58"/>
      <c r="C4" s="60" t="str">
        <f>'Stavební rozpočet'!D4</f>
        <v> </v>
      </c>
      <c r="D4" s="58"/>
      <c r="E4" s="60" t="s">
        <v>143</v>
      </c>
      <c r="F4" s="60" t="str">
        <f>'Stavební rozpočet'!J4</f>
        <v>Ing. Jolana Váňová</v>
      </c>
      <c r="G4" s="58"/>
      <c r="H4" s="60" t="s">
        <v>135</v>
      </c>
      <c r="I4" s="71" t="s">
        <v>145</v>
      </c>
    </row>
    <row r="5" spans="1:9" ht="15" customHeight="1">
      <c r="A5" s="82"/>
      <c r="B5" s="58"/>
      <c r="C5" s="58"/>
      <c r="D5" s="58"/>
      <c r="E5" s="58"/>
      <c r="F5" s="58"/>
      <c r="G5" s="58"/>
      <c r="H5" s="58"/>
      <c r="I5" s="71"/>
    </row>
    <row r="6" spans="1:9" ht="15" customHeight="1">
      <c r="A6" s="83" t="s">
        <v>20</v>
      </c>
      <c r="B6" s="58"/>
      <c r="C6" s="60" t="str">
        <f>'Stavební rozpočet'!D6</f>
        <v>SOŠ a SOU Neratovice, Školní 664, 277 11 Neratovice</v>
      </c>
      <c r="D6" s="58"/>
      <c r="E6" s="60" t="s">
        <v>190</v>
      </c>
      <c r="F6" s="60" t="str">
        <f>'Stavební rozpočet'!J6</f>
        <v> </v>
      </c>
      <c r="G6" s="58"/>
      <c r="H6" s="60" t="s">
        <v>135</v>
      </c>
      <c r="I6" s="71" t="s">
        <v>145</v>
      </c>
    </row>
    <row r="7" spans="1:9" ht="15" customHeight="1">
      <c r="A7" s="82"/>
      <c r="B7" s="58"/>
      <c r="C7" s="58"/>
      <c r="D7" s="58"/>
      <c r="E7" s="58"/>
      <c r="F7" s="58"/>
      <c r="G7" s="58"/>
      <c r="H7" s="58"/>
      <c r="I7" s="71"/>
    </row>
    <row r="8" spans="1:9" ht="15" customHeight="1">
      <c r="A8" s="83" t="s">
        <v>195</v>
      </c>
      <c r="B8" s="58"/>
      <c r="C8" s="60" t="str">
        <f>'Stavební rozpočet'!H4</f>
        <v> </v>
      </c>
      <c r="D8" s="58"/>
      <c r="E8" s="60" t="s">
        <v>69</v>
      </c>
      <c r="F8" s="60" t="str">
        <f>'Stavební rozpočet'!H6</f>
        <v> </v>
      </c>
      <c r="G8" s="58"/>
      <c r="H8" s="58" t="s">
        <v>223</v>
      </c>
      <c r="I8" s="110">
        <v>22</v>
      </c>
    </row>
    <row r="9" spans="1:9" ht="15" customHeight="1">
      <c r="A9" s="82"/>
      <c r="B9" s="58"/>
      <c r="C9" s="58"/>
      <c r="D9" s="58"/>
      <c r="E9" s="58"/>
      <c r="F9" s="58"/>
      <c r="G9" s="58"/>
      <c r="H9" s="58"/>
      <c r="I9" s="71"/>
    </row>
    <row r="10" spans="1:9" ht="15" customHeight="1">
      <c r="A10" s="83" t="s">
        <v>101</v>
      </c>
      <c r="B10" s="58"/>
      <c r="C10" s="60" t="str">
        <f>'Stavební rozpočet'!D8</f>
        <v> </v>
      </c>
      <c r="D10" s="58"/>
      <c r="E10" s="60" t="s">
        <v>138</v>
      </c>
      <c r="F10" s="60" t="str">
        <f>'Stavební rozpočet'!J8</f>
        <v>Zdeňka Altová</v>
      </c>
      <c r="G10" s="58"/>
      <c r="H10" s="58" t="s">
        <v>213</v>
      </c>
      <c r="I10" s="111" t="str">
        <f>'Stavební rozpočet'!H8</f>
        <v>03.01.2024</v>
      </c>
    </row>
    <row r="11" spans="1:9" ht="15" customHeight="1">
      <c r="A11" s="115"/>
      <c r="B11" s="59"/>
      <c r="C11" s="59"/>
      <c r="D11" s="59"/>
      <c r="E11" s="59"/>
      <c r="F11" s="59"/>
      <c r="G11" s="59"/>
      <c r="H11" s="59"/>
      <c r="I11" s="112"/>
    </row>
    <row r="12" spans="1:9" ht="22.5" customHeight="1">
      <c r="A12" s="113" t="s">
        <v>35</v>
      </c>
      <c r="B12" s="113"/>
      <c r="C12" s="113"/>
      <c r="D12" s="113"/>
      <c r="E12" s="113"/>
      <c r="F12" s="113"/>
      <c r="G12" s="113"/>
      <c r="H12" s="113"/>
      <c r="I12" s="113"/>
    </row>
    <row r="13" spans="1:9" ht="26.25" customHeight="1">
      <c r="A13" s="7" t="s">
        <v>196</v>
      </c>
      <c r="B13" s="105" t="s">
        <v>28</v>
      </c>
      <c r="C13" s="106"/>
      <c r="D13" s="21" t="s">
        <v>37</v>
      </c>
      <c r="E13" s="105" t="s">
        <v>78</v>
      </c>
      <c r="F13" s="106"/>
      <c r="G13" s="21" t="s">
        <v>133</v>
      </c>
      <c r="H13" s="105" t="s">
        <v>38</v>
      </c>
      <c r="I13" s="106"/>
    </row>
    <row r="14" spans="1:9" ht="15" customHeight="1">
      <c r="A14" s="2" t="s">
        <v>81</v>
      </c>
      <c r="B14" s="9" t="s">
        <v>53</v>
      </c>
      <c r="C14" s="31">
        <f>SUM('Stavební rozpočet'!AB12:AB92)</f>
        <v>0</v>
      </c>
      <c r="D14" s="97" t="s">
        <v>154</v>
      </c>
      <c r="E14" s="98"/>
      <c r="F14" s="31">
        <v>0</v>
      </c>
      <c r="G14" s="97" t="s">
        <v>25</v>
      </c>
      <c r="H14" s="98"/>
      <c r="I14" s="48" t="s">
        <v>109</v>
      </c>
    </row>
    <row r="15" spans="1:9" ht="15" customHeight="1">
      <c r="A15" s="15" t="s">
        <v>145</v>
      </c>
      <c r="B15" s="9" t="s">
        <v>39</v>
      </c>
      <c r="C15" s="31">
        <f>SUM('Stavební rozpočet'!AC12:AC92)</f>
        <v>0</v>
      </c>
      <c r="D15" s="97" t="s">
        <v>23</v>
      </c>
      <c r="E15" s="98"/>
      <c r="F15" s="31">
        <v>0</v>
      </c>
      <c r="G15" s="97" t="s">
        <v>174</v>
      </c>
      <c r="H15" s="98"/>
      <c r="I15" s="48" t="s">
        <v>109</v>
      </c>
    </row>
    <row r="16" spans="1:9" ht="15" customHeight="1">
      <c r="A16" s="2" t="s">
        <v>22</v>
      </c>
      <c r="B16" s="9" t="s">
        <v>53</v>
      </c>
      <c r="C16" s="31">
        <f>SUM('Stavební rozpočet'!AD12:AD92)</f>
        <v>0</v>
      </c>
      <c r="D16" s="97" t="s">
        <v>160</v>
      </c>
      <c r="E16" s="98"/>
      <c r="F16" s="31">
        <v>0</v>
      </c>
      <c r="G16" s="97" t="s">
        <v>211</v>
      </c>
      <c r="H16" s="98"/>
      <c r="I16" s="48" t="s">
        <v>109</v>
      </c>
    </row>
    <row r="17" spans="1:9" ht="15" customHeight="1">
      <c r="A17" s="15" t="s">
        <v>145</v>
      </c>
      <c r="B17" s="9" t="s">
        <v>39</v>
      </c>
      <c r="C17" s="31">
        <f>SUM('Stavební rozpočet'!AE12:AE92)</f>
        <v>0</v>
      </c>
      <c r="D17" s="97" t="s">
        <v>145</v>
      </c>
      <c r="E17" s="98"/>
      <c r="F17" s="48" t="s">
        <v>145</v>
      </c>
      <c r="G17" s="97" t="s">
        <v>110</v>
      </c>
      <c r="H17" s="98"/>
      <c r="I17" s="48" t="s">
        <v>109</v>
      </c>
    </row>
    <row r="18" spans="1:9" ht="15" customHeight="1">
      <c r="A18" s="2" t="s">
        <v>64</v>
      </c>
      <c r="B18" s="9" t="s">
        <v>53</v>
      </c>
      <c r="C18" s="31">
        <f>SUM('Stavební rozpočet'!AF12:AF92)</f>
        <v>0</v>
      </c>
      <c r="D18" s="97" t="s">
        <v>145</v>
      </c>
      <c r="E18" s="98"/>
      <c r="F18" s="48" t="s">
        <v>145</v>
      </c>
      <c r="G18" s="97" t="s">
        <v>136</v>
      </c>
      <c r="H18" s="98"/>
      <c r="I18" s="48" t="s">
        <v>109</v>
      </c>
    </row>
    <row r="19" spans="1:9" ht="15" customHeight="1">
      <c r="A19" s="15" t="s">
        <v>145</v>
      </c>
      <c r="B19" s="9" t="s">
        <v>39</v>
      </c>
      <c r="C19" s="31">
        <f>SUM('Stavební rozpočet'!AG12:AG92)</f>
        <v>0</v>
      </c>
      <c r="D19" s="97" t="s">
        <v>145</v>
      </c>
      <c r="E19" s="98"/>
      <c r="F19" s="48" t="s">
        <v>145</v>
      </c>
      <c r="G19" s="97" t="s">
        <v>218</v>
      </c>
      <c r="H19" s="98"/>
      <c r="I19" s="48" t="s">
        <v>109</v>
      </c>
    </row>
    <row r="20" spans="1:9" ht="15" customHeight="1">
      <c r="A20" s="104" t="s">
        <v>16</v>
      </c>
      <c r="B20" s="103"/>
      <c r="C20" s="31">
        <f>SUM('Stavební rozpočet'!AH12:AH92)</f>
        <v>0</v>
      </c>
      <c r="D20" s="97" t="s">
        <v>145</v>
      </c>
      <c r="E20" s="98"/>
      <c r="F20" s="48" t="s">
        <v>145</v>
      </c>
      <c r="G20" s="97" t="s">
        <v>145</v>
      </c>
      <c r="H20" s="98"/>
      <c r="I20" s="48" t="s">
        <v>145</v>
      </c>
    </row>
    <row r="21" spans="1:9" ht="15" customHeight="1">
      <c r="A21" s="107" t="s">
        <v>217</v>
      </c>
      <c r="B21" s="108"/>
      <c r="C21" s="40">
        <f>SUM('Stavební rozpočet'!Z12:Z92)</f>
        <v>0</v>
      </c>
      <c r="D21" s="86" t="s">
        <v>145</v>
      </c>
      <c r="E21" s="99"/>
      <c r="F21" s="49" t="s">
        <v>145</v>
      </c>
      <c r="G21" s="86" t="s">
        <v>145</v>
      </c>
      <c r="H21" s="99"/>
      <c r="I21" s="49" t="s">
        <v>145</v>
      </c>
    </row>
    <row r="22" spans="1:9" ht="16.5" customHeight="1">
      <c r="A22" s="109" t="s">
        <v>41</v>
      </c>
      <c r="B22" s="101"/>
      <c r="C22" s="28">
        <f>SUM(C14:C21)</f>
        <v>0</v>
      </c>
      <c r="D22" s="100" t="s">
        <v>105</v>
      </c>
      <c r="E22" s="101"/>
      <c r="F22" s="28">
        <f>SUM(F14:F21)</f>
        <v>0</v>
      </c>
      <c r="G22" s="100" t="s">
        <v>224</v>
      </c>
      <c r="H22" s="101"/>
      <c r="I22" s="28">
        <f>SUM(I14:I21)</f>
        <v>0</v>
      </c>
    </row>
    <row r="23" spans="4:9" ht="15" customHeight="1">
      <c r="D23" s="104" t="s">
        <v>176</v>
      </c>
      <c r="E23" s="103"/>
      <c r="F23" s="14">
        <v>0</v>
      </c>
      <c r="G23" s="102" t="s">
        <v>11</v>
      </c>
      <c r="H23" s="103"/>
      <c r="I23" s="31">
        <v>0</v>
      </c>
    </row>
    <row r="24" spans="7:8" ht="15" customHeight="1">
      <c r="G24" s="104" t="s">
        <v>144</v>
      </c>
      <c r="H24" s="103"/>
    </row>
    <row r="25" spans="7:9" ht="15" customHeight="1">
      <c r="G25" s="104" t="s">
        <v>168</v>
      </c>
      <c r="H25" s="103"/>
      <c r="I25" s="28">
        <v>0</v>
      </c>
    </row>
    <row r="27" spans="1:3" ht="15" customHeight="1">
      <c r="A27" s="93" t="s">
        <v>89</v>
      </c>
      <c r="B27" s="94"/>
      <c r="C27" s="5">
        <f>SUM('Stavební rozpočet'!AJ12:AJ92)</f>
        <v>0</v>
      </c>
    </row>
    <row r="28" spans="1:9" ht="15" customHeight="1">
      <c r="A28" s="95" t="s">
        <v>3</v>
      </c>
      <c r="B28" s="96"/>
      <c r="C28" s="11">
        <f>SUM('Stavební rozpočet'!AK12:AK92)</f>
        <v>0</v>
      </c>
      <c r="D28" s="94" t="s">
        <v>43</v>
      </c>
      <c r="E28" s="94"/>
      <c r="F28" s="5">
        <f>ROUND(C28*(15/100),2)</f>
        <v>0</v>
      </c>
      <c r="G28" s="94" t="s">
        <v>31</v>
      </c>
      <c r="H28" s="94"/>
      <c r="I28" s="5">
        <f>SUM(C27:C29)</f>
        <v>0</v>
      </c>
    </row>
    <row r="29" spans="1:9" ht="15" customHeight="1">
      <c r="A29" s="95" t="s">
        <v>7</v>
      </c>
      <c r="B29" s="96"/>
      <c r="C29" s="11">
        <f>SUM('Stavební rozpočet'!AL12:AL92)</f>
        <v>0</v>
      </c>
      <c r="D29" s="96" t="s">
        <v>166</v>
      </c>
      <c r="E29" s="96"/>
      <c r="F29" s="11">
        <f>ROUND(C29*(21/100),2)</f>
        <v>0</v>
      </c>
      <c r="G29" s="96" t="s">
        <v>88</v>
      </c>
      <c r="H29" s="96"/>
      <c r="I29" s="11">
        <f>SUM(F28:F29)+I28</f>
        <v>0</v>
      </c>
    </row>
    <row r="31" spans="1:9" ht="15" customHeight="1">
      <c r="A31" s="90" t="s">
        <v>2</v>
      </c>
      <c r="B31" s="84"/>
      <c r="C31" s="85"/>
      <c r="D31" s="84" t="s">
        <v>206</v>
      </c>
      <c r="E31" s="84"/>
      <c r="F31" s="85"/>
      <c r="G31" s="84" t="s">
        <v>140</v>
      </c>
      <c r="H31" s="84"/>
      <c r="I31" s="85"/>
    </row>
    <row r="32" spans="1:9" ht="15" customHeight="1">
      <c r="A32" s="91" t="s">
        <v>145</v>
      </c>
      <c r="B32" s="86"/>
      <c r="C32" s="87"/>
      <c r="D32" s="86" t="s">
        <v>145</v>
      </c>
      <c r="E32" s="86"/>
      <c r="F32" s="87"/>
      <c r="G32" s="86" t="s">
        <v>145</v>
      </c>
      <c r="H32" s="86"/>
      <c r="I32" s="87"/>
    </row>
    <row r="33" spans="1:9" ht="15" customHeight="1">
      <c r="A33" s="91" t="s">
        <v>145</v>
      </c>
      <c r="B33" s="86"/>
      <c r="C33" s="87"/>
      <c r="D33" s="86" t="s">
        <v>145</v>
      </c>
      <c r="E33" s="86"/>
      <c r="F33" s="87"/>
      <c r="G33" s="86" t="s">
        <v>145</v>
      </c>
      <c r="H33" s="86"/>
      <c r="I33" s="87"/>
    </row>
    <row r="34" spans="1:9" ht="15" customHeight="1">
      <c r="A34" s="91" t="s">
        <v>145</v>
      </c>
      <c r="B34" s="86"/>
      <c r="C34" s="87"/>
      <c r="D34" s="86" t="s">
        <v>145</v>
      </c>
      <c r="E34" s="86"/>
      <c r="F34" s="87"/>
      <c r="G34" s="86" t="s">
        <v>145</v>
      </c>
      <c r="H34" s="86"/>
      <c r="I34" s="87"/>
    </row>
    <row r="35" spans="1:9" ht="15" customHeight="1">
      <c r="A35" s="92" t="s">
        <v>40</v>
      </c>
      <c r="B35" s="88"/>
      <c r="C35" s="89"/>
      <c r="D35" s="88" t="s">
        <v>40</v>
      </c>
      <c r="E35" s="88"/>
      <c r="F35" s="89"/>
      <c r="G35" s="88" t="s">
        <v>40</v>
      </c>
      <c r="H35" s="88"/>
      <c r="I35" s="89"/>
    </row>
    <row r="36" ht="15" customHeight="1">
      <c r="A36" s="50" t="s">
        <v>19</v>
      </c>
    </row>
    <row r="37" spans="1:9" ht="12.75" customHeight="1">
      <c r="A37" s="60" t="s">
        <v>145</v>
      </c>
      <c r="B37" s="58"/>
      <c r="C37" s="58"/>
      <c r="D37" s="58"/>
      <c r="E37" s="58"/>
      <c r="F37" s="58"/>
      <c r="G37" s="58"/>
      <c r="H37" s="58"/>
      <c r="I37" s="58"/>
    </row>
  </sheetData>
  <sheetProtection password="CF7A" sheet="1"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Kukolová Klára</cp:lastModifiedBy>
  <dcterms:created xsi:type="dcterms:W3CDTF">2021-06-10T20:06:38Z</dcterms:created>
  <dcterms:modified xsi:type="dcterms:W3CDTF">2024-01-23T13:17:26Z</dcterms:modified>
  <cp:category/>
  <cp:version/>
  <cp:contentType/>
  <cp:contentStatus/>
</cp:coreProperties>
</file>